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6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Gregorian</t>
        </is>
      </c>
      <c r="B1" t="inlineStr">
        <is>
          <t>Um 17</t>
        </is>
      </c>
      <c r="C1" t="inlineStr">
        <is>
          <t>Um 06</t>
        </is>
      </c>
      <c r="D1" t="inlineStr">
        <is>
          <t>islamic</t>
        </is>
      </c>
    </row>
    <row r="2">
      <c r="A2" s="1" t="n">
        <v>1</v>
      </c>
      <c r="B2">
        <f>TEXT(1, "[$-170000]yyyy-mm-dd")</f>
        <v/>
      </c>
      <c r="C2">
        <f>TEXT(1, "[$-060000]yyyy-mm-dd")</f>
        <v/>
      </c>
      <c r="D2" t="inlineStr">
        <is>
          <t>1317-08-28</t>
        </is>
      </c>
    </row>
    <row r="3">
      <c r="A3" s="1" t="n">
        <v>2</v>
      </c>
      <c r="B3">
        <f>TEXT(2, "[$-170000]yyyy-mm-dd")</f>
        <v/>
      </c>
      <c r="C3">
        <f>TEXT(2, "[$-060000]yyyy-mm-dd")</f>
        <v/>
      </c>
      <c r="D3" t="inlineStr">
        <is>
          <t>1317-08-29</t>
        </is>
      </c>
    </row>
    <row r="4">
      <c r="A4" s="1" t="n">
        <v>3</v>
      </c>
      <c r="B4">
        <f>TEXT(3, "[$-170000]yyyy-mm-dd")</f>
        <v/>
      </c>
      <c r="C4">
        <f>TEXT(3, "[$-060000]yyyy-mm-dd")</f>
        <v/>
      </c>
      <c r="D4" t="inlineStr">
        <is>
          <t>1317-09-01</t>
        </is>
      </c>
    </row>
    <row r="5">
      <c r="A5" s="1" t="n">
        <v>4</v>
      </c>
      <c r="B5">
        <f>TEXT(4, "[$-170000]yyyy-mm-dd")</f>
        <v/>
      </c>
      <c r="C5">
        <f>TEXT(4, "[$-060000]yyyy-mm-dd")</f>
        <v/>
      </c>
      <c r="D5" t="inlineStr">
        <is>
          <t>1317-09-02</t>
        </is>
      </c>
    </row>
    <row r="6">
      <c r="A6" s="1" t="n">
        <v>5</v>
      </c>
      <c r="B6">
        <f>TEXT(5, "[$-170000]yyyy-mm-dd")</f>
        <v/>
      </c>
      <c r="C6">
        <f>TEXT(5, "[$-060000]yyyy-mm-dd")</f>
        <v/>
      </c>
      <c r="D6" t="inlineStr">
        <is>
          <t>1317-09-03</t>
        </is>
      </c>
    </row>
    <row r="7">
      <c r="A7" s="1" t="n">
        <v>6</v>
      </c>
      <c r="B7">
        <f>TEXT(6, "[$-170000]yyyy-mm-dd")</f>
        <v/>
      </c>
      <c r="C7">
        <f>TEXT(6, "[$-060000]yyyy-mm-dd")</f>
        <v/>
      </c>
      <c r="D7" t="inlineStr">
        <is>
          <t>1317-09-04</t>
        </is>
      </c>
    </row>
    <row r="8">
      <c r="A8" s="1" t="n">
        <v>7</v>
      </c>
      <c r="B8">
        <f>TEXT(7, "[$-170000]yyyy-mm-dd")</f>
        <v/>
      </c>
      <c r="C8">
        <f>TEXT(7, "[$-060000]yyyy-mm-dd")</f>
        <v/>
      </c>
      <c r="D8" t="inlineStr">
        <is>
          <t>1317-09-05</t>
        </is>
      </c>
    </row>
    <row r="9">
      <c r="A9" s="1" t="n">
        <v>8</v>
      </c>
      <c r="B9">
        <f>TEXT(8, "[$-170000]yyyy-mm-dd")</f>
        <v/>
      </c>
      <c r="C9">
        <f>TEXT(8, "[$-060000]yyyy-mm-dd")</f>
        <v/>
      </c>
      <c r="D9" t="inlineStr">
        <is>
          <t>1317-09-06</t>
        </is>
      </c>
    </row>
    <row r="10">
      <c r="A10" s="1" t="n">
        <v>9</v>
      </c>
      <c r="B10">
        <f>TEXT(9, "[$-170000]yyyy-mm-dd")</f>
        <v/>
      </c>
      <c r="C10">
        <f>TEXT(9, "[$-060000]yyyy-mm-dd")</f>
        <v/>
      </c>
      <c r="D10" t="inlineStr">
        <is>
          <t>1317-09-07</t>
        </is>
      </c>
    </row>
    <row r="11">
      <c r="A11" s="1" t="n">
        <v>10</v>
      </c>
      <c r="B11">
        <f>TEXT(10, "[$-170000]yyyy-mm-dd")</f>
        <v/>
      </c>
      <c r="C11">
        <f>TEXT(10, "[$-060000]yyyy-mm-dd")</f>
        <v/>
      </c>
      <c r="D11" t="inlineStr">
        <is>
          <t>1317-09-08</t>
        </is>
      </c>
    </row>
    <row r="12">
      <c r="A12" s="1" t="n">
        <v>11</v>
      </c>
      <c r="B12">
        <f>TEXT(11, "[$-170000]yyyy-mm-dd")</f>
        <v/>
      </c>
      <c r="C12">
        <f>TEXT(11, "[$-060000]yyyy-mm-dd")</f>
        <v/>
      </c>
      <c r="D12" t="inlineStr">
        <is>
          <t>1317-09-09</t>
        </is>
      </c>
    </row>
    <row r="13">
      <c r="A13" s="1" t="n">
        <v>12</v>
      </c>
      <c r="B13">
        <f>TEXT(12, "[$-170000]yyyy-mm-dd")</f>
        <v/>
      </c>
      <c r="C13">
        <f>TEXT(12, "[$-060000]yyyy-mm-dd")</f>
        <v/>
      </c>
      <c r="D13" t="inlineStr">
        <is>
          <t>1317-09-10</t>
        </is>
      </c>
    </row>
    <row r="14">
      <c r="A14" s="1" t="n">
        <v>13</v>
      </c>
      <c r="B14">
        <f>TEXT(13, "[$-170000]yyyy-mm-dd")</f>
        <v/>
      </c>
      <c r="C14">
        <f>TEXT(13, "[$-060000]yyyy-mm-dd")</f>
        <v/>
      </c>
      <c r="D14" t="inlineStr">
        <is>
          <t>1317-09-11</t>
        </is>
      </c>
    </row>
    <row r="15">
      <c r="A15" s="1" t="n">
        <v>14</v>
      </c>
      <c r="B15">
        <f>TEXT(14, "[$-170000]yyyy-mm-dd")</f>
        <v/>
      </c>
      <c r="C15">
        <f>TEXT(14, "[$-060000]yyyy-mm-dd")</f>
        <v/>
      </c>
      <c r="D15" t="inlineStr">
        <is>
          <t>1317-09-12</t>
        </is>
      </c>
    </row>
    <row r="16">
      <c r="A16" s="1" t="n">
        <v>15</v>
      </c>
      <c r="B16">
        <f>TEXT(15, "[$-170000]yyyy-mm-dd")</f>
        <v/>
      </c>
      <c r="C16">
        <f>TEXT(15, "[$-060000]yyyy-mm-dd")</f>
        <v/>
      </c>
      <c r="D16" t="inlineStr">
        <is>
          <t>1317-09-13</t>
        </is>
      </c>
    </row>
    <row r="17">
      <c r="A17" s="1" t="n">
        <v>16</v>
      </c>
      <c r="B17">
        <f>TEXT(16, "[$-170000]yyyy-mm-dd")</f>
        <v/>
      </c>
      <c r="C17">
        <f>TEXT(16, "[$-060000]yyyy-mm-dd")</f>
        <v/>
      </c>
      <c r="D17" t="inlineStr">
        <is>
          <t>1317-09-14</t>
        </is>
      </c>
    </row>
    <row r="18">
      <c r="A18" s="1" t="n">
        <v>17</v>
      </c>
      <c r="B18">
        <f>TEXT(17, "[$-170000]yyyy-mm-dd")</f>
        <v/>
      </c>
      <c r="C18">
        <f>TEXT(17, "[$-060000]yyyy-mm-dd")</f>
        <v/>
      </c>
      <c r="D18" t="inlineStr">
        <is>
          <t>1317-09-15</t>
        </is>
      </c>
    </row>
    <row r="19">
      <c r="A19" s="1" t="n">
        <v>18</v>
      </c>
      <c r="B19">
        <f>TEXT(18, "[$-170000]yyyy-mm-dd")</f>
        <v/>
      </c>
      <c r="C19">
        <f>TEXT(18, "[$-060000]yyyy-mm-dd")</f>
        <v/>
      </c>
      <c r="D19" t="inlineStr">
        <is>
          <t>1317-09-16</t>
        </is>
      </c>
    </row>
    <row r="20">
      <c r="A20" s="1" t="n">
        <v>19</v>
      </c>
      <c r="B20">
        <f>TEXT(19, "[$-170000]yyyy-mm-dd")</f>
        <v/>
      </c>
      <c r="C20">
        <f>TEXT(19, "[$-060000]yyyy-mm-dd")</f>
        <v/>
      </c>
      <c r="D20" t="inlineStr">
        <is>
          <t>1317-09-17</t>
        </is>
      </c>
    </row>
    <row r="21">
      <c r="A21" s="1" t="n">
        <v>20</v>
      </c>
      <c r="B21">
        <f>TEXT(20, "[$-170000]yyyy-mm-dd")</f>
        <v/>
      </c>
      <c r="C21">
        <f>TEXT(20, "[$-060000]yyyy-mm-dd")</f>
        <v/>
      </c>
      <c r="D21" t="inlineStr">
        <is>
          <t>1317-09-18</t>
        </is>
      </c>
    </row>
    <row r="22">
      <c r="A22" s="1" t="n">
        <v>21</v>
      </c>
      <c r="B22">
        <f>TEXT(21, "[$-170000]yyyy-mm-dd")</f>
        <v/>
      </c>
      <c r="C22">
        <f>TEXT(21, "[$-060000]yyyy-mm-dd")</f>
        <v/>
      </c>
      <c r="D22" t="inlineStr">
        <is>
          <t>1317-09-19</t>
        </is>
      </c>
    </row>
    <row r="23">
      <c r="A23" s="1" t="n">
        <v>22</v>
      </c>
      <c r="B23">
        <f>TEXT(22, "[$-170000]yyyy-mm-dd")</f>
        <v/>
      </c>
      <c r="C23">
        <f>TEXT(22, "[$-060000]yyyy-mm-dd")</f>
        <v/>
      </c>
      <c r="D23" t="inlineStr">
        <is>
          <t>1317-09-20</t>
        </is>
      </c>
    </row>
    <row r="24">
      <c r="A24" s="1" t="n">
        <v>23</v>
      </c>
      <c r="B24">
        <f>TEXT(23, "[$-170000]yyyy-mm-dd")</f>
        <v/>
      </c>
      <c r="C24">
        <f>TEXT(23, "[$-060000]yyyy-mm-dd")</f>
        <v/>
      </c>
      <c r="D24" t="inlineStr">
        <is>
          <t>1317-09-21</t>
        </is>
      </c>
    </row>
    <row r="25">
      <c r="A25" s="1" t="n">
        <v>24</v>
      </c>
      <c r="B25">
        <f>TEXT(24, "[$-170000]yyyy-mm-dd")</f>
        <v/>
      </c>
      <c r="C25">
        <f>TEXT(24, "[$-060000]yyyy-mm-dd")</f>
        <v/>
      </c>
      <c r="D25" t="inlineStr">
        <is>
          <t>1317-09-22</t>
        </is>
      </c>
    </row>
    <row r="26">
      <c r="A26" s="1" t="n">
        <v>25</v>
      </c>
      <c r="B26">
        <f>TEXT(25, "[$-170000]yyyy-mm-dd")</f>
        <v/>
      </c>
      <c r="C26">
        <f>TEXT(25, "[$-060000]yyyy-mm-dd")</f>
        <v/>
      </c>
      <c r="D26" t="inlineStr">
        <is>
          <t>1317-09-23</t>
        </is>
      </c>
    </row>
    <row r="27">
      <c r="A27" s="1" t="n">
        <v>26</v>
      </c>
      <c r="B27">
        <f>TEXT(26, "[$-170000]yyyy-mm-dd")</f>
        <v/>
      </c>
      <c r="C27">
        <f>TEXT(26, "[$-060000]yyyy-mm-dd")</f>
        <v/>
      </c>
      <c r="D27" t="inlineStr">
        <is>
          <t>1317-09-24</t>
        </is>
      </c>
    </row>
    <row r="28">
      <c r="A28" s="1" t="n">
        <v>27</v>
      </c>
      <c r="B28">
        <f>TEXT(27, "[$-170000]yyyy-mm-dd")</f>
        <v/>
      </c>
      <c r="C28">
        <f>TEXT(27, "[$-060000]yyyy-mm-dd")</f>
        <v/>
      </c>
      <c r="D28" t="inlineStr">
        <is>
          <t>1317-09-25</t>
        </is>
      </c>
    </row>
    <row r="29">
      <c r="A29" s="1" t="n">
        <v>28</v>
      </c>
      <c r="B29">
        <f>TEXT(28, "[$-170000]yyyy-mm-dd")</f>
        <v/>
      </c>
      <c r="C29">
        <f>TEXT(28, "[$-060000]yyyy-mm-dd")</f>
        <v/>
      </c>
      <c r="D29" t="inlineStr">
        <is>
          <t>1317-09-26</t>
        </is>
      </c>
    </row>
    <row r="30">
      <c r="A30" s="1" t="n">
        <v>29</v>
      </c>
      <c r="B30">
        <f>TEXT(29, "[$-170000]yyyy-mm-dd")</f>
        <v/>
      </c>
      <c r="C30">
        <f>TEXT(29, "[$-060000]yyyy-mm-dd")</f>
        <v/>
      </c>
      <c r="D30" t="inlineStr">
        <is>
          <t>1317-09-27</t>
        </is>
      </c>
    </row>
    <row r="31">
      <c r="A31" s="1" t="n">
        <v>30</v>
      </c>
      <c r="B31">
        <f>TEXT(30, "[$-170000]yyyy-mm-dd")</f>
        <v/>
      </c>
      <c r="C31">
        <f>TEXT(30, "[$-060000]yyyy-mm-dd")</f>
        <v/>
      </c>
      <c r="D31" t="inlineStr">
        <is>
          <t>1317-09-28</t>
        </is>
      </c>
    </row>
    <row r="32">
      <c r="A32" s="1" t="n">
        <v>31</v>
      </c>
      <c r="B32">
        <f>TEXT(31, "[$-170000]yyyy-mm-dd")</f>
        <v/>
      </c>
      <c r="C32">
        <f>TEXT(31, "[$-060000]yyyy-mm-dd")</f>
        <v/>
      </c>
      <c r="D32" t="inlineStr">
        <is>
          <t>1317-09-29</t>
        </is>
      </c>
    </row>
    <row r="33">
      <c r="A33" s="1" t="n">
        <v>32</v>
      </c>
      <c r="B33">
        <f>TEXT(32, "[$-170000]yyyy-mm-dd")</f>
        <v/>
      </c>
      <c r="C33">
        <f>TEXT(32, "[$-060000]yyyy-mm-dd")</f>
        <v/>
      </c>
      <c r="D33" t="inlineStr">
        <is>
          <t>1317-09-30</t>
        </is>
      </c>
    </row>
    <row r="34">
      <c r="A34" s="1" t="n">
        <v>33</v>
      </c>
      <c r="B34">
        <f>TEXT(33, "[$-170000]yyyy-mm-dd")</f>
        <v/>
      </c>
      <c r="C34">
        <f>TEXT(33, "[$-060000]yyyy-mm-dd")</f>
        <v/>
      </c>
      <c r="D34" t="inlineStr">
        <is>
          <t>1317-10-01</t>
        </is>
      </c>
    </row>
    <row r="35">
      <c r="A35" s="1" t="n">
        <v>34</v>
      </c>
      <c r="B35">
        <f>TEXT(34, "[$-170000]yyyy-mm-dd")</f>
        <v/>
      </c>
      <c r="C35">
        <f>TEXT(34, "[$-060000]yyyy-mm-dd")</f>
        <v/>
      </c>
      <c r="D35" t="inlineStr">
        <is>
          <t>1317-10-02</t>
        </is>
      </c>
    </row>
    <row r="36">
      <c r="A36" s="1" t="n">
        <v>35</v>
      </c>
      <c r="B36">
        <f>TEXT(35, "[$-170000]yyyy-mm-dd")</f>
        <v/>
      </c>
      <c r="C36">
        <f>TEXT(35, "[$-060000]yyyy-mm-dd")</f>
        <v/>
      </c>
      <c r="D36" t="inlineStr">
        <is>
          <t>1317-10-03</t>
        </is>
      </c>
    </row>
    <row r="37">
      <c r="A37" s="1" t="n">
        <v>36</v>
      </c>
      <c r="B37">
        <f>TEXT(36, "[$-170000]yyyy-mm-dd")</f>
        <v/>
      </c>
      <c r="C37">
        <f>TEXT(36, "[$-060000]yyyy-mm-dd")</f>
        <v/>
      </c>
      <c r="D37" t="inlineStr">
        <is>
          <t>1317-10-04</t>
        </is>
      </c>
    </row>
    <row r="38">
      <c r="A38" s="1" t="n">
        <v>37</v>
      </c>
      <c r="B38">
        <f>TEXT(37, "[$-170000]yyyy-mm-dd")</f>
        <v/>
      </c>
      <c r="C38">
        <f>TEXT(37, "[$-060000]yyyy-mm-dd")</f>
        <v/>
      </c>
      <c r="D38" t="inlineStr">
        <is>
          <t>1317-10-05</t>
        </is>
      </c>
    </row>
    <row r="39">
      <c r="A39" s="1" t="n">
        <v>38</v>
      </c>
      <c r="B39">
        <f>TEXT(38, "[$-170000]yyyy-mm-dd")</f>
        <v/>
      </c>
      <c r="C39">
        <f>TEXT(38, "[$-060000]yyyy-mm-dd")</f>
        <v/>
      </c>
      <c r="D39" t="inlineStr">
        <is>
          <t>1317-10-06</t>
        </is>
      </c>
    </row>
    <row r="40">
      <c r="A40" s="1" t="n">
        <v>39</v>
      </c>
      <c r="B40">
        <f>TEXT(39, "[$-170000]yyyy-mm-dd")</f>
        <v/>
      </c>
      <c r="C40">
        <f>TEXT(39, "[$-060000]yyyy-mm-dd")</f>
        <v/>
      </c>
      <c r="D40" t="inlineStr">
        <is>
          <t>1317-10-07</t>
        </is>
      </c>
    </row>
    <row r="41">
      <c r="A41" s="1" t="n">
        <v>40</v>
      </c>
      <c r="B41">
        <f>TEXT(40, "[$-170000]yyyy-mm-dd")</f>
        <v/>
      </c>
      <c r="C41">
        <f>TEXT(40, "[$-060000]yyyy-mm-dd")</f>
        <v/>
      </c>
      <c r="D41" t="inlineStr">
        <is>
          <t>1317-10-08</t>
        </is>
      </c>
    </row>
    <row r="42">
      <c r="A42" s="1" t="n">
        <v>41</v>
      </c>
      <c r="B42">
        <f>TEXT(41, "[$-170000]yyyy-mm-dd")</f>
        <v/>
      </c>
      <c r="C42">
        <f>TEXT(41, "[$-060000]yyyy-mm-dd")</f>
        <v/>
      </c>
      <c r="D42" t="inlineStr">
        <is>
          <t>1317-10-09</t>
        </is>
      </c>
    </row>
    <row r="43">
      <c r="A43" s="1" t="n">
        <v>42</v>
      </c>
      <c r="B43">
        <f>TEXT(42, "[$-170000]yyyy-mm-dd")</f>
        <v/>
      </c>
      <c r="C43">
        <f>TEXT(42, "[$-060000]yyyy-mm-dd")</f>
        <v/>
      </c>
      <c r="D43" t="inlineStr">
        <is>
          <t>1317-10-10</t>
        </is>
      </c>
    </row>
    <row r="44">
      <c r="A44" s="1" t="n">
        <v>43</v>
      </c>
      <c r="B44">
        <f>TEXT(43, "[$-170000]yyyy-mm-dd")</f>
        <v/>
      </c>
      <c r="C44">
        <f>TEXT(43, "[$-060000]yyyy-mm-dd")</f>
        <v/>
      </c>
      <c r="D44" t="inlineStr">
        <is>
          <t>1317-10-11</t>
        </is>
      </c>
    </row>
    <row r="45">
      <c r="A45" s="1" t="n">
        <v>44</v>
      </c>
      <c r="B45">
        <f>TEXT(44, "[$-170000]yyyy-mm-dd")</f>
        <v/>
      </c>
      <c r="C45">
        <f>TEXT(44, "[$-060000]yyyy-mm-dd")</f>
        <v/>
      </c>
      <c r="D45" t="inlineStr">
        <is>
          <t>1317-10-12</t>
        </is>
      </c>
    </row>
    <row r="46">
      <c r="A46" s="1" t="n">
        <v>45</v>
      </c>
      <c r="B46">
        <f>TEXT(45, "[$-170000]yyyy-mm-dd")</f>
        <v/>
      </c>
      <c r="C46">
        <f>TEXT(45, "[$-060000]yyyy-mm-dd")</f>
        <v/>
      </c>
      <c r="D46" t="inlineStr">
        <is>
          <t>1317-10-13</t>
        </is>
      </c>
    </row>
    <row r="47">
      <c r="A47" s="1" t="n">
        <v>46</v>
      </c>
      <c r="B47">
        <f>TEXT(46, "[$-170000]yyyy-mm-dd")</f>
        <v/>
      </c>
      <c r="C47">
        <f>TEXT(46, "[$-060000]yyyy-mm-dd")</f>
        <v/>
      </c>
      <c r="D47" t="inlineStr">
        <is>
          <t>1317-10-14</t>
        </is>
      </c>
    </row>
    <row r="48">
      <c r="A48" s="1" t="n">
        <v>47</v>
      </c>
      <c r="B48">
        <f>TEXT(47, "[$-170000]yyyy-mm-dd")</f>
        <v/>
      </c>
      <c r="C48">
        <f>TEXT(47, "[$-060000]yyyy-mm-dd")</f>
        <v/>
      </c>
      <c r="D48" t="inlineStr">
        <is>
          <t>1317-10-15</t>
        </is>
      </c>
    </row>
    <row r="49">
      <c r="A49" s="1" t="n">
        <v>48</v>
      </c>
      <c r="B49">
        <f>TEXT(48, "[$-170000]yyyy-mm-dd")</f>
        <v/>
      </c>
      <c r="C49">
        <f>TEXT(48, "[$-060000]yyyy-mm-dd")</f>
        <v/>
      </c>
      <c r="D49" t="inlineStr">
        <is>
          <t>1317-10-16</t>
        </is>
      </c>
    </row>
    <row r="50">
      <c r="A50" s="1" t="n">
        <v>49</v>
      </c>
      <c r="B50">
        <f>TEXT(49, "[$-170000]yyyy-mm-dd")</f>
        <v/>
      </c>
      <c r="C50">
        <f>TEXT(49, "[$-060000]yyyy-mm-dd")</f>
        <v/>
      </c>
      <c r="D50" t="inlineStr">
        <is>
          <t>1317-10-17</t>
        </is>
      </c>
    </row>
    <row r="51">
      <c r="A51" s="1" t="n">
        <v>50</v>
      </c>
      <c r="B51">
        <f>TEXT(50, "[$-170000]yyyy-mm-dd")</f>
        <v/>
      </c>
      <c r="C51">
        <f>TEXT(50, "[$-060000]yyyy-mm-dd")</f>
        <v/>
      </c>
      <c r="D51" t="inlineStr">
        <is>
          <t>1317-10-18</t>
        </is>
      </c>
    </row>
    <row r="52">
      <c r="A52" s="1" t="n">
        <v>51</v>
      </c>
      <c r="B52">
        <f>TEXT(51, "[$-170000]yyyy-mm-dd")</f>
        <v/>
      </c>
      <c r="C52">
        <f>TEXT(51, "[$-060000]yyyy-mm-dd")</f>
        <v/>
      </c>
      <c r="D52" t="inlineStr">
        <is>
          <t>1317-10-19</t>
        </is>
      </c>
    </row>
    <row r="53">
      <c r="A53" s="1" t="n">
        <v>52</v>
      </c>
      <c r="B53">
        <f>TEXT(52, "[$-170000]yyyy-mm-dd")</f>
        <v/>
      </c>
      <c r="C53">
        <f>TEXT(52, "[$-060000]yyyy-mm-dd")</f>
        <v/>
      </c>
      <c r="D53" t="inlineStr">
        <is>
          <t>1317-10-20</t>
        </is>
      </c>
    </row>
    <row r="54">
      <c r="A54" s="1" t="n">
        <v>53</v>
      </c>
      <c r="B54">
        <f>TEXT(53, "[$-170000]yyyy-mm-dd")</f>
        <v/>
      </c>
      <c r="C54">
        <f>TEXT(53, "[$-060000]yyyy-mm-dd")</f>
        <v/>
      </c>
      <c r="D54" t="inlineStr">
        <is>
          <t>1317-10-21</t>
        </is>
      </c>
    </row>
    <row r="55">
      <c r="A55" s="1" t="n">
        <v>54</v>
      </c>
      <c r="B55">
        <f>TEXT(54, "[$-170000]yyyy-mm-dd")</f>
        <v/>
      </c>
      <c r="C55">
        <f>TEXT(54, "[$-060000]yyyy-mm-dd")</f>
        <v/>
      </c>
      <c r="D55" t="inlineStr">
        <is>
          <t>1317-10-22</t>
        </is>
      </c>
    </row>
    <row r="56">
      <c r="A56" s="1" t="n">
        <v>55</v>
      </c>
      <c r="B56">
        <f>TEXT(55, "[$-170000]yyyy-mm-dd")</f>
        <v/>
      </c>
      <c r="C56">
        <f>TEXT(55, "[$-060000]yyyy-mm-dd")</f>
        <v/>
      </c>
      <c r="D56" t="inlineStr">
        <is>
          <t>1317-10-23</t>
        </is>
      </c>
    </row>
    <row r="57">
      <c r="A57" s="1" t="n">
        <v>56</v>
      </c>
      <c r="B57">
        <f>TEXT(56, "[$-170000]yyyy-mm-dd")</f>
        <v/>
      </c>
      <c r="C57">
        <f>TEXT(56, "[$-060000]yyyy-mm-dd")</f>
        <v/>
      </c>
      <c r="D57" t="inlineStr">
        <is>
          <t>1317-10-24</t>
        </is>
      </c>
    </row>
    <row r="58">
      <c r="A58" s="1" t="n">
        <v>57</v>
      </c>
      <c r="B58">
        <f>TEXT(57, "[$-170000]yyyy-mm-dd")</f>
        <v/>
      </c>
      <c r="C58">
        <f>TEXT(57, "[$-060000]yyyy-mm-dd")</f>
        <v/>
      </c>
      <c r="D58" t="inlineStr">
        <is>
          <t>1317-10-25</t>
        </is>
      </c>
    </row>
    <row r="59">
      <c r="A59" s="1" t="n">
        <v>58</v>
      </c>
      <c r="B59">
        <f>TEXT(58, "[$-170000]yyyy-mm-dd")</f>
        <v/>
      </c>
      <c r="C59">
        <f>TEXT(58, "[$-060000]yyyy-mm-dd")</f>
        <v/>
      </c>
      <c r="D59" t="inlineStr">
        <is>
          <t>1317-10-26</t>
        </is>
      </c>
    </row>
    <row r="60">
      <c r="A60" s="1" t="n">
        <v>59</v>
      </c>
      <c r="B60">
        <f>TEXT(59, "[$-170000]yyyy-mm-dd")</f>
        <v/>
      </c>
      <c r="C60">
        <f>TEXT(59, "[$-060000]yyyy-mm-dd")</f>
        <v/>
      </c>
      <c r="D60" t="inlineStr">
        <is>
          <t>1317-10-27</t>
        </is>
      </c>
    </row>
    <row r="61">
      <c r="A61" s="1" t="n">
        <v>60</v>
      </c>
      <c r="B61">
        <f>TEXT(60, "[$-170000]yyyy-mm-dd")</f>
        <v/>
      </c>
      <c r="C61">
        <f>TEXT(60, "[$-060000]yyyy-mm-dd")</f>
        <v/>
      </c>
      <c r="D61" t="inlineStr">
        <is>
          <t>1317-10-28</t>
        </is>
      </c>
    </row>
    <row r="62">
      <c r="A62" s="1" t="n">
        <v>61</v>
      </c>
      <c r="B62">
        <f>TEXT(61, "[$-170000]yyyy-mm-dd")</f>
        <v/>
      </c>
      <c r="C62">
        <f>TEXT(61, "[$-060000]yyyy-mm-dd")</f>
        <v/>
      </c>
      <c r="D62" t="inlineStr">
        <is>
          <t>1317-10-29</t>
        </is>
      </c>
    </row>
    <row r="63">
      <c r="A63" s="1" t="n">
        <v>62</v>
      </c>
      <c r="B63">
        <f>TEXT(62, "[$-170000]yyyy-mm-dd")</f>
        <v/>
      </c>
      <c r="C63">
        <f>TEXT(62, "[$-060000]yyyy-mm-dd")</f>
        <v/>
      </c>
      <c r="D63" t="inlineStr">
        <is>
          <t>1317-11-01</t>
        </is>
      </c>
    </row>
    <row r="64">
      <c r="A64" s="1" t="n">
        <v>63</v>
      </c>
      <c r="B64">
        <f>TEXT(63, "[$-170000]yyyy-mm-dd")</f>
        <v/>
      </c>
      <c r="C64">
        <f>TEXT(63, "[$-060000]yyyy-mm-dd")</f>
        <v/>
      </c>
      <c r="D64" t="inlineStr">
        <is>
          <t>1317-11-02</t>
        </is>
      </c>
    </row>
    <row r="65">
      <c r="A65" s="1" t="n">
        <v>64</v>
      </c>
      <c r="B65">
        <f>TEXT(64, "[$-170000]yyyy-mm-dd")</f>
        <v/>
      </c>
      <c r="C65">
        <f>TEXT(64, "[$-060000]yyyy-mm-dd")</f>
        <v/>
      </c>
      <c r="D65" t="inlineStr">
        <is>
          <t>1317-11-03</t>
        </is>
      </c>
    </row>
    <row r="66">
      <c r="A66" s="1" t="n">
        <v>65</v>
      </c>
      <c r="B66">
        <f>TEXT(65, "[$-170000]yyyy-mm-dd")</f>
        <v/>
      </c>
      <c r="C66">
        <f>TEXT(65, "[$-060000]yyyy-mm-dd")</f>
        <v/>
      </c>
      <c r="D66" t="inlineStr">
        <is>
          <t>1317-11-04</t>
        </is>
      </c>
    </row>
    <row r="67">
      <c r="A67" s="1" t="n">
        <v>66</v>
      </c>
      <c r="B67">
        <f>TEXT(66, "[$-170000]yyyy-mm-dd")</f>
        <v/>
      </c>
      <c r="C67">
        <f>TEXT(66, "[$-060000]yyyy-mm-dd")</f>
        <v/>
      </c>
      <c r="D67" t="inlineStr">
        <is>
          <t>1317-11-05</t>
        </is>
      </c>
    </row>
    <row r="68">
      <c r="A68" s="1" t="n">
        <v>67</v>
      </c>
      <c r="B68">
        <f>TEXT(67, "[$-170000]yyyy-mm-dd")</f>
        <v/>
      </c>
      <c r="C68">
        <f>TEXT(67, "[$-060000]yyyy-mm-dd")</f>
        <v/>
      </c>
      <c r="D68" t="inlineStr">
        <is>
          <t>1317-11-06</t>
        </is>
      </c>
    </row>
    <row r="69">
      <c r="A69" s="1" t="n">
        <v>68</v>
      </c>
      <c r="B69">
        <f>TEXT(68, "[$-170000]yyyy-mm-dd")</f>
        <v/>
      </c>
      <c r="C69">
        <f>TEXT(68, "[$-060000]yyyy-mm-dd")</f>
        <v/>
      </c>
      <c r="D69" t="inlineStr">
        <is>
          <t>1317-11-07</t>
        </is>
      </c>
    </row>
    <row r="70">
      <c r="A70" s="1" t="n">
        <v>69</v>
      </c>
      <c r="B70">
        <f>TEXT(69, "[$-170000]yyyy-mm-dd")</f>
        <v/>
      </c>
      <c r="C70">
        <f>TEXT(69, "[$-060000]yyyy-mm-dd")</f>
        <v/>
      </c>
      <c r="D70" t="inlineStr">
        <is>
          <t>1317-11-08</t>
        </is>
      </c>
    </row>
    <row r="71">
      <c r="A71" s="1" t="n">
        <v>70</v>
      </c>
      <c r="B71">
        <f>TEXT(70, "[$-170000]yyyy-mm-dd")</f>
        <v/>
      </c>
      <c r="C71">
        <f>TEXT(70, "[$-060000]yyyy-mm-dd")</f>
        <v/>
      </c>
      <c r="D71" t="inlineStr">
        <is>
          <t>1317-11-09</t>
        </is>
      </c>
    </row>
    <row r="72">
      <c r="A72" s="1" t="n">
        <v>71</v>
      </c>
      <c r="B72">
        <f>TEXT(71, "[$-170000]yyyy-mm-dd")</f>
        <v/>
      </c>
      <c r="C72">
        <f>TEXT(71, "[$-060000]yyyy-mm-dd")</f>
        <v/>
      </c>
      <c r="D72" t="inlineStr">
        <is>
          <t>1317-11-10</t>
        </is>
      </c>
    </row>
    <row r="73">
      <c r="A73" s="1" t="n">
        <v>72</v>
      </c>
      <c r="B73">
        <f>TEXT(72, "[$-170000]yyyy-mm-dd")</f>
        <v/>
      </c>
      <c r="C73">
        <f>TEXT(72, "[$-060000]yyyy-mm-dd")</f>
        <v/>
      </c>
      <c r="D73" t="inlineStr">
        <is>
          <t>1317-11-11</t>
        </is>
      </c>
    </row>
    <row r="74">
      <c r="A74" s="1" t="n">
        <v>73</v>
      </c>
      <c r="B74">
        <f>TEXT(73, "[$-170000]yyyy-mm-dd")</f>
        <v/>
      </c>
      <c r="C74">
        <f>TEXT(73, "[$-060000]yyyy-mm-dd")</f>
        <v/>
      </c>
      <c r="D74" t="inlineStr">
        <is>
          <t>1317-11-12</t>
        </is>
      </c>
    </row>
    <row r="75">
      <c r="A75" s="1" t="n">
        <v>74</v>
      </c>
      <c r="B75">
        <f>TEXT(74, "[$-170000]yyyy-mm-dd")</f>
        <v/>
      </c>
      <c r="C75">
        <f>TEXT(74, "[$-060000]yyyy-mm-dd")</f>
        <v/>
      </c>
      <c r="D75" t="inlineStr">
        <is>
          <t>1317-11-13</t>
        </is>
      </c>
    </row>
    <row r="76">
      <c r="A76" s="1" t="n">
        <v>75</v>
      </c>
      <c r="B76">
        <f>TEXT(75, "[$-170000]yyyy-mm-dd")</f>
        <v/>
      </c>
      <c r="C76">
        <f>TEXT(75, "[$-060000]yyyy-mm-dd")</f>
        <v/>
      </c>
      <c r="D76" t="inlineStr">
        <is>
          <t>1317-11-14</t>
        </is>
      </c>
    </row>
    <row r="77">
      <c r="A77" s="1" t="n">
        <v>76</v>
      </c>
      <c r="B77">
        <f>TEXT(76, "[$-170000]yyyy-mm-dd")</f>
        <v/>
      </c>
      <c r="C77">
        <f>TEXT(76, "[$-060000]yyyy-mm-dd")</f>
        <v/>
      </c>
      <c r="D77" t="inlineStr">
        <is>
          <t>1317-11-15</t>
        </is>
      </c>
    </row>
    <row r="78">
      <c r="A78" s="1" t="n">
        <v>77</v>
      </c>
      <c r="B78">
        <f>TEXT(77, "[$-170000]yyyy-mm-dd")</f>
        <v/>
      </c>
      <c r="C78">
        <f>TEXT(77, "[$-060000]yyyy-mm-dd")</f>
        <v/>
      </c>
      <c r="D78" t="inlineStr">
        <is>
          <t>1317-11-16</t>
        </is>
      </c>
    </row>
    <row r="79">
      <c r="A79" s="1" t="n">
        <v>78</v>
      </c>
      <c r="B79">
        <f>TEXT(78, "[$-170000]yyyy-mm-dd")</f>
        <v/>
      </c>
      <c r="C79">
        <f>TEXT(78, "[$-060000]yyyy-mm-dd")</f>
        <v/>
      </c>
      <c r="D79" t="inlineStr">
        <is>
          <t>1317-11-17</t>
        </is>
      </c>
    </row>
    <row r="80">
      <c r="A80" s="1" t="n">
        <v>79</v>
      </c>
      <c r="B80">
        <f>TEXT(79, "[$-170000]yyyy-mm-dd")</f>
        <v/>
      </c>
      <c r="C80">
        <f>TEXT(79, "[$-060000]yyyy-mm-dd")</f>
        <v/>
      </c>
      <c r="D80" t="inlineStr">
        <is>
          <t>1317-11-18</t>
        </is>
      </c>
    </row>
    <row r="81">
      <c r="A81" s="1" t="n">
        <v>80</v>
      </c>
      <c r="B81">
        <f>TEXT(80, "[$-170000]yyyy-mm-dd")</f>
        <v/>
      </c>
      <c r="C81">
        <f>TEXT(80, "[$-060000]yyyy-mm-dd")</f>
        <v/>
      </c>
      <c r="D81" t="inlineStr">
        <is>
          <t>1317-11-19</t>
        </is>
      </c>
    </row>
    <row r="82">
      <c r="A82" s="1" t="n">
        <v>81</v>
      </c>
      <c r="B82">
        <f>TEXT(81, "[$-170000]yyyy-mm-dd")</f>
        <v/>
      </c>
      <c r="C82">
        <f>TEXT(81, "[$-060000]yyyy-mm-dd")</f>
        <v/>
      </c>
      <c r="D82" t="inlineStr">
        <is>
          <t>1317-11-20</t>
        </is>
      </c>
    </row>
    <row r="83">
      <c r="A83" s="1" t="n">
        <v>82</v>
      </c>
      <c r="B83">
        <f>TEXT(82, "[$-170000]yyyy-mm-dd")</f>
        <v/>
      </c>
      <c r="C83">
        <f>TEXT(82, "[$-060000]yyyy-mm-dd")</f>
        <v/>
      </c>
      <c r="D83" t="inlineStr">
        <is>
          <t>1317-11-21</t>
        </is>
      </c>
    </row>
    <row r="84">
      <c r="A84" s="1" t="n">
        <v>83</v>
      </c>
      <c r="B84">
        <f>TEXT(83, "[$-170000]yyyy-mm-dd")</f>
        <v/>
      </c>
      <c r="C84">
        <f>TEXT(83, "[$-060000]yyyy-mm-dd")</f>
        <v/>
      </c>
      <c r="D84" t="inlineStr">
        <is>
          <t>1317-11-22</t>
        </is>
      </c>
    </row>
    <row r="85">
      <c r="A85" s="1" t="n">
        <v>84</v>
      </c>
      <c r="B85">
        <f>TEXT(84, "[$-170000]yyyy-mm-dd")</f>
        <v/>
      </c>
      <c r="C85">
        <f>TEXT(84, "[$-060000]yyyy-mm-dd")</f>
        <v/>
      </c>
      <c r="D85" t="inlineStr">
        <is>
          <t>1317-11-23</t>
        </is>
      </c>
    </row>
    <row r="86">
      <c r="A86" s="1" t="n">
        <v>85</v>
      </c>
      <c r="B86">
        <f>TEXT(85, "[$-170000]yyyy-mm-dd")</f>
        <v/>
      </c>
      <c r="C86">
        <f>TEXT(85, "[$-060000]yyyy-mm-dd")</f>
        <v/>
      </c>
      <c r="D86" t="inlineStr">
        <is>
          <t>1317-11-24</t>
        </is>
      </c>
    </row>
    <row r="87">
      <c r="A87" s="1" t="n">
        <v>86</v>
      </c>
      <c r="B87">
        <f>TEXT(86, "[$-170000]yyyy-mm-dd")</f>
        <v/>
      </c>
      <c r="C87">
        <f>TEXT(86, "[$-060000]yyyy-mm-dd")</f>
        <v/>
      </c>
      <c r="D87" t="inlineStr">
        <is>
          <t>1317-11-25</t>
        </is>
      </c>
    </row>
    <row r="88">
      <c r="A88" s="1" t="n">
        <v>87</v>
      </c>
      <c r="B88">
        <f>TEXT(87, "[$-170000]yyyy-mm-dd")</f>
        <v/>
      </c>
      <c r="C88">
        <f>TEXT(87, "[$-060000]yyyy-mm-dd")</f>
        <v/>
      </c>
      <c r="D88" t="inlineStr">
        <is>
          <t>1317-11-26</t>
        </is>
      </c>
    </row>
    <row r="89">
      <c r="A89" s="1" t="n">
        <v>88</v>
      </c>
      <c r="B89">
        <f>TEXT(88, "[$-170000]yyyy-mm-dd")</f>
        <v/>
      </c>
      <c r="C89">
        <f>TEXT(88, "[$-060000]yyyy-mm-dd")</f>
        <v/>
      </c>
      <c r="D89" t="inlineStr">
        <is>
          <t>1317-11-27</t>
        </is>
      </c>
    </row>
    <row r="90">
      <c r="A90" s="1" t="n">
        <v>89</v>
      </c>
      <c r="B90">
        <f>TEXT(89, "[$-170000]yyyy-mm-dd")</f>
        <v/>
      </c>
      <c r="C90">
        <f>TEXT(89, "[$-060000]yyyy-mm-dd")</f>
        <v/>
      </c>
      <c r="D90" t="inlineStr">
        <is>
          <t>1317-11-28</t>
        </is>
      </c>
    </row>
    <row r="91">
      <c r="A91" s="1" t="n">
        <v>90</v>
      </c>
      <c r="B91">
        <f>TEXT(90, "[$-170000]yyyy-mm-dd")</f>
        <v/>
      </c>
      <c r="C91">
        <f>TEXT(90, "[$-060000]yyyy-mm-dd")</f>
        <v/>
      </c>
      <c r="D91" t="inlineStr">
        <is>
          <t>1317-11-29</t>
        </is>
      </c>
    </row>
    <row r="92">
      <c r="A92" s="1" t="n">
        <v>91</v>
      </c>
      <c r="B92">
        <f>TEXT(91, "[$-170000]yyyy-mm-dd")</f>
        <v/>
      </c>
      <c r="C92">
        <f>TEXT(91, "[$-060000]yyyy-mm-dd")</f>
        <v/>
      </c>
      <c r="D92" t="inlineStr">
        <is>
          <t>1317-11-30</t>
        </is>
      </c>
    </row>
    <row r="93">
      <c r="A93" s="1" t="n">
        <v>92</v>
      </c>
      <c r="B93">
        <f>TEXT(92, "[$-170000]yyyy-mm-dd")</f>
        <v/>
      </c>
      <c r="C93">
        <f>TEXT(92, "[$-060000]yyyy-mm-dd")</f>
        <v/>
      </c>
      <c r="D93" t="inlineStr">
        <is>
          <t>1317-12-01</t>
        </is>
      </c>
    </row>
    <row r="94">
      <c r="A94" s="1" t="n">
        <v>93</v>
      </c>
      <c r="B94">
        <f>TEXT(93, "[$-170000]yyyy-mm-dd")</f>
        <v/>
      </c>
      <c r="C94">
        <f>TEXT(93, "[$-060000]yyyy-mm-dd")</f>
        <v/>
      </c>
      <c r="D94" t="inlineStr">
        <is>
          <t>1317-12-02</t>
        </is>
      </c>
    </row>
    <row r="95">
      <c r="A95" s="1" t="n">
        <v>94</v>
      </c>
      <c r="B95">
        <f>TEXT(94, "[$-170000]yyyy-mm-dd")</f>
        <v/>
      </c>
      <c r="C95">
        <f>TEXT(94, "[$-060000]yyyy-mm-dd")</f>
        <v/>
      </c>
      <c r="D95" t="inlineStr">
        <is>
          <t>1317-12-03</t>
        </is>
      </c>
    </row>
    <row r="96">
      <c r="A96" s="1" t="n">
        <v>95</v>
      </c>
      <c r="B96">
        <f>TEXT(95, "[$-170000]yyyy-mm-dd")</f>
        <v/>
      </c>
      <c r="C96">
        <f>TEXT(95, "[$-060000]yyyy-mm-dd")</f>
        <v/>
      </c>
      <c r="D96" t="inlineStr">
        <is>
          <t>1317-12-04</t>
        </is>
      </c>
    </row>
    <row r="97">
      <c r="A97" s="1" t="n">
        <v>96</v>
      </c>
      <c r="B97">
        <f>TEXT(96, "[$-170000]yyyy-mm-dd")</f>
        <v/>
      </c>
      <c r="C97">
        <f>TEXT(96, "[$-060000]yyyy-mm-dd")</f>
        <v/>
      </c>
      <c r="D97" t="inlineStr">
        <is>
          <t>1317-12-05</t>
        </is>
      </c>
    </row>
    <row r="98">
      <c r="A98" s="1" t="n">
        <v>97</v>
      </c>
      <c r="B98">
        <f>TEXT(97, "[$-170000]yyyy-mm-dd")</f>
        <v/>
      </c>
      <c r="C98">
        <f>TEXT(97, "[$-060000]yyyy-mm-dd")</f>
        <v/>
      </c>
      <c r="D98" t="inlineStr">
        <is>
          <t>1317-12-06</t>
        </is>
      </c>
    </row>
    <row r="99">
      <c r="A99" s="1" t="n">
        <v>98</v>
      </c>
      <c r="B99">
        <f>TEXT(98, "[$-170000]yyyy-mm-dd")</f>
        <v/>
      </c>
      <c r="C99">
        <f>TEXT(98, "[$-060000]yyyy-mm-dd")</f>
        <v/>
      </c>
      <c r="D99" t="inlineStr">
        <is>
          <t>1317-12-07</t>
        </is>
      </c>
    </row>
    <row r="100">
      <c r="A100" s="1" t="n">
        <v>99</v>
      </c>
      <c r="B100">
        <f>TEXT(99, "[$-170000]yyyy-mm-dd")</f>
        <v/>
      </c>
      <c r="C100">
        <f>TEXT(99, "[$-060000]yyyy-mm-dd")</f>
        <v/>
      </c>
      <c r="D100" t="inlineStr">
        <is>
          <t>1317-12-08</t>
        </is>
      </c>
    </row>
    <row r="101">
      <c r="A101" s="1" t="n">
        <v>100</v>
      </c>
      <c r="B101">
        <f>TEXT(100, "[$-170000]yyyy-mm-dd")</f>
        <v/>
      </c>
      <c r="C101">
        <f>TEXT(100, "[$-060000]yyyy-mm-dd")</f>
        <v/>
      </c>
      <c r="D101" t="inlineStr">
        <is>
          <t>1317-12-09</t>
        </is>
      </c>
    </row>
    <row r="102">
      <c r="A102" s="1" t="n">
        <v>101</v>
      </c>
      <c r="B102">
        <f>TEXT(101, "[$-170000]yyyy-mm-dd")</f>
        <v/>
      </c>
      <c r="C102">
        <f>TEXT(101, "[$-060000]yyyy-mm-dd")</f>
        <v/>
      </c>
      <c r="D102" t="inlineStr">
        <is>
          <t>1317-12-10</t>
        </is>
      </c>
    </row>
    <row r="103">
      <c r="A103" s="1" t="n">
        <v>102</v>
      </c>
      <c r="B103">
        <f>TEXT(102, "[$-170000]yyyy-mm-dd")</f>
        <v/>
      </c>
      <c r="C103">
        <f>TEXT(102, "[$-060000]yyyy-mm-dd")</f>
        <v/>
      </c>
      <c r="D103" t="inlineStr">
        <is>
          <t>1317-12-11</t>
        </is>
      </c>
    </row>
    <row r="104">
      <c r="A104" s="1" t="n">
        <v>103</v>
      </c>
      <c r="B104">
        <f>TEXT(103, "[$-170000]yyyy-mm-dd")</f>
        <v/>
      </c>
      <c r="C104">
        <f>TEXT(103, "[$-060000]yyyy-mm-dd")</f>
        <v/>
      </c>
      <c r="D104" t="inlineStr">
        <is>
          <t>1317-12-12</t>
        </is>
      </c>
    </row>
    <row r="105">
      <c r="A105" s="1" t="n">
        <v>104</v>
      </c>
      <c r="B105">
        <f>TEXT(104, "[$-170000]yyyy-mm-dd")</f>
        <v/>
      </c>
      <c r="C105">
        <f>TEXT(104, "[$-060000]yyyy-mm-dd")</f>
        <v/>
      </c>
      <c r="D105" t="inlineStr">
        <is>
          <t>1317-12-13</t>
        </is>
      </c>
    </row>
    <row r="106">
      <c r="A106" s="1" t="n">
        <v>105</v>
      </c>
      <c r="B106">
        <f>TEXT(105, "[$-170000]yyyy-mm-dd")</f>
        <v/>
      </c>
      <c r="C106">
        <f>TEXT(105, "[$-060000]yyyy-mm-dd")</f>
        <v/>
      </c>
      <c r="D106" t="inlineStr">
        <is>
          <t>1317-12-14</t>
        </is>
      </c>
    </row>
    <row r="107">
      <c r="A107" s="1" t="n">
        <v>106</v>
      </c>
      <c r="B107">
        <f>TEXT(106, "[$-170000]yyyy-mm-dd")</f>
        <v/>
      </c>
      <c r="C107">
        <f>TEXT(106, "[$-060000]yyyy-mm-dd")</f>
        <v/>
      </c>
      <c r="D107" t="inlineStr">
        <is>
          <t>1317-12-15</t>
        </is>
      </c>
    </row>
    <row r="108">
      <c r="A108" s="1" t="n">
        <v>107</v>
      </c>
      <c r="B108">
        <f>TEXT(107, "[$-170000]yyyy-mm-dd")</f>
        <v/>
      </c>
      <c r="C108">
        <f>TEXT(107, "[$-060000]yyyy-mm-dd")</f>
        <v/>
      </c>
      <c r="D108" t="inlineStr">
        <is>
          <t>1317-12-16</t>
        </is>
      </c>
    </row>
    <row r="109">
      <c r="A109" s="1" t="n">
        <v>108</v>
      </c>
      <c r="B109">
        <f>TEXT(108, "[$-170000]yyyy-mm-dd")</f>
        <v/>
      </c>
      <c r="C109">
        <f>TEXT(108, "[$-060000]yyyy-mm-dd")</f>
        <v/>
      </c>
      <c r="D109" t="inlineStr">
        <is>
          <t>1317-12-17</t>
        </is>
      </c>
    </row>
    <row r="110">
      <c r="A110" s="1" t="n">
        <v>109</v>
      </c>
      <c r="B110">
        <f>TEXT(109, "[$-170000]yyyy-mm-dd")</f>
        <v/>
      </c>
      <c r="C110">
        <f>TEXT(109, "[$-060000]yyyy-mm-dd")</f>
        <v/>
      </c>
      <c r="D110" t="inlineStr">
        <is>
          <t>1317-12-18</t>
        </is>
      </c>
    </row>
    <row r="111">
      <c r="A111" s="1" t="n">
        <v>110</v>
      </c>
      <c r="B111">
        <f>TEXT(110, "[$-170000]yyyy-mm-dd")</f>
        <v/>
      </c>
      <c r="C111">
        <f>TEXT(110, "[$-060000]yyyy-mm-dd")</f>
        <v/>
      </c>
      <c r="D111" t="inlineStr">
        <is>
          <t>1317-12-19</t>
        </is>
      </c>
    </row>
    <row r="112">
      <c r="A112" s="1" t="n">
        <v>111</v>
      </c>
      <c r="B112">
        <f>TEXT(111, "[$-170000]yyyy-mm-dd")</f>
        <v/>
      </c>
      <c r="C112">
        <f>TEXT(111, "[$-060000]yyyy-mm-dd")</f>
        <v/>
      </c>
      <c r="D112" t="inlineStr">
        <is>
          <t>1317-12-20</t>
        </is>
      </c>
    </row>
    <row r="113">
      <c r="A113" s="1" t="n">
        <v>112</v>
      </c>
      <c r="B113">
        <f>TEXT(112, "[$-170000]yyyy-mm-dd")</f>
        <v/>
      </c>
      <c r="C113">
        <f>TEXT(112, "[$-060000]yyyy-mm-dd")</f>
        <v/>
      </c>
      <c r="D113" t="inlineStr">
        <is>
          <t>1317-12-21</t>
        </is>
      </c>
    </row>
    <row r="114">
      <c r="A114" s="1" t="n">
        <v>113</v>
      </c>
      <c r="B114">
        <f>TEXT(113, "[$-170000]yyyy-mm-dd")</f>
        <v/>
      </c>
      <c r="C114">
        <f>TEXT(113, "[$-060000]yyyy-mm-dd")</f>
        <v/>
      </c>
      <c r="D114" t="inlineStr">
        <is>
          <t>1317-12-22</t>
        </is>
      </c>
    </row>
    <row r="115">
      <c r="A115" s="1" t="n">
        <v>114</v>
      </c>
      <c r="B115">
        <f>TEXT(114, "[$-170000]yyyy-mm-dd")</f>
        <v/>
      </c>
      <c r="C115">
        <f>TEXT(114, "[$-060000]yyyy-mm-dd")</f>
        <v/>
      </c>
      <c r="D115" t="inlineStr">
        <is>
          <t>1317-12-23</t>
        </is>
      </c>
    </row>
    <row r="116">
      <c r="A116" s="1" t="n">
        <v>115</v>
      </c>
      <c r="B116">
        <f>TEXT(115, "[$-170000]yyyy-mm-dd")</f>
        <v/>
      </c>
      <c r="C116">
        <f>TEXT(115, "[$-060000]yyyy-mm-dd")</f>
        <v/>
      </c>
      <c r="D116" t="inlineStr">
        <is>
          <t>1317-12-24</t>
        </is>
      </c>
    </row>
    <row r="117">
      <c r="A117" s="1" t="n">
        <v>116</v>
      </c>
      <c r="B117">
        <f>TEXT(116, "[$-170000]yyyy-mm-dd")</f>
        <v/>
      </c>
      <c r="C117">
        <f>TEXT(116, "[$-060000]yyyy-mm-dd")</f>
        <v/>
      </c>
      <c r="D117" t="inlineStr">
        <is>
          <t>1317-12-25</t>
        </is>
      </c>
    </row>
    <row r="118">
      <c r="A118" s="1" t="n">
        <v>117</v>
      </c>
      <c r="B118">
        <f>TEXT(117, "[$-170000]yyyy-mm-dd")</f>
        <v/>
      </c>
      <c r="C118">
        <f>TEXT(117, "[$-060000]yyyy-mm-dd")</f>
        <v/>
      </c>
      <c r="D118" t="inlineStr">
        <is>
          <t>1317-12-26</t>
        </is>
      </c>
    </row>
    <row r="119">
      <c r="A119" s="1" t="n">
        <v>118</v>
      </c>
      <c r="B119">
        <f>TEXT(118, "[$-170000]yyyy-mm-dd")</f>
        <v/>
      </c>
      <c r="C119">
        <f>TEXT(118, "[$-060000]yyyy-mm-dd")</f>
        <v/>
      </c>
      <c r="D119" t="inlineStr">
        <is>
          <t>1317-12-27</t>
        </is>
      </c>
    </row>
    <row r="120">
      <c r="A120" s="1" t="n">
        <v>119</v>
      </c>
      <c r="B120">
        <f>TEXT(119, "[$-170000]yyyy-mm-dd")</f>
        <v/>
      </c>
      <c r="C120">
        <f>TEXT(119, "[$-060000]yyyy-mm-dd")</f>
        <v/>
      </c>
      <c r="D120" t="inlineStr">
        <is>
          <t>1317-12-28</t>
        </is>
      </c>
    </row>
    <row r="121">
      <c r="A121" s="1" t="n">
        <v>120</v>
      </c>
      <c r="B121">
        <f>TEXT(120, "[$-170000]yyyy-mm-dd")</f>
        <v/>
      </c>
      <c r="C121">
        <f>TEXT(120, "[$-060000]yyyy-mm-dd")</f>
        <v/>
      </c>
      <c r="D121" t="inlineStr">
        <is>
          <t>1317-12-29</t>
        </is>
      </c>
    </row>
    <row r="122">
      <c r="A122" s="1" t="n">
        <v>121</v>
      </c>
      <c r="B122">
        <f>TEXT(121, "[$-170000]yyyy-mm-dd")</f>
        <v/>
      </c>
      <c r="C122">
        <f>TEXT(121, "[$-060000]yyyy-mm-dd")</f>
        <v/>
      </c>
      <c r="D122" t="inlineStr">
        <is>
          <t>1318-01-01</t>
        </is>
      </c>
    </row>
    <row r="123">
      <c r="A123" s="1" t="n">
        <v>122</v>
      </c>
      <c r="B123">
        <f>TEXT(122, "[$-170000]yyyy-mm-dd")</f>
        <v/>
      </c>
      <c r="C123">
        <f>TEXT(122, "[$-060000]yyyy-mm-dd")</f>
        <v/>
      </c>
      <c r="D123" t="inlineStr">
        <is>
          <t>1318-01-02</t>
        </is>
      </c>
    </row>
    <row r="124">
      <c r="A124" s="1" t="n">
        <v>123</v>
      </c>
      <c r="B124">
        <f>TEXT(123, "[$-170000]yyyy-mm-dd")</f>
        <v/>
      </c>
      <c r="C124">
        <f>TEXT(123, "[$-060000]yyyy-mm-dd")</f>
        <v/>
      </c>
      <c r="D124" t="inlineStr">
        <is>
          <t>1318-01-03</t>
        </is>
      </c>
    </row>
    <row r="125">
      <c r="A125" s="1" t="n">
        <v>124</v>
      </c>
      <c r="B125">
        <f>TEXT(124, "[$-170000]yyyy-mm-dd")</f>
        <v/>
      </c>
      <c r="C125">
        <f>TEXT(124, "[$-060000]yyyy-mm-dd")</f>
        <v/>
      </c>
      <c r="D125" t="inlineStr">
        <is>
          <t>1318-01-04</t>
        </is>
      </c>
    </row>
    <row r="126">
      <c r="A126" s="1" t="n">
        <v>125</v>
      </c>
      <c r="B126">
        <f>TEXT(125, "[$-170000]yyyy-mm-dd")</f>
        <v/>
      </c>
      <c r="C126">
        <f>TEXT(125, "[$-060000]yyyy-mm-dd")</f>
        <v/>
      </c>
      <c r="D126" t="inlineStr">
        <is>
          <t>1318-01-05</t>
        </is>
      </c>
    </row>
    <row r="127">
      <c r="A127" s="1" t="n">
        <v>126</v>
      </c>
      <c r="B127">
        <f>TEXT(126, "[$-170000]yyyy-mm-dd")</f>
        <v/>
      </c>
      <c r="C127">
        <f>TEXT(126, "[$-060000]yyyy-mm-dd")</f>
        <v/>
      </c>
      <c r="D127" t="inlineStr">
        <is>
          <t>1318-01-06</t>
        </is>
      </c>
    </row>
    <row r="128">
      <c r="A128" s="1" t="n">
        <v>127</v>
      </c>
      <c r="B128">
        <f>TEXT(127, "[$-170000]yyyy-mm-dd")</f>
        <v/>
      </c>
      <c r="C128">
        <f>TEXT(127, "[$-060000]yyyy-mm-dd")</f>
        <v/>
      </c>
      <c r="D128" t="inlineStr">
        <is>
          <t>1318-01-07</t>
        </is>
      </c>
    </row>
    <row r="129">
      <c r="A129" s="1" t="n">
        <v>128</v>
      </c>
      <c r="B129">
        <f>TEXT(128, "[$-170000]yyyy-mm-dd")</f>
        <v/>
      </c>
      <c r="C129">
        <f>TEXT(128, "[$-060000]yyyy-mm-dd")</f>
        <v/>
      </c>
      <c r="D129" t="inlineStr">
        <is>
          <t>1318-01-08</t>
        </is>
      </c>
    </row>
    <row r="130">
      <c r="A130" s="1" t="n">
        <v>129</v>
      </c>
      <c r="B130">
        <f>TEXT(129, "[$-170000]yyyy-mm-dd")</f>
        <v/>
      </c>
      <c r="C130">
        <f>TEXT(129, "[$-060000]yyyy-mm-dd")</f>
        <v/>
      </c>
      <c r="D130" t="inlineStr">
        <is>
          <t>1318-01-09</t>
        </is>
      </c>
    </row>
    <row r="131">
      <c r="A131" s="1" t="n">
        <v>130</v>
      </c>
      <c r="B131">
        <f>TEXT(130, "[$-170000]yyyy-mm-dd")</f>
        <v/>
      </c>
      <c r="C131">
        <f>TEXT(130, "[$-060000]yyyy-mm-dd")</f>
        <v/>
      </c>
      <c r="D131" t="inlineStr">
        <is>
          <t>1318-01-10</t>
        </is>
      </c>
    </row>
    <row r="132">
      <c r="A132" s="1" t="n">
        <v>131</v>
      </c>
      <c r="B132">
        <f>TEXT(131, "[$-170000]yyyy-mm-dd")</f>
        <v/>
      </c>
      <c r="C132">
        <f>TEXT(131, "[$-060000]yyyy-mm-dd")</f>
        <v/>
      </c>
      <c r="D132" t="inlineStr">
        <is>
          <t>1318-01-11</t>
        </is>
      </c>
    </row>
    <row r="133">
      <c r="A133" s="1" t="n">
        <v>132</v>
      </c>
      <c r="B133">
        <f>TEXT(132, "[$-170000]yyyy-mm-dd")</f>
        <v/>
      </c>
      <c r="C133">
        <f>TEXT(132, "[$-060000]yyyy-mm-dd")</f>
        <v/>
      </c>
      <c r="D133" t="inlineStr">
        <is>
          <t>1318-01-12</t>
        </is>
      </c>
    </row>
    <row r="134">
      <c r="A134" s="1" t="n">
        <v>133</v>
      </c>
      <c r="B134">
        <f>TEXT(133, "[$-170000]yyyy-mm-dd")</f>
        <v/>
      </c>
      <c r="C134">
        <f>TEXT(133, "[$-060000]yyyy-mm-dd")</f>
        <v/>
      </c>
      <c r="D134" t="inlineStr">
        <is>
          <t>1318-01-13</t>
        </is>
      </c>
    </row>
    <row r="135">
      <c r="A135" s="1" t="n">
        <v>134</v>
      </c>
      <c r="B135">
        <f>TEXT(134, "[$-170000]yyyy-mm-dd")</f>
        <v/>
      </c>
      <c r="C135">
        <f>TEXT(134, "[$-060000]yyyy-mm-dd")</f>
        <v/>
      </c>
      <c r="D135" t="inlineStr">
        <is>
          <t>1318-01-14</t>
        </is>
      </c>
    </row>
    <row r="136">
      <c r="A136" s="1" t="n">
        <v>135</v>
      </c>
      <c r="B136">
        <f>TEXT(135, "[$-170000]yyyy-mm-dd")</f>
        <v/>
      </c>
      <c r="C136">
        <f>TEXT(135, "[$-060000]yyyy-mm-dd")</f>
        <v/>
      </c>
      <c r="D136" t="inlineStr">
        <is>
          <t>1318-01-15</t>
        </is>
      </c>
    </row>
    <row r="137">
      <c r="A137" s="1" t="n">
        <v>136</v>
      </c>
      <c r="B137">
        <f>TEXT(136, "[$-170000]yyyy-mm-dd")</f>
        <v/>
      </c>
      <c r="C137">
        <f>TEXT(136, "[$-060000]yyyy-mm-dd")</f>
        <v/>
      </c>
      <c r="D137" t="inlineStr">
        <is>
          <t>1318-01-16</t>
        </is>
      </c>
    </row>
    <row r="138">
      <c r="A138" s="1" t="n">
        <v>137</v>
      </c>
      <c r="B138">
        <f>TEXT(137, "[$-170000]yyyy-mm-dd")</f>
        <v/>
      </c>
      <c r="C138">
        <f>TEXT(137, "[$-060000]yyyy-mm-dd")</f>
        <v/>
      </c>
      <c r="D138" t="inlineStr">
        <is>
          <t>1318-01-17</t>
        </is>
      </c>
    </row>
    <row r="139">
      <c r="A139" s="1" t="n">
        <v>138</v>
      </c>
      <c r="B139">
        <f>TEXT(138, "[$-170000]yyyy-mm-dd")</f>
        <v/>
      </c>
      <c r="C139">
        <f>TEXT(138, "[$-060000]yyyy-mm-dd")</f>
        <v/>
      </c>
      <c r="D139" t="inlineStr">
        <is>
          <t>1318-01-18</t>
        </is>
      </c>
    </row>
    <row r="140">
      <c r="A140" s="1" t="n">
        <v>139</v>
      </c>
      <c r="B140">
        <f>TEXT(139, "[$-170000]yyyy-mm-dd")</f>
        <v/>
      </c>
      <c r="C140">
        <f>TEXT(139, "[$-060000]yyyy-mm-dd")</f>
        <v/>
      </c>
      <c r="D140" t="inlineStr">
        <is>
          <t>1318-01-19</t>
        </is>
      </c>
    </row>
    <row r="141">
      <c r="A141" s="1" t="n">
        <v>140</v>
      </c>
      <c r="B141">
        <f>TEXT(140, "[$-170000]yyyy-mm-dd")</f>
        <v/>
      </c>
      <c r="C141">
        <f>TEXT(140, "[$-060000]yyyy-mm-dd")</f>
        <v/>
      </c>
      <c r="D141" t="inlineStr">
        <is>
          <t>1318-01-20</t>
        </is>
      </c>
    </row>
    <row r="142">
      <c r="A142" s="1" t="n">
        <v>141</v>
      </c>
      <c r="B142">
        <f>TEXT(141, "[$-170000]yyyy-mm-dd")</f>
        <v/>
      </c>
      <c r="C142">
        <f>TEXT(141, "[$-060000]yyyy-mm-dd")</f>
        <v/>
      </c>
      <c r="D142" t="inlineStr">
        <is>
          <t>1318-01-21</t>
        </is>
      </c>
    </row>
    <row r="143">
      <c r="A143" s="1" t="n">
        <v>142</v>
      </c>
      <c r="B143">
        <f>TEXT(142, "[$-170000]yyyy-mm-dd")</f>
        <v/>
      </c>
      <c r="C143">
        <f>TEXT(142, "[$-060000]yyyy-mm-dd")</f>
        <v/>
      </c>
      <c r="D143" t="inlineStr">
        <is>
          <t>1318-01-22</t>
        </is>
      </c>
    </row>
    <row r="144">
      <c r="A144" s="1" t="n">
        <v>143</v>
      </c>
      <c r="B144">
        <f>TEXT(143, "[$-170000]yyyy-mm-dd")</f>
        <v/>
      </c>
      <c r="C144">
        <f>TEXT(143, "[$-060000]yyyy-mm-dd")</f>
        <v/>
      </c>
      <c r="D144" t="inlineStr">
        <is>
          <t>1318-01-23</t>
        </is>
      </c>
    </row>
    <row r="145">
      <c r="A145" s="1" t="n">
        <v>144</v>
      </c>
      <c r="B145">
        <f>TEXT(144, "[$-170000]yyyy-mm-dd")</f>
        <v/>
      </c>
      <c r="C145">
        <f>TEXT(144, "[$-060000]yyyy-mm-dd")</f>
        <v/>
      </c>
      <c r="D145" t="inlineStr">
        <is>
          <t>1318-01-24</t>
        </is>
      </c>
    </row>
    <row r="146">
      <c r="A146" s="1" t="n">
        <v>145</v>
      </c>
      <c r="B146">
        <f>TEXT(145, "[$-170000]yyyy-mm-dd")</f>
        <v/>
      </c>
      <c r="C146">
        <f>TEXT(145, "[$-060000]yyyy-mm-dd")</f>
        <v/>
      </c>
      <c r="D146" t="inlineStr">
        <is>
          <t>1318-01-25</t>
        </is>
      </c>
    </row>
    <row r="147">
      <c r="A147" s="1" t="n">
        <v>146</v>
      </c>
      <c r="B147">
        <f>TEXT(146, "[$-170000]yyyy-mm-dd")</f>
        <v/>
      </c>
      <c r="C147">
        <f>TEXT(146, "[$-060000]yyyy-mm-dd")</f>
        <v/>
      </c>
      <c r="D147" t="inlineStr">
        <is>
          <t>1318-01-26</t>
        </is>
      </c>
    </row>
    <row r="148">
      <c r="A148" s="1" t="n">
        <v>147</v>
      </c>
      <c r="B148">
        <f>TEXT(147, "[$-170000]yyyy-mm-dd")</f>
        <v/>
      </c>
      <c r="C148">
        <f>TEXT(147, "[$-060000]yyyy-mm-dd")</f>
        <v/>
      </c>
      <c r="D148" t="inlineStr">
        <is>
          <t>1318-01-27</t>
        </is>
      </c>
    </row>
    <row r="149">
      <c r="A149" s="1" t="n">
        <v>148</v>
      </c>
      <c r="B149">
        <f>TEXT(148, "[$-170000]yyyy-mm-dd")</f>
        <v/>
      </c>
      <c r="C149">
        <f>TEXT(148, "[$-060000]yyyy-mm-dd")</f>
        <v/>
      </c>
      <c r="D149" t="inlineStr">
        <is>
          <t>1318-01-28</t>
        </is>
      </c>
    </row>
    <row r="150">
      <c r="A150" s="1" t="n">
        <v>149</v>
      </c>
      <c r="B150">
        <f>TEXT(149, "[$-170000]yyyy-mm-dd")</f>
        <v/>
      </c>
      <c r="C150">
        <f>TEXT(149, "[$-060000]yyyy-mm-dd")</f>
        <v/>
      </c>
      <c r="D150" t="inlineStr">
        <is>
          <t>1318-01-29</t>
        </is>
      </c>
    </row>
    <row r="151">
      <c r="A151" s="1" t="n">
        <v>150</v>
      </c>
      <c r="B151">
        <f>TEXT(150, "[$-170000]yyyy-mm-dd")</f>
        <v/>
      </c>
      <c r="C151">
        <f>TEXT(150, "[$-060000]yyyy-mm-dd")</f>
        <v/>
      </c>
      <c r="D151" t="inlineStr">
        <is>
          <t>1318-01-30</t>
        </is>
      </c>
    </row>
    <row r="152">
      <c r="A152" s="1" t="n">
        <v>151</v>
      </c>
      <c r="B152">
        <f>TEXT(151, "[$-170000]yyyy-mm-dd")</f>
        <v/>
      </c>
      <c r="C152">
        <f>TEXT(151, "[$-060000]yyyy-mm-dd")</f>
        <v/>
      </c>
      <c r="D152" t="inlineStr">
        <is>
          <t>1318-02-01</t>
        </is>
      </c>
    </row>
    <row r="153">
      <c r="A153" s="1" t="n">
        <v>152</v>
      </c>
      <c r="B153">
        <f>TEXT(152, "[$-170000]yyyy-mm-dd")</f>
        <v/>
      </c>
      <c r="C153">
        <f>TEXT(152, "[$-060000]yyyy-mm-dd")</f>
        <v/>
      </c>
      <c r="D153" t="inlineStr">
        <is>
          <t>1318-02-02</t>
        </is>
      </c>
    </row>
    <row r="154">
      <c r="A154" s="1" t="n">
        <v>153</v>
      </c>
      <c r="B154">
        <f>TEXT(153, "[$-170000]yyyy-mm-dd")</f>
        <v/>
      </c>
      <c r="C154">
        <f>TEXT(153, "[$-060000]yyyy-mm-dd")</f>
        <v/>
      </c>
      <c r="D154" t="inlineStr">
        <is>
          <t>1318-02-03</t>
        </is>
      </c>
    </row>
    <row r="155">
      <c r="A155" s="1" t="n">
        <v>154</v>
      </c>
      <c r="B155">
        <f>TEXT(154, "[$-170000]yyyy-mm-dd")</f>
        <v/>
      </c>
      <c r="C155">
        <f>TEXT(154, "[$-060000]yyyy-mm-dd")</f>
        <v/>
      </c>
      <c r="D155" t="inlineStr">
        <is>
          <t>1318-02-04</t>
        </is>
      </c>
    </row>
    <row r="156">
      <c r="A156" s="1" t="n">
        <v>155</v>
      </c>
      <c r="B156">
        <f>TEXT(155, "[$-170000]yyyy-mm-dd")</f>
        <v/>
      </c>
      <c r="C156">
        <f>TEXT(155, "[$-060000]yyyy-mm-dd")</f>
        <v/>
      </c>
      <c r="D156" t="inlineStr">
        <is>
          <t>1318-02-05</t>
        </is>
      </c>
    </row>
    <row r="157">
      <c r="A157" s="1" t="n">
        <v>156</v>
      </c>
      <c r="B157">
        <f>TEXT(156, "[$-170000]yyyy-mm-dd")</f>
        <v/>
      </c>
      <c r="C157">
        <f>TEXT(156, "[$-060000]yyyy-mm-dd")</f>
        <v/>
      </c>
      <c r="D157" t="inlineStr">
        <is>
          <t>1318-02-06</t>
        </is>
      </c>
    </row>
    <row r="158">
      <c r="A158" s="1" t="n">
        <v>157</v>
      </c>
      <c r="B158">
        <f>TEXT(157, "[$-170000]yyyy-mm-dd")</f>
        <v/>
      </c>
      <c r="C158">
        <f>TEXT(157, "[$-060000]yyyy-mm-dd")</f>
        <v/>
      </c>
      <c r="D158" t="inlineStr">
        <is>
          <t>1318-02-07</t>
        </is>
      </c>
    </row>
    <row r="159">
      <c r="A159" s="1" t="n">
        <v>158</v>
      </c>
      <c r="B159">
        <f>TEXT(158, "[$-170000]yyyy-mm-dd")</f>
        <v/>
      </c>
      <c r="C159">
        <f>TEXT(158, "[$-060000]yyyy-mm-dd")</f>
        <v/>
      </c>
      <c r="D159" t="inlineStr">
        <is>
          <t>1318-02-08</t>
        </is>
      </c>
    </row>
    <row r="160">
      <c r="A160" s="1" t="n">
        <v>159</v>
      </c>
      <c r="B160">
        <f>TEXT(159, "[$-170000]yyyy-mm-dd")</f>
        <v/>
      </c>
      <c r="C160">
        <f>TEXT(159, "[$-060000]yyyy-mm-dd")</f>
        <v/>
      </c>
      <c r="D160" t="inlineStr">
        <is>
          <t>1318-02-09</t>
        </is>
      </c>
    </row>
    <row r="161">
      <c r="A161" s="1" t="n">
        <v>160</v>
      </c>
      <c r="B161">
        <f>TEXT(160, "[$-170000]yyyy-mm-dd")</f>
        <v/>
      </c>
      <c r="C161">
        <f>TEXT(160, "[$-060000]yyyy-mm-dd")</f>
        <v/>
      </c>
      <c r="D161" t="inlineStr">
        <is>
          <t>1318-02-10</t>
        </is>
      </c>
    </row>
    <row r="162">
      <c r="A162" s="1" t="n">
        <v>161</v>
      </c>
      <c r="B162">
        <f>TEXT(161, "[$-170000]yyyy-mm-dd")</f>
        <v/>
      </c>
      <c r="C162">
        <f>TEXT(161, "[$-060000]yyyy-mm-dd")</f>
        <v/>
      </c>
      <c r="D162" t="inlineStr">
        <is>
          <t>1318-02-11</t>
        </is>
      </c>
    </row>
    <row r="163">
      <c r="A163" s="1" t="n">
        <v>162</v>
      </c>
      <c r="B163">
        <f>TEXT(162, "[$-170000]yyyy-mm-dd")</f>
        <v/>
      </c>
      <c r="C163">
        <f>TEXT(162, "[$-060000]yyyy-mm-dd")</f>
        <v/>
      </c>
      <c r="D163" t="inlineStr">
        <is>
          <t>1318-02-12</t>
        </is>
      </c>
    </row>
    <row r="164">
      <c r="A164" s="1" t="n">
        <v>163</v>
      </c>
      <c r="B164">
        <f>TEXT(163, "[$-170000]yyyy-mm-dd")</f>
        <v/>
      </c>
      <c r="C164">
        <f>TEXT(163, "[$-060000]yyyy-mm-dd")</f>
        <v/>
      </c>
      <c r="D164" t="inlineStr">
        <is>
          <t>1318-02-13</t>
        </is>
      </c>
    </row>
    <row r="165">
      <c r="A165" s="1" t="n">
        <v>164</v>
      </c>
      <c r="B165">
        <f>TEXT(164, "[$-170000]yyyy-mm-dd")</f>
        <v/>
      </c>
      <c r="C165">
        <f>TEXT(164, "[$-060000]yyyy-mm-dd")</f>
        <v/>
      </c>
      <c r="D165" t="inlineStr">
        <is>
          <t>1318-02-14</t>
        </is>
      </c>
    </row>
    <row r="166">
      <c r="A166" s="1" t="n">
        <v>165</v>
      </c>
      <c r="B166">
        <f>TEXT(165, "[$-170000]yyyy-mm-dd")</f>
        <v/>
      </c>
      <c r="C166">
        <f>TEXT(165, "[$-060000]yyyy-mm-dd")</f>
        <v/>
      </c>
      <c r="D166" t="inlineStr">
        <is>
          <t>1318-02-15</t>
        </is>
      </c>
    </row>
    <row r="167">
      <c r="A167" s="1" t="n">
        <v>166</v>
      </c>
      <c r="B167">
        <f>TEXT(166, "[$-170000]yyyy-mm-dd")</f>
        <v/>
      </c>
      <c r="C167">
        <f>TEXT(166, "[$-060000]yyyy-mm-dd")</f>
        <v/>
      </c>
      <c r="D167" t="inlineStr">
        <is>
          <t>1318-02-16</t>
        </is>
      </c>
    </row>
    <row r="168">
      <c r="A168" s="1" t="n">
        <v>167</v>
      </c>
      <c r="B168">
        <f>TEXT(167, "[$-170000]yyyy-mm-dd")</f>
        <v/>
      </c>
      <c r="C168">
        <f>TEXT(167, "[$-060000]yyyy-mm-dd")</f>
        <v/>
      </c>
      <c r="D168" t="inlineStr">
        <is>
          <t>1318-02-17</t>
        </is>
      </c>
    </row>
    <row r="169">
      <c r="A169" s="1" t="n">
        <v>168</v>
      </c>
      <c r="B169">
        <f>TEXT(168, "[$-170000]yyyy-mm-dd")</f>
        <v/>
      </c>
      <c r="C169">
        <f>TEXT(168, "[$-060000]yyyy-mm-dd")</f>
        <v/>
      </c>
      <c r="D169" t="inlineStr">
        <is>
          <t>1318-02-18</t>
        </is>
      </c>
    </row>
    <row r="170">
      <c r="A170" s="1" t="n">
        <v>169</v>
      </c>
      <c r="B170">
        <f>TEXT(169, "[$-170000]yyyy-mm-dd")</f>
        <v/>
      </c>
      <c r="C170">
        <f>TEXT(169, "[$-060000]yyyy-mm-dd")</f>
        <v/>
      </c>
      <c r="D170" t="inlineStr">
        <is>
          <t>1318-02-19</t>
        </is>
      </c>
    </row>
    <row r="171">
      <c r="A171" s="1" t="n">
        <v>170</v>
      </c>
      <c r="B171">
        <f>TEXT(170, "[$-170000]yyyy-mm-dd")</f>
        <v/>
      </c>
      <c r="C171">
        <f>TEXT(170, "[$-060000]yyyy-mm-dd")</f>
        <v/>
      </c>
      <c r="D171" t="inlineStr">
        <is>
          <t>1318-02-20</t>
        </is>
      </c>
    </row>
    <row r="172">
      <c r="A172" s="1" t="n">
        <v>171</v>
      </c>
      <c r="B172">
        <f>TEXT(171, "[$-170000]yyyy-mm-dd")</f>
        <v/>
      </c>
      <c r="C172">
        <f>TEXT(171, "[$-060000]yyyy-mm-dd")</f>
        <v/>
      </c>
      <c r="D172" t="inlineStr">
        <is>
          <t>1318-02-21</t>
        </is>
      </c>
    </row>
    <row r="173">
      <c r="A173" s="1" t="n">
        <v>172</v>
      </c>
      <c r="B173">
        <f>TEXT(172, "[$-170000]yyyy-mm-dd")</f>
        <v/>
      </c>
      <c r="C173">
        <f>TEXT(172, "[$-060000]yyyy-mm-dd")</f>
        <v/>
      </c>
      <c r="D173" t="inlineStr">
        <is>
          <t>1318-02-22</t>
        </is>
      </c>
    </row>
    <row r="174">
      <c r="A174" s="1" t="n">
        <v>173</v>
      </c>
      <c r="B174">
        <f>TEXT(173, "[$-170000]yyyy-mm-dd")</f>
        <v/>
      </c>
      <c r="C174">
        <f>TEXT(173, "[$-060000]yyyy-mm-dd")</f>
        <v/>
      </c>
      <c r="D174" t="inlineStr">
        <is>
          <t>1318-02-23</t>
        </is>
      </c>
    </row>
    <row r="175">
      <c r="A175" s="1" t="n">
        <v>174</v>
      </c>
      <c r="B175">
        <f>TEXT(174, "[$-170000]yyyy-mm-dd")</f>
        <v/>
      </c>
      <c r="C175">
        <f>TEXT(174, "[$-060000]yyyy-mm-dd")</f>
        <v/>
      </c>
      <c r="D175" t="inlineStr">
        <is>
          <t>1318-02-24</t>
        </is>
      </c>
    </row>
    <row r="176">
      <c r="A176" s="1" t="n">
        <v>175</v>
      </c>
      <c r="B176">
        <f>TEXT(175, "[$-170000]yyyy-mm-dd")</f>
        <v/>
      </c>
      <c r="C176">
        <f>TEXT(175, "[$-060000]yyyy-mm-dd")</f>
        <v/>
      </c>
      <c r="D176" t="inlineStr">
        <is>
          <t>1318-02-25</t>
        </is>
      </c>
    </row>
    <row r="177">
      <c r="A177" s="1" t="n">
        <v>176</v>
      </c>
      <c r="B177">
        <f>TEXT(176, "[$-170000]yyyy-mm-dd")</f>
        <v/>
      </c>
      <c r="C177">
        <f>TEXT(176, "[$-060000]yyyy-mm-dd")</f>
        <v/>
      </c>
      <c r="D177" t="inlineStr">
        <is>
          <t>1318-02-26</t>
        </is>
      </c>
    </row>
    <row r="178">
      <c r="A178" s="1" t="n">
        <v>177</v>
      </c>
      <c r="B178">
        <f>TEXT(177, "[$-170000]yyyy-mm-dd")</f>
        <v/>
      </c>
      <c r="C178">
        <f>TEXT(177, "[$-060000]yyyy-mm-dd")</f>
        <v/>
      </c>
      <c r="D178" t="inlineStr">
        <is>
          <t>1318-02-27</t>
        </is>
      </c>
    </row>
    <row r="179">
      <c r="A179" s="1" t="n">
        <v>178</v>
      </c>
      <c r="B179">
        <f>TEXT(178, "[$-170000]yyyy-mm-dd")</f>
        <v/>
      </c>
      <c r="C179">
        <f>TEXT(178, "[$-060000]yyyy-mm-dd")</f>
        <v/>
      </c>
      <c r="D179" t="inlineStr">
        <is>
          <t>1318-02-28</t>
        </is>
      </c>
    </row>
    <row r="180">
      <c r="A180" s="1" t="n">
        <v>179</v>
      </c>
      <c r="B180">
        <f>TEXT(179, "[$-170000]yyyy-mm-dd")</f>
        <v/>
      </c>
      <c r="C180">
        <f>TEXT(179, "[$-060000]yyyy-mm-dd")</f>
        <v/>
      </c>
      <c r="D180" t="inlineStr">
        <is>
          <t>1318-02-29</t>
        </is>
      </c>
    </row>
    <row r="181">
      <c r="A181" s="1" t="n">
        <v>180</v>
      </c>
      <c r="B181">
        <f>TEXT(180, "[$-170000]yyyy-mm-dd")</f>
        <v/>
      </c>
      <c r="C181">
        <f>TEXT(180, "[$-060000]yyyy-mm-dd")</f>
        <v/>
      </c>
      <c r="D181" t="inlineStr">
        <is>
          <t>1318-03-01</t>
        </is>
      </c>
    </row>
    <row r="182">
      <c r="A182" s="1" t="n">
        <v>181</v>
      </c>
      <c r="B182">
        <f>TEXT(181, "[$-170000]yyyy-mm-dd")</f>
        <v/>
      </c>
      <c r="C182">
        <f>TEXT(181, "[$-060000]yyyy-mm-dd")</f>
        <v/>
      </c>
      <c r="D182" t="inlineStr">
        <is>
          <t>1318-03-02</t>
        </is>
      </c>
    </row>
    <row r="183">
      <c r="A183" s="1" t="n">
        <v>182</v>
      </c>
      <c r="B183">
        <f>TEXT(182, "[$-170000]yyyy-mm-dd")</f>
        <v/>
      </c>
      <c r="C183">
        <f>TEXT(182, "[$-060000]yyyy-mm-dd")</f>
        <v/>
      </c>
      <c r="D183" t="inlineStr">
        <is>
          <t>1318-03-03</t>
        </is>
      </c>
    </row>
    <row r="184">
      <c r="A184" s="1" t="n">
        <v>183</v>
      </c>
      <c r="B184">
        <f>TEXT(183, "[$-170000]yyyy-mm-dd")</f>
        <v/>
      </c>
      <c r="C184">
        <f>TEXT(183, "[$-060000]yyyy-mm-dd")</f>
        <v/>
      </c>
      <c r="D184" t="inlineStr">
        <is>
          <t>1318-03-04</t>
        </is>
      </c>
    </row>
    <row r="185">
      <c r="A185" s="1" t="n">
        <v>184</v>
      </c>
      <c r="B185">
        <f>TEXT(184, "[$-170000]yyyy-mm-dd")</f>
        <v/>
      </c>
      <c r="C185">
        <f>TEXT(184, "[$-060000]yyyy-mm-dd")</f>
        <v/>
      </c>
      <c r="D185" t="inlineStr">
        <is>
          <t>1318-03-05</t>
        </is>
      </c>
    </row>
    <row r="186">
      <c r="A186" s="1" t="n">
        <v>185</v>
      </c>
      <c r="B186">
        <f>TEXT(185, "[$-170000]yyyy-mm-dd")</f>
        <v/>
      </c>
      <c r="C186">
        <f>TEXT(185, "[$-060000]yyyy-mm-dd")</f>
        <v/>
      </c>
      <c r="D186" t="inlineStr">
        <is>
          <t>1318-03-06</t>
        </is>
      </c>
    </row>
    <row r="187">
      <c r="A187" s="1" t="n">
        <v>186</v>
      </c>
      <c r="B187">
        <f>TEXT(186, "[$-170000]yyyy-mm-dd")</f>
        <v/>
      </c>
      <c r="C187">
        <f>TEXT(186, "[$-060000]yyyy-mm-dd")</f>
        <v/>
      </c>
      <c r="D187" t="inlineStr">
        <is>
          <t>1318-03-07</t>
        </is>
      </c>
    </row>
    <row r="188">
      <c r="A188" s="1" t="n">
        <v>187</v>
      </c>
      <c r="B188">
        <f>TEXT(187, "[$-170000]yyyy-mm-dd")</f>
        <v/>
      </c>
      <c r="C188">
        <f>TEXT(187, "[$-060000]yyyy-mm-dd")</f>
        <v/>
      </c>
      <c r="D188" t="inlineStr">
        <is>
          <t>1318-03-08</t>
        </is>
      </c>
    </row>
    <row r="189">
      <c r="A189" s="1" t="n">
        <v>188</v>
      </c>
      <c r="B189">
        <f>TEXT(188, "[$-170000]yyyy-mm-dd")</f>
        <v/>
      </c>
      <c r="C189">
        <f>TEXT(188, "[$-060000]yyyy-mm-dd")</f>
        <v/>
      </c>
      <c r="D189" t="inlineStr">
        <is>
          <t>1318-03-09</t>
        </is>
      </c>
    </row>
    <row r="190">
      <c r="A190" s="1" t="n">
        <v>189</v>
      </c>
      <c r="B190">
        <f>TEXT(189, "[$-170000]yyyy-mm-dd")</f>
        <v/>
      </c>
      <c r="C190">
        <f>TEXT(189, "[$-060000]yyyy-mm-dd")</f>
        <v/>
      </c>
      <c r="D190" t="inlineStr">
        <is>
          <t>1318-03-10</t>
        </is>
      </c>
    </row>
    <row r="191">
      <c r="A191" s="1" t="n">
        <v>190</v>
      </c>
      <c r="B191">
        <f>TEXT(190, "[$-170000]yyyy-mm-dd")</f>
        <v/>
      </c>
      <c r="C191">
        <f>TEXT(190, "[$-060000]yyyy-mm-dd")</f>
        <v/>
      </c>
      <c r="D191" t="inlineStr">
        <is>
          <t>1318-03-11</t>
        </is>
      </c>
    </row>
    <row r="192">
      <c r="A192" s="1" t="n">
        <v>191</v>
      </c>
      <c r="B192">
        <f>TEXT(191, "[$-170000]yyyy-mm-dd")</f>
        <v/>
      </c>
      <c r="C192">
        <f>TEXT(191, "[$-060000]yyyy-mm-dd")</f>
        <v/>
      </c>
      <c r="D192" t="inlineStr">
        <is>
          <t>1318-03-12</t>
        </is>
      </c>
    </row>
    <row r="193">
      <c r="A193" s="1" t="n">
        <v>192</v>
      </c>
      <c r="B193">
        <f>TEXT(192, "[$-170000]yyyy-mm-dd")</f>
        <v/>
      </c>
      <c r="C193">
        <f>TEXT(192, "[$-060000]yyyy-mm-dd")</f>
        <v/>
      </c>
      <c r="D193" t="inlineStr">
        <is>
          <t>1318-03-13</t>
        </is>
      </c>
    </row>
    <row r="194">
      <c r="A194" s="1" t="n">
        <v>193</v>
      </c>
      <c r="B194">
        <f>TEXT(193, "[$-170000]yyyy-mm-dd")</f>
        <v/>
      </c>
      <c r="C194">
        <f>TEXT(193, "[$-060000]yyyy-mm-dd")</f>
        <v/>
      </c>
      <c r="D194" t="inlineStr">
        <is>
          <t>1318-03-14</t>
        </is>
      </c>
    </row>
    <row r="195">
      <c r="A195" s="1" t="n">
        <v>194</v>
      </c>
      <c r="B195">
        <f>TEXT(194, "[$-170000]yyyy-mm-dd")</f>
        <v/>
      </c>
      <c r="C195">
        <f>TEXT(194, "[$-060000]yyyy-mm-dd")</f>
        <v/>
      </c>
      <c r="D195" t="inlineStr">
        <is>
          <t>1318-03-15</t>
        </is>
      </c>
    </row>
    <row r="196">
      <c r="A196" s="1" t="n">
        <v>195</v>
      </c>
      <c r="B196">
        <f>TEXT(195, "[$-170000]yyyy-mm-dd")</f>
        <v/>
      </c>
      <c r="C196">
        <f>TEXT(195, "[$-060000]yyyy-mm-dd")</f>
        <v/>
      </c>
      <c r="D196" t="inlineStr">
        <is>
          <t>1318-03-16</t>
        </is>
      </c>
    </row>
    <row r="197">
      <c r="A197" s="1" t="n">
        <v>196</v>
      </c>
      <c r="B197">
        <f>TEXT(196, "[$-170000]yyyy-mm-dd")</f>
        <v/>
      </c>
      <c r="C197">
        <f>TEXT(196, "[$-060000]yyyy-mm-dd")</f>
        <v/>
      </c>
      <c r="D197" t="inlineStr">
        <is>
          <t>1318-03-17</t>
        </is>
      </c>
    </row>
    <row r="198">
      <c r="A198" s="1" t="n">
        <v>197</v>
      </c>
      <c r="B198">
        <f>TEXT(197, "[$-170000]yyyy-mm-dd")</f>
        <v/>
      </c>
      <c r="C198">
        <f>TEXT(197, "[$-060000]yyyy-mm-dd")</f>
        <v/>
      </c>
      <c r="D198" t="inlineStr">
        <is>
          <t>1318-03-18</t>
        </is>
      </c>
    </row>
    <row r="199">
      <c r="A199" s="1" t="n">
        <v>198</v>
      </c>
      <c r="B199">
        <f>TEXT(198, "[$-170000]yyyy-mm-dd")</f>
        <v/>
      </c>
      <c r="C199">
        <f>TEXT(198, "[$-060000]yyyy-mm-dd")</f>
        <v/>
      </c>
      <c r="D199" t="inlineStr">
        <is>
          <t>1318-03-19</t>
        </is>
      </c>
    </row>
    <row r="200">
      <c r="A200" s="1" t="n">
        <v>199</v>
      </c>
      <c r="B200">
        <f>TEXT(199, "[$-170000]yyyy-mm-dd")</f>
        <v/>
      </c>
      <c r="C200">
        <f>TEXT(199, "[$-060000]yyyy-mm-dd")</f>
        <v/>
      </c>
      <c r="D200" t="inlineStr">
        <is>
          <t>1318-03-20</t>
        </is>
      </c>
    </row>
    <row r="201">
      <c r="A201" s="1" t="n">
        <v>200</v>
      </c>
      <c r="B201">
        <f>TEXT(200, "[$-170000]yyyy-mm-dd")</f>
        <v/>
      </c>
      <c r="C201">
        <f>TEXT(200, "[$-060000]yyyy-mm-dd")</f>
        <v/>
      </c>
      <c r="D201" t="inlineStr">
        <is>
          <t>1318-03-21</t>
        </is>
      </c>
    </row>
    <row r="202">
      <c r="A202" s="1" t="n">
        <v>201</v>
      </c>
      <c r="B202">
        <f>TEXT(201, "[$-170000]yyyy-mm-dd")</f>
        <v/>
      </c>
      <c r="C202">
        <f>TEXT(201, "[$-060000]yyyy-mm-dd")</f>
        <v/>
      </c>
      <c r="D202" t="inlineStr">
        <is>
          <t>1318-03-22</t>
        </is>
      </c>
    </row>
    <row r="203">
      <c r="A203" s="1" t="n">
        <v>202</v>
      </c>
      <c r="B203">
        <f>TEXT(202, "[$-170000]yyyy-mm-dd")</f>
        <v/>
      </c>
      <c r="C203">
        <f>TEXT(202, "[$-060000]yyyy-mm-dd")</f>
        <v/>
      </c>
      <c r="D203" t="inlineStr">
        <is>
          <t>1318-03-23</t>
        </is>
      </c>
    </row>
    <row r="204">
      <c r="A204" s="1" t="n">
        <v>203</v>
      </c>
      <c r="B204">
        <f>TEXT(203, "[$-170000]yyyy-mm-dd")</f>
        <v/>
      </c>
      <c r="C204">
        <f>TEXT(203, "[$-060000]yyyy-mm-dd")</f>
        <v/>
      </c>
      <c r="D204" t="inlineStr">
        <is>
          <t>1318-03-24</t>
        </is>
      </c>
    </row>
    <row r="205">
      <c r="A205" s="1" t="n">
        <v>204</v>
      </c>
      <c r="B205">
        <f>TEXT(204, "[$-170000]yyyy-mm-dd")</f>
        <v/>
      </c>
      <c r="C205">
        <f>TEXT(204, "[$-060000]yyyy-mm-dd")</f>
        <v/>
      </c>
      <c r="D205" t="inlineStr">
        <is>
          <t>1318-03-25</t>
        </is>
      </c>
    </row>
    <row r="206">
      <c r="A206" s="1" t="n">
        <v>205</v>
      </c>
      <c r="B206">
        <f>TEXT(205, "[$-170000]yyyy-mm-dd")</f>
        <v/>
      </c>
      <c r="C206">
        <f>TEXT(205, "[$-060000]yyyy-mm-dd")</f>
        <v/>
      </c>
      <c r="D206" t="inlineStr">
        <is>
          <t>1318-03-26</t>
        </is>
      </c>
    </row>
    <row r="207">
      <c r="A207" s="1" t="n">
        <v>206</v>
      </c>
      <c r="B207">
        <f>TEXT(206, "[$-170000]yyyy-mm-dd")</f>
        <v/>
      </c>
      <c r="C207">
        <f>TEXT(206, "[$-060000]yyyy-mm-dd")</f>
        <v/>
      </c>
      <c r="D207" t="inlineStr">
        <is>
          <t>1318-03-27</t>
        </is>
      </c>
    </row>
    <row r="208">
      <c r="A208" s="1" t="n">
        <v>207</v>
      </c>
      <c r="B208">
        <f>TEXT(207, "[$-170000]yyyy-mm-dd")</f>
        <v/>
      </c>
      <c r="C208">
        <f>TEXT(207, "[$-060000]yyyy-mm-dd")</f>
        <v/>
      </c>
      <c r="D208" t="inlineStr">
        <is>
          <t>1318-03-28</t>
        </is>
      </c>
    </row>
    <row r="209">
      <c r="A209" s="1" t="n">
        <v>208</v>
      </c>
      <c r="B209">
        <f>TEXT(208, "[$-170000]yyyy-mm-dd")</f>
        <v/>
      </c>
      <c r="C209">
        <f>TEXT(208, "[$-060000]yyyy-mm-dd")</f>
        <v/>
      </c>
      <c r="D209" t="inlineStr">
        <is>
          <t>1318-03-29</t>
        </is>
      </c>
    </row>
    <row r="210">
      <c r="A210" s="1" t="n">
        <v>209</v>
      </c>
      <c r="B210">
        <f>TEXT(209, "[$-170000]yyyy-mm-dd")</f>
        <v/>
      </c>
      <c r="C210">
        <f>TEXT(209, "[$-060000]yyyy-mm-dd")</f>
        <v/>
      </c>
      <c r="D210" t="inlineStr">
        <is>
          <t>1318-03-30</t>
        </is>
      </c>
    </row>
    <row r="211">
      <c r="A211" s="1" t="n">
        <v>210</v>
      </c>
      <c r="B211">
        <f>TEXT(210, "[$-170000]yyyy-mm-dd")</f>
        <v/>
      </c>
      <c r="C211">
        <f>TEXT(210, "[$-060000]yyyy-mm-dd")</f>
        <v/>
      </c>
      <c r="D211" t="inlineStr">
        <is>
          <t>1318-04-01</t>
        </is>
      </c>
    </row>
    <row r="212">
      <c r="A212" s="1" t="n">
        <v>211</v>
      </c>
      <c r="B212">
        <f>TEXT(211, "[$-170000]yyyy-mm-dd")</f>
        <v/>
      </c>
      <c r="C212">
        <f>TEXT(211, "[$-060000]yyyy-mm-dd")</f>
        <v/>
      </c>
      <c r="D212" t="inlineStr">
        <is>
          <t>1318-04-02</t>
        </is>
      </c>
    </row>
    <row r="213">
      <c r="A213" s="1" t="n">
        <v>212</v>
      </c>
      <c r="B213">
        <f>TEXT(212, "[$-170000]yyyy-mm-dd")</f>
        <v/>
      </c>
      <c r="C213">
        <f>TEXT(212, "[$-060000]yyyy-mm-dd")</f>
        <v/>
      </c>
      <c r="D213" t="inlineStr">
        <is>
          <t>1318-04-03</t>
        </is>
      </c>
    </row>
    <row r="214">
      <c r="A214" s="1" t="n">
        <v>213</v>
      </c>
      <c r="B214">
        <f>TEXT(213, "[$-170000]yyyy-mm-dd")</f>
        <v/>
      </c>
      <c r="C214">
        <f>TEXT(213, "[$-060000]yyyy-mm-dd")</f>
        <v/>
      </c>
      <c r="D214" t="inlineStr">
        <is>
          <t>1318-04-04</t>
        </is>
      </c>
    </row>
    <row r="215">
      <c r="A215" s="1" t="n">
        <v>214</v>
      </c>
      <c r="B215">
        <f>TEXT(214, "[$-170000]yyyy-mm-dd")</f>
        <v/>
      </c>
      <c r="C215">
        <f>TEXT(214, "[$-060000]yyyy-mm-dd")</f>
        <v/>
      </c>
      <c r="D215" t="inlineStr">
        <is>
          <t>1318-04-05</t>
        </is>
      </c>
    </row>
    <row r="216">
      <c r="A216" s="1" t="n">
        <v>215</v>
      </c>
      <c r="B216">
        <f>TEXT(215, "[$-170000]yyyy-mm-dd")</f>
        <v/>
      </c>
      <c r="C216">
        <f>TEXT(215, "[$-060000]yyyy-mm-dd")</f>
        <v/>
      </c>
      <c r="D216" t="inlineStr">
        <is>
          <t>1318-04-06</t>
        </is>
      </c>
    </row>
    <row r="217">
      <c r="A217" s="1" t="n">
        <v>216</v>
      </c>
      <c r="B217">
        <f>TEXT(216, "[$-170000]yyyy-mm-dd")</f>
        <v/>
      </c>
      <c r="C217">
        <f>TEXT(216, "[$-060000]yyyy-mm-dd")</f>
        <v/>
      </c>
      <c r="D217" t="inlineStr">
        <is>
          <t>1318-04-07</t>
        </is>
      </c>
    </row>
    <row r="218">
      <c r="A218" s="1" t="n">
        <v>217</v>
      </c>
      <c r="B218">
        <f>TEXT(217, "[$-170000]yyyy-mm-dd")</f>
        <v/>
      </c>
      <c r="C218">
        <f>TEXT(217, "[$-060000]yyyy-mm-dd")</f>
        <v/>
      </c>
      <c r="D218" t="inlineStr">
        <is>
          <t>1318-04-08</t>
        </is>
      </c>
    </row>
    <row r="219">
      <c r="A219" s="1" t="n">
        <v>218</v>
      </c>
      <c r="B219">
        <f>TEXT(218, "[$-170000]yyyy-mm-dd")</f>
        <v/>
      </c>
      <c r="C219">
        <f>TEXT(218, "[$-060000]yyyy-mm-dd")</f>
        <v/>
      </c>
      <c r="D219" t="inlineStr">
        <is>
          <t>1318-04-09</t>
        </is>
      </c>
    </row>
    <row r="220">
      <c r="A220" s="1" t="n">
        <v>219</v>
      </c>
      <c r="B220">
        <f>TEXT(219, "[$-170000]yyyy-mm-dd")</f>
        <v/>
      </c>
      <c r="C220">
        <f>TEXT(219, "[$-060000]yyyy-mm-dd")</f>
        <v/>
      </c>
      <c r="D220" t="inlineStr">
        <is>
          <t>1318-04-10</t>
        </is>
      </c>
    </row>
    <row r="221">
      <c r="A221" s="1" t="n">
        <v>220</v>
      </c>
      <c r="B221">
        <f>TEXT(220, "[$-170000]yyyy-mm-dd")</f>
        <v/>
      </c>
      <c r="C221">
        <f>TEXT(220, "[$-060000]yyyy-mm-dd")</f>
        <v/>
      </c>
      <c r="D221" t="inlineStr">
        <is>
          <t>1318-04-11</t>
        </is>
      </c>
    </row>
    <row r="222">
      <c r="A222" s="1" t="n">
        <v>221</v>
      </c>
      <c r="B222">
        <f>TEXT(221, "[$-170000]yyyy-mm-dd")</f>
        <v/>
      </c>
      <c r="C222">
        <f>TEXT(221, "[$-060000]yyyy-mm-dd")</f>
        <v/>
      </c>
      <c r="D222" t="inlineStr">
        <is>
          <t>1318-04-12</t>
        </is>
      </c>
    </row>
    <row r="223">
      <c r="A223" s="1" t="n">
        <v>222</v>
      </c>
      <c r="B223">
        <f>TEXT(222, "[$-170000]yyyy-mm-dd")</f>
        <v/>
      </c>
      <c r="C223">
        <f>TEXT(222, "[$-060000]yyyy-mm-dd")</f>
        <v/>
      </c>
      <c r="D223" t="inlineStr">
        <is>
          <t>1318-04-13</t>
        </is>
      </c>
    </row>
    <row r="224">
      <c r="A224" s="1" t="n">
        <v>223</v>
      </c>
      <c r="B224">
        <f>TEXT(223, "[$-170000]yyyy-mm-dd")</f>
        <v/>
      </c>
      <c r="C224">
        <f>TEXT(223, "[$-060000]yyyy-mm-dd")</f>
        <v/>
      </c>
      <c r="D224" t="inlineStr">
        <is>
          <t>1318-04-14</t>
        </is>
      </c>
    </row>
    <row r="225">
      <c r="A225" s="1" t="n">
        <v>224</v>
      </c>
      <c r="B225">
        <f>TEXT(224, "[$-170000]yyyy-mm-dd")</f>
        <v/>
      </c>
      <c r="C225">
        <f>TEXT(224, "[$-060000]yyyy-mm-dd")</f>
        <v/>
      </c>
      <c r="D225" t="inlineStr">
        <is>
          <t>1318-04-15</t>
        </is>
      </c>
    </row>
    <row r="226">
      <c r="A226" s="1" t="n">
        <v>225</v>
      </c>
      <c r="B226">
        <f>TEXT(225, "[$-170000]yyyy-mm-dd")</f>
        <v/>
      </c>
      <c r="C226">
        <f>TEXT(225, "[$-060000]yyyy-mm-dd")</f>
        <v/>
      </c>
      <c r="D226" t="inlineStr">
        <is>
          <t>1318-04-16</t>
        </is>
      </c>
    </row>
    <row r="227">
      <c r="A227" s="1" t="n">
        <v>226</v>
      </c>
      <c r="B227">
        <f>TEXT(226, "[$-170000]yyyy-mm-dd")</f>
        <v/>
      </c>
      <c r="C227">
        <f>TEXT(226, "[$-060000]yyyy-mm-dd")</f>
        <v/>
      </c>
      <c r="D227" t="inlineStr">
        <is>
          <t>1318-04-17</t>
        </is>
      </c>
    </row>
    <row r="228">
      <c r="A228" s="1" t="n">
        <v>227</v>
      </c>
      <c r="B228">
        <f>TEXT(227, "[$-170000]yyyy-mm-dd")</f>
        <v/>
      </c>
      <c r="C228">
        <f>TEXT(227, "[$-060000]yyyy-mm-dd")</f>
        <v/>
      </c>
      <c r="D228" t="inlineStr">
        <is>
          <t>1318-04-18</t>
        </is>
      </c>
    </row>
    <row r="229">
      <c r="A229" s="1" t="n">
        <v>228</v>
      </c>
      <c r="B229">
        <f>TEXT(228, "[$-170000]yyyy-mm-dd")</f>
        <v/>
      </c>
      <c r="C229">
        <f>TEXT(228, "[$-060000]yyyy-mm-dd")</f>
        <v/>
      </c>
      <c r="D229" t="inlineStr">
        <is>
          <t>1318-04-19</t>
        </is>
      </c>
    </row>
    <row r="230">
      <c r="A230" s="1" t="n">
        <v>229</v>
      </c>
      <c r="B230">
        <f>TEXT(229, "[$-170000]yyyy-mm-dd")</f>
        <v/>
      </c>
      <c r="C230">
        <f>TEXT(229, "[$-060000]yyyy-mm-dd")</f>
        <v/>
      </c>
      <c r="D230" t="inlineStr">
        <is>
          <t>1318-04-20</t>
        </is>
      </c>
    </row>
    <row r="231">
      <c r="A231" s="1" t="n">
        <v>230</v>
      </c>
      <c r="B231">
        <f>TEXT(230, "[$-170000]yyyy-mm-dd")</f>
        <v/>
      </c>
      <c r="C231">
        <f>TEXT(230, "[$-060000]yyyy-mm-dd")</f>
        <v/>
      </c>
      <c r="D231" t="inlineStr">
        <is>
          <t>1318-04-21</t>
        </is>
      </c>
    </row>
    <row r="232">
      <c r="A232" s="1" t="n">
        <v>231</v>
      </c>
      <c r="B232">
        <f>TEXT(231, "[$-170000]yyyy-mm-dd")</f>
        <v/>
      </c>
      <c r="C232">
        <f>TEXT(231, "[$-060000]yyyy-mm-dd")</f>
        <v/>
      </c>
      <c r="D232" t="inlineStr">
        <is>
          <t>1318-04-22</t>
        </is>
      </c>
    </row>
    <row r="233">
      <c r="A233" s="1" t="n">
        <v>232</v>
      </c>
      <c r="B233">
        <f>TEXT(232, "[$-170000]yyyy-mm-dd")</f>
        <v/>
      </c>
      <c r="C233">
        <f>TEXT(232, "[$-060000]yyyy-mm-dd")</f>
        <v/>
      </c>
      <c r="D233" t="inlineStr">
        <is>
          <t>1318-04-23</t>
        </is>
      </c>
    </row>
    <row r="234">
      <c r="A234" s="1" t="n">
        <v>233</v>
      </c>
      <c r="B234">
        <f>TEXT(233, "[$-170000]yyyy-mm-dd")</f>
        <v/>
      </c>
      <c r="C234">
        <f>TEXT(233, "[$-060000]yyyy-mm-dd")</f>
        <v/>
      </c>
      <c r="D234" t="inlineStr">
        <is>
          <t>1318-04-24</t>
        </is>
      </c>
    </row>
    <row r="235">
      <c r="A235" s="1" t="n">
        <v>234</v>
      </c>
      <c r="B235">
        <f>TEXT(234, "[$-170000]yyyy-mm-dd")</f>
        <v/>
      </c>
      <c r="C235">
        <f>TEXT(234, "[$-060000]yyyy-mm-dd")</f>
        <v/>
      </c>
      <c r="D235" t="inlineStr">
        <is>
          <t>1318-04-25</t>
        </is>
      </c>
    </row>
    <row r="236">
      <c r="A236" s="1" t="n">
        <v>235</v>
      </c>
      <c r="B236">
        <f>TEXT(235, "[$-170000]yyyy-mm-dd")</f>
        <v/>
      </c>
      <c r="C236">
        <f>TEXT(235, "[$-060000]yyyy-mm-dd")</f>
        <v/>
      </c>
      <c r="D236" t="inlineStr">
        <is>
          <t>1318-04-26</t>
        </is>
      </c>
    </row>
    <row r="237">
      <c r="A237" s="1" t="n">
        <v>236</v>
      </c>
      <c r="B237">
        <f>TEXT(236, "[$-170000]yyyy-mm-dd")</f>
        <v/>
      </c>
      <c r="C237">
        <f>TEXT(236, "[$-060000]yyyy-mm-dd")</f>
        <v/>
      </c>
      <c r="D237" t="inlineStr">
        <is>
          <t>1318-04-27</t>
        </is>
      </c>
    </row>
    <row r="238">
      <c r="A238" s="1" t="n">
        <v>237</v>
      </c>
      <c r="B238">
        <f>TEXT(237, "[$-170000]yyyy-mm-dd")</f>
        <v/>
      </c>
      <c r="C238">
        <f>TEXT(237, "[$-060000]yyyy-mm-dd")</f>
        <v/>
      </c>
      <c r="D238" t="inlineStr">
        <is>
          <t>1318-04-28</t>
        </is>
      </c>
    </row>
    <row r="239">
      <c r="A239" s="1" t="n">
        <v>238</v>
      </c>
      <c r="B239">
        <f>TEXT(238, "[$-170000]yyyy-mm-dd")</f>
        <v/>
      </c>
      <c r="C239">
        <f>TEXT(238, "[$-060000]yyyy-mm-dd")</f>
        <v/>
      </c>
      <c r="D239" t="inlineStr">
        <is>
          <t>1318-04-29</t>
        </is>
      </c>
    </row>
    <row r="240">
      <c r="A240" s="1" t="n">
        <v>239</v>
      </c>
      <c r="B240">
        <f>TEXT(239, "[$-170000]yyyy-mm-dd")</f>
        <v/>
      </c>
      <c r="C240">
        <f>TEXT(239, "[$-060000]yyyy-mm-dd")</f>
        <v/>
      </c>
      <c r="D240" t="inlineStr">
        <is>
          <t>1318-05-01</t>
        </is>
      </c>
    </row>
    <row r="241">
      <c r="A241" s="1" t="n">
        <v>240</v>
      </c>
      <c r="B241">
        <f>TEXT(240, "[$-170000]yyyy-mm-dd")</f>
        <v/>
      </c>
      <c r="C241">
        <f>TEXT(240, "[$-060000]yyyy-mm-dd")</f>
        <v/>
      </c>
      <c r="D241" t="inlineStr">
        <is>
          <t>1318-05-02</t>
        </is>
      </c>
    </row>
    <row r="242">
      <c r="A242" s="1" t="n">
        <v>241</v>
      </c>
      <c r="B242">
        <f>TEXT(241, "[$-170000]yyyy-mm-dd")</f>
        <v/>
      </c>
      <c r="C242">
        <f>TEXT(241, "[$-060000]yyyy-mm-dd")</f>
        <v/>
      </c>
      <c r="D242" t="inlineStr">
        <is>
          <t>1318-05-03</t>
        </is>
      </c>
    </row>
    <row r="243">
      <c r="A243" s="1" t="n">
        <v>242</v>
      </c>
      <c r="B243">
        <f>TEXT(242, "[$-170000]yyyy-mm-dd")</f>
        <v/>
      </c>
      <c r="C243">
        <f>TEXT(242, "[$-060000]yyyy-mm-dd")</f>
        <v/>
      </c>
      <c r="D243" t="inlineStr">
        <is>
          <t>1318-05-04</t>
        </is>
      </c>
    </row>
    <row r="244">
      <c r="A244" s="1" t="n">
        <v>243</v>
      </c>
      <c r="B244">
        <f>TEXT(243, "[$-170000]yyyy-mm-dd")</f>
        <v/>
      </c>
      <c r="C244">
        <f>TEXT(243, "[$-060000]yyyy-mm-dd")</f>
        <v/>
      </c>
      <c r="D244" t="inlineStr">
        <is>
          <t>1318-05-05</t>
        </is>
      </c>
    </row>
    <row r="245">
      <c r="A245" s="1" t="n">
        <v>244</v>
      </c>
      <c r="B245">
        <f>TEXT(244, "[$-170000]yyyy-mm-dd")</f>
        <v/>
      </c>
      <c r="C245">
        <f>TEXT(244, "[$-060000]yyyy-mm-dd")</f>
        <v/>
      </c>
      <c r="D245" t="inlineStr">
        <is>
          <t>1318-05-06</t>
        </is>
      </c>
    </row>
    <row r="246">
      <c r="A246" s="1" t="n">
        <v>245</v>
      </c>
      <c r="B246">
        <f>TEXT(245, "[$-170000]yyyy-mm-dd")</f>
        <v/>
      </c>
      <c r="C246">
        <f>TEXT(245, "[$-060000]yyyy-mm-dd")</f>
        <v/>
      </c>
      <c r="D246" t="inlineStr">
        <is>
          <t>1318-05-07</t>
        </is>
      </c>
    </row>
    <row r="247">
      <c r="A247" s="1" t="n">
        <v>246</v>
      </c>
      <c r="B247">
        <f>TEXT(246, "[$-170000]yyyy-mm-dd")</f>
        <v/>
      </c>
      <c r="C247">
        <f>TEXT(246, "[$-060000]yyyy-mm-dd")</f>
        <v/>
      </c>
      <c r="D247" t="inlineStr">
        <is>
          <t>1318-05-08</t>
        </is>
      </c>
    </row>
    <row r="248">
      <c r="A248" s="1" t="n">
        <v>247</v>
      </c>
      <c r="B248">
        <f>TEXT(247, "[$-170000]yyyy-mm-dd")</f>
        <v/>
      </c>
      <c r="C248">
        <f>TEXT(247, "[$-060000]yyyy-mm-dd")</f>
        <v/>
      </c>
      <c r="D248" t="inlineStr">
        <is>
          <t>1318-05-09</t>
        </is>
      </c>
    </row>
    <row r="249">
      <c r="A249" s="1" t="n">
        <v>248</v>
      </c>
      <c r="B249">
        <f>TEXT(248, "[$-170000]yyyy-mm-dd")</f>
        <v/>
      </c>
      <c r="C249">
        <f>TEXT(248, "[$-060000]yyyy-mm-dd")</f>
        <v/>
      </c>
      <c r="D249" t="inlineStr">
        <is>
          <t>1318-05-10</t>
        </is>
      </c>
    </row>
    <row r="250">
      <c r="A250" s="1" t="n">
        <v>249</v>
      </c>
      <c r="B250">
        <f>TEXT(249, "[$-170000]yyyy-mm-dd")</f>
        <v/>
      </c>
      <c r="C250">
        <f>TEXT(249, "[$-060000]yyyy-mm-dd")</f>
        <v/>
      </c>
      <c r="D250" t="inlineStr">
        <is>
          <t>1318-05-11</t>
        </is>
      </c>
    </row>
    <row r="251">
      <c r="A251" s="1" t="n">
        <v>250</v>
      </c>
      <c r="B251">
        <f>TEXT(250, "[$-170000]yyyy-mm-dd")</f>
        <v/>
      </c>
      <c r="C251">
        <f>TEXT(250, "[$-060000]yyyy-mm-dd")</f>
        <v/>
      </c>
      <c r="D251" t="inlineStr">
        <is>
          <t>1318-05-12</t>
        </is>
      </c>
    </row>
    <row r="252">
      <c r="A252" s="1" t="n">
        <v>251</v>
      </c>
      <c r="B252">
        <f>TEXT(251, "[$-170000]yyyy-mm-dd")</f>
        <v/>
      </c>
      <c r="C252">
        <f>TEXT(251, "[$-060000]yyyy-mm-dd")</f>
        <v/>
      </c>
      <c r="D252" t="inlineStr">
        <is>
          <t>1318-05-13</t>
        </is>
      </c>
    </row>
    <row r="253">
      <c r="A253" s="1" t="n">
        <v>252</v>
      </c>
      <c r="B253">
        <f>TEXT(252, "[$-170000]yyyy-mm-dd")</f>
        <v/>
      </c>
      <c r="C253">
        <f>TEXT(252, "[$-060000]yyyy-mm-dd")</f>
        <v/>
      </c>
      <c r="D253" t="inlineStr">
        <is>
          <t>1318-05-14</t>
        </is>
      </c>
    </row>
    <row r="254">
      <c r="A254" s="1" t="n">
        <v>253</v>
      </c>
      <c r="B254">
        <f>TEXT(253, "[$-170000]yyyy-mm-dd")</f>
        <v/>
      </c>
      <c r="C254">
        <f>TEXT(253, "[$-060000]yyyy-mm-dd")</f>
        <v/>
      </c>
      <c r="D254" t="inlineStr">
        <is>
          <t>1318-05-15</t>
        </is>
      </c>
    </row>
    <row r="255">
      <c r="A255" s="1" t="n">
        <v>254</v>
      </c>
      <c r="B255">
        <f>TEXT(254, "[$-170000]yyyy-mm-dd")</f>
        <v/>
      </c>
      <c r="C255">
        <f>TEXT(254, "[$-060000]yyyy-mm-dd")</f>
        <v/>
      </c>
      <c r="D255" t="inlineStr">
        <is>
          <t>1318-05-16</t>
        </is>
      </c>
    </row>
    <row r="256">
      <c r="A256" s="1" t="n">
        <v>255</v>
      </c>
      <c r="B256">
        <f>TEXT(255, "[$-170000]yyyy-mm-dd")</f>
        <v/>
      </c>
      <c r="C256">
        <f>TEXT(255, "[$-060000]yyyy-mm-dd")</f>
        <v/>
      </c>
      <c r="D256" t="inlineStr">
        <is>
          <t>1318-05-17</t>
        </is>
      </c>
    </row>
    <row r="257">
      <c r="A257" s="1" t="n">
        <v>256</v>
      </c>
      <c r="B257">
        <f>TEXT(256, "[$-170000]yyyy-mm-dd")</f>
        <v/>
      </c>
      <c r="C257">
        <f>TEXT(256, "[$-060000]yyyy-mm-dd")</f>
        <v/>
      </c>
      <c r="D257" t="inlineStr">
        <is>
          <t>1318-05-18</t>
        </is>
      </c>
    </row>
    <row r="258">
      <c r="A258" s="1" t="n">
        <v>257</v>
      </c>
      <c r="B258">
        <f>TEXT(257, "[$-170000]yyyy-mm-dd")</f>
        <v/>
      </c>
      <c r="C258">
        <f>TEXT(257, "[$-060000]yyyy-mm-dd")</f>
        <v/>
      </c>
      <c r="D258" t="inlineStr">
        <is>
          <t>1318-05-19</t>
        </is>
      </c>
    </row>
    <row r="259">
      <c r="A259" s="1" t="n">
        <v>258</v>
      </c>
      <c r="B259">
        <f>TEXT(258, "[$-170000]yyyy-mm-dd")</f>
        <v/>
      </c>
      <c r="C259">
        <f>TEXT(258, "[$-060000]yyyy-mm-dd")</f>
        <v/>
      </c>
      <c r="D259" t="inlineStr">
        <is>
          <t>1318-05-20</t>
        </is>
      </c>
    </row>
    <row r="260">
      <c r="A260" s="1" t="n">
        <v>259</v>
      </c>
      <c r="B260">
        <f>TEXT(259, "[$-170000]yyyy-mm-dd")</f>
        <v/>
      </c>
      <c r="C260">
        <f>TEXT(259, "[$-060000]yyyy-mm-dd")</f>
        <v/>
      </c>
      <c r="D260" t="inlineStr">
        <is>
          <t>1318-05-21</t>
        </is>
      </c>
    </row>
    <row r="261">
      <c r="A261" s="1" t="n">
        <v>260</v>
      </c>
      <c r="B261">
        <f>TEXT(260, "[$-170000]yyyy-mm-dd")</f>
        <v/>
      </c>
      <c r="C261">
        <f>TEXT(260, "[$-060000]yyyy-mm-dd")</f>
        <v/>
      </c>
      <c r="D261" t="inlineStr">
        <is>
          <t>1318-05-22</t>
        </is>
      </c>
    </row>
    <row r="262">
      <c r="A262" s="1" t="n">
        <v>261</v>
      </c>
      <c r="B262">
        <f>TEXT(261, "[$-170000]yyyy-mm-dd")</f>
        <v/>
      </c>
      <c r="C262">
        <f>TEXT(261, "[$-060000]yyyy-mm-dd")</f>
        <v/>
      </c>
      <c r="D262" t="inlineStr">
        <is>
          <t>1318-05-23</t>
        </is>
      </c>
    </row>
    <row r="263">
      <c r="A263" s="1" t="n">
        <v>262</v>
      </c>
      <c r="B263">
        <f>TEXT(262, "[$-170000]yyyy-mm-dd")</f>
        <v/>
      </c>
      <c r="C263">
        <f>TEXT(262, "[$-060000]yyyy-mm-dd")</f>
        <v/>
      </c>
      <c r="D263" t="inlineStr">
        <is>
          <t>1318-05-24</t>
        </is>
      </c>
    </row>
    <row r="264">
      <c r="A264" s="1" t="n">
        <v>263</v>
      </c>
      <c r="B264">
        <f>TEXT(263, "[$-170000]yyyy-mm-dd")</f>
        <v/>
      </c>
      <c r="C264">
        <f>TEXT(263, "[$-060000]yyyy-mm-dd")</f>
        <v/>
      </c>
      <c r="D264" t="inlineStr">
        <is>
          <t>1318-05-25</t>
        </is>
      </c>
    </row>
    <row r="265">
      <c r="A265" s="1" t="n">
        <v>264</v>
      </c>
      <c r="B265">
        <f>TEXT(264, "[$-170000]yyyy-mm-dd")</f>
        <v/>
      </c>
      <c r="C265">
        <f>TEXT(264, "[$-060000]yyyy-mm-dd")</f>
        <v/>
      </c>
      <c r="D265" t="inlineStr">
        <is>
          <t>1318-05-26</t>
        </is>
      </c>
    </row>
    <row r="266">
      <c r="A266" s="1" t="n">
        <v>265</v>
      </c>
      <c r="B266">
        <f>TEXT(265, "[$-170000]yyyy-mm-dd")</f>
        <v/>
      </c>
      <c r="C266">
        <f>TEXT(265, "[$-060000]yyyy-mm-dd")</f>
        <v/>
      </c>
      <c r="D266" t="inlineStr">
        <is>
          <t>1318-05-27</t>
        </is>
      </c>
    </row>
    <row r="267">
      <c r="A267" s="1" t="n">
        <v>266</v>
      </c>
      <c r="B267">
        <f>TEXT(266, "[$-170000]yyyy-mm-dd")</f>
        <v/>
      </c>
      <c r="C267">
        <f>TEXT(266, "[$-060000]yyyy-mm-dd")</f>
        <v/>
      </c>
      <c r="D267" t="inlineStr">
        <is>
          <t>1318-05-28</t>
        </is>
      </c>
    </row>
    <row r="268">
      <c r="A268" s="1" t="n">
        <v>267</v>
      </c>
      <c r="B268">
        <f>TEXT(267, "[$-170000]yyyy-mm-dd")</f>
        <v/>
      </c>
      <c r="C268">
        <f>TEXT(267, "[$-060000]yyyy-mm-dd")</f>
        <v/>
      </c>
      <c r="D268" t="inlineStr">
        <is>
          <t>1318-05-29</t>
        </is>
      </c>
    </row>
    <row r="269">
      <c r="A269" s="1" t="n">
        <v>268</v>
      </c>
      <c r="B269">
        <f>TEXT(268, "[$-170000]yyyy-mm-dd")</f>
        <v/>
      </c>
      <c r="C269">
        <f>TEXT(268, "[$-060000]yyyy-mm-dd")</f>
        <v/>
      </c>
      <c r="D269" t="inlineStr">
        <is>
          <t>1318-05-30</t>
        </is>
      </c>
    </row>
    <row r="270">
      <c r="A270" s="1" t="n">
        <v>269</v>
      </c>
      <c r="B270">
        <f>TEXT(269, "[$-170000]yyyy-mm-dd")</f>
        <v/>
      </c>
      <c r="C270">
        <f>TEXT(269, "[$-060000]yyyy-mm-dd")</f>
        <v/>
      </c>
      <c r="D270" t="inlineStr">
        <is>
          <t>1318-06-01</t>
        </is>
      </c>
    </row>
    <row r="271">
      <c r="A271" s="1" t="n">
        <v>270</v>
      </c>
      <c r="B271">
        <f>TEXT(270, "[$-170000]yyyy-mm-dd")</f>
        <v/>
      </c>
      <c r="C271">
        <f>TEXT(270, "[$-060000]yyyy-mm-dd")</f>
        <v/>
      </c>
      <c r="D271" t="inlineStr">
        <is>
          <t>1318-06-02</t>
        </is>
      </c>
    </row>
    <row r="272">
      <c r="A272" s="1" t="n">
        <v>271</v>
      </c>
      <c r="B272">
        <f>TEXT(271, "[$-170000]yyyy-mm-dd")</f>
        <v/>
      </c>
      <c r="C272">
        <f>TEXT(271, "[$-060000]yyyy-mm-dd")</f>
        <v/>
      </c>
      <c r="D272" t="inlineStr">
        <is>
          <t>1318-06-03</t>
        </is>
      </c>
    </row>
    <row r="273">
      <c r="A273" s="1" t="n">
        <v>272</v>
      </c>
      <c r="B273">
        <f>TEXT(272, "[$-170000]yyyy-mm-dd")</f>
        <v/>
      </c>
      <c r="C273">
        <f>TEXT(272, "[$-060000]yyyy-mm-dd")</f>
        <v/>
      </c>
      <c r="D273" t="inlineStr">
        <is>
          <t>1318-06-04</t>
        </is>
      </c>
    </row>
    <row r="274">
      <c r="A274" s="1" t="n">
        <v>273</v>
      </c>
      <c r="B274">
        <f>TEXT(273, "[$-170000]yyyy-mm-dd")</f>
        <v/>
      </c>
      <c r="C274">
        <f>TEXT(273, "[$-060000]yyyy-mm-dd")</f>
        <v/>
      </c>
      <c r="D274" t="inlineStr">
        <is>
          <t>1318-06-05</t>
        </is>
      </c>
    </row>
    <row r="275">
      <c r="A275" s="1" t="n">
        <v>274</v>
      </c>
      <c r="B275">
        <f>TEXT(274, "[$-170000]yyyy-mm-dd")</f>
        <v/>
      </c>
      <c r="C275">
        <f>TEXT(274, "[$-060000]yyyy-mm-dd")</f>
        <v/>
      </c>
      <c r="D275" t="inlineStr">
        <is>
          <t>1318-06-06</t>
        </is>
      </c>
    </row>
    <row r="276">
      <c r="A276" s="1" t="n">
        <v>275</v>
      </c>
      <c r="B276">
        <f>TEXT(275, "[$-170000]yyyy-mm-dd")</f>
        <v/>
      </c>
      <c r="C276">
        <f>TEXT(275, "[$-060000]yyyy-mm-dd")</f>
        <v/>
      </c>
      <c r="D276" t="inlineStr">
        <is>
          <t>1318-06-07</t>
        </is>
      </c>
    </row>
    <row r="277">
      <c r="A277" s="1" t="n">
        <v>276</v>
      </c>
      <c r="B277">
        <f>TEXT(276, "[$-170000]yyyy-mm-dd")</f>
        <v/>
      </c>
      <c r="C277">
        <f>TEXT(276, "[$-060000]yyyy-mm-dd")</f>
        <v/>
      </c>
      <c r="D277" t="inlineStr">
        <is>
          <t>1318-06-08</t>
        </is>
      </c>
    </row>
    <row r="278">
      <c r="A278" s="1" t="n">
        <v>277</v>
      </c>
      <c r="B278">
        <f>TEXT(277, "[$-170000]yyyy-mm-dd")</f>
        <v/>
      </c>
      <c r="C278">
        <f>TEXT(277, "[$-060000]yyyy-mm-dd")</f>
        <v/>
      </c>
      <c r="D278" t="inlineStr">
        <is>
          <t>1318-06-09</t>
        </is>
      </c>
    </row>
    <row r="279">
      <c r="A279" s="1" t="n">
        <v>278</v>
      </c>
      <c r="B279">
        <f>TEXT(278, "[$-170000]yyyy-mm-dd")</f>
        <v/>
      </c>
      <c r="C279">
        <f>TEXT(278, "[$-060000]yyyy-mm-dd")</f>
        <v/>
      </c>
      <c r="D279" t="inlineStr">
        <is>
          <t>1318-06-10</t>
        </is>
      </c>
    </row>
    <row r="280">
      <c r="A280" s="1" t="n">
        <v>279</v>
      </c>
      <c r="B280">
        <f>TEXT(279, "[$-170000]yyyy-mm-dd")</f>
        <v/>
      </c>
      <c r="C280">
        <f>TEXT(279, "[$-060000]yyyy-mm-dd")</f>
        <v/>
      </c>
      <c r="D280" t="inlineStr">
        <is>
          <t>1318-06-11</t>
        </is>
      </c>
    </row>
    <row r="281">
      <c r="A281" s="1" t="n">
        <v>280</v>
      </c>
      <c r="B281">
        <f>TEXT(280, "[$-170000]yyyy-mm-dd")</f>
        <v/>
      </c>
      <c r="C281">
        <f>TEXT(280, "[$-060000]yyyy-mm-dd")</f>
        <v/>
      </c>
      <c r="D281" t="inlineStr">
        <is>
          <t>1318-06-12</t>
        </is>
      </c>
    </row>
    <row r="282">
      <c r="A282" s="1" t="n">
        <v>281</v>
      </c>
      <c r="B282">
        <f>TEXT(281, "[$-170000]yyyy-mm-dd")</f>
        <v/>
      </c>
      <c r="C282">
        <f>TEXT(281, "[$-060000]yyyy-mm-dd")</f>
        <v/>
      </c>
      <c r="D282" t="inlineStr">
        <is>
          <t>1318-06-13</t>
        </is>
      </c>
    </row>
    <row r="283">
      <c r="A283" s="1" t="n">
        <v>282</v>
      </c>
      <c r="B283">
        <f>TEXT(282, "[$-170000]yyyy-mm-dd")</f>
        <v/>
      </c>
      <c r="C283">
        <f>TEXT(282, "[$-060000]yyyy-mm-dd")</f>
        <v/>
      </c>
      <c r="D283" t="inlineStr">
        <is>
          <t>1318-06-14</t>
        </is>
      </c>
    </row>
    <row r="284">
      <c r="A284" s="1" t="n">
        <v>283</v>
      </c>
      <c r="B284">
        <f>TEXT(283, "[$-170000]yyyy-mm-dd")</f>
        <v/>
      </c>
      <c r="C284">
        <f>TEXT(283, "[$-060000]yyyy-mm-dd")</f>
        <v/>
      </c>
      <c r="D284" t="inlineStr">
        <is>
          <t>1318-06-15</t>
        </is>
      </c>
    </row>
    <row r="285">
      <c r="A285" s="1" t="n">
        <v>284</v>
      </c>
      <c r="B285">
        <f>TEXT(284, "[$-170000]yyyy-mm-dd")</f>
        <v/>
      </c>
      <c r="C285">
        <f>TEXT(284, "[$-060000]yyyy-mm-dd")</f>
        <v/>
      </c>
      <c r="D285" t="inlineStr">
        <is>
          <t>1318-06-16</t>
        </is>
      </c>
    </row>
    <row r="286">
      <c r="A286" s="1" t="n">
        <v>285</v>
      </c>
      <c r="B286">
        <f>TEXT(285, "[$-170000]yyyy-mm-dd")</f>
        <v/>
      </c>
      <c r="C286">
        <f>TEXT(285, "[$-060000]yyyy-mm-dd")</f>
        <v/>
      </c>
      <c r="D286" t="inlineStr">
        <is>
          <t>1318-06-17</t>
        </is>
      </c>
    </row>
    <row r="287">
      <c r="A287" s="1" t="n">
        <v>286</v>
      </c>
      <c r="B287">
        <f>TEXT(286, "[$-170000]yyyy-mm-dd")</f>
        <v/>
      </c>
      <c r="C287">
        <f>TEXT(286, "[$-060000]yyyy-mm-dd")</f>
        <v/>
      </c>
      <c r="D287" t="inlineStr">
        <is>
          <t>1318-06-18</t>
        </is>
      </c>
    </row>
    <row r="288">
      <c r="A288" s="1" t="n">
        <v>287</v>
      </c>
      <c r="B288">
        <f>TEXT(287, "[$-170000]yyyy-mm-dd")</f>
        <v/>
      </c>
      <c r="C288">
        <f>TEXT(287, "[$-060000]yyyy-mm-dd")</f>
        <v/>
      </c>
      <c r="D288" t="inlineStr">
        <is>
          <t>1318-06-19</t>
        </is>
      </c>
    </row>
    <row r="289">
      <c r="A289" s="1" t="n">
        <v>288</v>
      </c>
      <c r="B289">
        <f>TEXT(288, "[$-170000]yyyy-mm-dd")</f>
        <v/>
      </c>
      <c r="C289">
        <f>TEXT(288, "[$-060000]yyyy-mm-dd")</f>
        <v/>
      </c>
      <c r="D289" t="inlineStr">
        <is>
          <t>1318-06-20</t>
        </is>
      </c>
    </row>
    <row r="290">
      <c r="A290" s="1" t="n">
        <v>289</v>
      </c>
      <c r="B290">
        <f>TEXT(289, "[$-170000]yyyy-mm-dd")</f>
        <v/>
      </c>
      <c r="C290">
        <f>TEXT(289, "[$-060000]yyyy-mm-dd")</f>
        <v/>
      </c>
      <c r="D290" t="inlineStr">
        <is>
          <t>1318-06-21</t>
        </is>
      </c>
    </row>
    <row r="291">
      <c r="A291" s="1" t="n">
        <v>290</v>
      </c>
      <c r="B291">
        <f>TEXT(290, "[$-170000]yyyy-mm-dd")</f>
        <v/>
      </c>
      <c r="C291">
        <f>TEXT(290, "[$-060000]yyyy-mm-dd")</f>
        <v/>
      </c>
      <c r="D291" t="inlineStr">
        <is>
          <t>1318-06-22</t>
        </is>
      </c>
    </row>
    <row r="292">
      <c r="A292" s="1" t="n">
        <v>291</v>
      </c>
      <c r="B292">
        <f>TEXT(291, "[$-170000]yyyy-mm-dd")</f>
        <v/>
      </c>
      <c r="C292">
        <f>TEXT(291, "[$-060000]yyyy-mm-dd")</f>
        <v/>
      </c>
      <c r="D292" t="inlineStr">
        <is>
          <t>1318-06-23</t>
        </is>
      </c>
    </row>
    <row r="293">
      <c r="A293" s="1" t="n">
        <v>292</v>
      </c>
      <c r="B293">
        <f>TEXT(292, "[$-170000]yyyy-mm-dd")</f>
        <v/>
      </c>
      <c r="C293">
        <f>TEXT(292, "[$-060000]yyyy-mm-dd")</f>
        <v/>
      </c>
      <c r="D293" t="inlineStr">
        <is>
          <t>1318-06-24</t>
        </is>
      </c>
    </row>
    <row r="294">
      <c r="A294" s="1" t="n">
        <v>293</v>
      </c>
      <c r="B294">
        <f>TEXT(293, "[$-170000]yyyy-mm-dd")</f>
        <v/>
      </c>
      <c r="C294">
        <f>TEXT(293, "[$-060000]yyyy-mm-dd")</f>
        <v/>
      </c>
      <c r="D294" t="inlineStr">
        <is>
          <t>1318-06-25</t>
        </is>
      </c>
    </row>
    <row r="295">
      <c r="A295" s="1" t="n">
        <v>294</v>
      </c>
      <c r="B295">
        <f>TEXT(294, "[$-170000]yyyy-mm-dd")</f>
        <v/>
      </c>
      <c r="C295">
        <f>TEXT(294, "[$-060000]yyyy-mm-dd")</f>
        <v/>
      </c>
      <c r="D295" t="inlineStr">
        <is>
          <t>1318-06-26</t>
        </is>
      </c>
    </row>
    <row r="296">
      <c r="A296" s="1" t="n">
        <v>295</v>
      </c>
      <c r="B296">
        <f>TEXT(295, "[$-170000]yyyy-mm-dd")</f>
        <v/>
      </c>
      <c r="C296">
        <f>TEXT(295, "[$-060000]yyyy-mm-dd")</f>
        <v/>
      </c>
      <c r="D296" t="inlineStr">
        <is>
          <t>1318-06-27</t>
        </is>
      </c>
    </row>
    <row r="297">
      <c r="A297" s="1" t="n">
        <v>296</v>
      </c>
      <c r="B297">
        <f>TEXT(296, "[$-170000]yyyy-mm-dd")</f>
        <v/>
      </c>
      <c r="C297">
        <f>TEXT(296, "[$-060000]yyyy-mm-dd")</f>
        <v/>
      </c>
      <c r="D297" t="inlineStr">
        <is>
          <t>1318-06-28</t>
        </is>
      </c>
    </row>
    <row r="298">
      <c r="A298" s="1" t="n">
        <v>297</v>
      </c>
      <c r="B298">
        <f>TEXT(297, "[$-170000]yyyy-mm-dd")</f>
        <v/>
      </c>
      <c r="C298">
        <f>TEXT(297, "[$-060000]yyyy-mm-dd")</f>
        <v/>
      </c>
      <c r="D298" t="inlineStr">
        <is>
          <t>1318-06-29</t>
        </is>
      </c>
    </row>
    <row r="299">
      <c r="A299" s="1" t="n">
        <v>298</v>
      </c>
      <c r="B299">
        <f>TEXT(298, "[$-170000]yyyy-mm-dd")</f>
        <v/>
      </c>
      <c r="C299">
        <f>TEXT(298, "[$-060000]yyyy-mm-dd")</f>
        <v/>
      </c>
      <c r="D299" t="inlineStr">
        <is>
          <t>1318-07-01</t>
        </is>
      </c>
    </row>
    <row r="300">
      <c r="A300" s="1" t="n">
        <v>299</v>
      </c>
      <c r="B300">
        <f>TEXT(299, "[$-170000]yyyy-mm-dd")</f>
        <v/>
      </c>
      <c r="C300">
        <f>TEXT(299, "[$-060000]yyyy-mm-dd")</f>
        <v/>
      </c>
      <c r="D300" t="inlineStr">
        <is>
          <t>1318-07-02</t>
        </is>
      </c>
    </row>
    <row r="301">
      <c r="A301" s="1" t="n">
        <v>300</v>
      </c>
      <c r="B301">
        <f>TEXT(300, "[$-170000]yyyy-mm-dd")</f>
        <v/>
      </c>
      <c r="C301">
        <f>TEXT(300, "[$-060000]yyyy-mm-dd")</f>
        <v/>
      </c>
      <c r="D301" t="inlineStr">
        <is>
          <t>1318-07-03</t>
        </is>
      </c>
    </row>
    <row r="302">
      <c r="A302" s="1" t="n">
        <v>301</v>
      </c>
      <c r="B302">
        <f>TEXT(301, "[$-170000]yyyy-mm-dd")</f>
        <v/>
      </c>
      <c r="C302">
        <f>TEXT(301, "[$-060000]yyyy-mm-dd")</f>
        <v/>
      </c>
      <c r="D302" t="inlineStr">
        <is>
          <t>1318-07-04</t>
        </is>
      </c>
    </row>
    <row r="303">
      <c r="A303" s="1" t="n">
        <v>302</v>
      </c>
      <c r="B303">
        <f>TEXT(302, "[$-170000]yyyy-mm-dd")</f>
        <v/>
      </c>
      <c r="C303">
        <f>TEXT(302, "[$-060000]yyyy-mm-dd")</f>
        <v/>
      </c>
      <c r="D303" t="inlineStr">
        <is>
          <t>1318-07-05</t>
        </is>
      </c>
    </row>
    <row r="304">
      <c r="A304" s="1" t="n">
        <v>303</v>
      </c>
      <c r="B304">
        <f>TEXT(303, "[$-170000]yyyy-mm-dd")</f>
        <v/>
      </c>
      <c r="C304">
        <f>TEXT(303, "[$-060000]yyyy-mm-dd")</f>
        <v/>
      </c>
      <c r="D304" t="inlineStr">
        <is>
          <t>1318-07-06</t>
        </is>
      </c>
    </row>
    <row r="305">
      <c r="A305" s="1" t="n">
        <v>304</v>
      </c>
      <c r="B305">
        <f>TEXT(304, "[$-170000]yyyy-mm-dd")</f>
        <v/>
      </c>
      <c r="C305">
        <f>TEXT(304, "[$-060000]yyyy-mm-dd")</f>
        <v/>
      </c>
      <c r="D305" t="inlineStr">
        <is>
          <t>1318-07-07</t>
        </is>
      </c>
    </row>
    <row r="306">
      <c r="A306" s="1" t="n">
        <v>305</v>
      </c>
      <c r="B306">
        <f>TEXT(305, "[$-170000]yyyy-mm-dd")</f>
        <v/>
      </c>
      <c r="C306">
        <f>TEXT(305, "[$-060000]yyyy-mm-dd")</f>
        <v/>
      </c>
      <c r="D306" t="inlineStr">
        <is>
          <t>1318-07-08</t>
        </is>
      </c>
    </row>
    <row r="307">
      <c r="A307" s="1" t="n">
        <v>306</v>
      </c>
      <c r="B307">
        <f>TEXT(306, "[$-170000]yyyy-mm-dd")</f>
        <v/>
      </c>
      <c r="C307">
        <f>TEXT(306, "[$-060000]yyyy-mm-dd")</f>
        <v/>
      </c>
      <c r="D307" t="inlineStr">
        <is>
          <t>1318-07-09</t>
        </is>
      </c>
    </row>
    <row r="308">
      <c r="A308" s="1" t="n">
        <v>307</v>
      </c>
      <c r="B308">
        <f>TEXT(307, "[$-170000]yyyy-mm-dd")</f>
        <v/>
      </c>
      <c r="C308">
        <f>TEXT(307, "[$-060000]yyyy-mm-dd")</f>
        <v/>
      </c>
      <c r="D308" t="inlineStr">
        <is>
          <t>1318-07-10</t>
        </is>
      </c>
    </row>
    <row r="309">
      <c r="A309" s="1" t="n">
        <v>308</v>
      </c>
      <c r="B309">
        <f>TEXT(308, "[$-170000]yyyy-mm-dd")</f>
        <v/>
      </c>
      <c r="C309">
        <f>TEXT(308, "[$-060000]yyyy-mm-dd")</f>
        <v/>
      </c>
      <c r="D309" t="inlineStr">
        <is>
          <t>1318-07-11</t>
        </is>
      </c>
    </row>
    <row r="310">
      <c r="A310" s="1" t="n">
        <v>309</v>
      </c>
      <c r="B310">
        <f>TEXT(309, "[$-170000]yyyy-mm-dd")</f>
        <v/>
      </c>
      <c r="C310">
        <f>TEXT(309, "[$-060000]yyyy-mm-dd")</f>
        <v/>
      </c>
      <c r="D310" t="inlineStr">
        <is>
          <t>1318-07-12</t>
        </is>
      </c>
    </row>
    <row r="311">
      <c r="A311" s="1" t="n">
        <v>310</v>
      </c>
      <c r="B311">
        <f>TEXT(310, "[$-170000]yyyy-mm-dd")</f>
        <v/>
      </c>
      <c r="C311">
        <f>TEXT(310, "[$-060000]yyyy-mm-dd")</f>
        <v/>
      </c>
      <c r="D311" t="inlineStr">
        <is>
          <t>1318-07-13</t>
        </is>
      </c>
    </row>
    <row r="312">
      <c r="A312" s="1" t="n">
        <v>311</v>
      </c>
      <c r="B312">
        <f>TEXT(311, "[$-170000]yyyy-mm-dd")</f>
        <v/>
      </c>
      <c r="C312">
        <f>TEXT(311, "[$-060000]yyyy-mm-dd")</f>
        <v/>
      </c>
      <c r="D312" t="inlineStr">
        <is>
          <t>1318-07-14</t>
        </is>
      </c>
    </row>
    <row r="313">
      <c r="A313" s="1" t="n">
        <v>312</v>
      </c>
      <c r="B313">
        <f>TEXT(312, "[$-170000]yyyy-mm-dd")</f>
        <v/>
      </c>
      <c r="C313">
        <f>TEXT(312, "[$-060000]yyyy-mm-dd")</f>
        <v/>
      </c>
      <c r="D313" t="inlineStr">
        <is>
          <t>1318-07-15</t>
        </is>
      </c>
    </row>
    <row r="314">
      <c r="A314" s="1" t="n">
        <v>313</v>
      </c>
      <c r="B314">
        <f>TEXT(313, "[$-170000]yyyy-mm-dd")</f>
        <v/>
      </c>
      <c r="C314">
        <f>TEXT(313, "[$-060000]yyyy-mm-dd")</f>
        <v/>
      </c>
      <c r="D314" t="inlineStr">
        <is>
          <t>1318-07-16</t>
        </is>
      </c>
    </row>
    <row r="315">
      <c r="A315" s="1" t="n">
        <v>314</v>
      </c>
      <c r="B315">
        <f>TEXT(314, "[$-170000]yyyy-mm-dd")</f>
        <v/>
      </c>
      <c r="C315">
        <f>TEXT(314, "[$-060000]yyyy-mm-dd")</f>
        <v/>
      </c>
      <c r="D315" t="inlineStr">
        <is>
          <t>1318-07-17</t>
        </is>
      </c>
    </row>
    <row r="316">
      <c r="A316" s="1" t="n">
        <v>315</v>
      </c>
      <c r="B316">
        <f>TEXT(315, "[$-170000]yyyy-mm-dd")</f>
        <v/>
      </c>
      <c r="C316">
        <f>TEXT(315, "[$-060000]yyyy-mm-dd")</f>
        <v/>
      </c>
      <c r="D316" t="inlineStr">
        <is>
          <t>1318-07-18</t>
        </is>
      </c>
    </row>
    <row r="317">
      <c r="A317" s="1" t="n">
        <v>316</v>
      </c>
      <c r="B317">
        <f>TEXT(316, "[$-170000]yyyy-mm-dd")</f>
        <v/>
      </c>
      <c r="C317">
        <f>TEXT(316, "[$-060000]yyyy-mm-dd")</f>
        <v/>
      </c>
      <c r="D317" t="inlineStr">
        <is>
          <t>1318-07-19</t>
        </is>
      </c>
    </row>
    <row r="318">
      <c r="A318" s="1" t="n">
        <v>317</v>
      </c>
      <c r="B318">
        <f>TEXT(317, "[$-170000]yyyy-mm-dd")</f>
        <v/>
      </c>
      <c r="C318">
        <f>TEXT(317, "[$-060000]yyyy-mm-dd")</f>
        <v/>
      </c>
      <c r="D318" t="inlineStr">
        <is>
          <t>1318-07-20</t>
        </is>
      </c>
    </row>
    <row r="319">
      <c r="A319" s="1" t="n">
        <v>318</v>
      </c>
      <c r="B319">
        <f>TEXT(318, "[$-170000]yyyy-mm-dd")</f>
        <v/>
      </c>
      <c r="C319">
        <f>TEXT(318, "[$-060000]yyyy-mm-dd")</f>
        <v/>
      </c>
      <c r="D319" t="inlineStr">
        <is>
          <t>1318-07-21</t>
        </is>
      </c>
    </row>
    <row r="320">
      <c r="A320" s="1" t="n">
        <v>319</v>
      </c>
      <c r="B320">
        <f>TEXT(319, "[$-170000]yyyy-mm-dd")</f>
        <v/>
      </c>
      <c r="C320">
        <f>TEXT(319, "[$-060000]yyyy-mm-dd")</f>
        <v/>
      </c>
      <c r="D320" t="inlineStr">
        <is>
          <t>1318-07-22</t>
        </is>
      </c>
    </row>
    <row r="321">
      <c r="A321" s="1" t="n">
        <v>320</v>
      </c>
      <c r="B321">
        <f>TEXT(320, "[$-170000]yyyy-mm-dd")</f>
        <v/>
      </c>
      <c r="C321">
        <f>TEXT(320, "[$-060000]yyyy-mm-dd")</f>
        <v/>
      </c>
      <c r="D321" t="inlineStr">
        <is>
          <t>1318-07-23</t>
        </is>
      </c>
    </row>
    <row r="322">
      <c r="A322" s="1" t="n">
        <v>321</v>
      </c>
      <c r="B322">
        <f>TEXT(321, "[$-170000]yyyy-mm-dd")</f>
        <v/>
      </c>
      <c r="C322">
        <f>TEXT(321, "[$-060000]yyyy-mm-dd")</f>
        <v/>
      </c>
      <c r="D322" t="inlineStr">
        <is>
          <t>1318-07-24</t>
        </is>
      </c>
    </row>
    <row r="323">
      <c r="A323" s="1" t="n">
        <v>322</v>
      </c>
      <c r="B323">
        <f>TEXT(322, "[$-170000]yyyy-mm-dd")</f>
        <v/>
      </c>
      <c r="C323">
        <f>TEXT(322, "[$-060000]yyyy-mm-dd")</f>
        <v/>
      </c>
      <c r="D323" t="inlineStr">
        <is>
          <t>1318-07-25</t>
        </is>
      </c>
    </row>
    <row r="324">
      <c r="A324" s="1" t="n">
        <v>323</v>
      </c>
      <c r="B324">
        <f>TEXT(323, "[$-170000]yyyy-mm-dd")</f>
        <v/>
      </c>
      <c r="C324">
        <f>TEXT(323, "[$-060000]yyyy-mm-dd")</f>
        <v/>
      </c>
      <c r="D324" t="inlineStr">
        <is>
          <t>1318-07-26</t>
        </is>
      </c>
    </row>
    <row r="325">
      <c r="A325" s="1" t="n">
        <v>324</v>
      </c>
      <c r="B325">
        <f>TEXT(324, "[$-170000]yyyy-mm-dd")</f>
        <v/>
      </c>
      <c r="C325">
        <f>TEXT(324, "[$-060000]yyyy-mm-dd")</f>
        <v/>
      </c>
      <c r="D325" t="inlineStr">
        <is>
          <t>1318-07-27</t>
        </is>
      </c>
    </row>
    <row r="326">
      <c r="A326" s="1" t="n">
        <v>325</v>
      </c>
      <c r="B326">
        <f>TEXT(325, "[$-170000]yyyy-mm-dd")</f>
        <v/>
      </c>
      <c r="C326">
        <f>TEXT(325, "[$-060000]yyyy-mm-dd")</f>
        <v/>
      </c>
      <c r="D326" t="inlineStr">
        <is>
          <t>1318-07-28</t>
        </is>
      </c>
    </row>
    <row r="327">
      <c r="A327" s="1" t="n">
        <v>326</v>
      </c>
      <c r="B327">
        <f>TEXT(326, "[$-170000]yyyy-mm-dd")</f>
        <v/>
      </c>
      <c r="C327">
        <f>TEXT(326, "[$-060000]yyyy-mm-dd")</f>
        <v/>
      </c>
      <c r="D327" t="inlineStr">
        <is>
          <t>1318-07-29</t>
        </is>
      </c>
    </row>
    <row r="328">
      <c r="A328" s="1" t="n">
        <v>327</v>
      </c>
      <c r="B328">
        <f>TEXT(327, "[$-170000]yyyy-mm-dd")</f>
        <v/>
      </c>
      <c r="C328">
        <f>TEXT(327, "[$-060000]yyyy-mm-dd")</f>
        <v/>
      </c>
      <c r="D328" t="inlineStr">
        <is>
          <t>1318-07-30</t>
        </is>
      </c>
    </row>
    <row r="329">
      <c r="A329" s="1" t="n">
        <v>328</v>
      </c>
      <c r="B329">
        <f>TEXT(328, "[$-170000]yyyy-mm-dd")</f>
        <v/>
      </c>
      <c r="C329">
        <f>TEXT(328, "[$-060000]yyyy-mm-dd")</f>
        <v/>
      </c>
      <c r="D329" t="inlineStr">
        <is>
          <t>1318-08-01</t>
        </is>
      </c>
    </row>
    <row r="330">
      <c r="A330" s="1" t="n">
        <v>329</v>
      </c>
      <c r="B330">
        <f>TEXT(329, "[$-170000]yyyy-mm-dd")</f>
        <v/>
      </c>
      <c r="C330">
        <f>TEXT(329, "[$-060000]yyyy-mm-dd")</f>
        <v/>
      </c>
      <c r="D330" t="inlineStr">
        <is>
          <t>1318-08-02</t>
        </is>
      </c>
    </row>
    <row r="331">
      <c r="A331" s="1" t="n">
        <v>330</v>
      </c>
      <c r="B331">
        <f>TEXT(330, "[$-170000]yyyy-mm-dd")</f>
        <v/>
      </c>
      <c r="C331">
        <f>TEXT(330, "[$-060000]yyyy-mm-dd")</f>
        <v/>
      </c>
      <c r="D331" t="inlineStr">
        <is>
          <t>1318-08-03</t>
        </is>
      </c>
    </row>
    <row r="332">
      <c r="A332" s="1" t="n">
        <v>331</v>
      </c>
      <c r="B332">
        <f>TEXT(331, "[$-170000]yyyy-mm-dd")</f>
        <v/>
      </c>
      <c r="C332">
        <f>TEXT(331, "[$-060000]yyyy-mm-dd")</f>
        <v/>
      </c>
      <c r="D332" t="inlineStr">
        <is>
          <t>1318-08-04</t>
        </is>
      </c>
    </row>
    <row r="333">
      <c r="A333" s="1" t="n">
        <v>332</v>
      </c>
      <c r="B333">
        <f>TEXT(332, "[$-170000]yyyy-mm-dd")</f>
        <v/>
      </c>
      <c r="C333">
        <f>TEXT(332, "[$-060000]yyyy-mm-dd")</f>
        <v/>
      </c>
      <c r="D333" t="inlineStr">
        <is>
          <t>1318-08-05</t>
        </is>
      </c>
    </row>
    <row r="334">
      <c r="A334" s="1" t="n">
        <v>333</v>
      </c>
      <c r="B334">
        <f>TEXT(333, "[$-170000]yyyy-mm-dd")</f>
        <v/>
      </c>
      <c r="C334">
        <f>TEXT(333, "[$-060000]yyyy-mm-dd")</f>
        <v/>
      </c>
      <c r="D334" t="inlineStr">
        <is>
          <t>1318-08-06</t>
        </is>
      </c>
    </row>
    <row r="335">
      <c r="A335" s="1" t="n">
        <v>334</v>
      </c>
      <c r="B335">
        <f>TEXT(334, "[$-170000]yyyy-mm-dd")</f>
        <v/>
      </c>
      <c r="C335">
        <f>TEXT(334, "[$-060000]yyyy-mm-dd")</f>
        <v/>
      </c>
      <c r="D335" t="inlineStr">
        <is>
          <t>1318-08-07</t>
        </is>
      </c>
    </row>
    <row r="336">
      <c r="A336" s="1" t="n">
        <v>335</v>
      </c>
      <c r="B336">
        <f>TEXT(335, "[$-170000]yyyy-mm-dd")</f>
        <v/>
      </c>
      <c r="C336">
        <f>TEXT(335, "[$-060000]yyyy-mm-dd")</f>
        <v/>
      </c>
      <c r="D336" t="inlineStr">
        <is>
          <t>1318-08-08</t>
        </is>
      </c>
    </row>
    <row r="337">
      <c r="A337" s="1" t="n">
        <v>336</v>
      </c>
      <c r="B337">
        <f>TEXT(336, "[$-170000]yyyy-mm-dd")</f>
        <v/>
      </c>
      <c r="C337">
        <f>TEXT(336, "[$-060000]yyyy-mm-dd")</f>
        <v/>
      </c>
      <c r="D337" t="inlineStr">
        <is>
          <t>1318-08-09</t>
        </is>
      </c>
    </row>
    <row r="338">
      <c r="A338" s="1" t="n">
        <v>337</v>
      </c>
      <c r="B338">
        <f>TEXT(337, "[$-170000]yyyy-mm-dd")</f>
        <v/>
      </c>
      <c r="C338">
        <f>TEXT(337, "[$-060000]yyyy-mm-dd")</f>
        <v/>
      </c>
      <c r="D338" t="inlineStr">
        <is>
          <t>1318-08-10</t>
        </is>
      </c>
    </row>
    <row r="339">
      <c r="A339" s="1" t="n">
        <v>338</v>
      </c>
      <c r="B339">
        <f>TEXT(338, "[$-170000]yyyy-mm-dd")</f>
        <v/>
      </c>
      <c r="C339">
        <f>TEXT(338, "[$-060000]yyyy-mm-dd")</f>
        <v/>
      </c>
      <c r="D339" t="inlineStr">
        <is>
          <t>1318-08-11</t>
        </is>
      </c>
    </row>
    <row r="340">
      <c r="A340" s="1" t="n">
        <v>339</v>
      </c>
      <c r="B340">
        <f>TEXT(339, "[$-170000]yyyy-mm-dd")</f>
        <v/>
      </c>
      <c r="C340">
        <f>TEXT(339, "[$-060000]yyyy-mm-dd")</f>
        <v/>
      </c>
      <c r="D340" t="inlineStr">
        <is>
          <t>1318-08-12</t>
        </is>
      </c>
    </row>
    <row r="341">
      <c r="A341" s="1" t="n">
        <v>340</v>
      </c>
      <c r="B341">
        <f>TEXT(340, "[$-170000]yyyy-mm-dd")</f>
        <v/>
      </c>
      <c r="C341">
        <f>TEXT(340, "[$-060000]yyyy-mm-dd")</f>
        <v/>
      </c>
      <c r="D341" t="inlineStr">
        <is>
          <t>1318-08-13</t>
        </is>
      </c>
    </row>
    <row r="342">
      <c r="A342" s="1" t="n">
        <v>341</v>
      </c>
      <c r="B342">
        <f>TEXT(341, "[$-170000]yyyy-mm-dd")</f>
        <v/>
      </c>
      <c r="C342">
        <f>TEXT(341, "[$-060000]yyyy-mm-dd")</f>
        <v/>
      </c>
      <c r="D342" t="inlineStr">
        <is>
          <t>1318-08-14</t>
        </is>
      </c>
    </row>
    <row r="343">
      <c r="A343" s="1" t="n">
        <v>342</v>
      </c>
      <c r="B343">
        <f>TEXT(342, "[$-170000]yyyy-mm-dd")</f>
        <v/>
      </c>
      <c r="C343">
        <f>TEXT(342, "[$-060000]yyyy-mm-dd")</f>
        <v/>
      </c>
      <c r="D343" t="inlineStr">
        <is>
          <t>1318-08-15</t>
        </is>
      </c>
    </row>
    <row r="344">
      <c r="A344" s="1" t="n">
        <v>343</v>
      </c>
      <c r="B344">
        <f>TEXT(343, "[$-170000]yyyy-mm-dd")</f>
        <v/>
      </c>
      <c r="C344">
        <f>TEXT(343, "[$-060000]yyyy-mm-dd")</f>
        <v/>
      </c>
      <c r="D344" t="inlineStr">
        <is>
          <t>1318-08-16</t>
        </is>
      </c>
    </row>
    <row r="345">
      <c r="A345" s="1" t="n">
        <v>344</v>
      </c>
      <c r="B345">
        <f>TEXT(344, "[$-170000]yyyy-mm-dd")</f>
        <v/>
      </c>
      <c r="C345">
        <f>TEXT(344, "[$-060000]yyyy-mm-dd")</f>
        <v/>
      </c>
      <c r="D345" t="inlineStr">
        <is>
          <t>1318-08-17</t>
        </is>
      </c>
    </row>
    <row r="346">
      <c r="A346" s="1" t="n">
        <v>345</v>
      </c>
      <c r="B346">
        <f>TEXT(345, "[$-170000]yyyy-mm-dd")</f>
        <v/>
      </c>
      <c r="C346">
        <f>TEXT(345, "[$-060000]yyyy-mm-dd")</f>
        <v/>
      </c>
      <c r="D346" t="inlineStr">
        <is>
          <t>1318-08-18</t>
        </is>
      </c>
    </row>
    <row r="347">
      <c r="A347" s="1" t="n">
        <v>346</v>
      </c>
      <c r="B347">
        <f>TEXT(346, "[$-170000]yyyy-mm-dd")</f>
        <v/>
      </c>
      <c r="C347">
        <f>TEXT(346, "[$-060000]yyyy-mm-dd")</f>
        <v/>
      </c>
      <c r="D347" t="inlineStr">
        <is>
          <t>1318-08-19</t>
        </is>
      </c>
    </row>
    <row r="348">
      <c r="A348" s="1" t="n">
        <v>347</v>
      </c>
      <c r="B348">
        <f>TEXT(347, "[$-170000]yyyy-mm-dd")</f>
        <v/>
      </c>
      <c r="C348">
        <f>TEXT(347, "[$-060000]yyyy-mm-dd")</f>
        <v/>
      </c>
      <c r="D348" t="inlineStr">
        <is>
          <t>1318-08-20</t>
        </is>
      </c>
    </row>
    <row r="349">
      <c r="A349" s="1" t="n">
        <v>348</v>
      </c>
      <c r="B349">
        <f>TEXT(348, "[$-170000]yyyy-mm-dd")</f>
        <v/>
      </c>
      <c r="C349">
        <f>TEXT(348, "[$-060000]yyyy-mm-dd")</f>
        <v/>
      </c>
      <c r="D349" t="inlineStr">
        <is>
          <t>1318-08-21</t>
        </is>
      </c>
    </row>
    <row r="350">
      <c r="A350" s="1" t="n">
        <v>349</v>
      </c>
      <c r="B350">
        <f>TEXT(349, "[$-170000]yyyy-mm-dd")</f>
        <v/>
      </c>
      <c r="C350">
        <f>TEXT(349, "[$-060000]yyyy-mm-dd")</f>
        <v/>
      </c>
      <c r="D350" t="inlineStr">
        <is>
          <t>1318-08-22</t>
        </is>
      </c>
    </row>
    <row r="351">
      <c r="A351" s="1" t="n">
        <v>350</v>
      </c>
      <c r="B351">
        <f>TEXT(350, "[$-170000]yyyy-mm-dd")</f>
        <v/>
      </c>
      <c r="C351">
        <f>TEXT(350, "[$-060000]yyyy-mm-dd")</f>
        <v/>
      </c>
      <c r="D351" t="inlineStr">
        <is>
          <t>1318-08-23</t>
        </is>
      </c>
    </row>
    <row r="352">
      <c r="A352" s="1" t="n">
        <v>351</v>
      </c>
      <c r="B352">
        <f>TEXT(351, "[$-170000]yyyy-mm-dd")</f>
        <v/>
      </c>
      <c r="C352">
        <f>TEXT(351, "[$-060000]yyyy-mm-dd")</f>
        <v/>
      </c>
      <c r="D352" t="inlineStr">
        <is>
          <t>1318-08-24</t>
        </is>
      </c>
    </row>
    <row r="353">
      <c r="A353" s="1" t="n">
        <v>352</v>
      </c>
      <c r="B353">
        <f>TEXT(352, "[$-170000]yyyy-mm-dd")</f>
        <v/>
      </c>
      <c r="C353">
        <f>TEXT(352, "[$-060000]yyyy-mm-dd")</f>
        <v/>
      </c>
      <c r="D353" t="inlineStr">
        <is>
          <t>1318-08-25</t>
        </is>
      </c>
    </row>
    <row r="354">
      <c r="A354" s="1" t="n">
        <v>353</v>
      </c>
      <c r="B354">
        <f>TEXT(353, "[$-170000]yyyy-mm-dd")</f>
        <v/>
      </c>
      <c r="C354">
        <f>TEXT(353, "[$-060000]yyyy-mm-dd")</f>
        <v/>
      </c>
      <c r="D354" t="inlineStr">
        <is>
          <t>1318-08-26</t>
        </is>
      </c>
    </row>
    <row r="355">
      <c r="A355" s="1" t="n">
        <v>354</v>
      </c>
      <c r="B355">
        <f>TEXT(354, "[$-170000]yyyy-mm-dd")</f>
        <v/>
      </c>
      <c r="C355">
        <f>TEXT(354, "[$-060000]yyyy-mm-dd")</f>
        <v/>
      </c>
      <c r="D355" t="inlineStr">
        <is>
          <t>1318-08-27</t>
        </is>
      </c>
    </row>
    <row r="356">
      <c r="A356" s="1" t="n">
        <v>355</v>
      </c>
      <c r="B356">
        <f>TEXT(355, "[$-170000]yyyy-mm-dd")</f>
        <v/>
      </c>
      <c r="C356">
        <f>TEXT(355, "[$-060000]yyyy-mm-dd")</f>
        <v/>
      </c>
      <c r="D356" t="inlineStr">
        <is>
          <t>1318-08-28</t>
        </is>
      </c>
    </row>
    <row r="357">
      <c r="A357" s="1" t="n">
        <v>356</v>
      </c>
      <c r="B357">
        <f>TEXT(356, "[$-170000]yyyy-mm-dd")</f>
        <v/>
      </c>
      <c r="C357">
        <f>TEXT(356, "[$-060000]yyyy-mm-dd")</f>
        <v/>
      </c>
      <c r="D357" t="inlineStr">
        <is>
          <t>1318-08-29</t>
        </is>
      </c>
    </row>
    <row r="358">
      <c r="A358" s="1" t="n">
        <v>357</v>
      </c>
      <c r="B358">
        <f>TEXT(357, "[$-170000]yyyy-mm-dd")</f>
        <v/>
      </c>
      <c r="C358">
        <f>TEXT(357, "[$-060000]yyyy-mm-dd")</f>
        <v/>
      </c>
      <c r="D358" t="inlineStr">
        <is>
          <t>1318-09-01</t>
        </is>
      </c>
    </row>
    <row r="359">
      <c r="A359" s="1" t="n">
        <v>358</v>
      </c>
      <c r="B359">
        <f>TEXT(358, "[$-170000]yyyy-mm-dd")</f>
        <v/>
      </c>
      <c r="C359">
        <f>TEXT(358, "[$-060000]yyyy-mm-dd")</f>
        <v/>
      </c>
      <c r="D359" t="inlineStr">
        <is>
          <t>1318-09-02</t>
        </is>
      </c>
    </row>
    <row r="360">
      <c r="A360" s="1" t="n">
        <v>359</v>
      </c>
      <c r="B360">
        <f>TEXT(359, "[$-170000]yyyy-mm-dd")</f>
        <v/>
      </c>
      <c r="C360">
        <f>TEXT(359, "[$-060000]yyyy-mm-dd")</f>
        <v/>
      </c>
      <c r="D360" t="inlineStr">
        <is>
          <t>1318-09-03</t>
        </is>
      </c>
    </row>
    <row r="361">
      <c r="A361" s="1" t="n">
        <v>360</v>
      </c>
      <c r="B361">
        <f>TEXT(360, "[$-170000]yyyy-mm-dd")</f>
        <v/>
      </c>
      <c r="C361">
        <f>TEXT(360, "[$-060000]yyyy-mm-dd")</f>
        <v/>
      </c>
      <c r="D361" t="inlineStr">
        <is>
          <t>1318-09-04</t>
        </is>
      </c>
    </row>
    <row r="362">
      <c r="A362" s="1" t="n">
        <v>361</v>
      </c>
      <c r="B362">
        <f>TEXT(361, "[$-170000]yyyy-mm-dd")</f>
        <v/>
      </c>
      <c r="C362">
        <f>TEXT(361, "[$-060000]yyyy-mm-dd")</f>
        <v/>
      </c>
      <c r="D362" t="inlineStr">
        <is>
          <t>1318-09-05</t>
        </is>
      </c>
    </row>
    <row r="363">
      <c r="A363" s="1" t="n">
        <v>362</v>
      </c>
      <c r="B363">
        <f>TEXT(362, "[$-170000]yyyy-mm-dd")</f>
        <v/>
      </c>
      <c r="C363">
        <f>TEXT(362, "[$-060000]yyyy-mm-dd")</f>
        <v/>
      </c>
      <c r="D363" t="inlineStr">
        <is>
          <t>1318-09-06</t>
        </is>
      </c>
    </row>
    <row r="364">
      <c r="A364" s="1" t="n">
        <v>363</v>
      </c>
      <c r="B364">
        <f>TEXT(363, "[$-170000]yyyy-mm-dd")</f>
        <v/>
      </c>
      <c r="C364">
        <f>TEXT(363, "[$-060000]yyyy-mm-dd")</f>
        <v/>
      </c>
      <c r="D364" t="inlineStr">
        <is>
          <t>1318-09-07</t>
        </is>
      </c>
    </row>
    <row r="365">
      <c r="A365" s="1" t="n">
        <v>364</v>
      </c>
      <c r="B365">
        <f>TEXT(364, "[$-170000]yyyy-mm-dd")</f>
        <v/>
      </c>
      <c r="C365">
        <f>TEXT(364, "[$-060000]yyyy-mm-dd")</f>
        <v/>
      </c>
      <c r="D365" t="inlineStr">
        <is>
          <t>1318-09-08</t>
        </is>
      </c>
    </row>
    <row r="366">
      <c r="A366" s="1" t="n">
        <v>365</v>
      </c>
      <c r="B366">
        <f>TEXT(365, "[$-170000]yyyy-mm-dd")</f>
        <v/>
      </c>
      <c r="C366">
        <f>TEXT(365, "[$-060000]yyyy-mm-dd")</f>
        <v/>
      </c>
      <c r="D366" t="inlineStr">
        <is>
          <t>1318-09-09</t>
        </is>
      </c>
    </row>
    <row r="367">
      <c r="A367" s="1" t="n">
        <v>366</v>
      </c>
      <c r="B367">
        <f>TEXT(366, "[$-170000]yyyy-mm-dd")</f>
        <v/>
      </c>
      <c r="C367">
        <f>TEXT(366, "[$-060000]yyyy-mm-dd")</f>
        <v/>
      </c>
      <c r="D367" t="inlineStr">
        <is>
          <t>1318-09-10</t>
        </is>
      </c>
    </row>
    <row r="368">
      <c r="A368" s="1" t="n">
        <v>367</v>
      </c>
      <c r="B368">
        <f>TEXT(367, "[$-170000]yyyy-mm-dd")</f>
        <v/>
      </c>
      <c r="C368">
        <f>TEXT(367, "[$-060000]yyyy-mm-dd")</f>
        <v/>
      </c>
      <c r="D368" t="inlineStr">
        <is>
          <t>1318-09-11</t>
        </is>
      </c>
    </row>
    <row r="369">
      <c r="A369" s="1" t="n">
        <v>368</v>
      </c>
      <c r="B369">
        <f>TEXT(368, "[$-170000]yyyy-mm-dd")</f>
        <v/>
      </c>
      <c r="C369">
        <f>TEXT(368, "[$-060000]yyyy-mm-dd")</f>
        <v/>
      </c>
      <c r="D369" t="inlineStr">
        <is>
          <t>1318-09-12</t>
        </is>
      </c>
    </row>
    <row r="370">
      <c r="A370" s="1" t="n">
        <v>369</v>
      </c>
      <c r="B370">
        <f>TEXT(369, "[$-170000]yyyy-mm-dd")</f>
        <v/>
      </c>
      <c r="C370">
        <f>TEXT(369, "[$-060000]yyyy-mm-dd")</f>
        <v/>
      </c>
      <c r="D370" t="inlineStr">
        <is>
          <t>1318-09-13</t>
        </is>
      </c>
    </row>
    <row r="371">
      <c r="A371" s="1" t="n">
        <v>370</v>
      </c>
      <c r="B371">
        <f>TEXT(370, "[$-170000]yyyy-mm-dd")</f>
        <v/>
      </c>
      <c r="C371">
        <f>TEXT(370, "[$-060000]yyyy-mm-dd")</f>
        <v/>
      </c>
      <c r="D371" t="inlineStr">
        <is>
          <t>1318-09-14</t>
        </is>
      </c>
    </row>
    <row r="372">
      <c r="A372" s="1" t="n">
        <v>371</v>
      </c>
      <c r="B372">
        <f>TEXT(371, "[$-170000]yyyy-mm-dd")</f>
        <v/>
      </c>
      <c r="C372">
        <f>TEXT(371, "[$-060000]yyyy-mm-dd")</f>
        <v/>
      </c>
      <c r="D372" t="inlineStr">
        <is>
          <t>1318-09-15</t>
        </is>
      </c>
    </row>
    <row r="373">
      <c r="A373" s="1" t="n">
        <v>372</v>
      </c>
      <c r="B373">
        <f>TEXT(372, "[$-170000]yyyy-mm-dd")</f>
        <v/>
      </c>
      <c r="C373">
        <f>TEXT(372, "[$-060000]yyyy-mm-dd")</f>
        <v/>
      </c>
      <c r="D373" t="inlineStr">
        <is>
          <t>1318-09-16</t>
        </is>
      </c>
    </row>
    <row r="374">
      <c r="A374" s="1" t="n">
        <v>373</v>
      </c>
      <c r="B374">
        <f>TEXT(373, "[$-170000]yyyy-mm-dd")</f>
        <v/>
      </c>
      <c r="C374">
        <f>TEXT(373, "[$-060000]yyyy-mm-dd")</f>
        <v/>
      </c>
      <c r="D374" t="inlineStr">
        <is>
          <t>1318-09-17</t>
        </is>
      </c>
    </row>
    <row r="375">
      <c r="A375" s="1" t="n">
        <v>374</v>
      </c>
      <c r="B375">
        <f>TEXT(374, "[$-170000]yyyy-mm-dd")</f>
        <v/>
      </c>
      <c r="C375">
        <f>TEXT(374, "[$-060000]yyyy-mm-dd")</f>
        <v/>
      </c>
      <c r="D375" t="inlineStr">
        <is>
          <t>1318-09-18</t>
        </is>
      </c>
    </row>
    <row r="376">
      <c r="A376" s="1" t="n">
        <v>375</v>
      </c>
      <c r="B376">
        <f>TEXT(375, "[$-170000]yyyy-mm-dd")</f>
        <v/>
      </c>
      <c r="C376">
        <f>TEXT(375, "[$-060000]yyyy-mm-dd")</f>
        <v/>
      </c>
      <c r="D376" t="inlineStr">
        <is>
          <t>1318-09-19</t>
        </is>
      </c>
    </row>
    <row r="377">
      <c r="A377" s="1" t="n">
        <v>376</v>
      </c>
      <c r="B377">
        <f>TEXT(376, "[$-170000]yyyy-mm-dd")</f>
        <v/>
      </c>
      <c r="C377">
        <f>TEXT(376, "[$-060000]yyyy-mm-dd")</f>
        <v/>
      </c>
      <c r="D377" t="inlineStr">
        <is>
          <t>1318-09-20</t>
        </is>
      </c>
    </row>
    <row r="378">
      <c r="A378" s="1" t="n">
        <v>377</v>
      </c>
      <c r="B378">
        <f>TEXT(377, "[$-170000]yyyy-mm-dd")</f>
        <v/>
      </c>
      <c r="C378">
        <f>TEXT(377, "[$-060000]yyyy-mm-dd")</f>
        <v/>
      </c>
      <c r="D378" t="inlineStr">
        <is>
          <t>1318-09-21</t>
        </is>
      </c>
    </row>
    <row r="379">
      <c r="A379" s="1" t="n">
        <v>378</v>
      </c>
      <c r="B379">
        <f>TEXT(378, "[$-170000]yyyy-mm-dd")</f>
        <v/>
      </c>
      <c r="C379">
        <f>TEXT(378, "[$-060000]yyyy-mm-dd")</f>
        <v/>
      </c>
      <c r="D379" t="inlineStr">
        <is>
          <t>1318-09-22</t>
        </is>
      </c>
    </row>
    <row r="380">
      <c r="A380" s="1" t="n">
        <v>379</v>
      </c>
      <c r="B380">
        <f>TEXT(379, "[$-170000]yyyy-mm-dd")</f>
        <v/>
      </c>
      <c r="C380">
        <f>TEXT(379, "[$-060000]yyyy-mm-dd")</f>
        <v/>
      </c>
      <c r="D380" t="inlineStr">
        <is>
          <t>1318-09-23</t>
        </is>
      </c>
    </row>
    <row r="381">
      <c r="A381" s="1" t="n">
        <v>380</v>
      </c>
      <c r="B381">
        <f>TEXT(380, "[$-170000]yyyy-mm-dd")</f>
        <v/>
      </c>
      <c r="C381">
        <f>TEXT(380, "[$-060000]yyyy-mm-dd")</f>
        <v/>
      </c>
      <c r="D381" t="inlineStr">
        <is>
          <t>1318-09-24</t>
        </is>
      </c>
    </row>
    <row r="382">
      <c r="A382" s="1" t="n">
        <v>381</v>
      </c>
      <c r="B382">
        <f>TEXT(381, "[$-170000]yyyy-mm-dd")</f>
        <v/>
      </c>
      <c r="C382">
        <f>TEXT(381, "[$-060000]yyyy-mm-dd")</f>
        <v/>
      </c>
      <c r="D382" t="inlineStr">
        <is>
          <t>1318-09-25</t>
        </is>
      </c>
    </row>
    <row r="383">
      <c r="A383" s="1" t="n">
        <v>382</v>
      </c>
      <c r="B383">
        <f>TEXT(382, "[$-170000]yyyy-mm-dd")</f>
        <v/>
      </c>
      <c r="C383">
        <f>TEXT(382, "[$-060000]yyyy-mm-dd")</f>
        <v/>
      </c>
      <c r="D383" t="inlineStr">
        <is>
          <t>1318-09-26</t>
        </is>
      </c>
    </row>
    <row r="384">
      <c r="A384" s="1" t="n">
        <v>383</v>
      </c>
      <c r="B384">
        <f>TEXT(383, "[$-170000]yyyy-mm-dd")</f>
        <v/>
      </c>
      <c r="C384">
        <f>TEXT(383, "[$-060000]yyyy-mm-dd")</f>
        <v/>
      </c>
      <c r="D384" t="inlineStr">
        <is>
          <t>1318-09-27</t>
        </is>
      </c>
    </row>
    <row r="385">
      <c r="A385" s="1" t="n">
        <v>384</v>
      </c>
      <c r="B385">
        <f>TEXT(384, "[$-170000]yyyy-mm-dd")</f>
        <v/>
      </c>
      <c r="C385">
        <f>TEXT(384, "[$-060000]yyyy-mm-dd")</f>
        <v/>
      </c>
      <c r="D385" t="inlineStr">
        <is>
          <t>1318-09-28</t>
        </is>
      </c>
    </row>
    <row r="386">
      <c r="A386" s="1" t="n">
        <v>385</v>
      </c>
      <c r="B386">
        <f>TEXT(385, "[$-170000]yyyy-mm-dd")</f>
        <v/>
      </c>
      <c r="C386">
        <f>TEXT(385, "[$-060000]yyyy-mm-dd")</f>
        <v/>
      </c>
      <c r="D386" t="inlineStr">
        <is>
          <t>1318-09-29</t>
        </is>
      </c>
    </row>
    <row r="387">
      <c r="A387" s="1" t="n">
        <v>386</v>
      </c>
      <c r="B387">
        <f>TEXT(386, "[$-170000]yyyy-mm-dd")</f>
        <v/>
      </c>
      <c r="C387">
        <f>TEXT(386, "[$-060000]yyyy-mm-dd")</f>
        <v/>
      </c>
      <c r="D387" t="inlineStr">
        <is>
          <t>1318-09-30</t>
        </is>
      </c>
    </row>
    <row r="388">
      <c r="A388" s="1" t="n">
        <v>387</v>
      </c>
      <c r="B388">
        <f>TEXT(387, "[$-170000]yyyy-mm-dd")</f>
        <v/>
      </c>
      <c r="C388">
        <f>TEXT(387, "[$-060000]yyyy-mm-dd")</f>
        <v/>
      </c>
      <c r="D388" t="inlineStr">
        <is>
          <t>1318-10-01</t>
        </is>
      </c>
    </row>
    <row r="389">
      <c r="A389" s="1" t="n">
        <v>388</v>
      </c>
      <c r="B389">
        <f>TEXT(388, "[$-170000]yyyy-mm-dd")</f>
        <v/>
      </c>
      <c r="C389">
        <f>TEXT(388, "[$-060000]yyyy-mm-dd")</f>
        <v/>
      </c>
      <c r="D389" t="inlineStr">
        <is>
          <t>1318-10-02</t>
        </is>
      </c>
    </row>
    <row r="390">
      <c r="A390" s="1" t="n">
        <v>389</v>
      </c>
      <c r="B390">
        <f>TEXT(389, "[$-170000]yyyy-mm-dd")</f>
        <v/>
      </c>
      <c r="C390">
        <f>TEXT(389, "[$-060000]yyyy-mm-dd")</f>
        <v/>
      </c>
      <c r="D390" t="inlineStr">
        <is>
          <t>1318-10-03</t>
        </is>
      </c>
    </row>
    <row r="391">
      <c r="A391" s="1" t="n">
        <v>390</v>
      </c>
      <c r="B391">
        <f>TEXT(390, "[$-170000]yyyy-mm-dd")</f>
        <v/>
      </c>
      <c r="C391">
        <f>TEXT(390, "[$-060000]yyyy-mm-dd")</f>
        <v/>
      </c>
      <c r="D391" t="inlineStr">
        <is>
          <t>1318-10-04</t>
        </is>
      </c>
    </row>
    <row r="392">
      <c r="A392" s="1" t="n">
        <v>391</v>
      </c>
      <c r="B392">
        <f>TEXT(391, "[$-170000]yyyy-mm-dd")</f>
        <v/>
      </c>
      <c r="C392">
        <f>TEXT(391, "[$-060000]yyyy-mm-dd")</f>
        <v/>
      </c>
      <c r="D392" t="inlineStr">
        <is>
          <t>1318-10-05</t>
        </is>
      </c>
    </row>
    <row r="393">
      <c r="A393" s="1" t="n">
        <v>392</v>
      </c>
      <c r="B393">
        <f>TEXT(392, "[$-170000]yyyy-mm-dd")</f>
        <v/>
      </c>
      <c r="C393">
        <f>TEXT(392, "[$-060000]yyyy-mm-dd")</f>
        <v/>
      </c>
      <c r="D393" t="inlineStr">
        <is>
          <t>1318-10-06</t>
        </is>
      </c>
    </row>
    <row r="394">
      <c r="A394" s="1" t="n">
        <v>393</v>
      </c>
      <c r="B394">
        <f>TEXT(393, "[$-170000]yyyy-mm-dd")</f>
        <v/>
      </c>
      <c r="C394">
        <f>TEXT(393, "[$-060000]yyyy-mm-dd")</f>
        <v/>
      </c>
      <c r="D394" t="inlineStr">
        <is>
          <t>1318-10-07</t>
        </is>
      </c>
    </row>
    <row r="395">
      <c r="A395" s="1" t="n">
        <v>394</v>
      </c>
      <c r="B395">
        <f>TEXT(394, "[$-170000]yyyy-mm-dd")</f>
        <v/>
      </c>
      <c r="C395">
        <f>TEXT(394, "[$-060000]yyyy-mm-dd")</f>
        <v/>
      </c>
      <c r="D395" t="inlineStr">
        <is>
          <t>1318-10-08</t>
        </is>
      </c>
    </row>
    <row r="396">
      <c r="A396" s="1" t="n">
        <v>395</v>
      </c>
      <c r="B396">
        <f>TEXT(395, "[$-170000]yyyy-mm-dd")</f>
        <v/>
      </c>
      <c r="C396">
        <f>TEXT(395, "[$-060000]yyyy-mm-dd")</f>
        <v/>
      </c>
      <c r="D396" t="inlineStr">
        <is>
          <t>1318-10-09</t>
        </is>
      </c>
    </row>
    <row r="397">
      <c r="A397" s="1" t="n">
        <v>396</v>
      </c>
      <c r="B397">
        <f>TEXT(396, "[$-170000]yyyy-mm-dd")</f>
        <v/>
      </c>
      <c r="C397">
        <f>TEXT(396, "[$-060000]yyyy-mm-dd")</f>
        <v/>
      </c>
      <c r="D397" t="inlineStr">
        <is>
          <t>1318-10-10</t>
        </is>
      </c>
    </row>
    <row r="398">
      <c r="A398" s="1" t="n">
        <v>397</v>
      </c>
      <c r="B398">
        <f>TEXT(397, "[$-170000]yyyy-mm-dd")</f>
        <v/>
      </c>
      <c r="C398">
        <f>TEXT(397, "[$-060000]yyyy-mm-dd")</f>
        <v/>
      </c>
      <c r="D398" t="inlineStr">
        <is>
          <t>1318-10-11</t>
        </is>
      </c>
    </row>
    <row r="399">
      <c r="A399" s="1" t="n">
        <v>398</v>
      </c>
      <c r="B399">
        <f>TEXT(398, "[$-170000]yyyy-mm-dd")</f>
        <v/>
      </c>
      <c r="C399">
        <f>TEXT(398, "[$-060000]yyyy-mm-dd")</f>
        <v/>
      </c>
      <c r="D399" t="inlineStr">
        <is>
          <t>1318-10-12</t>
        </is>
      </c>
    </row>
    <row r="400">
      <c r="A400" s="1" t="n">
        <v>399</v>
      </c>
      <c r="B400">
        <f>TEXT(399, "[$-170000]yyyy-mm-dd")</f>
        <v/>
      </c>
      <c r="C400">
        <f>TEXT(399, "[$-060000]yyyy-mm-dd")</f>
        <v/>
      </c>
      <c r="D400" t="inlineStr">
        <is>
          <t>1318-10-13</t>
        </is>
      </c>
    </row>
    <row r="401">
      <c r="A401" s="1" t="n">
        <v>400</v>
      </c>
      <c r="B401">
        <f>TEXT(400, "[$-170000]yyyy-mm-dd")</f>
        <v/>
      </c>
      <c r="C401">
        <f>TEXT(400, "[$-060000]yyyy-mm-dd")</f>
        <v/>
      </c>
      <c r="D401" t="inlineStr">
        <is>
          <t>1318-10-14</t>
        </is>
      </c>
    </row>
    <row r="402">
      <c r="A402" s="1" t="n">
        <v>401</v>
      </c>
      <c r="B402">
        <f>TEXT(401, "[$-170000]yyyy-mm-dd")</f>
        <v/>
      </c>
      <c r="C402">
        <f>TEXT(401, "[$-060000]yyyy-mm-dd")</f>
        <v/>
      </c>
      <c r="D402" t="inlineStr">
        <is>
          <t>1318-10-15</t>
        </is>
      </c>
    </row>
    <row r="403">
      <c r="A403" s="1" t="n">
        <v>402</v>
      </c>
      <c r="B403">
        <f>TEXT(402, "[$-170000]yyyy-mm-dd")</f>
        <v/>
      </c>
      <c r="C403">
        <f>TEXT(402, "[$-060000]yyyy-mm-dd")</f>
        <v/>
      </c>
      <c r="D403" t="inlineStr">
        <is>
          <t>1318-10-16</t>
        </is>
      </c>
    </row>
    <row r="404">
      <c r="A404" s="1" t="n">
        <v>403</v>
      </c>
      <c r="B404">
        <f>TEXT(403, "[$-170000]yyyy-mm-dd")</f>
        <v/>
      </c>
      <c r="C404">
        <f>TEXT(403, "[$-060000]yyyy-mm-dd")</f>
        <v/>
      </c>
      <c r="D404" t="inlineStr">
        <is>
          <t>1318-10-17</t>
        </is>
      </c>
    </row>
    <row r="405">
      <c r="A405" s="1" t="n">
        <v>404</v>
      </c>
      <c r="B405">
        <f>TEXT(404, "[$-170000]yyyy-mm-dd")</f>
        <v/>
      </c>
      <c r="C405">
        <f>TEXT(404, "[$-060000]yyyy-mm-dd")</f>
        <v/>
      </c>
      <c r="D405" t="inlineStr">
        <is>
          <t>1318-10-18</t>
        </is>
      </c>
    </row>
    <row r="406">
      <c r="A406" s="1" t="n">
        <v>405</v>
      </c>
      <c r="B406">
        <f>TEXT(405, "[$-170000]yyyy-mm-dd")</f>
        <v/>
      </c>
      <c r="C406">
        <f>TEXT(405, "[$-060000]yyyy-mm-dd")</f>
        <v/>
      </c>
      <c r="D406" t="inlineStr">
        <is>
          <t>1318-10-19</t>
        </is>
      </c>
    </row>
    <row r="407">
      <c r="A407" s="1" t="n">
        <v>406</v>
      </c>
      <c r="B407">
        <f>TEXT(406, "[$-170000]yyyy-mm-dd")</f>
        <v/>
      </c>
      <c r="C407">
        <f>TEXT(406, "[$-060000]yyyy-mm-dd")</f>
        <v/>
      </c>
      <c r="D407" t="inlineStr">
        <is>
          <t>1318-10-20</t>
        </is>
      </c>
    </row>
    <row r="408">
      <c r="A408" s="1" t="n">
        <v>407</v>
      </c>
      <c r="B408">
        <f>TEXT(407, "[$-170000]yyyy-mm-dd")</f>
        <v/>
      </c>
      <c r="C408">
        <f>TEXT(407, "[$-060000]yyyy-mm-dd")</f>
        <v/>
      </c>
      <c r="D408" t="inlineStr">
        <is>
          <t>1318-10-21</t>
        </is>
      </c>
    </row>
    <row r="409">
      <c r="A409" s="1" t="n">
        <v>408</v>
      </c>
      <c r="B409">
        <f>TEXT(408, "[$-170000]yyyy-mm-dd")</f>
        <v/>
      </c>
      <c r="C409">
        <f>TEXT(408, "[$-060000]yyyy-mm-dd")</f>
        <v/>
      </c>
      <c r="D409" t="inlineStr">
        <is>
          <t>1318-10-22</t>
        </is>
      </c>
    </row>
    <row r="410">
      <c r="A410" s="1" t="n">
        <v>409</v>
      </c>
      <c r="B410">
        <f>TEXT(409, "[$-170000]yyyy-mm-dd")</f>
        <v/>
      </c>
      <c r="C410">
        <f>TEXT(409, "[$-060000]yyyy-mm-dd")</f>
        <v/>
      </c>
      <c r="D410" t="inlineStr">
        <is>
          <t>1318-10-23</t>
        </is>
      </c>
    </row>
    <row r="411">
      <c r="A411" s="1" t="n">
        <v>410</v>
      </c>
      <c r="B411">
        <f>TEXT(410, "[$-170000]yyyy-mm-dd")</f>
        <v/>
      </c>
      <c r="C411">
        <f>TEXT(410, "[$-060000]yyyy-mm-dd")</f>
        <v/>
      </c>
      <c r="D411" t="inlineStr">
        <is>
          <t>1318-10-24</t>
        </is>
      </c>
    </row>
    <row r="412">
      <c r="A412" s="1" t="n">
        <v>411</v>
      </c>
      <c r="B412">
        <f>TEXT(411, "[$-170000]yyyy-mm-dd")</f>
        <v/>
      </c>
      <c r="C412">
        <f>TEXT(411, "[$-060000]yyyy-mm-dd")</f>
        <v/>
      </c>
      <c r="D412" t="inlineStr">
        <is>
          <t>1318-10-25</t>
        </is>
      </c>
    </row>
    <row r="413">
      <c r="A413" s="1" t="n">
        <v>412</v>
      </c>
      <c r="B413">
        <f>TEXT(412, "[$-170000]yyyy-mm-dd")</f>
        <v/>
      </c>
      <c r="C413">
        <f>TEXT(412, "[$-060000]yyyy-mm-dd")</f>
        <v/>
      </c>
      <c r="D413" t="inlineStr">
        <is>
          <t>1318-10-26</t>
        </is>
      </c>
    </row>
    <row r="414">
      <c r="A414" s="1" t="n">
        <v>413</v>
      </c>
      <c r="B414">
        <f>TEXT(413, "[$-170000]yyyy-mm-dd")</f>
        <v/>
      </c>
      <c r="C414">
        <f>TEXT(413, "[$-060000]yyyy-mm-dd")</f>
        <v/>
      </c>
      <c r="D414" t="inlineStr">
        <is>
          <t>1318-10-27</t>
        </is>
      </c>
    </row>
    <row r="415">
      <c r="A415" s="1" t="n">
        <v>414</v>
      </c>
      <c r="B415">
        <f>TEXT(414, "[$-170000]yyyy-mm-dd")</f>
        <v/>
      </c>
      <c r="C415">
        <f>TEXT(414, "[$-060000]yyyy-mm-dd")</f>
        <v/>
      </c>
      <c r="D415" t="inlineStr">
        <is>
          <t>1318-10-28</t>
        </is>
      </c>
    </row>
    <row r="416">
      <c r="A416" s="1" t="n">
        <v>415</v>
      </c>
      <c r="B416">
        <f>TEXT(415, "[$-170000]yyyy-mm-dd")</f>
        <v/>
      </c>
      <c r="C416">
        <f>TEXT(415, "[$-060000]yyyy-mm-dd")</f>
        <v/>
      </c>
      <c r="D416" t="inlineStr">
        <is>
          <t>1318-10-29</t>
        </is>
      </c>
    </row>
    <row r="417">
      <c r="A417" s="1" t="n">
        <v>416</v>
      </c>
      <c r="B417">
        <f>TEXT(416, "[$-170000]yyyy-mm-dd")</f>
        <v/>
      </c>
      <c r="C417">
        <f>TEXT(416, "[$-060000]yyyy-mm-dd")</f>
        <v/>
      </c>
      <c r="D417" t="inlineStr">
        <is>
          <t>1318-11-01</t>
        </is>
      </c>
    </row>
    <row r="418">
      <c r="A418" s="1" t="n">
        <v>417</v>
      </c>
      <c r="B418">
        <f>TEXT(417, "[$-170000]yyyy-mm-dd")</f>
        <v/>
      </c>
      <c r="C418">
        <f>TEXT(417, "[$-060000]yyyy-mm-dd")</f>
        <v/>
      </c>
      <c r="D418" t="inlineStr">
        <is>
          <t>1318-11-02</t>
        </is>
      </c>
    </row>
    <row r="419">
      <c r="A419" s="1" t="n">
        <v>418</v>
      </c>
      <c r="B419">
        <f>TEXT(418, "[$-170000]yyyy-mm-dd")</f>
        <v/>
      </c>
      <c r="C419">
        <f>TEXT(418, "[$-060000]yyyy-mm-dd")</f>
        <v/>
      </c>
      <c r="D419" t="inlineStr">
        <is>
          <t>1318-11-03</t>
        </is>
      </c>
    </row>
    <row r="420">
      <c r="A420" s="1" t="n">
        <v>419</v>
      </c>
      <c r="B420">
        <f>TEXT(419, "[$-170000]yyyy-mm-dd")</f>
        <v/>
      </c>
      <c r="C420">
        <f>TEXT(419, "[$-060000]yyyy-mm-dd")</f>
        <v/>
      </c>
      <c r="D420" t="inlineStr">
        <is>
          <t>1318-11-04</t>
        </is>
      </c>
    </row>
    <row r="421">
      <c r="A421" s="1" t="n">
        <v>420</v>
      </c>
      <c r="B421">
        <f>TEXT(420, "[$-170000]yyyy-mm-dd")</f>
        <v/>
      </c>
      <c r="C421">
        <f>TEXT(420, "[$-060000]yyyy-mm-dd")</f>
        <v/>
      </c>
      <c r="D421" t="inlineStr">
        <is>
          <t>1318-11-05</t>
        </is>
      </c>
    </row>
    <row r="422">
      <c r="A422" s="1" t="n">
        <v>421</v>
      </c>
      <c r="B422">
        <f>TEXT(421, "[$-170000]yyyy-mm-dd")</f>
        <v/>
      </c>
      <c r="C422">
        <f>TEXT(421, "[$-060000]yyyy-mm-dd")</f>
        <v/>
      </c>
      <c r="D422" t="inlineStr">
        <is>
          <t>1318-11-06</t>
        </is>
      </c>
    </row>
    <row r="423">
      <c r="A423" s="1" t="n">
        <v>422</v>
      </c>
      <c r="B423">
        <f>TEXT(422, "[$-170000]yyyy-mm-dd")</f>
        <v/>
      </c>
      <c r="C423">
        <f>TEXT(422, "[$-060000]yyyy-mm-dd")</f>
        <v/>
      </c>
      <c r="D423" t="inlineStr">
        <is>
          <t>1318-11-07</t>
        </is>
      </c>
    </row>
    <row r="424">
      <c r="A424" s="1" t="n">
        <v>423</v>
      </c>
      <c r="B424">
        <f>TEXT(423, "[$-170000]yyyy-mm-dd")</f>
        <v/>
      </c>
      <c r="C424">
        <f>TEXT(423, "[$-060000]yyyy-mm-dd")</f>
        <v/>
      </c>
      <c r="D424" t="inlineStr">
        <is>
          <t>1318-11-08</t>
        </is>
      </c>
    </row>
    <row r="425">
      <c r="A425" s="1" t="n">
        <v>424</v>
      </c>
      <c r="B425">
        <f>TEXT(424, "[$-170000]yyyy-mm-dd")</f>
        <v/>
      </c>
      <c r="C425">
        <f>TEXT(424, "[$-060000]yyyy-mm-dd")</f>
        <v/>
      </c>
      <c r="D425" t="inlineStr">
        <is>
          <t>1318-11-09</t>
        </is>
      </c>
    </row>
    <row r="426">
      <c r="A426" s="1" t="n">
        <v>425</v>
      </c>
      <c r="B426">
        <f>TEXT(425, "[$-170000]yyyy-mm-dd")</f>
        <v/>
      </c>
      <c r="C426">
        <f>TEXT(425, "[$-060000]yyyy-mm-dd")</f>
        <v/>
      </c>
      <c r="D426" t="inlineStr">
        <is>
          <t>1318-11-10</t>
        </is>
      </c>
    </row>
    <row r="427">
      <c r="A427" s="1" t="n">
        <v>426</v>
      </c>
      <c r="B427">
        <f>TEXT(426, "[$-170000]yyyy-mm-dd")</f>
        <v/>
      </c>
      <c r="C427">
        <f>TEXT(426, "[$-060000]yyyy-mm-dd")</f>
        <v/>
      </c>
      <c r="D427" t="inlineStr">
        <is>
          <t>1318-11-11</t>
        </is>
      </c>
    </row>
    <row r="428">
      <c r="A428" s="1" t="n">
        <v>427</v>
      </c>
      <c r="B428">
        <f>TEXT(427, "[$-170000]yyyy-mm-dd")</f>
        <v/>
      </c>
      <c r="C428">
        <f>TEXT(427, "[$-060000]yyyy-mm-dd")</f>
        <v/>
      </c>
      <c r="D428" t="inlineStr">
        <is>
          <t>1318-11-12</t>
        </is>
      </c>
    </row>
    <row r="429">
      <c r="A429" s="1" t="n">
        <v>428</v>
      </c>
      <c r="B429">
        <f>TEXT(428, "[$-170000]yyyy-mm-dd")</f>
        <v/>
      </c>
      <c r="C429">
        <f>TEXT(428, "[$-060000]yyyy-mm-dd")</f>
        <v/>
      </c>
      <c r="D429" t="inlineStr">
        <is>
          <t>1318-11-13</t>
        </is>
      </c>
    </row>
    <row r="430">
      <c r="A430" s="1" t="n">
        <v>429</v>
      </c>
      <c r="B430">
        <f>TEXT(429, "[$-170000]yyyy-mm-dd")</f>
        <v/>
      </c>
      <c r="C430">
        <f>TEXT(429, "[$-060000]yyyy-mm-dd")</f>
        <v/>
      </c>
      <c r="D430" t="inlineStr">
        <is>
          <t>1318-11-14</t>
        </is>
      </c>
    </row>
    <row r="431">
      <c r="A431" s="1" t="n">
        <v>430</v>
      </c>
      <c r="B431">
        <f>TEXT(430, "[$-170000]yyyy-mm-dd")</f>
        <v/>
      </c>
      <c r="C431">
        <f>TEXT(430, "[$-060000]yyyy-mm-dd")</f>
        <v/>
      </c>
      <c r="D431" t="inlineStr">
        <is>
          <t>1318-11-15</t>
        </is>
      </c>
    </row>
    <row r="432">
      <c r="A432" s="1" t="n">
        <v>431</v>
      </c>
      <c r="B432">
        <f>TEXT(431, "[$-170000]yyyy-mm-dd")</f>
        <v/>
      </c>
      <c r="C432">
        <f>TEXT(431, "[$-060000]yyyy-mm-dd")</f>
        <v/>
      </c>
      <c r="D432" t="inlineStr">
        <is>
          <t>1318-11-16</t>
        </is>
      </c>
    </row>
    <row r="433">
      <c r="A433" s="1" t="n">
        <v>432</v>
      </c>
      <c r="B433">
        <f>TEXT(432, "[$-170000]yyyy-mm-dd")</f>
        <v/>
      </c>
      <c r="C433">
        <f>TEXT(432, "[$-060000]yyyy-mm-dd")</f>
        <v/>
      </c>
      <c r="D433" t="inlineStr">
        <is>
          <t>1318-11-17</t>
        </is>
      </c>
    </row>
    <row r="434">
      <c r="A434" s="1" t="n">
        <v>433</v>
      </c>
      <c r="B434">
        <f>TEXT(433, "[$-170000]yyyy-mm-dd")</f>
        <v/>
      </c>
      <c r="C434">
        <f>TEXT(433, "[$-060000]yyyy-mm-dd")</f>
        <v/>
      </c>
      <c r="D434" t="inlineStr">
        <is>
          <t>1318-11-18</t>
        </is>
      </c>
    </row>
    <row r="435">
      <c r="A435" s="1" t="n">
        <v>434</v>
      </c>
      <c r="B435">
        <f>TEXT(434, "[$-170000]yyyy-mm-dd")</f>
        <v/>
      </c>
      <c r="C435">
        <f>TEXT(434, "[$-060000]yyyy-mm-dd")</f>
        <v/>
      </c>
      <c r="D435" t="inlineStr">
        <is>
          <t>1318-11-19</t>
        </is>
      </c>
    </row>
    <row r="436">
      <c r="A436" s="1" t="n">
        <v>435</v>
      </c>
      <c r="B436">
        <f>TEXT(435, "[$-170000]yyyy-mm-dd")</f>
        <v/>
      </c>
      <c r="C436">
        <f>TEXT(435, "[$-060000]yyyy-mm-dd")</f>
        <v/>
      </c>
      <c r="D436" t="inlineStr">
        <is>
          <t>1318-11-20</t>
        </is>
      </c>
    </row>
    <row r="437">
      <c r="A437" s="1" t="n">
        <v>436</v>
      </c>
      <c r="B437">
        <f>TEXT(436, "[$-170000]yyyy-mm-dd")</f>
        <v/>
      </c>
      <c r="C437">
        <f>TEXT(436, "[$-060000]yyyy-mm-dd")</f>
        <v/>
      </c>
      <c r="D437" t="inlineStr">
        <is>
          <t>1318-11-21</t>
        </is>
      </c>
    </row>
    <row r="438">
      <c r="A438" s="1" t="n">
        <v>437</v>
      </c>
      <c r="B438">
        <f>TEXT(437, "[$-170000]yyyy-mm-dd")</f>
        <v/>
      </c>
      <c r="C438">
        <f>TEXT(437, "[$-060000]yyyy-mm-dd")</f>
        <v/>
      </c>
      <c r="D438" t="inlineStr">
        <is>
          <t>1318-11-22</t>
        </is>
      </c>
    </row>
    <row r="439">
      <c r="A439" s="1" t="n">
        <v>438</v>
      </c>
      <c r="B439">
        <f>TEXT(438, "[$-170000]yyyy-mm-dd")</f>
        <v/>
      </c>
      <c r="C439">
        <f>TEXT(438, "[$-060000]yyyy-mm-dd")</f>
        <v/>
      </c>
      <c r="D439" t="inlineStr">
        <is>
          <t>1318-11-23</t>
        </is>
      </c>
    </row>
    <row r="440">
      <c r="A440" s="1" t="n">
        <v>439</v>
      </c>
      <c r="B440">
        <f>TEXT(439, "[$-170000]yyyy-mm-dd")</f>
        <v/>
      </c>
      <c r="C440">
        <f>TEXT(439, "[$-060000]yyyy-mm-dd")</f>
        <v/>
      </c>
      <c r="D440" t="inlineStr">
        <is>
          <t>1318-11-24</t>
        </is>
      </c>
    </row>
    <row r="441">
      <c r="A441" s="1" t="n">
        <v>440</v>
      </c>
      <c r="B441">
        <f>TEXT(440, "[$-170000]yyyy-mm-dd")</f>
        <v/>
      </c>
      <c r="C441">
        <f>TEXT(440, "[$-060000]yyyy-mm-dd")</f>
        <v/>
      </c>
      <c r="D441" t="inlineStr">
        <is>
          <t>1318-11-25</t>
        </is>
      </c>
    </row>
    <row r="442">
      <c r="A442" s="1" t="n">
        <v>441</v>
      </c>
      <c r="B442">
        <f>TEXT(441, "[$-170000]yyyy-mm-dd")</f>
        <v/>
      </c>
      <c r="C442">
        <f>TEXT(441, "[$-060000]yyyy-mm-dd")</f>
        <v/>
      </c>
      <c r="D442" t="inlineStr">
        <is>
          <t>1318-11-26</t>
        </is>
      </c>
    </row>
    <row r="443">
      <c r="A443" s="1" t="n">
        <v>442</v>
      </c>
      <c r="B443">
        <f>TEXT(442, "[$-170000]yyyy-mm-dd")</f>
        <v/>
      </c>
      <c r="C443">
        <f>TEXT(442, "[$-060000]yyyy-mm-dd")</f>
        <v/>
      </c>
      <c r="D443" t="inlineStr">
        <is>
          <t>1318-11-27</t>
        </is>
      </c>
    </row>
    <row r="444">
      <c r="A444" s="1" t="n">
        <v>443</v>
      </c>
      <c r="B444">
        <f>TEXT(443, "[$-170000]yyyy-mm-dd")</f>
        <v/>
      </c>
      <c r="C444">
        <f>TEXT(443, "[$-060000]yyyy-mm-dd")</f>
        <v/>
      </c>
      <c r="D444" t="inlineStr">
        <is>
          <t>1318-11-28</t>
        </is>
      </c>
    </row>
    <row r="445">
      <c r="A445" s="1" t="n">
        <v>444</v>
      </c>
      <c r="B445">
        <f>TEXT(444, "[$-170000]yyyy-mm-dd")</f>
        <v/>
      </c>
      <c r="C445">
        <f>TEXT(444, "[$-060000]yyyy-mm-dd")</f>
        <v/>
      </c>
      <c r="D445" t="inlineStr">
        <is>
          <t>1318-11-29</t>
        </is>
      </c>
    </row>
    <row r="446">
      <c r="A446" s="1" t="n">
        <v>445</v>
      </c>
      <c r="B446">
        <f>TEXT(445, "[$-170000]yyyy-mm-dd")</f>
        <v/>
      </c>
      <c r="C446">
        <f>TEXT(445, "[$-060000]yyyy-mm-dd")</f>
        <v/>
      </c>
      <c r="D446" t="inlineStr">
        <is>
          <t>1318-11-30</t>
        </is>
      </c>
    </row>
    <row r="447">
      <c r="A447" s="1" t="n">
        <v>446</v>
      </c>
      <c r="B447">
        <f>TEXT(446, "[$-170000]yyyy-mm-dd")</f>
        <v/>
      </c>
      <c r="C447">
        <f>TEXT(446, "[$-060000]yyyy-mm-dd")</f>
        <v/>
      </c>
      <c r="D447" t="inlineStr">
        <is>
          <t>1318-12-01</t>
        </is>
      </c>
    </row>
    <row r="448">
      <c r="A448" s="1" t="n">
        <v>447</v>
      </c>
      <c r="B448">
        <f>TEXT(447, "[$-170000]yyyy-mm-dd")</f>
        <v/>
      </c>
      <c r="C448">
        <f>TEXT(447, "[$-060000]yyyy-mm-dd")</f>
        <v/>
      </c>
      <c r="D448" t="inlineStr">
        <is>
          <t>1318-12-02</t>
        </is>
      </c>
    </row>
    <row r="449">
      <c r="A449" s="1" t="n">
        <v>448</v>
      </c>
      <c r="B449">
        <f>TEXT(448, "[$-170000]yyyy-mm-dd")</f>
        <v/>
      </c>
      <c r="C449">
        <f>TEXT(448, "[$-060000]yyyy-mm-dd")</f>
        <v/>
      </c>
      <c r="D449" t="inlineStr">
        <is>
          <t>1318-12-03</t>
        </is>
      </c>
    </row>
    <row r="450">
      <c r="A450" s="1" t="n">
        <v>449</v>
      </c>
      <c r="B450">
        <f>TEXT(449, "[$-170000]yyyy-mm-dd")</f>
        <v/>
      </c>
      <c r="C450">
        <f>TEXT(449, "[$-060000]yyyy-mm-dd")</f>
        <v/>
      </c>
      <c r="D450" t="inlineStr">
        <is>
          <t>1318-12-04</t>
        </is>
      </c>
    </row>
    <row r="451">
      <c r="A451" s="1" t="n">
        <v>450</v>
      </c>
      <c r="B451">
        <f>TEXT(450, "[$-170000]yyyy-mm-dd")</f>
        <v/>
      </c>
      <c r="C451">
        <f>TEXT(450, "[$-060000]yyyy-mm-dd")</f>
        <v/>
      </c>
      <c r="D451" t="inlineStr">
        <is>
          <t>1318-12-05</t>
        </is>
      </c>
    </row>
    <row r="452">
      <c r="A452" s="1" t="n">
        <v>451</v>
      </c>
      <c r="B452">
        <f>TEXT(451, "[$-170000]yyyy-mm-dd")</f>
        <v/>
      </c>
      <c r="C452">
        <f>TEXT(451, "[$-060000]yyyy-mm-dd")</f>
        <v/>
      </c>
      <c r="D452" t="inlineStr">
        <is>
          <t>1318-12-06</t>
        </is>
      </c>
    </row>
    <row r="453">
      <c r="A453" s="1" t="n">
        <v>452</v>
      </c>
      <c r="B453">
        <f>TEXT(452, "[$-170000]yyyy-mm-dd")</f>
        <v/>
      </c>
      <c r="C453">
        <f>TEXT(452, "[$-060000]yyyy-mm-dd")</f>
        <v/>
      </c>
      <c r="D453" t="inlineStr">
        <is>
          <t>1318-12-07</t>
        </is>
      </c>
    </row>
    <row r="454">
      <c r="A454" s="1" t="n">
        <v>453</v>
      </c>
      <c r="B454">
        <f>TEXT(453, "[$-170000]yyyy-mm-dd")</f>
        <v/>
      </c>
      <c r="C454">
        <f>TEXT(453, "[$-060000]yyyy-mm-dd")</f>
        <v/>
      </c>
      <c r="D454" t="inlineStr">
        <is>
          <t>1318-12-08</t>
        </is>
      </c>
    </row>
    <row r="455">
      <c r="A455" s="1" t="n">
        <v>454</v>
      </c>
      <c r="B455">
        <f>TEXT(454, "[$-170000]yyyy-mm-dd")</f>
        <v/>
      </c>
      <c r="C455">
        <f>TEXT(454, "[$-060000]yyyy-mm-dd")</f>
        <v/>
      </c>
      <c r="D455" t="inlineStr">
        <is>
          <t>1318-12-09</t>
        </is>
      </c>
    </row>
    <row r="456">
      <c r="A456" s="1" t="n">
        <v>455</v>
      </c>
      <c r="B456">
        <f>TEXT(455, "[$-170000]yyyy-mm-dd")</f>
        <v/>
      </c>
      <c r="C456">
        <f>TEXT(455, "[$-060000]yyyy-mm-dd")</f>
        <v/>
      </c>
      <c r="D456" t="inlineStr">
        <is>
          <t>1318-12-10</t>
        </is>
      </c>
    </row>
    <row r="457">
      <c r="A457" s="1" t="n">
        <v>456</v>
      </c>
      <c r="B457">
        <f>TEXT(456, "[$-170000]yyyy-mm-dd")</f>
        <v/>
      </c>
      <c r="C457">
        <f>TEXT(456, "[$-060000]yyyy-mm-dd")</f>
        <v/>
      </c>
      <c r="D457" t="inlineStr">
        <is>
          <t>1318-12-11</t>
        </is>
      </c>
    </row>
    <row r="458">
      <c r="A458" s="1" t="n">
        <v>457</v>
      </c>
      <c r="B458">
        <f>TEXT(457, "[$-170000]yyyy-mm-dd")</f>
        <v/>
      </c>
      <c r="C458">
        <f>TEXT(457, "[$-060000]yyyy-mm-dd")</f>
        <v/>
      </c>
      <c r="D458" t="inlineStr">
        <is>
          <t>1318-12-12</t>
        </is>
      </c>
    </row>
    <row r="459">
      <c r="A459" s="1" t="n">
        <v>458</v>
      </c>
      <c r="B459">
        <f>TEXT(458, "[$-170000]yyyy-mm-dd")</f>
        <v/>
      </c>
      <c r="C459">
        <f>TEXT(458, "[$-060000]yyyy-mm-dd")</f>
        <v/>
      </c>
      <c r="D459" t="inlineStr">
        <is>
          <t>1318-12-13</t>
        </is>
      </c>
    </row>
    <row r="460">
      <c r="A460" s="1" t="n">
        <v>459</v>
      </c>
      <c r="B460">
        <f>TEXT(459, "[$-170000]yyyy-mm-dd")</f>
        <v/>
      </c>
      <c r="C460">
        <f>TEXT(459, "[$-060000]yyyy-mm-dd")</f>
        <v/>
      </c>
      <c r="D460" t="inlineStr">
        <is>
          <t>1318-12-14</t>
        </is>
      </c>
    </row>
    <row r="461">
      <c r="A461" s="1" t="n">
        <v>460</v>
      </c>
      <c r="B461">
        <f>TEXT(460, "[$-170000]yyyy-mm-dd")</f>
        <v/>
      </c>
      <c r="C461">
        <f>TEXT(460, "[$-060000]yyyy-mm-dd")</f>
        <v/>
      </c>
      <c r="D461" t="inlineStr">
        <is>
          <t>1318-12-15</t>
        </is>
      </c>
    </row>
    <row r="462">
      <c r="A462" s="1" t="n">
        <v>461</v>
      </c>
      <c r="B462">
        <f>TEXT(461, "[$-170000]yyyy-mm-dd")</f>
        <v/>
      </c>
      <c r="C462">
        <f>TEXT(461, "[$-060000]yyyy-mm-dd")</f>
        <v/>
      </c>
      <c r="D462" t="inlineStr">
        <is>
          <t>1318-12-16</t>
        </is>
      </c>
    </row>
    <row r="463">
      <c r="A463" s="1" t="n">
        <v>462</v>
      </c>
      <c r="B463">
        <f>TEXT(462, "[$-170000]yyyy-mm-dd")</f>
        <v/>
      </c>
      <c r="C463">
        <f>TEXT(462, "[$-060000]yyyy-mm-dd")</f>
        <v/>
      </c>
      <c r="D463" t="inlineStr">
        <is>
          <t>1318-12-17</t>
        </is>
      </c>
    </row>
    <row r="464">
      <c r="A464" s="1" t="n">
        <v>463</v>
      </c>
      <c r="B464">
        <f>TEXT(463, "[$-170000]yyyy-mm-dd")</f>
        <v/>
      </c>
      <c r="C464">
        <f>TEXT(463, "[$-060000]yyyy-mm-dd")</f>
        <v/>
      </c>
      <c r="D464" t="inlineStr">
        <is>
          <t>1318-12-18</t>
        </is>
      </c>
    </row>
    <row r="465">
      <c r="A465" s="1" t="n">
        <v>464</v>
      </c>
      <c r="B465">
        <f>TEXT(464, "[$-170000]yyyy-mm-dd")</f>
        <v/>
      </c>
      <c r="C465">
        <f>TEXT(464, "[$-060000]yyyy-mm-dd")</f>
        <v/>
      </c>
      <c r="D465" t="inlineStr">
        <is>
          <t>1318-12-19</t>
        </is>
      </c>
    </row>
    <row r="466">
      <c r="A466" s="1" t="n">
        <v>465</v>
      </c>
      <c r="B466">
        <f>TEXT(465, "[$-170000]yyyy-mm-dd")</f>
        <v/>
      </c>
      <c r="C466">
        <f>TEXT(465, "[$-060000]yyyy-mm-dd")</f>
        <v/>
      </c>
      <c r="D466" t="inlineStr">
        <is>
          <t>1318-12-20</t>
        </is>
      </c>
    </row>
    <row r="467">
      <c r="A467" s="1" t="n">
        <v>466</v>
      </c>
      <c r="B467">
        <f>TEXT(466, "[$-170000]yyyy-mm-dd")</f>
        <v/>
      </c>
      <c r="C467">
        <f>TEXT(466, "[$-060000]yyyy-mm-dd")</f>
        <v/>
      </c>
      <c r="D467" t="inlineStr">
        <is>
          <t>1318-12-21</t>
        </is>
      </c>
    </row>
    <row r="468">
      <c r="A468" s="1" t="n">
        <v>467</v>
      </c>
      <c r="B468">
        <f>TEXT(467, "[$-170000]yyyy-mm-dd")</f>
        <v/>
      </c>
      <c r="C468">
        <f>TEXT(467, "[$-060000]yyyy-mm-dd")</f>
        <v/>
      </c>
      <c r="D468" t="inlineStr">
        <is>
          <t>1318-12-22</t>
        </is>
      </c>
    </row>
    <row r="469">
      <c r="A469" s="1" t="n">
        <v>468</v>
      </c>
      <c r="B469">
        <f>TEXT(468, "[$-170000]yyyy-mm-dd")</f>
        <v/>
      </c>
      <c r="C469">
        <f>TEXT(468, "[$-060000]yyyy-mm-dd")</f>
        <v/>
      </c>
      <c r="D469" t="inlineStr">
        <is>
          <t>1318-12-23</t>
        </is>
      </c>
    </row>
    <row r="470">
      <c r="A470" s="1" t="n">
        <v>469</v>
      </c>
      <c r="B470">
        <f>TEXT(469, "[$-170000]yyyy-mm-dd")</f>
        <v/>
      </c>
      <c r="C470">
        <f>TEXT(469, "[$-060000]yyyy-mm-dd")</f>
        <v/>
      </c>
      <c r="D470" t="inlineStr">
        <is>
          <t>1318-12-24</t>
        </is>
      </c>
    </row>
    <row r="471">
      <c r="A471" s="1" t="n">
        <v>470</v>
      </c>
      <c r="B471">
        <f>TEXT(470, "[$-170000]yyyy-mm-dd")</f>
        <v/>
      </c>
      <c r="C471">
        <f>TEXT(470, "[$-060000]yyyy-mm-dd")</f>
        <v/>
      </c>
      <c r="D471" t="inlineStr">
        <is>
          <t>1318-12-25</t>
        </is>
      </c>
    </row>
    <row r="472">
      <c r="A472" s="1" t="n">
        <v>471</v>
      </c>
      <c r="B472">
        <f>TEXT(471, "[$-170000]yyyy-mm-dd")</f>
        <v/>
      </c>
      <c r="C472">
        <f>TEXT(471, "[$-060000]yyyy-mm-dd")</f>
        <v/>
      </c>
      <c r="D472" t="inlineStr">
        <is>
          <t>1318-12-26</t>
        </is>
      </c>
    </row>
    <row r="473">
      <c r="A473" s="1" t="n">
        <v>472</v>
      </c>
      <c r="B473">
        <f>TEXT(472, "[$-170000]yyyy-mm-dd")</f>
        <v/>
      </c>
      <c r="C473">
        <f>TEXT(472, "[$-060000]yyyy-mm-dd")</f>
        <v/>
      </c>
      <c r="D473" t="inlineStr">
        <is>
          <t>1318-12-27</t>
        </is>
      </c>
    </row>
    <row r="474">
      <c r="A474" s="1" t="n">
        <v>473</v>
      </c>
      <c r="B474">
        <f>TEXT(473, "[$-170000]yyyy-mm-dd")</f>
        <v/>
      </c>
      <c r="C474">
        <f>TEXT(473, "[$-060000]yyyy-mm-dd")</f>
        <v/>
      </c>
      <c r="D474" t="inlineStr">
        <is>
          <t>1318-12-28</t>
        </is>
      </c>
    </row>
    <row r="475">
      <c r="A475" s="1" t="n">
        <v>474</v>
      </c>
      <c r="B475">
        <f>TEXT(474, "[$-170000]yyyy-mm-dd")</f>
        <v/>
      </c>
      <c r="C475">
        <f>TEXT(474, "[$-060000]yyyy-mm-dd")</f>
        <v/>
      </c>
      <c r="D475" t="inlineStr">
        <is>
          <t>1318-12-29</t>
        </is>
      </c>
    </row>
    <row r="476">
      <c r="A476" s="1" t="n">
        <v>475</v>
      </c>
      <c r="B476">
        <f>TEXT(475, "[$-170000]yyyy-mm-dd")</f>
        <v/>
      </c>
      <c r="C476">
        <f>TEXT(475, "[$-060000]yyyy-mm-dd")</f>
        <v/>
      </c>
      <c r="D476" t="inlineStr">
        <is>
          <t>1319-01-01</t>
        </is>
      </c>
    </row>
    <row r="477">
      <c r="A477" s="1" t="n">
        <v>476</v>
      </c>
      <c r="B477">
        <f>TEXT(476, "[$-170000]yyyy-mm-dd")</f>
        <v/>
      </c>
      <c r="C477">
        <f>TEXT(476, "[$-060000]yyyy-mm-dd")</f>
        <v/>
      </c>
      <c r="D477" t="inlineStr">
        <is>
          <t>1319-01-02</t>
        </is>
      </c>
    </row>
    <row r="478">
      <c r="A478" s="1" t="n">
        <v>477</v>
      </c>
      <c r="B478">
        <f>TEXT(477, "[$-170000]yyyy-mm-dd")</f>
        <v/>
      </c>
      <c r="C478">
        <f>TEXT(477, "[$-060000]yyyy-mm-dd")</f>
        <v/>
      </c>
      <c r="D478" t="inlineStr">
        <is>
          <t>1319-01-03</t>
        </is>
      </c>
    </row>
    <row r="479">
      <c r="A479" s="1" t="n">
        <v>478</v>
      </c>
      <c r="B479">
        <f>TEXT(478, "[$-170000]yyyy-mm-dd")</f>
        <v/>
      </c>
      <c r="C479">
        <f>TEXT(478, "[$-060000]yyyy-mm-dd")</f>
        <v/>
      </c>
      <c r="D479" t="inlineStr">
        <is>
          <t>1319-01-04</t>
        </is>
      </c>
    </row>
    <row r="480">
      <c r="A480" s="1" t="n">
        <v>479</v>
      </c>
      <c r="B480">
        <f>TEXT(479, "[$-170000]yyyy-mm-dd")</f>
        <v/>
      </c>
      <c r="C480">
        <f>TEXT(479, "[$-060000]yyyy-mm-dd")</f>
        <v/>
      </c>
      <c r="D480" t="inlineStr">
        <is>
          <t>1319-01-05</t>
        </is>
      </c>
    </row>
    <row r="481">
      <c r="A481" s="1" t="n">
        <v>480</v>
      </c>
      <c r="B481">
        <f>TEXT(480, "[$-170000]yyyy-mm-dd")</f>
        <v/>
      </c>
      <c r="C481">
        <f>TEXT(480, "[$-060000]yyyy-mm-dd")</f>
        <v/>
      </c>
      <c r="D481" t="inlineStr">
        <is>
          <t>1319-01-06</t>
        </is>
      </c>
    </row>
    <row r="482">
      <c r="A482" s="1" t="n">
        <v>481</v>
      </c>
      <c r="B482">
        <f>TEXT(481, "[$-170000]yyyy-mm-dd")</f>
        <v/>
      </c>
      <c r="C482">
        <f>TEXT(481, "[$-060000]yyyy-mm-dd")</f>
        <v/>
      </c>
      <c r="D482" t="inlineStr">
        <is>
          <t>1319-01-07</t>
        </is>
      </c>
    </row>
    <row r="483">
      <c r="A483" s="1" t="n">
        <v>482</v>
      </c>
      <c r="B483">
        <f>TEXT(482, "[$-170000]yyyy-mm-dd")</f>
        <v/>
      </c>
      <c r="C483">
        <f>TEXT(482, "[$-060000]yyyy-mm-dd")</f>
        <v/>
      </c>
      <c r="D483" t="inlineStr">
        <is>
          <t>1319-01-08</t>
        </is>
      </c>
    </row>
    <row r="484">
      <c r="A484" s="1" t="n">
        <v>483</v>
      </c>
      <c r="B484">
        <f>TEXT(483, "[$-170000]yyyy-mm-dd")</f>
        <v/>
      </c>
      <c r="C484">
        <f>TEXT(483, "[$-060000]yyyy-mm-dd")</f>
        <v/>
      </c>
      <c r="D484" t="inlineStr">
        <is>
          <t>1319-01-09</t>
        </is>
      </c>
    </row>
    <row r="485">
      <c r="A485" s="1" t="n">
        <v>484</v>
      </c>
      <c r="B485">
        <f>TEXT(484, "[$-170000]yyyy-mm-dd")</f>
        <v/>
      </c>
      <c r="C485">
        <f>TEXT(484, "[$-060000]yyyy-mm-dd")</f>
        <v/>
      </c>
      <c r="D485" t="inlineStr">
        <is>
          <t>1319-01-10</t>
        </is>
      </c>
    </row>
    <row r="486">
      <c r="A486" s="1" t="n">
        <v>485</v>
      </c>
      <c r="B486">
        <f>TEXT(485, "[$-170000]yyyy-mm-dd")</f>
        <v/>
      </c>
      <c r="C486">
        <f>TEXT(485, "[$-060000]yyyy-mm-dd")</f>
        <v/>
      </c>
      <c r="D486" t="inlineStr">
        <is>
          <t>1319-01-11</t>
        </is>
      </c>
    </row>
    <row r="487">
      <c r="A487" s="1" t="n">
        <v>486</v>
      </c>
      <c r="B487">
        <f>TEXT(486, "[$-170000]yyyy-mm-dd")</f>
        <v/>
      </c>
      <c r="C487">
        <f>TEXT(486, "[$-060000]yyyy-mm-dd")</f>
        <v/>
      </c>
      <c r="D487" t="inlineStr">
        <is>
          <t>1319-01-12</t>
        </is>
      </c>
    </row>
    <row r="488">
      <c r="A488" s="1" t="n">
        <v>487</v>
      </c>
      <c r="B488">
        <f>TEXT(487, "[$-170000]yyyy-mm-dd")</f>
        <v/>
      </c>
      <c r="C488">
        <f>TEXT(487, "[$-060000]yyyy-mm-dd")</f>
        <v/>
      </c>
      <c r="D488" t="inlineStr">
        <is>
          <t>1319-01-13</t>
        </is>
      </c>
    </row>
    <row r="489">
      <c r="A489" s="1" t="n">
        <v>488</v>
      </c>
      <c r="B489">
        <f>TEXT(488, "[$-170000]yyyy-mm-dd")</f>
        <v/>
      </c>
      <c r="C489">
        <f>TEXT(488, "[$-060000]yyyy-mm-dd")</f>
        <v/>
      </c>
      <c r="D489" t="inlineStr">
        <is>
          <t>1319-01-14</t>
        </is>
      </c>
    </row>
    <row r="490">
      <c r="A490" s="1" t="n">
        <v>489</v>
      </c>
      <c r="B490">
        <f>TEXT(489, "[$-170000]yyyy-mm-dd")</f>
        <v/>
      </c>
      <c r="C490">
        <f>TEXT(489, "[$-060000]yyyy-mm-dd")</f>
        <v/>
      </c>
      <c r="D490" t="inlineStr">
        <is>
          <t>1319-01-15</t>
        </is>
      </c>
    </row>
    <row r="491">
      <c r="A491" s="1" t="n">
        <v>490</v>
      </c>
      <c r="B491">
        <f>TEXT(490, "[$-170000]yyyy-mm-dd")</f>
        <v/>
      </c>
      <c r="C491">
        <f>TEXT(490, "[$-060000]yyyy-mm-dd")</f>
        <v/>
      </c>
      <c r="D491" t="inlineStr">
        <is>
          <t>1319-01-16</t>
        </is>
      </c>
    </row>
    <row r="492">
      <c r="A492" s="1" t="n">
        <v>491</v>
      </c>
      <c r="B492">
        <f>TEXT(491, "[$-170000]yyyy-mm-dd")</f>
        <v/>
      </c>
      <c r="C492">
        <f>TEXT(491, "[$-060000]yyyy-mm-dd")</f>
        <v/>
      </c>
      <c r="D492" t="inlineStr">
        <is>
          <t>1319-01-17</t>
        </is>
      </c>
    </row>
    <row r="493">
      <c r="A493" s="1" t="n">
        <v>492</v>
      </c>
      <c r="B493">
        <f>TEXT(492, "[$-170000]yyyy-mm-dd")</f>
        <v/>
      </c>
      <c r="C493">
        <f>TEXT(492, "[$-060000]yyyy-mm-dd")</f>
        <v/>
      </c>
      <c r="D493" t="inlineStr">
        <is>
          <t>1319-01-18</t>
        </is>
      </c>
    </row>
    <row r="494">
      <c r="A494" s="1" t="n">
        <v>493</v>
      </c>
      <c r="B494">
        <f>TEXT(493, "[$-170000]yyyy-mm-dd")</f>
        <v/>
      </c>
      <c r="C494">
        <f>TEXT(493, "[$-060000]yyyy-mm-dd")</f>
        <v/>
      </c>
      <c r="D494" t="inlineStr">
        <is>
          <t>1319-01-19</t>
        </is>
      </c>
    </row>
    <row r="495">
      <c r="A495" s="1" t="n">
        <v>494</v>
      </c>
      <c r="B495">
        <f>TEXT(494, "[$-170000]yyyy-mm-dd")</f>
        <v/>
      </c>
      <c r="C495">
        <f>TEXT(494, "[$-060000]yyyy-mm-dd")</f>
        <v/>
      </c>
      <c r="D495" t="inlineStr">
        <is>
          <t>1319-01-20</t>
        </is>
      </c>
    </row>
    <row r="496">
      <c r="A496" s="1" t="n">
        <v>495</v>
      </c>
      <c r="B496">
        <f>TEXT(495, "[$-170000]yyyy-mm-dd")</f>
        <v/>
      </c>
      <c r="C496">
        <f>TEXT(495, "[$-060000]yyyy-mm-dd")</f>
        <v/>
      </c>
      <c r="D496" t="inlineStr">
        <is>
          <t>1319-01-21</t>
        </is>
      </c>
    </row>
    <row r="497">
      <c r="A497" s="1" t="n">
        <v>496</v>
      </c>
      <c r="B497">
        <f>TEXT(496, "[$-170000]yyyy-mm-dd")</f>
        <v/>
      </c>
      <c r="C497">
        <f>TEXT(496, "[$-060000]yyyy-mm-dd")</f>
        <v/>
      </c>
      <c r="D497" t="inlineStr">
        <is>
          <t>1319-01-22</t>
        </is>
      </c>
    </row>
    <row r="498">
      <c r="A498" s="1" t="n">
        <v>497</v>
      </c>
      <c r="B498">
        <f>TEXT(497, "[$-170000]yyyy-mm-dd")</f>
        <v/>
      </c>
      <c r="C498">
        <f>TEXT(497, "[$-060000]yyyy-mm-dd")</f>
        <v/>
      </c>
      <c r="D498" t="inlineStr">
        <is>
          <t>1319-01-23</t>
        </is>
      </c>
    </row>
    <row r="499">
      <c r="A499" s="1" t="n">
        <v>498</v>
      </c>
      <c r="B499">
        <f>TEXT(498, "[$-170000]yyyy-mm-dd")</f>
        <v/>
      </c>
      <c r="C499">
        <f>TEXT(498, "[$-060000]yyyy-mm-dd")</f>
        <v/>
      </c>
      <c r="D499" t="inlineStr">
        <is>
          <t>1319-01-24</t>
        </is>
      </c>
    </row>
    <row r="500">
      <c r="A500" s="1" t="n">
        <v>499</v>
      </c>
      <c r="B500">
        <f>TEXT(499, "[$-170000]yyyy-mm-dd")</f>
        <v/>
      </c>
      <c r="C500">
        <f>TEXT(499, "[$-060000]yyyy-mm-dd")</f>
        <v/>
      </c>
      <c r="D500" t="inlineStr">
        <is>
          <t>1319-01-25</t>
        </is>
      </c>
    </row>
    <row r="501">
      <c r="A501" s="1" t="n">
        <v>500</v>
      </c>
      <c r="B501">
        <f>TEXT(500, "[$-170000]yyyy-mm-dd")</f>
        <v/>
      </c>
      <c r="C501">
        <f>TEXT(500, "[$-060000]yyyy-mm-dd")</f>
        <v/>
      </c>
      <c r="D501" t="inlineStr">
        <is>
          <t>1319-01-26</t>
        </is>
      </c>
    </row>
    <row r="502">
      <c r="A502" s="1" t="n">
        <v>501</v>
      </c>
      <c r="B502">
        <f>TEXT(501, "[$-170000]yyyy-mm-dd")</f>
        <v/>
      </c>
      <c r="C502">
        <f>TEXT(501, "[$-060000]yyyy-mm-dd")</f>
        <v/>
      </c>
      <c r="D502" t="inlineStr">
        <is>
          <t>1319-01-27</t>
        </is>
      </c>
    </row>
    <row r="503">
      <c r="A503" s="1" t="n">
        <v>502</v>
      </c>
      <c r="B503">
        <f>TEXT(502, "[$-170000]yyyy-mm-dd")</f>
        <v/>
      </c>
      <c r="C503">
        <f>TEXT(502, "[$-060000]yyyy-mm-dd")</f>
        <v/>
      </c>
      <c r="D503" t="inlineStr">
        <is>
          <t>1319-01-28</t>
        </is>
      </c>
    </row>
    <row r="504">
      <c r="A504" s="1" t="n">
        <v>503</v>
      </c>
      <c r="B504">
        <f>TEXT(503, "[$-170000]yyyy-mm-dd")</f>
        <v/>
      </c>
      <c r="C504">
        <f>TEXT(503, "[$-060000]yyyy-mm-dd")</f>
        <v/>
      </c>
      <c r="D504" t="inlineStr">
        <is>
          <t>1319-01-29</t>
        </is>
      </c>
    </row>
    <row r="505">
      <c r="A505" s="1" t="n">
        <v>504</v>
      </c>
      <c r="B505">
        <f>TEXT(504, "[$-170000]yyyy-mm-dd")</f>
        <v/>
      </c>
      <c r="C505">
        <f>TEXT(504, "[$-060000]yyyy-mm-dd")</f>
        <v/>
      </c>
      <c r="D505" t="inlineStr">
        <is>
          <t>1319-01-30</t>
        </is>
      </c>
    </row>
    <row r="506">
      <c r="A506" s="1" t="n">
        <v>505</v>
      </c>
      <c r="B506">
        <f>TEXT(505, "[$-170000]yyyy-mm-dd")</f>
        <v/>
      </c>
      <c r="C506">
        <f>TEXT(505, "[$-060000]yyyy-mm-dd")</f>
        <v/>
      </c>
      <c r="D506" t="inlineStr">
        <is>
          <t>1319-02-01</t>
        </is>
      </c>
    </row>
    <row r="507">
      <c r="A507" s="1" t="n">
        <v>506</v>
      </c>
      <c r="B507">
        <f>TEXT(506, "[$-170000]yyyy-mm-dd")</f>
        <v/>
      </c>
      <c r="C507">
        <f>TEXT(506, "[$-060000]yyyy-mm-dd")</f>
        <v/>
      </c>
      <c r="D507" t="inlineStr">
        <is>
          <t>1319-02-02</t>
        </is>
      </c>
    </row>
    <row r="508">
      <c r="A508" s="1" t="n">
        <v>507</v>
      </c>
      <c r="B508">
        <f>TEXT(507, "[$-170000]yyyy-mm-dd")</f>
        <v/>
      </c>
      <c r="C508">
        <f>TEXT(507, "[$-060000]yyyy-mm-dd")</f>
        <v/>
      </c>
      <c r="D508" t="inlineStr">
        <is>
          <t>1319-02-03</t>
        </is>
      </c>
    </row>
    <row r="509">
      <c r="A509" s="1" t="n">
        <v>508</v>
      </c>
      <c r="B509">
        <f>TEXT(508, "[$-170000]yyyy-mm-dd")</f>
        <v/>
      </c>
      <c r="C509">
        <f>TEXT(508, "[$-060000]yyyy-mm-dd")</f>
        <v/>
      </c>
      <c r="D509" t="inlineStr">
        <is>
          <t>1319-02-04</t>
        </is>
      </c>
    </row>
    <row r="510">
      <c r="A510" s="1" t="n">
        <v>509</v>
      </c>
      <c r="B510">
        <f>TEXT(509, "[$-170000]yyyy-mm-dd")</f>
        <v/>
      </c>
      <c r="C510">
        <f>TEXT(509, "[$-060000]yyyy-mm-dd")</f>
        <v/>
      </c>
      <c r="D510" t="inlineStr">
        <is>
          <t>1319-02-05</t>
        </is>
      </c>
    </row>
    <row r="511">
      <c r="A511" s="1" t="n">
        <v>510</v>
      </c>
      <c r="B511">
        <f>TEXT(510, "[$-170000]yyyy-mm-dd")</f>
        <v/>
      </c>
      <c r="C511">
        <f>TEXT(510, "[$-060000]yyyy-mm-dd")</f>
        <v/>
      </c>
      <c r="D511" t="inlineStr">
        <is>
          <t>1319-02-06</t>
        </is>
      </c>
    </row>
    <row r="512">
      <c r="A512" s="1" t="n">
        <v>511</v>
      </c>
      <c r="B512">
        <f>TEXT(511, "[$-170000]yyyy-mm-dd")</f>
        <v/>
      </c>
      <c r="C512">
        <f>TEXT(511, "[$-060000]yyyy-mm-dd")</f>
        <v/>
      </c>
      <c r="D512" t="inlineStr">
        <is>
          <t>1319-02-07</t>
        </is>
      </c>
    </row>
    <row r="513">
      <c r="A513" s="1" t="n">
        <v>512</v>
      </c>
      <c r="B513">
        <f>TEXT(512, "[$-170000]yyyy-mm-dd")</f>
        <v/>
      </c>
      <c r="C513">
        <f>TEXT(512, "[$-060000]yyyy-mm-dd")</f>
        <v/>
      </c>
      <c r="D513" t="inlineStr">
        <is>
          <t>1319-02-08</t>
        </is>
      </c>
    </row>
    <row r="514">
      <c r="A514" s="1" t="n">
        <v>513</v>
      </c>
      <c r="B514">
        <f>TEXT(513, "[$-170000]yyyy-mm-dd")</f>
        <v/>
      </c>
      <c r="C514">
        <f>TEXT(513, "[$-060000]yyyy-mm-dd")</f>
        <v/>
      </c>
      <c r="D514" t="inlineStr">
        <is>
          <t>1319-02-09</t>
        </is>
      </c>
    </row>
    <row r="515">
      <c r="A515" s="1" t="n">
        <v>514</v>
      </c>
      <c r="B515">
        <f>TEXT(514, "[$-170000]yyyy-mm-dd")</f>
        <v/>
      </c>
      <c r="C515">
        <f>TEXT(514, "[$-060000]yyyy-mm-dd")</f>
        <v/>
      </c>
      <c r="D515" t="inlineStr">
        <is>
          <t>1319-02-10</t>
        </is>
      </c>
    </row>
    <row r="516">
      <c r="A516" s="1" t="n">
        <v>515</v>
      </c>
      <c r="B516">
        <f>TEXT(515, "[$-170000]yyyy-mm-dd")</f>
        <v/>
      </c>
      <c r="C516">
        <f>TEXT(515, "[$-060000]yyyy-mm-dd")</f>
        <v/>
      </c>
      <c r="D516" t="inlineStr">
        <is>
          <t>1319-02-11</t>
        </is>
      </c>
    </row>
    <row r="517">
      <c r="A517" s="1" t="n">
        <v>516</v>
      </c>
      <c r="B517">
        <f>TEXT(516, "[$-170000]yyyy-mm-dd")</f>
        <v/>
      </c>
      <c r="C517">
        <f>TEXT(516, "[$-060000]yyyy-mm-dd")</f>
        <v/>
      </c>
      <c r="D517" t="inlineStr">
        <is>
          <t>1319-02-12</t>
        </is>
      </c>
    </row>
    <row r="518">
      <c r="A518" s="1" t="n">
        <v>517</v>
      </c>
      <c r="B518">
        <f>TEXT(517, "[$-170000]yyyy-mm-dd")</f>
        <v/>
      </c>
      <c r="C518">
        <f>TEXT(517, "[$-060000]yyyy-mm-dd")</f>
        <v/>
      </c>
      <c r="D518" t="inlineStr">
        <is>
          <t>1319-02-13</t>
        </is>
      </c>
    </row>
    <row r="519">
      <c r="A519" s="1" t="n">
        <v>518</v>
      </c>
      <c r="B519">
        <f>TEXT(518, "[$-170000]yyyy-mm-dd")</f>
        <v/>
      </c>
      <c r="C519">
        <f>TEXT(518, "[$-060000]yyyy-mm-dd")</f>
        <v/>
      </c>
      <c r="D519" t="inlineStr">
        <is>
          <t>1319-02-14</t>
        </is>
      </c>
    </row>
    <row r="520">
      <c r="A520" s="1" t="n">
        <v>519</v>
      </c>
      <c r="B520">
        <f>TEXT(519, "[$-170000]yyyy-mm-dd")</f>
        <v/>
      </c>
      <c r="C520">
        <f>TEXT(519, "[$-060000]yyyy-mm-dd")</f>
        <v/>
      </c>
      <c r="D520" t="inlineStr">
        <is>
          <t>1319-02-15</t>
        </is>
      </c>
    </row>
    <row r="521">
      <c r="A521" s="1" t="n">
        <v>520</v>
      </c>
      <c r="B521">
        <f>TEXT(520, "[$-170000]yyyy-mm-dd")</f>
        <v/>
      </c>
      <c r="C521">
        <f>TEXT(520, "[$-060000]yyyy-mm-dd")</f>
        <v/>
      </c>
      <c r="D521" t="inlineStr">
        <is>
          <t>1319-02-16</t>
        </is>
      </c>
    </row>
    <row r="522">
      <c r="A522" s="1" t="n">
        <v>521</v>
      </c>
      <c r="B522">
        <f>TEXT(521, "[$-170000]yyyy-mm-dd")</f>
        <v/>
      </c>
      <c r="C522">
        <f>TEXT(521, "[$-060000]yyyy-mm-dd")</f>
        <v/>
      </c>
      <c r="D522" t="inlineStr">
        <is>
          <t>1319-02-17</t>
        </is>
      </c>
    </row>
    <row r="523">
      <c r="A523" s="1" t="n">
        <v>522</v>
      </c>
      <c r="B523">
        <f>TEXT(522, "[$-170000]yyyy-mm-dd")</f>
        <v/>
      </c>
      <c r="C523">
        <f>TEXT(522, "[$-060000]yyyy-mm-dd")</f>
        <v/>
      </c>
      <c r="D523" t="inlineStr">
        <is>
          <t>1319-02-18</t>
        </is>
      </c>
    </row>
    <row r="524">
      <c r="A524" s="1" t="n">
        <v>523</v>
      </c>
      <c r="B524">
        <f>TEXT(523, "[$-170000]yyyy-mm-dd")</f>
        <v/>
      </c>
      <c r="C524">
        <f>TEXT(523, "[$-060000]yyyy-mm-dd")</f>
        <v/>
      </c>
      <c r="D524" t="inlineStr">
        <is>
          <t>1319-02-19</t>
        </is>
      </c>
    </row>
    <row r="525">
      <c r="A525" s="1" t="n">
        <v>524</v>
      </c>
      <c r="B525">
        <f>TEXT(524, "[$-170000]yyyy-mm-dd")</f>
        <v/>
      </c>
      <c r="C525">
        <f>TEXT(524, "[$-060000]yyyy-mm-dd")</f>
        <v/>
      </c>
      <c r="D525" t="inlineStr">
        <is>
          <t>1319-02-20</t>
        </is>
      </c>
    </row>
    <row r="526">
      <c r="A526" s="1" t="n">
        <v>525</v>
      </c>
      <c r="B526">
        <f>TEXT(525, "[$-170000]yyyy-mm-dd")</f>
        <v/>
      </c>
      <c r="C526">
        <f>TEXT(525, "[$-060000]yyyy-mm-dd")</f>
        <v/>
      </c>
      <c r="D526" t="inlineStr">
        <is>
          <t>1319-02-21</t>
        </is>
      </c>
    </row>
    <row r="527">
      <c r="A527" s="1" t="n">
        <v>526</v>
      </c>
      <c r="B527">
        <f>TEXT(526, "[$-170000]yyyy-mm-dd")</f>
        <v/>
      </c>
      <c r="C527">
        <f>TEXT(526, "[$-060000]yyyy-mm-dd")</f>
        <v/>
      </c>
      <c r="D527" t="inlineStr">
        <is>
          <t>1319-02-22</t>
        </is>
      </c>
    </row>
    <row r="528">
      <c r="A528" s="1" t="n">
        <v>527</v>
      </c>
      <c r="B528">
        <f>TEXT(527, "[$-170000]yyyy-mm-dd")</f>
        <v/>
      </c>
      <c r="C528">
        <f>TEXT(527, "[$-060000]yyyy-mm-dd")</f>
        <v/>
      </c>
      <c r="D528" t="inlineStr">
        <is>
          <t>1319-02-23</t>
        </is>
      </c>
    </row>
    <row r="529">
      <c r="A529" s="1" t="n">
        <v>528</v>
      </c>
      <c r="B529">
        <f>TEXT(528, "[$-170000]yyyy-mm-dd")</f>
        <v/>
      </c>
      <c r="C529">
        <f>TEXT(528, "[$-060000]yyyy-mm-dd")</f>
        <v/>
      </c>
      <c r="D529" t="inlineStr">
        <is>
          <t>1319-02-24</t>
        </is>
      </c>
    </row>
    <row r="530">
      <c r="A530" s="1" t="n">
        <v>529</v>
      </c>
      <c r="B530">
        <f>TEXT(529, "[$-170000]yyyy-mm-dd")</f>
        <v/>
      </c>
      <c r="C530">
        <f>TEXT(529, "[$-060000]yyyy-mm-dd")</f>
        <v/>
      </c>
      <c r="D530" t="inlineStr">
        <is>
          <t>1319-02-25</t>
        </is>
      </c>
    </row>
    <row r="531">
      <c r="A531" s="1" t="n">
        <v>530</v>
      </c>
      <c r="B531">
        <f>TEXT(530, "[$-170000]yyyy-mm-dd")</f>
        <v/>
      </c>
      <c r="C531">
        <f>TEXT(530, "[$-060000]yyyy-mm-dd")</f>
        <v/>
      </c>
      <c r="D531" t="inlineStr">
        <is>
          <t>1319-02-26</t>
        </is>
      </c>
    </row>
    <row r="532">
      <c r="A532" s="1" t="n">
        <v>531</v>
      </c>
      <c r="B532">
        <f>TEXT(531, "[$-170000]yyyy-mm-dd")</f>
        <v/>
      </c>
      <c r="C532">
        <f>TEXT(531, "[$-060000]yyyy-mm-dd")</f>
        <v/>
      </c>
      <c r="D532" t="inlineStr">
        <is>
          <t>1319-02-27</t>
        </is>
      </c>
    </row>
    <row r="533">
      <c r="A533" s="1" t="n">
        <v>532</v>
      </c>
      <c r="B533">
        <f>TEXT(532, "[$-170000]yyyy-mm-dd")</f>
        <v/>
      </c>
      <c r="C533">
        <f>TEXT(532, "[$-060000]yyyy-mm-dd")</f>
        <v/>
      </c>
      <c r="D533" t="inlineStr">
        <is>
          <t>1319-02-28</t>
        </is>
      </c>
    </row>
    <row r="534">
      <c r="A534" s="1" t="n">
        <v>533</v>
      </c>
      <c r="B534">
        <f>TEXT(533, "[$-170000]yyyy-mm-dd")</f>
        <v/>
      </c>
      <c r="C534">
        <f>TEXT(533, "[$-060000]yyyy-mm-dd")</f>
        <v/>
      </c>
      <c r="D534" t="inlineStr">
        <is>
          <t>1319-02-29</t>
        </is>
      </c>
    </row>
    <row r="535">
      <c r="A535" s="1" t="n">
        <v>534</v>
      </c>
      <c r="B535">
        <f>TEXT(534, "[$-170000]yyyy-mm-dd")</f>
        <v/>
      </c>
      <c r="C535">
        <f>TEXT(534, "[$-060000]yyyy-mm-dd")</f>
        <v/>
      </c>
      <c r="D535" t="inlineStr">
        <is>
          <t>1319-03-01</t>
        </is>
      </c>
    </row>
    <row r="536">
      <c r="A536" s="1" t="n">
        <v>535</v>
      </c>
      <c r="B536">
        <f>TEXT(535, "[$-170000]yyyy-mm-dd")</f>
        <v/>
      </c>
      <c r="C536">
        <f>TEXT(535, "[$-060000]yyyy-mm-dd")</f>
        <v/>
      </c>
      <c r="D536" t="inlineStr">
        <is>
          <t>1319-03-02</t>
        </is>
      </c>
    </row>
    <row r="537">
      <c r="A537" s="1" t="n">
        <v>536</v>
      </c>
      <c r="B537">
        <f>TEXT(536, "[$-170000]yyyy-mm-dd")</f>
        <v/>
      </c>
      <c r="C537">
        <f>TEXT(536, "[$-060000]yyyy-mm-dd")</f>
        <v/>
      </c>
      <c r="D537" t="inlineStr">
        <is>
          <t>1319-03-03</t>
        </is>
      </c>
    </row>
    <row r="538">
      <c r="A538" s="1" t="n">
        <v>537</v>
      </c>
      <c r="B538">
        <f>TEXT(537, "[$-170000]yyyy-mm-dd")</f>
        <v/>
      </c>
      <c r="C538">
        <f>TEXT(537, "[$-060000]yyyy-mm-dd")</f>
        <v/>
      </c>
      <c r="D538" t="inlineStr">
        <is>
          <t>1319-03-04</t>
        </is>
      </c>
    </row>
    <row r="539">
      <c r="A539" s="1" t="n">
        <v>538</v>
      </c>
      <c r="B539">
        <f>TEXT(538, "[$-170000]yyyy-mm-dd")</f>
        <v/>
      </c>
      <c r="C539">
        <f>TEXT(538, "[$-060000]yyyy-mm-dd")</f>
        <v/>
      </c>
      <c r="D539" t="inlineStr">
        <is>
          <t>1319-03-05</t>
        </is>
      </c>
    </row>
    <row r="540">
      <c r="A540" s="1" t="n">
        <v>539</v>
      </c>
      <c r="B540">
        <f>TEXT(539, "[$-170000]yyyy-mm-dd")</f>
        <v/>
      </c>
      <c r="C540">
        <f>TEXT(539, "[$-060000]yyyy-mm-dd")</f>
        <v/>
      </c>
      <c r="D540" t="inlineStr">
        <is>
          <t>1319-03-06</t>
        </is>
      </c>
    </row>
    <row r="541">
      <c r="A541" s="1" t="n">
        <v>540</v>
      </c>
      <c r="B541">
        <f>TEXT(540, "[$-170000]yyyy-mm-dd")</f>
        <v/>
      </c>
      <c r="C541">
        <f>TEXT(540, "[$-060000]yyyy-mm-dd")</f>
        <v/>
      </c>
      <c r="D541" t="inlineStr">
        <is>
          <t>1319-03-07</t>
        </is>
      </c>
    </row>
    <row r="542">
      <c r="A542" s="1" t="n">
        <v>541</v>
      </c>
      <c r="B542">
        <f>TEXT(541, "[$-170000]yyyy-mm-dd")</f>
        <v/>
      </c>
      <c r="C542">
        <f>TEXT(541, "[$-060000]yyyy-mm-dd")</f>
        <v/>
      </c>
      <c r="D542" t="inlineStr">
        <is>
          <t>1319-03-08</t>
        </is>
      </c>
    </row>
    <row r="543">
      <c r="A543" s="1" t="n">
        <v>542</v>
      </c>
      <c r="B543">
        <f>TEXT(542, "[$-170000]yyyy-mm-dd")</f>
        <v/>
      </c>
      <c r="C543">
        <f>TEXT(542, "[$-060000]yyyy-mm-dd")</f>
        <v/>
      </c>
      <c r="D543" t="inlineStr">
        <is>
          <t>1319-03-09</t>
        </is>
      </c>
    </row>
    <row r="544">
      <c r="A544" s="1" t="n">
        <v>543</v>
      </c>
      <c r="B544">
        <f>TEXT(543, "[$-170000]yyyy-mm-dd")</f>
        <v/>
      </c>
      <c r="C544">
        <f>TEXT(543, "[$-060000]yyyy-mm-dd")</f>
        <v/>
      </c>
      <c r="D544" t="inlineStr">
        <is>
          <t>1319-03-10</t>
        </is>
      </c>
    </row>
    <row r="545">
      <c r="A545" s="1" t="n">
        <v>544</v>
      </c>
      <c r="B545">
        <f>TEXT(544, "[$-170000]yyyy-mm-dd")</f>
        <v/>
      </c>
      <c r="C545">
        <f>TEXT(544, "[$-060000]yyyy-mm-dd")</f>
        <v/>
      </c>
      <c r="D545" t="inlineStr">
        <is>
          <t>1319-03-11</t>
        </is>
      </c>
    </row>
    <row r="546">
      <c r="A546" s="1" t="n">
        <v>545</v>
      </c>
      <c r="B546">
        <f>TEXT(545, "[$-170000]yyyy-mm-dd")</f>
        <v/>
      </c>
      <c r="C546">
        <f>TEXT(545, "[$-060000]yyyy-mm-dd")</f>
        <v/>
      </c>
      <c r="D546" t="inlineStr">
        <is>
          <t>1319-03-12</t>
        </is>
      </c>
    </row>
    <row r="547">
      <c r="A547" s="1" t="n">
        <v>546</v>
      </c>
      <c r="B547">
        <f>TEXT(546, "[$-170000]yyyy-mm-dd")</f>
        <v/>
      </c>
      <c r="C547">
        <f>TEXT(546, "[$-060000]yyyy-mm-dd")</f>
        <v/>
      </c>
      <c r="D547" t="inlineStr">
        <is>
          <t>1319-03-13</t>
        </is>
      </c>
    </row>
    <row r="548">
      <c r="A548" s="1" t="n">
        <v>547</v>
      </c>
      <c r="B548">
        <f>TEXT(547, "[$-170000]yyyy-mm-dd")</f>
        <v/>
      </c>
      <c r="C548">
        <f>TEXT(547, "[$-060000]yyyy-mm-dd")</f>
        <v/>
      </c>
      <c r="D548" t="inlineStr">
        <is>
          <t>1319-03-14</t>
        </is>
      </c>
    </row>
    <row r="549">
      <c r="A549" s="1" t="n">
        <v>548</v>
      </c>
      <c r="B549">
        <f>TEXT(548, "[$-170000]yyyy-mm-dd")</f>
        <v/>
      </c>
      <c r="C549">
        <f>TEXT(548, "[$-060000]yyyy-mm-dd")</f>
        <v/>
      </c>
      <c r="D549" t="inlineStr">
        <is>
          <t>1319-03-15</t>
        </is>
      </c>
    </row>
    <row r="550">
      <c r="A550" s="1" t="n">
        <v>549</v>
      </c>
      <c r="B550">
        <f>TEXT(549, "[$-170000]yyyy-mm-dd")</f>
        <v/>
      </c>
      <c r="C550">
        <f>TEXT(549, "[$-060000]yyyy-mm-dd")</f>
        <v/>
      </c>
      <c r="D550" t="inlineStr">
        <is>
          <t>1319-03-16</t>
        </is>
      </c>
    </row>
    <row r="551">
      <c r="A551" s="1" t="n">
        <v>550</v>
      </c>
      <c r="B551">
        <f>TEXT(550, "[$-170000]yyyy-mm-dd")</f>
        <v/>
      </c>
      <c r="C551">
        <f>TEXT(550, "[$-060000]yyyy-mm-dd")</f>
        <v/>
      </c>
      <c r="D551" t="inlineStr">
        <is>
          <t>1319-03-17</t>
        </is>
      </c>
    </row>
    <row r="552">
      <c r="A552" s="1" t="n">
        <v>551</v>
      </c>
      <c r="B552">
        <f>TEXT(551, "[$-170000]yyyy-mm-dd")</f>
        <v/>
      </c>
      <c r="C552">
        <f>TEXT(551, "[$-060000]yyyy-mm-dd")</f>
        <v/>
      </c>
      <c r="D552" t="inlineStr">
        <is>
          <t>1319-03-18</t>
        </is>
      </c>
    </row>
    <row r="553">
      <c r="A553" s="1" t="n">
        <v>552</v>
      </c>
      <c r="B553">
        <f>TEXT(552, "[$-170000]yyyy-mm-dd")</f>
        <v/>
      </c>
      <c r="C553">
        <f>TEXT(552, "[$-060000]yyyy-mm-dd")</f>
        <v/>
      </c>
      <c r="D553" t="inlineStr">
        <is>
          <t>1319-03-19</t>
        </is>
      </c>
    </row>
    <row r="554">
      <c r="A554" s="1" t="n">
        <v>553</v>
      </c>
      <c r="B554">
        <f>TEXT(553, "[$-170000]yyyy-mm-dd")</f>
        <v/>
      </c>
      <c r="C554">
        <f>TEXT(553, "[$-060000]yyyy-mm-dd")</f>
        <v/>
      </c>
      <c r="D554" t="inlineStr">
        <is>
          <t>1319-03-20</t>
        </is>
      </c>
    </row>
    <row r="555">
      <c r="A555" s="1" t="n">
        <v>554</v>
      </c>
      <c r="B555">
        <f>TEXT(554, "[$-170000]yyyy-mm-dd")</f>
        <v/>
      </c>
      <c r="C555">
        <f>TEXT(554, "[$-060000]yyyy-mm-dd")</f>
        <v/>
      </c>
      <c r="D555" t="inlineStr">
        <is>
          <t>1319-03-21</t>
        </is>
      </c>
    </row>
    <row r="556">
      <c r="A556" s="1" t="n">
        <v>555</v>
      </c>
      <c r="B556">
        <f>TEXT(555, "[$-170000]yyyy-mm-dd")</f>
        <v/>
      </c>
      <c r="C556">
        <f>TEXT(555, "[$-060000]yyyy-mm-dd")</f>
        <v/>
      </c>
      <c r="D556" t="inlineStr">
        <is>
          <t>1319-03-22</t>
        </is>
      </c>
    </row>
    <row r="557">
      <c r="A557" s="1" t="n">
        <v>556</v>
      </c>
      <c r="B557">
        <f>TEXT(556, "[$-170000]yyyy-mm-dd")</f>
        <v/>
      </c>
      <c r="C557">
        <f>TEXT(556, "[$-060000]yyyy-mm-dd")</f>
        <v/>
      </c>
      <c r="D557" t="inlineStr">
        <is>
          <t>1319-03-23</t>
        </is>
      </c>
    </row>
    <row r="558">
      <c r="A558" s="1" t="n">
        <v>557</v>
      </c>
      <c r="B558">
        <f>TEXT(557, "[$-170000]yyyy-mm-dd")</f>
        <v/>
      </c>
      <c r="C558">
        <f>TEXT(557, "[$-060000]yyyy-mm-dd")</f>
        <v/>
      </c>
      <c r="D558" t="inlineStr">
        <is>
          <t>1319-03-24</t>
        </is>
      </c>
    </row>
    <row r="559">
      <c r="A559" s="1" t="n">
        <v>558</v>
      </c>
      <c r="B559">
        <f>TEXT(558, "[$-170000]yyyy-mm-dd")</f>
        <v/>
      </c>
      <c r="C559">
        <f>TEXT(558, "[$-060000]yyyy-mm-dd")</f>
        <v/>
      </c>
      <c r="D559" t="inlineStr">
        <is>
          <t>1319-03-25</t>
        </is>
      </c>
    </row>
    <row r="560">
      <c r="A560" s="1" t="n">
        <v>559</v>
      </c>
      <c r="B560">
        <f>TEXT(559, "[$-170000]yyyy-mm-dd")</f>
        <v/>
      </c>
      <c r="C560">
        <f>TEXT(559, "[$-060000]yyyy-mm-dd")</f>
        <v/>
      </c>
      <c r="D560" t="inlineStr">
        <is>
          <t>1319-03-26</t>
        </is>
      </c>
    </row>
    <row r="561">
      <c r="A561" s="1" t="n">
        <v>560</v>
      </c>
      <c r="B561">
        <f>TEXT(560, "[$-170000]yyyy-mm-dd")</f>
        <v/>
      </c>
      <c r="C561">
        <f>TEXT(560, "[$-060000]yyyy-mm-dd")</f>
        <v/>
      </c>
      <c r="D561" t="inlineStr">
        <is>
          <t>1319-03-27</t>
        </is>
      </c>
    </row>
    <row r="562">
      <c r="A562" s="1" t="n">
        <v>561</v>
      </c>
      <c r="B562">
        <f>TEXT(561, "[$-170000]yyyy-mm-dd")</f>
        <v/>
      </c>
      <c r="C562">
        <f>TEXT(561, "[$-060000]yyyy-mm-dd")</f>
        <v/>
      </c>
      <c r="D562" t="inlineStr">
        <is>
          <t>1319-03-28</t>
        </is>
      </c>
    </row>
    <row r="563">
      <c r="A563" s="1" t="n">
        <v>562</v>
      </c>
      <c r="B563">
        <f>TEXT(562, "[$-170000]yyyy-mm-dd")</f>
        <v/>
      </c>
      <c r="C563">
        <f>TEXT(562, "[$-060000]yyyy-mm-dd")</f>
        <v/>
      </c>
      <c r="D563" t="inlineStr">
        <is>
          <t>1319-03-29</t>
        </is>
      </c>
    </row>
    <row r="564">
      <c r="A564" s="1" t="n">
        <v>563</v>
      </c>
      <c r="B564">
        <f>TEXT(563, "[$-170000]yyyy-mm-dd")</f>
        <v/>
      </c>
      <c r="C564">
        <f>TEXT(563, "[$-060000]yyyy-mm-dd")</f>
        <v/>
      </c>
      <c r="D564" t="inlineStr">
        <is>
          <t>1319-03-30</t>
        </is>
      </c>
    </row>
    <row r="565">
      <c r="A565" s="1" t="n">
        <v>564</v>
      </c>
      <c r="B565">
        <f>TEXT(564, "[$-170000]yyyy-mm-dd")</f>
        <v/>
      </c>
      <c r="C565">
        <f>TEXT(564, "[$-060000]yyyy-mm-dd")</f>
        <v/>
      </c>
      <c r="D565" t="inlineStr">
        <is>
          <t>1319-04-01</t>
        </is>
      </c>
    </row>
    <row r="566">
      <c r="A566" s="1" t="n">
        <v>565</v>
      </c>
      <c r="B566">
        <f>TEXT(565, "[$-170000]yyyy-mm-dd")</f>
        <v/>
      </c>
      <c r="C566">
        <f>TEXT(565, "[$-060000]yyyy-mm-dd")</f>
        <v/>
      </c>
      <c r="D566" t="inlineStr">
        <is>
          <t>1319-04-02</t>
        </is>
      </c>
    </row>
    <row r="567">
      <c r="A567" s="1" t="n">
        <v>566</v>
      </c>
      <c r="B567">
        <f>TEXT(566, "[$-170000]yyyy-mm-dd")</f>
        <v/>
      </c>
      <c r="C567">
        <f>TEXT(566, "[$-060000]yyyy-mm-dd")</f>
        <v/>
      </c>
      <c r="D567" t="inlineStr">
        <is>
          <t>1319-04-03</t>
        </is>
      </c>
    </row>
    <row r="568">
      <c r="A568" s="1" t="n">
        <v>567</v>
      </c>
      <c r="B568">
        <f>TEXT(567, "[$-170000]yyyy-mm-dd")</f>
        <v/>
      </c>
      <c r="C568">
        <f>TEXT(567, "[$-060000]yyyy-mm-dd")</f>
        <v/>
      </c>
      <c r="D568" t="inlineStr">
        <is>
          <t>1319-04-04</t>
        </is>
      </c>
    </row>
    <row r="569">
      <c r="A569" s="1" t="n">
        <v>568</v>
      </c>
      <c r="B569">
        <f>TEXT(568, "[$-170000]yyyy-mm-dd")</f>
        <v/>
      </c>
      <c r="C569">
        <f>TEXT(568, "[$-060000]yyyy-mm-dd")</f>
        <v/>
      </c>
      <c r="D569" t="inlineStr">
        <is>
          <t>1319-04-05</t>
        </is>
      </c>
    </row>
    <row r="570">
      <c r="A570" s="1" t="n">
        <v>569</v>
      </c>
      <c r="B570">
        <f>TEXT(569, "[$-170000]yyyy-mm-dd")</f>
        <v/>
      </c>
      <c r="C570">
        <f>TEXT(569, "[$-060000]yyyy-mm-dd")</f>
        <v/>
      </c>
      <c r="D570" t="inlineStr">
        <is>
          <t>1319-04-06</t>
        </is>
      </c>
    </row>
    <row r="571">
      <c r="A571" s="1" t="n">
        <v>570</v>
      </c>
      <c r="B571">
        <f>TEXT(570, "[$-170000]yyyy-mm-dd")</f>
        <v/>
      </c>
      <c r="C571">
        <f>TEXT(570, "[$-060000]yyyy-mm-dd")</f>
        <v/>
      </c>
      <c r="D571" t="inlineStr">
        <is>
          <t>1319-04-07</t>
        </is>
      </c>
    </row>
    <row r="572">
      <c r="A572" s="1" t="n">
        <v>571</v>
      </c>
      <c r="B572">
        <f>TEXT(571, "[$-170000]yyyy-mm-dd")</f>
        <v/>
      </c>
      <c r="C572">
        <f>TEXT(571, "[$-060000]yyyy-mm-dd")</f>
        <v/>
      </c>
      <c r="D572" t="inlineStr">
        <is>
          <t>1319-04-08</t>
        </is>
      </c>
    </row>
    <row r="573">
      <c r="A573" s="1" t="n">
        <v>572</v>
      </c>
      <c r="B573">
        <f>TEXT(572, "[$-170000]yyyy-mm-dd")</f>
        <v/>
      </c>
      <c r="C573">
        <f>TEXT(572, "[$-060000]yyyy-mm-dd")</f>
        <v/>
      </c>
      <c r="D573" t="inlineStr">
        <is>
          <t>1319-04-09</t>
        </is>
      </c>
    </row>
    <row r="574">
      <c r="A574" s="1" t="n">
        <v>573</v>
      </c>
      <c r="B574">
        <f>TEXT(573, "[$-170000]yyyy-mm-dd")</f>
        <v/>
      </c>
      <c r="C574">
        <f>TEXT(573, "[$-060000]yyyy-mm-dd")</f>
        <v/>
      </c>
      <c r="D574" t="inlineStr">
        <is>
          <t>1319-04-10</t>
        </is>
      </c>
    </row>
    <row r="575">
      <c r="A575" s="1" t="n">
        <v>574</v>
      </c>
      <c r="B575">
        <f>TEXT(574, "[$-170000]yyyy-mm-dd")</f>
        <v/>
      </c>
      <c r="C575">
        <f>TEXT(574, "[$-060000]yyyy-mm-dd")</f>
        <v/>
      </c>
      <c r="D575" t="inlineStr">
        <is>
          <t>1319-04-11</t>
        </is>
      </c>
    </row>
    <row r="576">
      <c r="A576" s="1" t="n">
        <v>575</v>
      </c>
      <c r="B576">
        <f>TEXT(575, "[$-170000]yyyy-mm-dd")</f>
        <v/>
      </c>
      <c r="C576">
        <f>TEXT(575, "[$-060000]yyyy-mm-dd")</f>
        <v/>
      </c>
      <c r="D576" t="inlineStr">
        <is>
          <t>1319-04-12</t>
        </is>
      </c>
    </row>
    <row r="577">
      <c r="A577" s="1" t="n">
        <v>576</v>
      </c>
      <c r="B577">
        <f>TEXT(576, "[$-170000]yyyy-mm-dd")</f>
        <v/>
      </c>
      <c r="C577">
        <f>TEXT(576, "[$-060000]yyyy-mm-dd")</f>
        <v/>
      </c>
      <c r="D577" t="inlineStr">
        <is>
          <t>1319-04-13</t>
        </is>
      </c>
    </row>
    <row r="578">
      <c r="A578" s="1" t="n">
        <v>577</v>
      </c>
      <c r="B578">
        <f>TEXT(577, "[$-170000]yyyy-mm-dd")</f>
        <v/>
      </c>
      <c r="C578">
        <f>TEXT(577, "[$-060000]yyyy-mm-dd")</f>
        <v/>
      </c>
      <c r="D578" t="inlineStr">
        <is>
          <t>1319-04-14</t>
        </is>
      </c>
    </row>
    <row r="579">
      <c r="A579" s="1" t="n">
        <v>578</v>
      </c>
      <c r="B579">
        <f>TEXT(578, "[$-170000]yyyy-mm-dd")</f>
        <v/>
      </c>
      <c r="C579">
        <f>TEXT(578, "[$-060000]yyyy-mm-dd")</f>
        <v/>
      </c>
      <c r="D579" t="inlineStr">
        <is>
          <t>1319-04-15</t>
        </is>
      </c>
    </row>
    <row r="580">
      <c r="A580" s="1" t="n">
        <v>579</v>
      </c>
      <c r="B580">
        <f>TEXT(579, "[$-170000]yyyy-mm-dd")</f>
        <v/>
      </c>
      <c r="C580">
        <f>TEXT(579, "[$-060000]yyyy-mm-dd")</f>
        <v/>
      </c>
      <c r="D580" t="inlineStr">
        <is>
          <t>1319-04-16</t>
        </is>
      </c>
    </row>
    <row r="581">
      <c r="A581" s="1" t="n">
        <v>580</v>
      </c>
      <c r="B581">
        <f>TEXT(580, "[$-170000]yyyy-mm-dd")</f>
        <v/>
      </c>
      <c r="C581">
        <f>TEXT(580, "[$-060000]yyyy-mm-dd")</f>
        <v/>
      </c>
      <c r="D581" t="inlineStr">
        <is>
          <t>1319-04-17</t>
        </is>
      </c>
    </row>
    <row r="582">
      <c r="A582" s="1" t="n">
        <v>581</v>
      </c>
      <c r="B582">
        <f>TEXT(581, "[$-170000]yyyy-mm-dd")</f>
        <v/>
      </c>
      <c r="C582">
        <f>TEXT(581, "[$-060000]yyyy-mm-dd")</f>
        <v/>
      </c>
      <c r="D582" t="inlineStr">
        <is>
          <t>1319-04-18</t>
        </is>
      </c>
    </row>
    <row r="583">
      <c r="A583" s="1" t="n">
        <v>582</v>
      </c>
      <c r="B583">
        <f>TEXT(582, "[$-170000]yyyy-mm-dd")</f>
        <v/>
      </c>
      <c r="C583">
        <f>TEXT(582, "[$-060000]yyyy-mm-dd")</f>
        <v/>
      </c>
      <c r="D583" t="inlineStr">
        <is>
          <t>1319-04-19</t>
        </is>
      </c>
    </row>
    <row r="584">
      <c r="A584" s="1" t="n">
        <v>583</v>
      </c>
      <c r="B584">
        <f>TEXT(583, "[$-170000]yyyy-mm-dd")</f>
        <v/>
      </c>
      <c r="C584">
        <f>TEXT(583, "[$-060000]yyyy-mm-dd")</f>
        <v/>
      </c>
      <c r="D584" t="inlineStr">
        <is>
          <t>1319-04-20</t>
        </is>
      </c>
    </row>
    <row r="585">
      <c r="A585" s="1" t="n">
        <v>584</v>
      </c>
      <c r="B585">
        <f>TEXT(584, "[$-170000]yyyy-mm-dd")</f>
        <v/>
      </c>
      <c r="C585">
        <f>TEXT(584, "[$-060000]yyyy-mm-dd")</f>
        <v/>
      </c>
      <c r="D585" t="inlineStr">
        <is>
          <t>1319-04-21</t>
        </is>
      </c>
    </row>
    <row r="586">
      <c r="A586" s="1" t="n">
        <v>585</v>
      </c>
      <c r="B586">
        <f>TEXT(585, "[$-170000]yyyy-mm-dd")</f>
        <v/>
      </c>
      <c r="C586">
        <f>TEXT(585, "[$-060000]yyyy-mm-dd")</f>
        <v/>
      </c>
      <c r="D586" t="inlineStr">
        <is>
          <t>1319-04-22</t>
        </is>
      </c>
    </row>
    <row r="587">
      <c r="A587" s="1" t="n">
        <v>586</v>
      </c>
      <c r="B587">
        <f>TEXT(586, "[$-170000]yyyy-mm-dd")</f>
        <v/>
      </c>
      <c r="C587">
        <f>TEXT(586, "[$-060000]yyyy-mm-dd")</f>
        <v/>
      </c>
      <c r="D587" t="inlineStr">
        <is>
          <t>1319-04-23</t>
        </is>
      </c>
    </row>
    <row r="588">
      <c r="A588" s="1" t="n">
        <v>587</v>
      </c>
      <c r="B588">
        <f>TEXT(587, "[$-170000]yyyy-mm-dd")</f>
        <v/>
      </c>
      <c r="C588">
        <f>TEXT(587, "[$-060000]yyyy-mm-dd")</f>
        <v/>
      </c>
      <c r="D588" t="inlineStr">
        <is>
          <t>1319-04-24</t>
        </is>
      </c>
    </row>
    <row r="589">
      <c r="A589" s="1" t="n">
        <v>588</v>
      </c>
      <c r="B589">
        <f>TEXT(588, "[$-170000]yyyy-mm-dd")</f>
        <v/>
      </c>
      <c r="C589">
        <f>TEXT(588, "[$-060000]yyyy-mm-dd")</f>
        <v/>
      </c>
      <c r="D589" t="inlineStr">
        <is>
          <t>1319-04-25</t>
        </is>
      </c>
    </row>
    <row r="590">
      <c r="A590" s="1" t="n">
        <v>589</v>
      </c>
      <c r="B590">
        <f>TEXT(589, "[$-170000]yyyy-mm-dd")</f>
        <v/>
      </c>
      <c r="C590">
        <f>TEXT(589, "[$-060000]yyyy-mm-dd")</f>
        <v/>
      </c>
      <c r="D590" t="inlineStr">
        <is>
          <t>1319-04-26</t>
        </is>
      </c>
    </row>
    <row r="591">
      <c r="A591" s="1" t="n">
        <v>590</v>
      </c>
      <c r="B591">
        <f>TEXT(590, "[$-170000]yyyy-mm-dd")</f>
        <v/>
      </c>
      <c r="C591">
        <f>TEXT(590, "[$-060000]yyyy-mm-dd")</f>
        <v/>
      </c>
      <c r="D591" t="inlineStr">
        <is>
          <t>1319-04-27</t>
        </is>
      </c>
    </row>
    <row r="592">
      <c r="A592" s="1" t="n">
        <v>591</v>
      </c>
      <c r="B592">
        <f>TEXT(591, "[$-170000]yyyy-mm-dd")</f>
        <v/>
      </c>
      <c r="C592">
        <f>TEXT(591, "[$-060000]yyyy-mm-dd")</f>
        <v/>
      </c>
      <c r="D592" t="inlineStr">
        <is>
          <t>1319-04-28</t>
        </is>
      </c>
    </row>
    <row r="593">
      <c r="A593" s="1" t="n">
        <v>592</v>
      </c>
      <c r="B593">
        <f>TEXT(592, "[$-170000]yyyy-mm-dd")</f>
        <v/>
      </c>
      <c r="C593">
        <f>TEXT(592, "[$-060000]yyyy-mm-dd")</f>
        <v/>
      </c>
      <c r="D593" t="inlineStr">
        <is>
          <t>1319-04-29</t>
        </is>
      </c>
    </row>
    <row r="594">
      <c r="A594" s="1" t="n">
        <v>593</v>
      </c>
      <c r="B594">
        <f>TEXT(593, "[$-170000]yyyy-mm-dd")</f>
        <v/>
      </c>
      <c r="C594">
        <f>TEXT(593, "[$-060000]yyyy-mm-dd")</f>
        <v/>
      </c>
      <c r="D594" t="inlineStr">
        <is>
          <t>1319-05-01</t>
        </is>
      </c>
    </row>
    <row r="595">
      <c r="A595" s="1" t="n">
        <v>594</v>
      </c>
      <c r="B595">
        <f>TEXT(594, "[$-170000]yyyy-mm-dd")</f>
        <v/>
      </c>
      <c r="C595">
        <f>TEXT(594, "[$-060000]yyyy-mm-dd")</f>
        <v/>
      </c>
      <c r="D595" t="inlineStr">
        <is>
          <t>1319-05-02</t>
        </is>
      </c>
    </row>
    <row r="596">
      <c r="A596" s="1" t="n">
        <v>595</v>
      </c>
      <c r="B596">
        <f>TEXT(595, "[$-170000]yyyy-mm-dd")</f>
        <v/>
      </c>
      <c r="C596">
        <f>TEXT(595, "[$-060000]yyyy-mm-dd")</f>
        <v/>
      </c>
      <c r="D596" t="inlineStr">
        <is>
          <t>1319-05-03</t>
        </is>
      </c>
    </row>
    <row r="597">
      <c r="A597" s="1" t="n">
        <v>596</v>
      </c>
      <c r="B597">
        <f>TEXT(596, "[$-170000]yyyy-mm-dd")</f>
        <v/>
      </c>
      <c r="C597">
        <f>TEXT(596, "[$-060000]yyyy-mm-dd")</f>
        <v/>
      </c>
      <c r="D597" t="inlineStr">
        <is>
          <t>1319-05-04</t>
        </is>
      </c>
    </row>
    <row r="598">
      <c r="A598" s="1" t="n">
        <v>597</v>
      </c>
      <c r="B598">
        <f>TEXT(597, "[$-170000]yyyy-mm-dd")</f>
        <v/>
      </c>
      <c r="C598">
        <f>TEXT(597, "[$-060000]yyyy-mm-dd")</f>
        <v/>
      </c>
      <c r="D598" t="inlineStr">
        <is>
          <t>1319-05-05</t>
        </is>
      </c>
    </row>
    <row r="599">
      <c r="A599" s="1" t="n">
        <v>598</v>
      </c>
      <c r="B599">
        <f>TEXT(598, "[$-170000]yyyy-mm-dd")</f>
        <v/>
      </c>
      <c r="C599">
        <f>TEXT(598, "[$-060000]yyyy-mm-dd")</f>
        <v/>
      </c>
      <c r="D599" t="inlineStr">
        <is>
          <t>1319-05-06</t>
        </is>
      </c>
    </row>
    <row r="600">
      <c r="A600" s="1" t="n">
        <v>599</v>
      </c>
      <c r="B600">
        <f>TEXT(599, "[$-170000]yyyy-mm-dd")</f>
        <v/>
      </c>
      <c r="C600">
        <f>TEXT(599, "[$-060000]yyyy-mm-dd")</f>
        <v/>
      </c>
      <c r="D600" t="inlineStr">
        <is>
          <t>1319-05-07</t>
        </is>
      </c>
    </row>
    <row r="601">
      <c r="A601" s="1" t="n">
        <v>600</v>
      </c>
      <c r="B601">
        <f>TEXT(600, "[$-170000]yyyy-mm-dd")</f>
        <v/>
      </c>
      <c r="C601">
        <f>TEXT(600, "[$-060000]yyyy-mm-dd")</f>
        <v/>
      </c>
      <c r="D601" t="inlineStr">
        <is>
          <t>1319-05-08</t>
        </is>
      </c>
    </row>
    <row r="602">
      <c r="A602" s="1" t="n">
        <v>601</v>
      </c>
      <c r="B602">
        <f>TEXT(601, "[$-170000]yyyy-mm-dd")</f>
        <v/>
      </c>
      <c r="C602">
        <f>TEXT(601, "[$-060000]yyyy-mm-dd")</f>
        <v/>
      </c>
      <c r="D602" t="inlineStr">
        <is>
          <t>1319-05-09</t>
        </is>
      </c>
    </row>
    <row r="603">
      <c r="A603" s="1" t="n">
        <v>602</v>
      </c>
      <c r="B603">
        <f>TEXT(602, "[$-170000]yyyy-mm-dd")</f>
        <v/>
      </c>
      <c r="C603">
        <f>TEXT(602, "[$-060000]yyyy-mm-dd")</f>
        <v/>
      </c>
      <c r="D603" t="inlineStr">
        <is>
          <t>1319-05-10</t>
        </is>
      </c>
    </row>
    <row r="604">
      <c r="A604" s="1" t="n">
        <v>603</v>
      </c>
      <c r="B604">
        <f>TEXT(603, "[$-170000]yyyy-mm-dd")</f>
        <v/>
      </c>
      <c r="C604">
        <f>TEXT(603, "[$-060000]yyyy-mm-dd")</f>
        <v/>
      </c>
      <c r="D604" t="inlineStr">
        <is>
          <t>1319-05-11</t>
        </is>
      </c>
    </row>
    <row r="605">
      <c r="A605" s="1" t="n">
        <v>604</v>
      </c>
      <c r="B605">
        <f>TEXT(604, "[$-170000]yyyy-mm-dd")</f>
        <v/>
      </c>
      <c r="C605">
        <f>TEXT(604, "[$-060000]yyyy-mm-dd")</f>
        <v/>
      </c>
      <c r="D605" t="inlineStr">
        <is>
          <t>1319-05-12</t>
        </is>
      </c>
    </row>
    <row r="606">
      <c r="A606" s="1" t="n">
        <v>605</v>
      </c>
      <c r="B606">
        <f>TEXT(605, "[$-170000]yyyy-mm-dd")</f>
        <v/>
      </c>
      <c r="C606">
        <f>TEXT(605, "[$-060000]yyyy-mm-dd")</f>
        <v/>
      </c>
      <c r="D606" t="inlineStr">
        <is>
          <t>1319-05-13</t>
        </is>
      </c>
    </row>
    <row r="607">
      <c r="A607" s="1" t="n">
        <v>606</v>
      </c>
      <c r="B607">
        <f>TEXT(606, "[$-170000]yyyy-mm-dd")</f>
        <v/>
      </c>
      <c r="C607">
        <f>TEXT(606, "[$-060000]yyyy-mm-dd")</f>
        <v/>
      </c>
      <c r="D607" t="inlineStr">
        <is>
          <t>1319-05-14</t>
        </is>
      </c>
    </row>
    <row r="608">
      <c r="A608" s="1" t="n">
        <v>607</v>
      </c>
      <c r="B608">
        <f>TEXT(607, "[$-170000]yyyy-mm-dd")</f>
        <v/>
      </c>
      <c r="C608">
        <f>TEXT(607, "[$-060000]yyyy-mm-dd")</f>
        <v/>
      </c>
      <c r="D608" t="inlineStr">
        <is>
          <t>1319-05-15</t>
        </is>
      </c>
    </row>
    <row r="609">
      <c r="A609" s="1" t="n">
        <v>608</v>
      </c>
      <c r="B609">
        <f>TEXT(608, "[$-170000]yyyy-mm-dd")</f>
        <v/>
      </c>
      <c r="C609">
        <f>TEXT(608, "[$-060000]yyyy-mm-dd")</f>
        <v/>
      </c>
      <c r="D609" t="inlineStr">
        <is>
          <t>1319-05-16</t>
        </is>
      </c>
    </row>
    <row r="610">
      <c r="A610" s="1" t="n">
        <v>609</v>
      </c>
      <c r="B610">
        <f>TEXT(609, "[$-170000]yyyy-mm-dd")</f>
        <v/>
      </c>
      <c r="C610">
        <f>TEXT(609, "[$-060000]yyyy-mm-dd")</f>
        <v/>
      </c>
      <c r="D610" t="inlineStr">
        <is>
          <t>1319-05-17</t>
        </is>
      </c>
    </row>
    <row r="611">
      <c r="A611" s="1" t="n">
        <v>610</v>
      </c>
      <c r="B611">
        <f>TEXT(610, "[$-170000]yyyy-mm-dd")</f>
        <v/>
      </c>
      <c r="C611">
        <f>TEXT(610, "[$-060000]yyyy-mm-dd")</f>
        <v/>
      </c>
      <c r="D611" t="inlineStr">
        <is>
          <t>1319-05-18</t>
        </is>
      </c>
    </row>
    <row r="612">
      <c r="A612" s="1" t="n">
        <v>611</v>
      </c>
      <c r="B612">
        <f>TEXT(611, "[$-170000]yyyy-mm-dd")</f>
        <v/>
      </c>
      <c r="C612">
        <f>TEXT(611, "[$-060000]yyyy-mm-dd")</f>
        <v/>
      </c>
      <c r="D612" t="inlineStr">
        <is>
          <t>1319-05-19</t>
        </is>
      </c>
    </row>
    <row r="613">
      <c r="A613" s="1" t="n">
        <v>612</v>
      </c>
      <c r="B613">
        <f>TEXT(612, "[$-170000]yyyy-mm-dd")</f>
        <v/>
      </c>
      <c r="C613">
        <f>TEXT(612, "[$-060000]yyyy-mm-dd")</f>
        <v/>
      </c>
      <c r="D613" t="inlineStr">
        <is>
          <t>1319-05-20</t>
        </is>
      </c>
    </row>
    <row r="614">
      <c r="A614" s="1" t="n">
        <v>613</v>
      </c>
      <c r="B614">
        <f>TEXT(613, "[$-170000]yyyy-mm-dd")</f>
        <v/>
      </c>
      <c r="C614">
        <f>TEXT(613, "[$-060000]yyyy-mm-dd")</f>
        <v/>
      </c>
      <c r="D614" t="inlineStr">
        <is>
          <t>1319-05-21</t>
        </is>
      </c>
    </row>
    <row r="615">
      <c r="A615" s="1" t="n">
        <v>614</v>
      </c>
      <c r="B615">
        <f>TEXT(614, "[$-170000]yyyy-mm-dd")</f>
        <v/>
      </c>
      <c r="C615">
        <f>TEXT(614, "[$-060000]yyyy-mm-dd")</f>
        <v/>
      </c>
      <c r="D615" t="inlineStr">
        <is>
          <t>1319-05-22</t>
        </is>
      </c>
    </row>
    <row r="616">
      <c r="A616" s="1" t="n">
        <v>615</v>
      </c>
      <c r="B616">
        <f>TEXT(615, "[$-170000]yyyy-mm-dd")</f>
        <v/>
      </c>
      <c r="C616">
        <f>TEXT(615, "[$-060000]yyyy-mm-dd")</f>
        <v/>
      </c>
      <c r="D616" t="inlineStr">
        <is>
          <t>1319-05-23</t>
        </is>
      </c>
    </row>
    <row r="617">
      <c r="A617" s="1" t="n">
        <v>616</v>
      </c>
      <c r="B617">
        <f>TEXT(616, "[$-170000]yyyy-mm-dd")</f>
        <v/>
      </c>
      <c r="C617">
        <f>TEXT(616, "[$-060000]yyyy-mm-dd")</f>
        <v/>
      </c>
      <c r="D617" t="inlineStr">
        <is>
          <t>1319-05-24</t>
        </is>
      </c>
    </row>
    <row r="618">
      <c r="A618" s="1" t="n">
        <v>617</v>
      </c>
      <c r="B618">
        <f>TEXT(617, "[$-170000]yyyy-mm-dd")</f>
        <v/>
      </c>
      <c r="C618">
        <f>TEXT(617, "[$-060000]yyyy-mm-dd")</f>
        <v/>
      </c>
      <c r="D618" t="inlineStr">
        <is>
          <t>1319-05-25</t>
        </is>
      </c>
    </row>
    <row r="619">
      <c r="A619" s="1" t="n">
        <v>618</v>
      </c>
      <c r="B619">
        <f>TEXT(618, "[$-170000]yyyy-mm-dd")</f>
        <v/>
      </c>
      <c r="C619">
        <f>TEXT(618, "[$-060000]yyyy-mm-dd")</f>
        <v/>
      </c>
      <c r="D619" t="inlineStr">
        <is>
          <t>1319-05-26</t>
        </is>
      </c>
    </row>
    <row r="620">
      <c r="A620" s="1" t="n">
        <v>619</v>
      </c>
      <c r="B620">
        <f>TEXT(619, "[$-170000]yyyy-mm-dd")</f>
        <v/>
      </c>
      <c r="C620">
        <f>TEXT(619, "[$-060000]yyyy-mm-dd")</f>
        <v/>
      </c>
      <c r="D620" t="inlineStr">
        <is>
          <t>1319-05-27</t>
        </is>
      </c>
    </row>
    <row r="621">
      <c r="A621" s="1" t="n">
        <v>620</v>
      </c>
      <c r="B621">
        <f>TEXT(620, "[$-170000]yyyy-mm-dd")</f>
        <v/>
      </c>
      <c r="C621">
        <f>TEXT(620, "[$-060000]yyyy-mm-dd")</f>
        <v/>
      </c>
      <c r="D621" t="inlineStr">
        <is>
          <t>1319-05-28</t>
        </is>
      </c>
    </row>
    <row r="622">
      <c r="A622" s="1" t="n">
        <v>621</v>
      </c>
      <c r="B622">
        <f>TEXT(621, "[$-170000]yyyy-mm-dd")</f>
        <v/>
      </c>
      <c r="C622">
        <f>TEXT(621, "[$-060000]yyyy-mm-dd")</f>
        <v/>
      </c>
      <c r="D622" t="inlineStr">
        <is>
          <t>1319-05-29</t>
        </is>
      </c>
    </row>
    <row r="623">
      <c r="A623" s="1" t="n">
        <v>622</v>
      </c>
      <c r="B623">
        <f>TEXT(622, "[$-170000]yyyy-mm-dd")</f>
        <v/>
      </c>
      <c r="C623">
        <f>TEXT(622, "[$-060000]yyyy-mm-dd")</f>
        <v/>
      </c>
      <c r="D623" t="inlineStr">
        <is>
          <t>1319-05-30</t>
        </is>
      </c>
    </row>
    <row r="624">
      <c r="A624" s="1" t="n">
        <v>623</v>
      </c>
      <c r="B624">
        <f>TEXT(623, "[$-170000]yyyy-mm-dd")</f>
        <v/>
      </c>
      <c r="C624">
        <f>TEXT(623, "[$-060000]yyyy-mm-dd")</f>
        <v/>
      </c>
      <c r="D624" t="inlineStr">
        <is>
          <t>1319-06-01</t>
        </is>
      </c>
    </row>
    <row r="625">
      <c r="A625" s="1" t="n">
        <v>624</v>
      </c>
      <c r="B625">
        <f>TEXT(624, "[$-170000]yyyy-mm-dd")</f>
        <v/>
      </c>
      <c r="C625">
        <f>TEXT(624, "[$-060000]yyyy-mm-dd")</f>
        <v/>
      </c>
      <c r="D625" t="inlineStr">
        <is>
          <t>1319-06-02</t>
        </is>
      </c>
    </row>
    <row r="626">
      <c r="A626" s="1" t="n">
        <v>625</v>
      </c>
      <c r="B626">
        <f>TEXT(625, "[$-170000]yyyy-mm-dd")</f>
        <v/>
      </c>
      <c r="C626">
        <f>TEXT(625, "[$-060000]yyyy-mm-dd")</f>
        <v/>
      </c>
      <c r="D626" t="inlineStr">
        <is>
          <t>1319-06-03</t>
        </is>
      </c>
    </row>
    <row r="627">
      <c r="A627" s="1" t="n">
        <v>626</v>
      </c>
      <c r="B627">
        <f>TEXT(626, "[$-170000]yyyy-mm-dd")</f>
        <v/>
      </c>
      <c r="C627">
        <f>TEXT(626, "[$-060000]yyyy-mm-dd")</f>
        <v/>
      </c>
      <c r="D627" t="inlineStr">
        <is>
          <t>1319-06-04</t>
        </is>
      </c>
    </row>
    <row r="628">
      <c r="A628" s="1" t="n">
        <v>627</v>
      </c>
      <c r="B628">
        <f>TEXT(627, "[$-170000]yyyy-mm-dd")</f>
        <v/>
      </c>
      <c r="C628">
        <f>TEXT(627, "[$-060000]yyyy-mm-dd")</f>
        <v/>
      </c>
      <c r="D628" t="inlineStr">
        <is>
          <t>1319-06-05</t>
        </is>
      </c>
    </row>
    <row r="629">
      <c r="A629" s="1" t="n">
        <v>628</v>
      </c>
      <c r="B629">
        <f>TEXT(628, "[$-170000]yyyy-mm-dd")</f>
        <v/>
      </c>
      <c r="C629">
        <f>TEXT(628, "[$-060000]yyyy-mm-dd")</f>
        <v/>
      </c>
      <c r="D629" t="inlineStr">
        <is>
          <t>1319-06-06</t>
        </is>
      </c>
    </row>
    <row r="630">
      <c r="A630" s="1" t="n">
        <v>629</v>
      </c>
      <c r="B630">
        <f>TEXT(629, "[$-170000]yyyy-mm-dd")</f>
        <v/>
      </c>
      <c r="C630">
        <f>TEXT(629, "[$-060000]yyyy-mm-dd")</f>
        <v/>
      </c>
      <c r="D630" t="inlineStr">
        <is>
          <t>1319-06-07</t>
        </is>
      </c>
    </row>
    <row r="631">
      <c r="A631" s="1" t="n">
        <v>630</v>
      </c>
      <c r="B631">
        <f>TEXT(630, "[$-170000]yyyy-mm-dd")</f>
        <v/>
      </c>
      <c r="C631">
        <f>TEXT(630, "[$-060000]yyyy-mm-dd")</f>
        <v/>
      </c>
      <c r="D631" t="inlineStr">
        <is>
          <t>1319-06-08</t>
        </is>
      </c>
    </row>
    <row r="632">
      <c r="A632" s="1" t="n">
        <v>631</v>
      </c>
      <c r="B632">
        <f>TEXT(631, "[$-170000]yyyy-mm-dd")</f>
        <v/>
      </c>
      <c r="C632">
        <f>TEXT(631, "[$-060000]yyyy-mm-dd")</f>
        <v/>
      </c>
      <c r="D632" t="inlineStr">
        <is>
          <t>1319-06-09</t>
        </is>
      </c>
    </row>
    <row r="633">
      <c r="A633" s="1" t="n">
        <v>632</v>
      </c>
      <c r="B633">
        <f>TEXT(632, "[$-170000]yyyy-mm-dd")</f>
        <v/>
      </c>
      <c r="C633">
        <f>TEXT(632, "[$-060000]yyyy-mm-dd")</f>
        <v/>
      </c>
      <c r="D633" t="inlineStr">
        <is>
          <t>1319-06-10</t>
        </is>
      </c>
    </row>
    <row r="634">
      <c r="A634" s="1" t="n">
        <v>633</v>
      </c>
      <c r="B634">
        <f>TEXT(633, "[$-170000]yyyy-mm-dd")</f>
        <v/>
      </c>
      <c r="C634">
        <f>TEXT(633, "[$-060000]yyyy-mm-dd")</f>
        <v/>
      </c>
      <c r="D634" t="inlineStr">
        <is>
          <t>1319-06-11</t>
        </is>
      </c>
    </row>
    <row r="635">
      <c r="A635" s="1" t="n">
        <v>634</v>
      </c>
      <c r="B635">
        <f>TEXT(634, "[$-170000]yyyy-mm-dd")</f>
        <v/>
      </c>
      <c r="C635">
        <f>TEXT(634, "[$-060000]yyyy-mm-dd")</f>
        <v/>
      </c>
      <c r="D635" t="inlineStr">
        <is>
          <t>1319-06-12</t>
        </is>
      </c>
    </row>
    <row r="636">
      <c r="A636" s="1" t="n">
        <v>635</v>
      </c>
      <c r="B636">
        <f>TEXT(635, "[$-170000]yyyy-mm-dd")</f>
        <v/>
      </c>
      <c r="C636">
        <f>TEXT(635, "[$-060000]yyyy-mm-dd")</f>
        <v/>
      </c>
      <c r="D636" t="inlineStr">
        <is>
          <t>1319-06-13</t>
        </is>
      </c>
    </row>
    <row r="637">
      <c r="A637" s="1" t="n">
        <v>636</v>
      </c>
      <c r="B637">
        <f>TEXT(636, "[$-170000]yyyy-mm-dd")</f>
        <v/>
      </c>
      <c r="C637">
        <f>TEXT(636, "[$-060000]yyyy-mm-dd")</f>
        <v/>
      </c>
      <c r="D637" t="inlineStr">
        <is>
          <t>1319-06-14</t>
        </is>
      </c>
    </row>
    <row r="638">
      <c r="A638" s="1" t="n">
        <v>637</v>
      </c>
      <c r="B638">
        <f>TEXT(637, "[$-170000]yyyy-mm-dd")</f>
        <v/>
      </c>
      <c r="C638">
        <f>TEXT(637, "[$-060000]yyyy-mm-dd")</f>
        <v/>
      </c>
      <c r="D638" t="inlineStr">
        <is>
          <t>1319-06-15</t>
        </is>
      </c>
    </row>
    <row r="639">
      <c r="A639" s="1" t="n">
        <v>638</v>
      </c>
      <c r="B639">
        <f>TEXT(638, "[$-170000]yyyy-mm-dd")</f>
        <v/>
      </c>
      <c r="C639">
        <f>TEXT(638, "[$-060000]yyyy-mm-dd")</f>
        <v/>
      </c>
      <c r="D639" t="inlineStr">
        <is>
          <t>1319-06-16</t>
        </is>
      </c>
    </row>
    <row r="640">
      <c r="A640" s="1" t="n">
        <v>639</v>
      </c>
      <c r="B640">
        <f>TEXT(639, "[$-170000]yyyy-mm-dd")</f>
        <v/>
      </c>
      <c r="C640">
        <f>TEXT(639, "[$-060000]yyyy-mm-dd")</f>
        <v/>
      </c>
      <c r="D640" t="inlineStr">
        <is>
          <t>1319-06-17</t>
        </is>
      </c>
    </row>
    <row r="641">
      <c r="A641" s="1" t="n">
        <v>640</v>
      </c>
      <c r="B641">
        <f>TEXT(640, "[$-170000]yyyy-mm-dd")</f>
        <v/>
      </c>
      <c r="C641">
        <f>TEXT(640, "[$-060000]yyyy-mm-dd")</f>
        <v/>
      </c>
      <c r="D641" t="inlineStr">
        <is>
          <t>1319-06-18</t>
        </is>
      </c>
    </row>
    <row r="642">
      <c r="A642" s="1" t="n">
        <v>641</v>
      </c>
      <c r="B642">
        <f>TEXT(641, "[$-170000]yyyy-mm-dd")</f>
        <v/>
      </c>
      <c r="C642">
        <f>TEXT(641, "[$-060000]yyyy-mm-dd")</f>
        <v/>
      </c>
      <c r="D642" t="inlineStr">
        <is>
          <t>1319-06-19</t>
        </is>
      </c>
    </row>
    <row r="643">
      <c r="A643" s="1" t="n">
        <v>642</v>
      </c>
      <c r="B643">
        <f>TEXT(642, "[$-170000]yyyy-mm-dd")</f>
        <v/>
      </c>
      <c r="C643">
        <f>TEXT(642, "[$-060000]yyyy-mm-dd")</f>
        <v/>
      </c>
      <c r="D643" t="inlineStr">
        <is>
          <t>1319-06-20</t>
        </is>
      </c>
    </row>
    <row r="644">
      <c r="A644" s="1" t="n">
        <v>643</v>
      </c>
      <c r="B644">
        <f>TEXT(643, "[$-170000]yyyy-mm-dd")</f>
        <v/>
      </c>
      <c r="C644">
        <f>TEXT(643, "[$-060000]yyyy-mm-dd")</f>
        <v/>
      </c>
      <c r="D644" t="inlineStr">
        <is>
          <t>1319-06-21</t>
        </is>
      </c>
    </row>
    <row r="645">
      <c r="A645" s="1" t="n">
        <v>644</v>
      </c>
      <c r="B645">
        <f>TEXT(644, "[$-170000]yyyy-mm-dd")</f>
        <v/>
      </c>
      <c r="C645">
        <f>TEXT(644, "[$-060000]yyyy-mm-dd")</f>
        <v/>
      </c>
      <c r="D645" t="inlineStr">
        <is>
          <t>1319-06-22</t>
        </is>
      </c>
    </row>
    <row r="646">
      <c r="A646" s="1" t="n">
        <v>645</v>
      </c>
      <c r="B646">
        <f>TEXT(645, "[$-170000]yyyy-mm-dd")</f>
        <v/>
      </c>
      <c r="C646">
        <f>TEXT(645, "[$-060000]yyyy-mm-dd")</f>
        <v/>
      </c>
      <c r="D646" t="inlineStr">
        <is>
          <t>1319-06-23</t>
        </is>
      </c>
    </row>
    <row r="647">
      <c r="A647" s="1" t="n">
        <v>646</v>
      </c>
      <c r="B647">
        <f>TEXT(646, "[$-170000]yyyy-mm-dd")</f>
        <v/>
      </c>
      <c r="C647">
        <f>TEXT(646, "[$-060000]yyyy-mm-dd")</f>
        <v/>
      </c>
      <c r="D647" t="inlineStr">
        <is>
          <t>1319-06-24</t>
        </is>
      </c>
    </row>
    <row r="648">
      <c r="A648" s="1" t="n">
        <v>647</v>
      </c>
      <c r="B648">
        <f>TEXT(647, "[$-170000]yyyy-mm-dd")</f>
        <v/>
      </c>
      <c r="C648">
        <f>TEXT(647, "[$-060000]yyyy-mm-dd")</f>
        <v/>
      </c>
      <c r="D648" t="inlineStr">
        <is>
          <t>1319-06-25</t>
        </is>
      </c>
    </row>
    <row r="649">
      <c r="A649" s="1" t="n">
        <v>648</v>
      </c>
      <c r="B649">
        <f>TEXT(648, "[$-170000]yyyy-mm-dd")</f>
        <v/>
      </c>
      <c r="C649">
        <f>TEXT(648, "[$-060000]yyyy-mm-dd")</f>
        <v/>
      </c>
      <c r="D649" t="inlineStr">
        <is>
          <t>1319-06-26</t>
        </is>
      </c>
    </row>
    <row r="650">
      <c r="A650" s="1" t="n">
        <v>649</v>
      </c>
      <c r="B650">
        <f>TEXT(649, "[$-170000]yyyy-mm-dd")</f>
        <v/>
      </c>
      <c r="C650">
        <f>TEXT(649, "[$-060000]yyyy-mm-dd")</f>
        <v/>
      </c>
      <c r="D650" t="inlineStr">
        <is>
          <t>1319-06-27</t>
        </is>
      </c>
    </row>
    <row r="651">
      <c r="A651" s="1" t="n">
        <v>650</v>
      </c>
      <c r="B651">
        <f>TEXT(650, "[$-170000]yyyy-mm-dd")</f>
        <v/>
      </c>
      <c r="C651">
        <f>TEXT(650, "[$-060000]yyyy-mm-dd")</f>
        <v/>
      </c>
      <c r="D651" t="inlineStr">
        <is>
          <t>1319-06-28</t>
        </is>
      </c>
    </row>
    <row r="652">
      <c r="A652" s="1" t="n">
        <v>651</v>
      </c>
      <c r="B652">
        <f>TEXT(651, "[$-170000]yyyy-mm-dd")</f>
        <v/>
      </c>
      <c r="C652">
        <f>TEXT(651, "[$-060000]yyyy-mm-dd")</f>
        <v/>
      </c>
      <c r="D652" t="inlineStr">
        <is>
          <t>1319-06-29</t>
        </is>
      </c>
    </row>
    <row r="653">
      <c r="A653" s="1" t="n">
        <v>652</v>
      </c>
      <c r="B653">
        <f>TEXT(652, "[$-170000]yyyy-mm-dd")</f>
        <v/>
      </c>
      <c r="C653">
        <f>TEXT(652, "[$-060000]yyyy-mm-dd")</f>
        <v/>
      </c>
      <c r="D653" t="inlineStr">
        <is>
          <t>1319-07-01</t>
        </is>
      </c>
    </row>
    <row r="654">
      <c r="A654" s="1" t="n">
        <v>653</v>
      </c>
      <c r="B654">
        <f>TEXT(653, "[$-170000]yyyy-mm-dd")</f>
        <v/>
      </c>
      <c r="C654">
        <f>TEXT(653, "[$-060000]yyyy-mm-dd")</f>
        <v/>
      </c>
      <c r="D654" t="inlineStr">
        <is>
          <t>1319-07-02</t>
        </is>
      </c>
    </row>
    <row r="655">
      <c r="A655" s="1" t="n">
        <v>654</v>
      </c>
      <c r="B655">
        <f>TEXT(654, "[$-170000]yyyy-mm-dd")</f>
        <v/>
      </c>
      <c r="C655">
        <f>TEXT(654, "[$-060000]yyyy-mm-dd")</f>
        <v/>
      </c>
      <c r="D655" t="inlineStr">
        <is>
          <t>1319-07-03</t>
        </is>
      </c>
    </row>
    <row r="656">
      <c r="A656" s="1" t="n">
        <v>655</v>
      </c>
      <c r="B656">
        <f>TEXT(655, "[$-170000]yyyy-mm-dd")</f>
        <v/>
      </c>
      <c r="C656">
        <f>TEXT(655, "[$-060000]yyyy-mm-dd")</f>
        <v/>
      </c>
      <c r="D656" t="inlineStr">
        <is>
          <t>1319-07-04</t>
        </is>
      </c>
    </row>
    <row r="657">
      <c r="A657" s="1" t="n">
        <v>656</v>
      </c>
      <c r="B657">
        <f>TEXT(656, "[$-170000]yyyy-mm-dd")</f>
        <v/>
      </c>
      <c r="C657">
        <f>TEXT(656, "[$-060000]yyyy-mm-dd")</f>
        <v/>
      </c>
      <c r="D657" t="inlineStr">
        <is>
          <t>1319-07-05</t>
        </is>
      </c>
    </row>
    <row r="658">
      <c r="A658" s="1" t="n">
        <v>657</v>
      </c>
      <c r="B658">
        <f>TEXT(657, "[$-170000]yyyy-mm-dd")</f>
        <v/>
      </c>
      <c r="C658">
        <f>TEXT(657, "[$-060000]yyyy-mm-dd")</f>
        <v/>
      </c>
      <c r="D658" t="inlineStr">
        <is>
          <t>1319-07-06</t>
        </is>
      </c>
    </row>
    <row r="659">
      <c r="A659" s="1" t="n">
        <v>658</v>
      </c>
      <c r="B659">
        <f>TEXT(658, "[$-170000]yyyy-mm-dd")</f>
        <v/>
      </c>
      <c r="C659">
        <f>TEXT(658, "[$-060000]yyyy-mm-dd")</f>
        <v/>
      </c>
      <c r="D659" t="inlineStr">
        <is>
          <t>1319-07-07</t>
        </is>
      </c>
    </row>
    <row r="660">
      <c r="A660" s="1" t="n">
        <v>659</v>
      </c>
      <c r="B660">
        <f>TEXT(659, "[$-170000]yyyy-mm-dd")</f>
        <v/>
      </c>
      <c r="C660">
        <f>TEXT(659, "[$-060000]yyyy-mm-dd")</f>
        <v/>
      </c>
      <c r="D660" t="inlineStr">
        <is>
          <t>1319-07-08</t>
        </is>
      </c>
    </row>
    <row r="661">
      <c r="A661" s="1" t="n">
        <v>660</v>
      </c>
      <c r="B661">
        <f>TEXT(660, "[$-170000]yyyy-mm-dd")</f>
        <v/>
      </c>
      <c r="C661">
        <f>TEXT(660, "[$-060000]yyyy-mm-dd")</f>
        <v/>
      </c>
      <c r="D661" t="inlineStr">
        <is>
          <t>1319-07-09</t>
        </is>
      </c>
    </row>
    <row r="662">
      <c r="A662" s="1" t="n">
        <v>661</v>
      </c>
      <c r="B662">
        <f>TEXT(661, "[$-170000]yyyy-mm-dd")</f>
        <v/>
      </c>
      <c r="C662">
        <f>TEXT(661, "[$-060000]yyyy-mm-dd")</f>
        <v/>
      </c>
      <c r="D662" t="inlineStr">
        <is>
          <t>1319-07-10</t>
        </is>
      </c>
    </row>
    <row r="663">
      <c r="A663" s="1" t="n">
        <v>662</v>
      </c>
      <c r="B663">
        <f>TEXT(662, "[$-170000]yyyy-mm-dd")</f>
        <v/>
      </c>
      <c r="C663">
        <f>TEXT(662, "[$-060000]yyyy-mm-dd")</f>
        <v/>
      </c>
      <c r="D663" t="inlineStr">
        <is>
          <t>1319-07-11</t>
        </is>
      </c>
    </row>
    <row r="664">
      <c r="A664" s="1" t="n">
        <v>663</v>
      </c>
      <c r="B664">
        <f>TEXT(663, "[$-170000]yyyy-mm-dd")</f>
        <v/>
      </c>
      <c r="C664">
        <f>TEXT(663, "[$-060000]yyyy-mm-dd")</f>
        <v/>
      </c>
      <c r="D664" t="inlineStr">
        <is>
          <t>1319-07-12</t>
        </is>
      </c>
    </row>
    <row r="665">
      <c r="A665" s="1" t="n">
        <v>664</v>
      </c>
      <c r="B665">
        <f>TEXT(664, "[$-170000]yyyy-mm-dd")</f>
        <v/>
      </c>
      <c r="C665">
        <f>TEXT(664, "[$-060000]yyyy-mm-dd")</f>
        <v/>
      </c>
      <c r="D665" t="inlineStr">
        <is>
          <t>1319-07-13</t>
        </is>
      </c>
    </row>
    <row r="666">
      <c r="A666" s="1" t="n">
        <v>665</v>
      </c>
      <c r="B666">
        <f>TEXT(665, "[$-170000]yyyy-mm-dd")</f>
        <v/>
      </c>
      <c r="C666">
        <f>TEXT(665, "[$-060000]yyyy-mm-dd")</f>
        <v/>
      </c>
      <c r="D666" t="inlineStr">
        <is>
          <t>1319-07-14</t>
        </is>
      </c>
    </row>
    <row r="667">
      <c r="A667" s="1" t="n">
        <v>666</v>
      </c>
      <c r="B667">
        <f>TEXT(666, "[$-170000]yyyy-mm-dd")</f>
        <v/>
      </c>
      <c r="C667">
        <f>TEXT(666, "[$-060000]yyyy-mm-dd")</f>
        <v/>
      </c>
      <c r="D667" t="inlineStr">
        <is>
          <t>1319-07-15</t>
        </is>
      </c>
    </row>
    <row r="668">
      <c r="A668" s="1" t="n">
        <v>667</v>
      </c>
      <c r="B668">
        <f>TEXT(667, "[$-170000]yyyy-mm-dd")</f>
        <v/>
      </c>
      <c r="C668">
        <f>TEXT(667, "[$-060000]yyyy-mm-dd")</f>
        <v/>
      </c>
      <c r="D668" t="inlineStr">
        <is>
          <t>1319-07-16</t>
        </is>
      </c>
    </row>
    <row r="669">
      <c r="A669" s="1" t="n">
        <v>668</v>
      </c>
      <c r="B669">
        <f>TEXT(668, "[$-170000]yyyy-mm-dd")</f>
        <v/>
      </c>
      <c r="C669">
        <f>TEXT(668, "[$-060000]yyyy-mm-dd")</f>
        <v/>
      </c>
      <c r="D669" t="inlineStr">
        <is>
          <t>1319-07-17</t>
        </is>
      </c>
    </row>
    <row r="670">
      <c r="A670" s="1" t="n">
        <v>669</v>
      </c>
      <c r="B670">
        <f>TEXT(669, "[$-170000]yyyy-mm-dd")</f>
        <v/>
      </c>
      <c r="C670">
        <f>TEXT(669, "[$-060000]yyyy-mm-dd")</f>
        <v/>
      </c>
      <c r="D670" t="inlineStr">
        <is>
          <t>1319-07-18</t>
        </is>
      </c>
    </row>
    <row r="671">
      <c r="A671" s="1" t="n">
        <v>670</v>
      </c>
      <c r="B671">
        <f>TEXT(670, "[$-170000]yyyy-mm-dd")</f>
        <v/>
      </c>
      <c r="C671">
        <f>TEXT(670, "[$-060000]yyyy-mm-dd")</f>
        <v/>
      </c>
      <c r="D671" t="inlineStr">
        <is>
          <t>1319-07-19</t>
        </is>
      </c>
    </row>
    <row r="672">
      <c r="A672" s="1" t="n">
        <v>671</v>
      </c>
      <c r="B672">
        <f>TEXT(671, "[$-170000]yyyy-mm-dd")</f>
        <v/>
      </c>
      <c r="C672">
        <f>TEXT(671, "[$-060000]yyyy-mm-dd")</f>
        <v/>
      </c>
      <c r="D672" t="inlineStr">
        <is>
          <t>1319-07-20</t>
        </is>
      </c>
    </row>
    <row r="673">
      <c r="A673" s="1" t="n">
        <v>672</v>
      </c>
      <c r="B673">
        <f>TEXT(672, "[$-170000]yyyy-mm-dd")</f>
        <v/>
      </c>
      <c r="C673">
        <f>TEXT(672, "[$-060000]yyyy-mm-dd")</f>
        <v/>
      </c>
      <c r="D673" t="inlineStr">
        <is>
          <t>1319-07-21</t>
        </is>
      </c>
    </row>
    <row r="674">
      <c r="A674" s="1" t="n">
        <v>673</v>
      </c>
      <c r="B674">
        <f>TEXT(673, "[$-170000]yyyy-mm-dd")</f>
        <v/>
      </c>
      <c r="C674">
        <f>TEXT(673, "[$-060000]yyyy-mm-dd")</f>
        <v/>
      </c>
      <c r="D674" t="inlineStr">
        <is>
          <t>1319-07-22</t>
        </is>
      </c>
    </row>
    <row r="675">
      <c r="A675" s="1" t="n">
        <v>674</v>
      </c>
      <c r="B675">
        <f>TEXT(674, "[$-170000]yyyy-mm-dd")</f>
        <v/>
      </c>
      <c r="C675">
        <f>TEXT(674, "[$-060000]yyyy-mm-dd")</f>
        <v/>
      </c>
      <c r="D675" t="inlineStr">
        <is>
          <t>1319-07-23</t>
        </is>
      </c>
    </row>
    <row r="676">
      <c r="A676" s="1" t="n">
        <v>675</v>
      </c>
      <c r="B676">
        <f>TEXT(675, "[$-170000]yyyy-mm-dd")</f>
        <v/>
      </c>
      <c r="C676">
        <f>TEXT(675, "[$-060000]yyyy-mm-dd")</f>
        <v/>
      </c>
      <c r="D676" t="inlineStr">
        <is>
          <t>1319-07-24</t>
        </is>
      </c>
    </row>
    <row r="677">
      <c r="A677" s="1" t="n">
        <v>676</v>
      </c>
      <c r="B677">
        <f>TEXT(676, "[$-170000]yyyy-mm-dd")</f>
        <v/>
      </c>
      <c r="C677">
        <f>TEXT(676, "[$-060000]yyyy-mm-dd")</f>
        <v/>
      </c>
      <c r="D677" t="inlineStr">
        <is>
          <t>1319-07-25</t>
        </is>
      </c>
    </row>
    <row r="678">
      <c r="A678" s="1" t="n">
        <v>677</v>
      </c>
      <c r="B678">
        <f>TEXT(677, "[$-170000]yyyy-mm-dd")</f>
        <v/>
      </c>
      <c r="C678">
        <f>TEXT(677, "[$-060000]yyyy-mm-dd")</f>
        <v/>
      </c>
      <c r="D678" t="inlineStr">
        <is>
          <t>1319-07-26</t>
        </is>
      </c>
    </row>
    <row r="679">
      <c r="A679" s="1" t="n">
        <v>678</v>
      </c>
      <c r="B679">
        <f>TEXT(678, "[$-170000]yyyy-mm-dd")</f>
        <v/>
      </c>
      <c r="C679">
        <f>TEXT(678, "[$-060000]yyyy-mm-dd")</f>
        <v/>
      </c>
      <c r="D679" t="inlineStr">
        <is>
          <t>1319-07-27</t>
        </is>
      </c>
    </row>
    <row r="680">
      <c r="A680" s="1" t="n">
        <v>679</v>
      </c>
      <c r="B680">
        <f>TEXT(679, "[$-170000]yyyy-mm-dd")</f>
        <v/>
      </c>
      <c r="C680">
        <f>TEXT(679, "[$-060000]yyyy-mm-dd")</f>
        <v/>
      </c>
      <c r="D680" t="inlineStr">
        <is>
          <t>1319-07-28</t>
        </is>
      </c>
    </row>
    <row r="681">
      <c r="A681" s="1" t="n">
        <v>680</v>
      </c>
      <c r="B681">
        <f>TEXT(680, "[$-170000]yyyy-mm-dd")</f>
        <v/>
      </c>
      <c r="C681">
        <f>TEXT(680, "[$-060000]yyyy-mm-dd")</f>
        <v/>
      </c>
      <c r="D681" t="inlineStr">
        <is>
          <t>1319-07-29</t>
        </is>
      </c>
    </row>
    <row r="682">
      <c r="A682" s="1" t="n">
        <v>681</v>
      </c>
      <c r="B682">
        <f>TEXT(681, "[$-170000]yyyy-mm-dd")</f>
        <v/>
      </c>
      <c r="C682">
        <f>TEXT(681, "[$-060000]yyyy-mm-dd")</f>
        <v/>
      </c>
      <c r="D682" t="inlineStr">
        <is>
          <t>1319-07-30</t>
        </is>
      </c>
    </row>
    <row r="683">
      <c r="A683" s="1" t="n">
        <v>682</v>
      </c>
      <c r="B683">
        <f>TEXT(682, "[$-170000]yyyy-mm-dd")</f>
        <v/>
      </c>
      <c r="C683">
        <f>TEXT(682, "[$-060000]yyyy-mm-dd")</f>
        <v/>
      </c>
      <c r="D683" t="inlineStr">
        <is>
          <t>1319-08-01</t>
        </is>
      </c>
    </row>
    <row r="684">
      <c r="A684" s="1" t="n">
        <v>683</v>
      </c>
      <c r="B684">
        <f>TEXT(683, "[$-170000]yyyy-mm-dd")</f>
        <v/>
      </c>
      <c r="C684">
        <f>TEXT(683, "[$-060000]yyyy-mm-dd")</f>
        <v/>
      </c>
      <c r="D684" t="inlineStr">
        <is>
          <t>1319-08-02</t>
        </is>
      </c>
    </row>
    <row r="685">
      <c r="A685" s="1" t="n">
        <v>684</v>
      </c>
      <c r="B685">
        <f>TEXT(684, "[$-170000]yyyy-mm-dd")</f>
        <v/>
      </c>
      <c r="C685">
        <f>TEXT(684, "[$-060000]yyyy-mm-dd")</f>
        <v/>
      </c>
      <c r="D685" t="inlineStr">
        <is>
          <t>1319-08-03</t>
        </is>
      </c>
    </row>
    <row r="686">
      <c r="A686" s="1" t="n">
        <v>685</v>
      </c>
      <c r="B686">
        <f>TEXT(685, "[$-170000]yyyy-mm-dd")</f>
        <v/>
      </c>
      <c r="C686">
        <f>TEXT(685, "[$-060000]yyyy-mm-dd")</f>
        <v/>
      </c>
      <c r="D686" t="inlineStr">
        <is>
          <t>1319-08-04</t>
        </is>
      </c>
    </row>
    <row r="687">
      <c r="A687" s="1" t="n">
        <v>686</v>
      </c>
      <c r="B687">
        <f>TEXT(686, "[$-170000]yyyy-mm-dd")</f>
        <v/>
      </c>
      <c r="C687">
        <f>TEXT(686, "[$-060000]yyyy-mm-dd")</f>
        <v/>
      </c>
      <c r="D687" t="inlineStr">
        <is>
          <t>1319-08-05</t>
        </is>
      </c>
    </row>
    <row r="688">
      <c r="A688" s="1" t="n">
        <v>687</v>
      </c>
      <c r="B688">
        <f>TEXT(687, "[$-170000]yyyy-mm-dd")</f>
        <v/>
      </c>
      <c r="C688">
        <f>TEXT(687, "[$-060000]yyyy-mm-dd")</f>
        <v/>
      </c>
      <c r="D688" t="inlineStr">
        <is>
          <t>1319-08-06</t>
        </is>
      </c>
    </row>
    <row r="689">
      <c r="A689" s="1" t="n">
        <v>688</v>
      </c>
      <c r="B689">
        <f>TEXT(688, "[$-170000]yyyy-mm-dd")</f>
        <v/>
      </c>
      <c r="C689">
        <f>TEXT(688, "[$-060000]yyyy-mm-dd")</f>
        <v/>
      </c>
      <c r="D689" t="inlineStr">
        <is>
          <t>1319-08-07</t>
        </is>
      </c>
    </row>
    <row r="690">
      <c r="A690" s="1" t="n">
        <v>689</v>
      </c>
      <c r="B690">
        <f>TEXT(689, "[$-170000]yyyy-mm-dd")</f>
        <v/>
      </c>
      <c r="C690">
        <f>TEXT(689, "[$-060000]yyyy-mm-dd")</f>
        <v/>
      </c>
      <c r="D690" t="inlineStr">
        <is>
          <t>1319-08-08</t>
        </is>
      </c>
    </row>
    <row r="691">
      <c r="A691" s="1" t="n">
        <v>690</v>
      </c>
      <c r="B691">
        <f>TEXT(690, "[$-170000]yyyy-mm-dd")</f>
        <v/>
      </c>
      <c r="C691">
        <f>TEXT(690, "[$-060000]yyyy-mm-dd")</f>
        <v/>
      </c>
      <c r="D691" t="inlineStr">
        <is>
          <t>1319-08-09</t>
        </is>
      </c>
    </row>
    <row r="692">
      <c r="A692" s="1" t="n">
        <v>691</v>
      </c>
      <c r="B692">
        <f>TEXT(691, "[$-170000]yyyy-mm-dd")</f>
        <v/>
      </c>
      <c r="C692">
        <f>TEXT(691, "[$-060000]yyyy-mm-dd")</f>
        <v/>
      </c>
      <c r="D692" t="inlineStr">
        <is>
          <t>1319-08-10</t>
        </is>
      </c>
    </row>
    <row r="693">
      <c r="A693" s="1" t="n">
        <v>692</v>
      </c>
      <c r="B693">
        <f>TEXT(692, "[$-170000]yyyy-mm-dd")</f>
        <v/>
      </c>
      <c r="C693">
        <f>TEXT(692, "[$-060000]yyyy-mm-dd")</f>
        <v/>
      </c>
      <c r="D693" t="inlineStr">
        <is>
          <t>1319-08-11</t>
        </is>
      </c>
    </row>
    <row r="694">
      <c r="A694" s="1" t="n">
        <v>693</v>
      </c>
      <c r="B694">
        <f>TEXT(693, "[$-170000]yyyy-mm-dd")</f>
        <v/>
      </c>
      <c r="C694">
        <f>TEXT(693, "[$-060000]yyyy-mm-dd")</f>
        <v/>
      </c>
      <c r="D694" t="inlineStr">
        <is>
          <t>1319-08-12</t>
        </is>
      </c>
    </row>
    <row r="695">
      <c r="A695" s="1" t="n">
        <v>694</v>
      </c>
      <c r="B695">
        <f>TEXT(694, "[$-170000]yyyy-mm-dd")</f>
        <v/>
      </c>
      <c r="C695">
        <f>TEXT(694, "[$-060000]yyyy-mm-dd")</f>
        <v/>
      </c>
      <c r="D695" t="inlineStr">
        <is>
          <t>1319-08-13</t>
        </is>
      </c>
    </row>
    <row r="696">
      <c r="A696" s="1" t="n">
        <v>695</v>
      </c>
      <c r="B696">
        <f>TEXT(695, "[$-170000]yyyy-mm-dd")</f>
        <v/>
      </c>
      <c r="C696">
        <f>TEXT(695, "[$-060000]yyyy-mm-dd")</f>
        <v/>
      </c>
      <c r="D696" t="inlineStr">
        <is>
          <t>1319-08-14</t>
        </is>
      </c>
    </row>
    <row r="697">
      <c r="A697" s="1" t="n">
        <v>696</v>
      </c>
      <c r="B697">
        <f>TEXT(696, "[$-170000]yyyy-mm-dd")</f>
        <v/>
      </c>
      <c r="C697">
        <f>TEXT(696, "[$-060000]yyyy-mm-dd")</f>
        <v/>
      </c>
      <c r="D697" t="inlineStr">
        <is>
          <t>1319-08-15</t>
        </is>
      </c>
    </row>
    <row r="698">
      <c r="A698" s="1" t="n">
        <v>697</v>
      </c>
      <c r="B698">
        <f>TEXT(697, "[$-170000]yyyy-mm-dd")</f>
        <v/>
      </c>
      <c r="C698">
        <f>TEXT(697, "[$-060000]yyyy-mm-dd")</f>
        <v/>
      </c>
      <c r="D698" t="inlineStr">
        <is>
          <t>1319-08-16</t>
        </is>
      </c>
    </row>
    <row r="699">
      <c r="A699" s="1" t="n">
        <v>698</v>
      </c>
      <c r="B699">
        <f>TEXT(698, "[$-170000]yyyy-mm-dd")</f>
        <v/>
      </c>
      <c r="C699">
        <f>TEXT(698, "[$-060000]yyyy-mm-dd")</f>
        <v/>
      </c>
      <c r="D699" t="inlineStr">
        <is>
          <t>1319-08-17</t>
        </is>
      </c>
    </row>
    <row r="700">
      <c r="A700" s="1" t="n">
        <v>699</v>
      </c>
      <c r="B700">
        <f>TEXT(699, "[$-170000]yyyy-mm-dd")</f>
        <v/>
      </c>
      <c r="C700">
        <f>TEXT(699, "[$-060000]yyyy-mm-dd")</f>
        <v/>
      </c>
      <c r="D700" t="inlineStr">
        <is>
          <t>1319-08-18</t>
        </is>
      </c>
    </row>
    <row r="701">
      <c r="A701" s="1" t="n">
        <v>700</v>
      </c>
      <c r="B701">
        <f>TEXT(700, "[$-170000]yyyy-mm-dd")</f>
        <v/>
      </c>
      <c r="C701">
        <f>TEXT(700, "[$-060000]yyyy-mm-dd")</f>
        <v/>
      </c>
      <c r="D701" t="inlineStr">
        <is>
          <t>1319-08-19</t>
        </is>
      </c>
    </row>
    <row r="702">
      <c r="A702" s="1" t="n">
        <v>701</v>
      </c>
      <c r="B702">
        <f>TEXT(701, "[$-170000]yyyy-mm-dd")</f>
        <v/>
      </c>
      <c r="C702">
        <f>TEXT(701, "[$-060000]yyyy-mm-dd")</f>
        <v/>
      </c>
      <c r="D702" t="inlineStr">
        <is>
          <t>1319-08-20</t>
        </is>
      </c>
    </row>
    <row r="703">
      <c r="A703" s="1" t="n">
        <v>702</v>
      </c>
      <c r="B703">
        <f>TEXT(702, "[$-170000]yyyy-mm-dd")</f>
        <v/>
      </c>
      <c r="C703">
        <f>TEXT(702, "[$-060000]yyyy-mm-dd")</f>
        <v/>
      </c>
      <c r="D703" t="inlineStr">
        <is>
          <t>1319-08-21</t>
        </is>
      </c>
    </row>
    <row r="704">
      <c r="A704" s="1" t="n">
        <v>703</v>
      </c>
      <c r="B704">
        <f>TEXT(703, "[$-170000]yyyy-mm-dd")</f>
        <v/>
      </c>
      <c r="C704">
        <f>TEXT(703, "[$-060000]yyyy-mm-dd")</f>
        <v/>
      </c>
      <c r="D704" t="inlineStr">
        <is>
          <t>1319-08-22</t>
        </is>
      </c>
    </row>
    <row r="705">
      <c r="A705" s="1" t="n">
        <v>704</v>
      </c>
      <c r="B705">
        <f>TEXT(704, "[$-170000]yyyy-mm-dd")</f>
        <v/>
      </c>
      <c r="C705">
        <f>TEXT(704, "[$-060000]yyyy-mm-dd")</f>
        <v/>
      </c>
      <c r="D705" t="inlineStr">
        <is>
          <t>1319-08-23</t>
        </is>
      </c>
    </row>
    <row r="706">
      <c r="A706" s="1" t="n">
        <v>705</v>
      </c>
      <c r="B706">
        <f>TEXT(705, "[$-170000]yyyy-mm-dd")</f>
        <v/>
      </c>
      <c r="C706">
        <f>TEXT(705, "[$-060000]yyyy-mm-dd")</f>
        <v/>
      </c>
      <c r="D706" t="inlineStr">
        <is>
          <t>1319-08-24</t>
        </is>
      </c>
    </row>
    <row r="707">
      <c r="A707" s="1" t="n">
        <v>706</v>
      </c>
      <c r="B707">
        <f>TEXT(706, "[$-170000]yyyy-mm-dd")</f>
        <v/>
      </c>
      <c r="C707">
        <f>TEXT(706, "[$-060000]yyyy-mm-dd")</f>
        <v/>
      </c>
      <c r="D707" t="inlineStr">
        <is>
          <t>1319-08-25</t>
        </is>
      </c>
    </row>
    <row r="708">
      <c r="A708" s="1" t="n">
        <v>707</v>
      </c>
      <c r="B708">
        <f>TEXT(707, "[$-170000]yyyy-mm-dd")</f>
        <v/>
      </c>
      <c r="C708">
        <f>TEXT(707, "[$-060000]yyyy-mm-dd")</f>
        <v/>
      </c>
      <c r="D708" t="inlineStr">
        <is>
          <t>1319-08-26</t>
        </is>
      </c>
    </row>
    <row r="709">
      <c r="A709" s="1" t="n">
        <v>708</v>
      </c>
      <c r="B709">
        <f>TEXT(708, "[$-170000]yyyy-mm-dd")</f>
        <v/>
      </c>
      <c r="C709">
        <f>TEXT(708, "[$-060000]yyyy-mm-dd")</f>
        <v/>
      </c>
      <c r="D709" t="inlineStr">
        <is>
          <t>1319-08-27</t>
        </is>
      </c>
    </row>
    <row r="710">
      <c r="A710" s="1" t="n">
        <v>709</v>
      </c>
      <c r="B710">
        <f>TEXT(709, "[$-170000]yyyy-mm-dd")</f>
        <v/>
      </c>
      <c r="C710">
        <f>TEXT(709, "[$-060000]yyyy-mm-dd")</f>
        <v/>
      </c>
      <c r="D710" t="inlineStr">
        <is>
          <t>1319-08-28</t>
        </is>
      </c>
    </row>
    <row r="711">
      <c r="A711" s="1" t="n">
        <v>710</v>
      </c>
      <c r="B711">
        <f>TEXT(710, "[$-170000]yyyy-mm-dd")</f>
        <v/>
      </c>
      <c r="C711">
        <f>TEXT(710, "[$-060000]yyyy-mm-dd")</f>
        <v/>
      </c>
      <c r="D711" t="inlineStr">
        <is>
          <t>1319-08-29</t>
        </is>
      </c>
    </row>
    <row r="712">
      <c r="A712" s="1" t="n">
        <v>711</v>
      </c>
      <c r="B712">
        <f>TEXT(711, "[$-170000]yyyy-mm-dd")</f>
        <v/>
      </c>
      <c r="C712">
        <f>TEXT(711, "[$-060000]yyyy-mm-dd")</f>
        <v/>
      </c>
      <c r="D712" t="inlineStr">
        <is>
          <t>1319-09-01</t>
        </is>
      </c>
    </row>
    <row r="713">
      <c r="A713" s="1" t="n">
        <v>712</v>
      </c>
      <c r="B713">
        <f>TEXT(712, "[$-170000]yyyy-mm-dd")</f>
        <v/>
      </c>
      <c r="C713">
        <f>TEXT(712, "[$-060000]yyyy-mm-dd")</f>
        <v/>
      </c>
      <c r="D713" t="inlineStr">
        <is>
          <t>1319-09-02</t>
        </is>
      </c>
    </row>
    <row r="714">
      <c r="A714" s="1" t="n">
        <v>713</v>
      </c>
      <c r="B714">
        <f>TEXT(713, "[$-170000]yyyy-mm-dd")</f>
        <v/>
      </c>
      <c r="C714">
        <f>TEXT(713, "[$-060000]yyyy-mm-dd")</f>
        <v/>
      </c>
      <c r="D714" t="inlineStr">
        <is>
          <t>1319-09-03</t>
        </is>
      </c>
    </row>
    <row r="715">
      <c r="A715" s="1" t="n">
        <v>714</v>
      </c>
      <c r="B715">
        <f>TEXT(714, "[$-170000]yyyy-mm-dd")</f>
        <v/>
      </c>
      <c r="C715">
        <f>TEXT(714, "[$-060000]yyyy-mm-dd")</f>
        <v/>
      </c>
      <c r="D715" t="inlineStr">
        <is>
          <t>1319-09-04</t>
        </is>
      </c>
    </row>
    <row r="716">
      <c r="A716" s="1" t="n">
        <v>715</v>
      </c>
      <c r="B716">
        <f>TEXT(715, "[$-170000]yyyy-mm-dd")</f>
        <v/>
      </c>
      <c r="C716">
        <f>TEXT(715, "[$-060000]yyyy-mm-dd")</f>
        <v/>
      </c>
      <c r="D716" t="inlineStr">
        <is>
          <t>1319-09-05</t>
        </is>
      </c>
    </row>
    <row r="717">
      <c r="A717" s="1" t="n">
        <v>716</v>
      </c>
      <c r="B717">
        <f>TEXT(716, "[$-170000]yyyy-mm-dd")</f>
        <v/>
      </c>
      <c r="C717">
        <f>TEXT(716, "[$-060000]yyyy-mm-dd")</f>
        <v/>
      </c>
      <c r="D717" t="inlineStr">
        <is>
          <t>1319-09-06</t>
        </is>
      </c>
    </row>
    <row r="718">
      <c r="A718" s="1" t="n">
        <v>717</v>
      </c>
      <c r="B718">
        <f>TEXT(717, "[$-170000]yyyy-mm-dd")</f>
        <v/>
      </c>
      <c r="C718">
        <f>TEXT(717, "[$-060000]yyyy-mm-dd")</f>
        <v/>
      </c>
      <c r="D718" t="inlineStr">
        <is>
          <t>1319-09-07</t>
        </is>
      </c>
    </row>
    <row r="719">
      <c r="A719" s="1" t="n">
        <v>718</v>
      </c>
      <c r="B719">
        <f>TEXT(718, "[$-170000]yyyy-mm-dd")</f>
        <v/>
      </c>
      <c r="C719">
        <f>TEXT(718, "[$-060000]yyyy-mm-dd")</f>
        <v/>
      </c>
      <c r="D719" t="inlineStr">
        <is>
          <t>1319-09-08</t>
        </is>
      </c>
    </row>
    <row r="720">
      <c r="A720" s="1" t="n">
        <v>719</v>
      </c>
      <c r="B720">
        <f>TEXT(719, "[$-170000]yyyy-mm-dd")</f>
        <v/>
      </c>
      <c r="C720">
        <f>TEXT(719, "[$-060000]yyyy-mm-dd")</f>
        <v/>
      </c>
      <c r="D720" t="inlineStr">
        <is>
          <t>1319-09-09</t>
        </is>
      </c>
    </row>
    <row r="721">
      <c r="A721" s="1" t="n">
        <v>720</v>
      </c>
      <c r="B721">
        <f>TEXT(720, "[$-170000]yyyy-mm-dd")</f>
        <v/>
      </c>
      <c r="C721">
        <f>TEXT(720, "[$-060000]yyyy-mm-dd")</f>
        <v/>
      </c>
      <c r="D721" t="inlineStr">
        <is>
          <t>1319-09-10</t>
        </is>
      </c>
    </row>
    <row r="722">
      <c r="A722" s="1" t="n">
        <v>721</v>
      </c>
      <c r="B722">
        <f>TEXT(721, "[$-170000]yyyy-mm-dd")</f>
        <v/>
      </c>
      <c r="C722">
        <f>TEXT(721, "[$-060000]yyyy-mm-dd")</f>
        <v/>
      </c>
      <c r="D722" t="inlineStr">
        <is>
          <t>1319-09-11</t>
        </is>
      </c>
    </row>
    <row r="723">
      <c r="A723" s="1" t="n">
        <v>722</v>
      </c>
      <c r="B723">
        <f>TEXT(722, "[$-170000]yyyy-mm-dd")</f>
        <v/>
      </c>
      <c r="C723">
        <f>TEXT(722, "[$-060000]yyyy-mm-dd")</f>
        <v/>
      </c>
      <c r="D723" t="inlineStr">
        <is>
          <t>1319-09-12</t>
        </is>
      </c>
    </row>
    <row r="724">
      <c r="A724" s="1" t="n">
        <v>723</v>
      </c>
      <c r="B724">
        <f>TEXT(723, "[$-170000]yyyy-mm-dd")</f>
        <v/>
      </c>
      <c r="C724">
        <f>TEXT(723, "[$-060000]yyyy-mm-dd")</f>
        <v/>
      </c>
      <c r="D724" t="inlineStr">
        <is>
          <t>1319-09-13</t>
        </is>
      </c>
    </row>
    <row r="725">
      <c r="A725" s="1" t="n">
        <v>724</v>
      </c>
      <c r="B725">
        <f>TEXT(724, "[$-170000]yyyy-mm-dd")</f>
        <v/>
      </c>
      <c r="C725">
        <f>TEXT(724, "[$-060000]yyyy-mm-dd")</f>
        <v/>
      </c>
      <c r="D725" t="inlineStr">
        <is>
          <t>1319-09-14</t>
        </is>
      </c>
    </row>
    <row r="726">
      <c r="A726" s="1" t="n">
        <v>725</v>
      </c>
      <c r="B726">
        <f>TEXT(725, "[$-170000]yyyy-mm-dd")</f>
        <v/>
      </c>
      <c r="C726">
        <f>TEXT(725, "[$-060000]yyyy-mm-dd")</f>
        <v/>
      </c>
      <c r="D726" t="inlineStr">
        <is>
          <t>1319-09-15</t>
        </is>
      </c>
    </row>
    <row r="727">
      <c r="A727" s="1" t="n">
        <v>726</v>
      </c>
      <c r="B727">
        <f>TEXT(726, "[$-170000]yyyy-mm-dd")</f>
        <v/>
      </c>
      <c r="C727">
        <f>TEXT(726, "[$-060000]yyyy-mm-dd")</f>
        <v/>
      </c>
      <c r="D727" t="inlineStr">
        <is>
          <t>1319-09-16</t>
        </is>
      </c>
    </row>
    <row r="728">
      <c r="A728" s="1" t="n">
        <v>727</v>
      </c>
      <c r="B728">
        <f>TEXT(727, "[$-170000]yyyy-mm-dd")</f>
        <v/>
      </c>
      <c r="C728">
        <f>TEXT(727, "[$-060000]yyyy-mm-dd")</f>
        <v/>
      </c>
      <c r="D728" t="inlineStr">
        <is>
          <t>1319-09-17</t>
        </is>
      </c>
    </row>
    <row r="729">
      <c r="A729" s="1" t="n">
        <v>728</v>
      </c>
      <c r="B729">
        <f>TEXT(728, "[$-170000]yyyy-mm-dd")</f>
        <v/>
      </c>
      <c r="C729">
        <f>TEXT(728, "[$-060000]yyyy-mm-dd")</f>
        <v/>
      </c>
      <c r="D729" t="inlineStr">
        <is>
          <t>1319-09-18</t>
        </is>
      </c>
    </row>
    <row r="730">
      <c r="A730" s="1" t="n">
        <v>729</v>
      </c>
      <c r="B730">
        <f>TEXT(729, "[$-170000]yyyy-mm-dd")</f>
        <v/>
      </c>
      <c r="C730">
        <f>TEXT(729, "[$-060000]yyyy-mm-dd")</f>
        <v/>
      </c>
      <c r="D730" t="inlineStr">
        <is>
          <t>1319-09-19</t>
        </is>
      </c>
    </row>
    <row r="731">
      <c r="A731" s="1" t="n">
        <v>730</v>
      </c>
      <c r="B731">
        <f>TEXT(730, "[$-170000]yyyy-mm-dd")</f>
        <v/>
      </c>
      <c r="C731">
        <f>TEXT(730, "[$-060000]yyyy-mm-dd")</f>
        <v/>
      </c>
      <c r="D731" t="inlineStr">
        <is>
          <t>1319-09-20</t>
        </is>
      </c>
    </row>
    <row r="732">
      <c r="A732" s="1" t="n">
        <v>731</v>
      </c>
      <c r="B732">
        <f>TEXT(731, "[$-170000]yyyy-mm-dd")</f>
        <v/>
      </c>
      <c r="C732">
        <f>TEXT(731, "[$-060000]yyyy-mm-dd")</f>
        <v/>
      </c>
      <c r="D732" t="inlineStr">
        <is>
          <t>1319-09-21</t>
        </is>
      </c>
    </row>
    <row r="733">
      <c r="A733" s="1" t="n">
        <v>732</v>
      </c>
      <c r="B733">
        <f>TEXT(732, "[$-170000]yyyy-mm-dd")</f>
        <v/>
      </c>
      <c r="C733">
        <f>TEXT(732, "[$-060000]yyyy-mm-dd")</f>
        <v/>
      </c>
      <c r="D733" t="inlineStr">
        <is>
          <t>1319-09-22</t>
        </is>
      </c>
    </row>
    <row r="734">
      <c r="A734" s="1" t="n">
        <v>733</v>
      </c>
      <c r="B734">
        <f>TEXT(733, "[$-170000]yyyy-mm-dd")</f>
        <v/>
      </c>
      <c r="C734">
        <f>TEXT(733, "[$-060000]yyyy-mm-dd")</f>
        <v/>
      </c>
      <c r="D734" t="inlineStr">
        <is>
          <t>1319-09-23</t>
        </is>
      </c>
    </row>
    <row r="735">
      <c r="A735" s="1" t="n">
        <v>734</v>
      </c>
      <c r="B735">
        <f>TEXT(734, "[$-170000]yyyy-mm-dd")</f>
        <v/>
      </c>
      <c r="C735">
        <f>TEXT(734, "[$-060000]yyyy-mm-dd")</f>
        <v/>
      </c>
      <c r="D735" t="inlineStr">
        <is>
          <t>1319-09-24</t>
        </is>
      </c>
    </row>
    <row r="736">
      <c r="A736" s="1" t="n">
        <v>735</v>
      </c>
      <c r="B736">
        <f>TEXT(735, "[$-170000]yyyy-mm-dd")</f>
        <v/>
      </c>
      <c r="C736">
        <f>TEXT(735, "[$-060000]yyyy-mm-dd")</f>
        <v/>
      </c>
      <c r="D736" t="inlineStr">
        <is>
          <t>1319-09-25</t>
        </is>
      </c>
    </row>
    <row r="737">
      <c r="A737" s="1" t="n">
        <v>736</v>
      </c>
      <c r="B737">
        <f>TEXT(736, "[$-170000]yyyy-mm-dd")</f>
        <v/>
      </c>
      <c r="C737">
        <f>TEXT(736, "[$-060000]yyyy-mm-dd")</f>
        <v/>
      </c>
      <c r="D737" t="inlineStr">
        <is>
          <t>1319-09-26</t>
        </is>
      </c>
    </row>
    <row r="738">
      <c r="A738" s="1" t="n">
        <v>737</v>
      </c>
      <c r="B738">
        <f>TEXT(737, "[$-170000]yyyy-mm-dd")</f>
        <v/>
      </c>
      <c r="C738">
        <f>TEXT(737, "[$-060000]yyyy-mm-dd")</f>
        <v/>
      </c>
      <c r="D738" t="inlineStr">
        <is>
          <t>1319-09-27</t>
        </is>
      </c>
    </row>
    <row r="739">
      <c r="A739" s="1" t="n">
        <v>738</v>
      </c>
      <c r="B739">
        <f>TEXT(738, "[$-170000]yyyy-mm-dd")</f>
        <v/>
      </c>
      <c r="C739">
        <f>TEXT(738, "[$-060000]yyyy-mm-dd")</f>
        <v/>
      </c>
      <c r="D739" t="inlineStr">
        <is>
          <t>1319-09-28</t>
        </is>
      </c>
    </row>
    <row r="740">
      <c r="A740" s="1" t="n">
        <v>739</v>
      </c>
      <c r="B740">
        <f>TEXT(739, "[$-170000]yyyy-mm-dd")</f>
        <v/>
      </c>
      <c r="C740">
        <f>TEXT(739, "[$-060000]yyyy-mm-dd")</f>
        <v/>
      </c>
      <c r="D740" t="inlineStr">
        <is>
          <t>1319-09-29</t>
        </is>
      </c>
    </row>
    <row r="741">
      <c r="A741" s="1" t="n">
        <v>740</v>
      </c>
      <c r="B741">
        <f>TEXT(740, "[$-170000]yyyy-mm-dd")</f>
        <v/>
      </c>
      <c r="C741">
        <f>TEXT(740, "[$-060000]yyyy-mm-dd")</f>
        <v/>
      </c>
      <c r="D741" t="inlineStr">
        <is>
          <t>1319-09-30</t>
        </is>
      </c>
    </row>
    <row r="742">
      <c r="A742" s="1" t="n">
        <v>741</v>
      </c>
      <c r="B742">
        <f>TEXT(741, "[$-170000]yyyy-mm-dd")</f>
        <v/>
      </c>
      <c r="C742">
        <f>TEXT(741, "[$-060000]yyyy-mm-dd")</f>
        <v/>
      </c>
      <c r="D742" t="inlineStr">
        <is>
          <t>1319-10-01</t>
        </is>
      </c>
    </row>
    <row r="743">
      <c r="A743" s="1" t="n">
        <v>742</v>
      </c>
      <c r="B743">
        <f>TEXT(742, "[$-170000]yyyy-mm-dd")</f>
        <v/>
      </c>
      <c r="C743">
        <f>TEXT(742, "[$-060000]yyyy-mm-dd")</f>
        <v/>
      </c>
      <c r="D743" t="inlineStr">
        <is>
          <t>1319-10-02</t>
        </is>
      </c>
    </row>
    <row r="744">
      <c r="A744" s="1" t="n">
        <v>743</v>
      </c>
      <c r="B744">
        <f>TEXT(743, "[$-170000]yyyy-mm-dd")</f>
        <v/>
      </c>
      <c r="C744">
        <f>TEXT(743, "[$-060000]yyyy-mm-dd")</f>
        <v/>
      </c>
      <c r="D744" t="inlineStr">
        <is>
          <t>1319-10-03</t>
        </is>
      </c>
    </row>
    <row r="745">
      <c r="A745" s="1" t="n">
        <v>744</v>
      </c>
      <c r="B745">
        <f>TEXT(744, "[$-170000]yyyy-mm-dd")</f>
        <v/>
      </c>
      <c r="C745">
        <f>TEXT(744, "[$-060000]yyyy-mm-dd")</f>
        <v/>
      </c>
      <c r="D745" t="inlineStr">
        <is>
          <t>1319-10-04</t>
        </is>
      </c>
    </row>
    <row r="746">
      <c r="A746" s="1" t="n">
        <v>745</v>
      </c>
      <c r="B746">
        <f>TEXT(745, "[$-170000]yyyy-mm-dd")</f>
        <v/>
      </c>
      <c r="C746">
        <f>TEXT(745, "[$-060000]yyyy-mm-dd")</f>
        <v/>
      </c>
      <c r="D746" t="inlineStr">
        <is>
          <t>1319-10-05</t>
        </is>
      </c>
    </row>
    <row r="747">
      <c r="A747" s="1" t="n">
        <v>746</v>
      </c>
      <c r="B747">
        <f>TEXT(746, "[$-170000]yyyy-mm-dd")</f>
        <v/>
      </c>
      <c r="C747">
        <f>TEXT(746, "[$-060000]yyyy-mm-dd")</f>
        <v/>
      </c>
      <c r="D747" t="inlineStr">
        <is>
          <t>1319-10-06</t>
        </is>
      </c>
    </row>
    <row r="748">
      <c r="A748" s="1" t="n">
        <v>747</v>
      </c>
      <c r="B748">
        <f>TEXT(747, "[$-170000]yyyy-mm-dd")</f>
        <v/>
      </c>
      <c r="C748">
        <f>TEXT(747, "[$-060000]yyyy-mm-dd")</f>
        <v/>
      </c>
      <c r="D748" t="inlineStr">
        <is>
          <t>1319-10-07</t>
        </is>
      </c>
    </row>
    <row r="749">
      <c r="A749" s="1" t="n">
        <v>748</v>
      </c>
      <c r="B749">
        <f>TEXT(748, "[$-170000]yyyy-mm-dd")</f>
        <v/>
      </c>
      <c r="C749">
        <f>TEXT(748, "[$-060000]yyyy-mm-dd")</f>
        <v/>
      </c>
      <c r="D749" t="inlineStr">
        <is>
          <t>1319-10-08</t>
        </is>
      </c>
    </row>
    <row r="750">
      <c r="A750" s="1" t="n">
        <v>749</v>
      </c>
      <c r="B750">
        <f>TEXT(749, "[$-170000]yyyy-mm-dd")</f>
        <v/>
      </c>
      <c r="C750">
        <f>TEXT(749, "[$-060000]yyyy-mm-dd")</f>
        <v/>
      </c>
      <c r="D750" t="inlineStr">
        <is>
          <t>1319-10-09</t>
        </is>
      </c>
    </row>
    <row r="751">
      <c r="A751" s="1" t="n">
        <v>750</v>
      </c>
      <c r="B751">
        <f>TEXT(750, "[$-170000]yyyy-mm-dd")</f>
        <v/>
      </c>
      <c r="C751">
        <f>TEXT(750, "[$-060000]yyyy-mm-dd")</f>
        <v/>
      </c>
      <c r="D751" t="inlineStr">
        <is>
          <t>1319-10-10</t>
        </is>
      </c>
    </row>
    <row r="752">
      <c r="A752" s="1" t="n">
        <v>751</v>
      </c>
      <c r="B752">
        <f>TEXT(751, "[$-170000]yyyy-mm-dd")</f>
        <v/>
      </c>
      <c r="C752">
        <f>TEXT(751, "[$-060000]yyyy-mm-dd")</f>
        <v/>
      </c>
      <c r="D752" t="inlineStr">
        <is>
          <t>1319-10-11</t>
        </is>
      </c>
    </row>
    <row r="753">
      <c r="A753" s="1" t="n">
        <v>752</v>
      </c>
      <c r="B753">
        <f>TEXT(752, "[$-170000]yyyy-mm-dd")</f>
        <v/>
      </c>
      <c r="C753">
        <f>TEXT(752, "[$-060000]yyyy-mm-dd")</f>
        <v/>
      </c>
      <c r="D753" t="inlineStr">
        <is>
          <t>1319-10-12</t>
        </is>
      </c>
    </row>
    <row r="754">
      <c r="A754" s="1" t="n">
        <v>753</v>
      </c>
      <c r="B754">
        <f>TEXT(753, "[$-170000]yyyy-mm-dd")</f>
        <v/>
      </c>
      <c r="C754">
        <f>TEXT(753, "[$-060000]yyyy-mm-dd")</f>
        <v/>
      </c>
      <c r="D754" t="inlineStr">
        <is>
          <t>1319-10-13</t>
        </is>
      </c>
    </row>
    <row r="755">
      <c r="A755" s="1" t="n">
        <v>754</v>
      </c>
      <c r="B755">
        <f>TEXT(754, "[$-170000]yyyy-mm-dd")</f>
        <v/>
      </c>
      <c r="C755">
        <f>TEXT(754, "[$-060000]yyyy-mm-dd")</f>
        <v/>
      </c>
      <c r="D755" t="inlineStr">
        <is>
          <t>1319-10-14</t>
        </is>
      </c>
    </row>
    <row r="756">
      <c r="A756" s="1" t="n">
        <v>755</v>
      </c>
      <c r="B756">
        <f>TEXT(755, "[$-170000]yyyy-mm-dd")</f>
        <v/>
      </c>
      <c r="C756">
        <f>TEXT(755, "[$-060000]yyyy-mm-dd")</f>
        <v/>
      </c>
      <c r="D756" t="inlineStr">
        <is>
          <t>1319-10-15</t>
        </is>
      </c>
    </row>
    <row r="757">
      <c r="A757" s="1" t="n">
        <v>756</v>
      </c>
      <c r="B757">
        <f>TEXT(756, "[$-170000]yyyy-mm-dd")</f>
        <v/>
      </c>
      <c r="C757">
        <f>TEXT(756, "[$-060000]yyyy-mm-dd")</f>
        <v/>
      </c>
      <c r="D757" t="inlineStr">
        <is>
          <t>1319-10-16</t>
        </is>
      </c>
    </row>
    <row r="758">
      <c r="A758" s="1" t="n">
        <v>757</v>
      </c>
      <c r="B758">
        <f>TEXT(757, "[$-170000]yyyy-mm-dd")</f>
        <v/>
      </c>
      <c r="C758">
        <f>TEXT(757, "[$-060000]yyyy-mm-dd")</f>
        <v/>
      </c>
      <c r="D758" t="inlineStr">
        <is>
          <t>1319-10-17</t>
        </is>
      </c>
    </row>
    <row r="759">
      <c r="A759" s="1" t="n">
        <v>758</v>
      </c>
      <c r="B759">
        <f>TEXT(758, "[$-170000]yyyy-mm-dd")</f>
        <v/>
      </c>
      <c r="C759">
        <f>TEXT(758, "[$-060000]yyyy-mm-dd")</f>
        <v/>
      </c>
      <c r="D759" t="inlineStr">
        <is>
          <t>1319-10-18</t>
        </is>
      </c>
    </row>
    <row r="760">
      <c r="A760" s="1" t="n">
        <v>759</v>
      </c>
      <c r="B760">
        <f>TEXT(759, "[$-170000]yyyy-mm-dd")</f>
        <v/>
      </c>
      <c r="C760">
        <f>TEXT(759, "[$-060000]yyyy-mm-dd")</f>
        <v/>
      </c>
      <c r="D760" t="inlineStr">
        <is>
          <t>1319-10-19</t>
        </is>
      </c>
    </row>
    <row r="761">
      <c r="A761" s="1" t="n">
        <v>760</v>
      </c>
      <c r="B761">
        <f>TEXT(760, "[$-170000]yyyy-mm-dd")</f>
        <v/>
      </c>
      <c r="C761">
        <f>TEXT(760, "[$-060000]yyyy-mm-dd")</f>
        <v/>
      </c>
      <c r="D761" t="inlineStr">
        <is>
          <t>1319-10-20</t>
        </is>
      </c>
    </row>
    <row r="762">
      <c r="A762" s="1" t="n">
        <v>761</v>
      </c>
      <c r="B762">
        <f>TEXT(761, "[$-170000]yyyy-mm-dd")</f>
        <v/>
      </c>
      <c r="C762">
        <f>TEXT(761, "[$-060000]yyyy-mm-dd")</f>
        <v/>
      </c>
      <c r="D762" t="inlineStr">
        <is>
          <t>1319-10-21</t>
        </is>
      </c>
    </row>
    <row r="763">
      <c r="A763" s="1" t="n">
        <v>762</v>
      </c>
      <c r="B763">
        <f>TEXT(762, "[$-170000]yyyy-mm-dd")</f>
        <v/>
      </c>
      <c r="C763">
        <f>TEXT(762, "[$-060000]yyyy-mm-dd")</f>
        <v/>
      </c>
      <c r="D763" t="inlineStr">
        <is>
          <t>1319-10-22</t>
        </is>
      </c>
    </row>
    <row r="764">
      <c r="A764" s="1" t="n">
        <v>763</v>
      </c>
      <c r="B764">
        <f>TEXT(763, "[$-170000]yyyy-mm-dd")</f>
        <v/>
      </c>
      <c r="C764">
        <f>TEXT(763, "[$-060000]yyyy-mm-dd")</f>
        <v/>
      </c>
      <c r="D764" t="inlineStr">
        <is>
          <t>1319-10-23</t>
        </is>
      </c>
    </row>
    <row r="765">
      <c r="A765" s="1" t="n">
        <v>764</v>
      </c>
      <c r="B765">
        <f>TEXT(764, "[$-170000]yyyy-mm-dd")</f>
        <v/>
      </c>
      <c r="C765">
        <f>TEXT(764, "[$-060000]yyyy-mm-dd")</f>
        <v/>
      </c>
      <c r="D765" t="inlineStr">
        <is>
          <t>1319-10-24</t>
        </is>
      </c>
    </row>
    <row r="766">
      <c r="A766" s="1" t="n">
        <v>765</v>
      </c>
      <c r="B766">
        <f>TEXT(765, "[$-170000]yyyy-mm-dd")</f>
        <v/>
      </c>
      <c r="C766">
        <f>TEXT(765, "[$-060000]yyyy-mm-dd")</f>
        <v/>
      </c>
      <c r="D766" t="inlineStr">
        <is>
          <t>1319-10-25</t>
        </is>
      </c>
    </row>
    <row r="767">
      <c r="A767" s="1" t="n">
        <v>766</v>
      </c>
      <c r="B767">
        <f>TEXT(766, "[$-170000]yyyy-mm-dd")</f>
        <v/>
      </c>
      <c r="C767">
        <f>TEXT(766, "[$-060000]yyyy-mm-dd")</f>
        <v/>
      </c>
      <c r="D767" t="inlineStr">
        <is>
          <t>1319-10-26</t>
        </is>
      </c>
    </row>
    <row r="768">
      <c r="A768" s="1" t="n">
        <v>767</v>
      </c>
      <c r="B768">
        <f>TEXT(767, "[$-170000]yyyy-mm-dd")</f>
        <v/>
      </c>
      <c r="C768">
        <f>TEXT(767, "[$-060000]yyyy-mm-dd")</f>
        <v/>
      </c>
      <c r="D768" t="inlineStr">
        <is>
          <t>1319-10-27</t>
        </is>
      </c>
    </row>
    <row r="769">
      <c r="A769" s="1" t="n">
        <v>768</v>
      </c>
      <c r="B769">
        <f>TEXT(768, "[$-170000]yyyy-mm-dd")</f>
        <v/>
      </c>
      <c r="C769">
        <f>TEXT(768, "[$-060000]yyyy-mm-dd")</f>
        <v/>
      </c>
      <c r="D769" t="inlineStr">
        <is>
          <t>1319-10-28</t>
        </is>
      </c>
    </row>
    <row r="770">
      <c r="A770" s="1" t="n">
        <v>769</v>
      </c>
      <c r="B770">
        <f>TEXT(769, "[$-170000]yyyy-mm-dd")</f>
        <v/>
      </c>
      <c r="C770">
        <f>TEXT(769, "[$-060000]yyyy-mm-dd")</f>
        <v/>
      </c>
      <c r="D770" t="inlineStr">
        <is>
          <t>1319-10-29</t>
        </is>
      </c>
    </row>
    <row r="771">
      <c r="A771" s="1" t="n">
        <v>770</v>
      </c>
      <c r="B771">
        <f>TEXT(770, "[$-170000]yyyy-mm-dd")</f>
        <v/>
      </c>
      <c r="C771">
        <f>TEXT(770, "[$-060000]yyyy-mm-dd")</f>
        <v/>
      </c>
      <c r="D771" t="inlineStr">
        <is>
          <t>1319-11-01</t>
        </is>
      </c>
    </row>
    <row r="772">
      <c r="A772" s="1" t="n">
        <v>771</v>
      </c>
      <c r="B772">
        <f>TEXT(771, "[$-170000]yyyy-mm-dd")</f>
        <v/>
      </c>
      <c r="C772">
        <f>TEXT(771, "[$-060000]yyyy-mm-dd")</f>
        <v/>
      </c>
      <c r="D772" t="inlineStr">
        <is>
          <t>1319-11-02</t>
        </is>
      </c>
    </row>
    <row r="773">
      <c r="A773" s="1" t="n">
        <v>772</v>
      </c>
      <c r="B773">
        <f>TEXT(772, "[$-170000]yyyy-mm-dd")</f>
        <v/>
      </c>
      <c r="C773">
        <f>TEXT(772, "[$-060000]yyyy-mm-dd")</f>
        <v/>
      </c>
      <c r="D773" t="inlineStr">
        <is>
          <t>1319-11-03</t>
        </is>
      </c>
    </row>
    <row r="774">
      <c r="A774" s="1" t="n">
        <v>773</v>
      </c>
      <c r="B774">
        <f>TEXT(773, "[$-170000]yyyy-mm-dd")</f>
        <v/>
      </c>
      <c r="C774">
        <f>TEXT(773, "[$-060000]yyyy-mm-dd")</f>
        <v/>
      </c>
      <c r="D774" t="inlineStr">
        <is>
          <t>1319-11-04</t>
        </is>
      </c>
    </row>
    <row r="775">
      <c r="A775" s="1" t="n">
        <v>774</v>
      </c>
      <c r="B775">
        <f>TEXT(774, "[$-170000]yyyy-mm-dd")</f>
        <v/>
      </c>
      <c r="C775">
        <f>TEXT(774, "[$-060000]yyyy-mm-dd")</f>
        <v/>
      </c>
      <c r="D775" t="inlineStr">
        <is>
          <t>1319-11-05</t>
        </is>
      </c>
    </row>
    <row r="776">
      <c r="A776" s="1" t="n">
        <v>775</v>
      </c>
      <c r="B776">
        <f>TEXT(775, "[$-170000]yyyy-mm-dd")</f>
        <v/>
      </c>
      <c r="C776">
        <f>TEXT(775, "[$-060000]yyyy-mm-dd")</f>
        <v/>
      </c>
      <c r="D776" t="inlineStr">
        <is>
          <t>1319-11-06</t>
        </is>
      </c>
    </row>
    <row r="777">
      <c r="A777" s="1" t="n">
        <v>776</v>
      </c>
      <c r="B777">
        <f>TEXT(776, "[$-170000]yyyy-mm-dd")</f>
        <v/>
      </c>
      <c r="C777">
        <f>TEXT(776, "[$-060000]yyyy-mm-dd")</f>
        <v/>
      </c>
      <c r="D777" t="inlineStr">
        <is>
          <t>1319-11-07</t>
        </is>
      </c>
    </row>
    <row r="778">
      <c r="A778" s="1" t="n">
        <v>777</v>
      </c>
      <c r="B778">
        <f>TEXT(777, "[$-170000]yyyy-mm-dd")</f>
        <v/>
      </c>
      <c r="C778">
        <f>TEXT(777, "[$-060000]yyyy-mm-dd")</f>
        <v/>
      </c>
      <c r="D778" t="inlineStr">
        <is>
          <t>1319-11-08</t>
        </is>
      </c>
    </row>
    <row r="779">
      <c r="A779" s="1" t="n">
        <v>778</v>
      </c>
      <c r="B779">
        <f>TEXT(778, "[$-170000]yyyy-mm-dd")</f>
        <v/>
      </c>
      <c r="C779">
        <f>TEXT(778, "[$-060000]yyyy-mm-dd")</f>
        <v/>
      </c>
      <c r="D779" t="inlineStr">
        <is>
          <t>1319-11-09</t>
        </is>
      </c>
    </row>
    <row r="780">
      <c r="A780" s="1" t="n">
        <v>779</v>
      </c>
      <c r="B780">
        <f>TEXT(779, "[$-170000]yyyy-mm-dd")</f>
        <v/>
      </c>
      <c r="C780">
        <f>TEXT(779, "[$-060000]yyyy-mm-dd")</f>
        <v/>
      </c>
      <c r="D780" t="inlineStr">
        <is>
          <t>1319-11-10</t>
        </is>
      </c>
    </row>
    <row r="781">
      <c r="A781" s="1" t="n">
        <v>780</v>
      </c>
      <c r="B781">
        <f>TEXT(780, "[$-170000]yyyy-mm-dd")</f>
        <v/>
      </c>
      <c r="C781">
        <f>TEXT(780, "[$-060000]yyyy-mm-dd")</f>
        <v/>
      </c>
      <c r="D781" t="inlineStr">
        <is>
          <t>1319-11-11</t>
        </is>
      </c>
    </row>
    <row r="782">
      <c r="A782" s="1" t="n">
        <v>781</v>
      </c>
      <c r="B782">
        <f>TEXT(781, "[$-170000]yyyy-mm-dd")</f>
        <v/>
      </c>
      <c r="C782">
        <f>TEXT(781, "[$-060000]yyyy-mm-dd")</f>
        <v/>
      </c>
      <c r="D782" t="inlineStr">
        <is>
          <t>1319-11-12</t>
        </is>
      </c>
    </row>
    <row r="783">
      <c r="A783" s="1" t="n">
        <v>782</v>
      </c>
      <c r="B783">
        <f>TEXT(782, "[$-170000]yyyy-mm-dd")</f>
        <v/>
      </c>
      <c r="C783">
        <f>TEXT(782, "[$-060000]yyyy-mm-dd")</f>
        <v/>
      </c>
      <c r="D783" t="inlineStr">
        <is>
          <t>1319-11-13</t>
        </is>
      </c>
    </row>
    <row r="784">
      <c r="A784" s="1" t="n">
        <v>783</v>
      </c>
      <c r="B784">
        <f>TEXT(783, "[$-170000]yyyy-mm-dd")</f>
        <v/>
      </c>
      <c r="C784">
        <f>TEXT(783, "[$-060000]yyyy-mm-dd")</f>
        <v/>
      </c>
      <c r="D784" t="inlineStr">
        <is>
          <t>1319-11-14</t>
        </is>
      </c>
    </row>
    <row r="785">
      <c r="A785" s="1" t="n">
        <v>784</v>
      </c>
      <c r="B785">
        <f>TEXT(784, "[$-170000]yyyy-mm-dd")</f>
        <v/>
      </c>
      <c r="C785">
        <f>TEXT(784, "[$-060000]yyyy-mm-dd")</f>
        <v/>
      </c>
      <c r="D785" t="inlineStr">
        <is>
          <t>1319-11-15</t>
        </is>
      </c>
    </row>
    <row r="786">
      <c r="A786" s="1" t="n">
        <v>785</v>
      </c>
      <c r="B786">
        <f>TEXT(785, "[$-170000]yyyy-mm-dd")</f>
        <v/>
      </c>
      <c r="C786">
        <f>TEXT(785, "[$-060000]yyyy-mm-dd")</f>
        <v/>
      </c>
      <c r="D786" t="inlineStr">
        <is>
          <t>1319-11-16</t>
        </is>
      </c>
    </row>
    <row r="787">
      <c r="A787" s="1" t="n">
        <v>786</v>
      </c>
      <c r="B787">
        <f>TEXT(786, "[$-170000]yyyy-mm-dd")</f>
        <v/>
      </c>
      <c r="C787">
        <f>TEXT(786, "[$-060000]yyyy-mm-dd")</f>
        <v/>
      </c>
      <c r="D787" t="inlineStr">
        <is>
          <t>1319-11-17</t>
        </is>
      </c>
    </row>
    <row r="788">
      <c r="A788" s="1" t="n">
        <v>787</v>
      </c>
      <c r="B788">
        <f>TEXT(787, "[$-170000]yyyy-mm-dd")</f>
        <v/>
      </c>
      <c r="C788">
        <f>TEXT(787, "[$-060000]yyyy-mm-dd")</f>
        <v/>
      </c>
      <c r="D788" t="inlineStr">
        <is>
          <t>1319-11-18</t>
        </is>
      </c>
    </row>
    <row r="789">
      <c r="A789" s="1" t="n">
        <v>788</v>
      </c>
      <c r="B789">
        <f>TEXT(788, "[$-170000]yyyy-mm-dd")</f>
        <v/>
      </c>
      <c r="C789">
        <f>TEXT(788, "[$-060000]yyyy-mm-dd")</f>
        <v/>
      </c>
      <c r="D789" t="inlineStr">
        <is>
          <t>1319-11-19</t>
        </is>
      </c>
    </row>
    <row r="790">
      <c r="A790" s="1" t="n">
        <v>789</v>
      </c>
      <c r="B790">
        <f>TEXT(789, "[$-170000]yyyy-mm-dd")</f>
        <v/>
      </c>
      <c r="C790">
        <f>TEXT(789, "[$-060000]yyyy-mm-dd")</f>
        <v/>
      </c>
      <c r="D790" t="inlineStr">
        <is>
          <t>1319-11-20</t>
        </is>
      </c>
    </row>
    <row r="791">
      <c r="A791" s="1" t="n">
        <v>790</v>
      </c>
      <c r="B791">
        <f>TEXT(790, "[$-170000]yyyy-mm-dd")</f>
        <v/>
      </c>
      <c r="C791">
        <f>TEXT(790, "[$-060000]yyyy-mm-dd")</f>
        <v/>
      </c>
      <c r="D791" t="inlineStr">
        <is>
          <t>1319-11-21</t>
        </is>
      </c>
    </row>
    <row r="792">
      <c r="A792" s="1" t="n">
        <v>791</v>
      </c>
      <c r="B792">
        <f>TEXT(791, "[$-170000]yyyy-mm-dd")</f>
        <v/>
      </c>
      <c r="C792">
        <f>TEXT(791, "[$-060000]yyyy-mm-dd")</f>
        <v/>
      </c>
      <c r="D792" t="inlineStr">
        <is>
          <t>1319-11-22</t>
        </is>
      </c>
    </row>
    <row r="793">
      <c r="A793" s="1" t="n">
        <v>792</v>
      </c>
      <c r="B793">
        <f>TEXT(792, "[$-170000]yyyy-mm-dd")</f>
        <v/>
      </c>
      <c r="C793">
        <f>TEXT(792, "[$-060000]yyyy-mm-dd")</f>
        <v/>
      </c>
      <c r="D793" t="inlineStr">
        <is>
          <t>1319-11-23</t>
        </is>
      </c>
    </row>
    <row r="794">
      <c r="A794" s="1" t="n">
        <v>793</v>
      </c>
      <c r="B794">
        <f>TEXT(793, "[$-170000]yyyy-mm-dd")</f>
        <v/>
      </c>
      <c r="C794">
        <f>TEXT(793, "[$-060000]yyyy-mm-dd")</f>
        <v/>
      </c>
      <c r="D794" t="inlineStr">
        <is>
          <t>1319-11-24</t>
        </is>
      </c>
    </row>
    <row r="795">
      <c r="A795" s="1" t="n">
        <v>794</v>
      </c>
      <c r="B795">
        <f>TEXT(794, "[$-170000]yyyy-mm-dd")</f>
        <v/>
      </c>
      <c r="C795">
        <f>TEXT(794, "[$-060000]yyyy-mm-dd")</f>
        <v/>
      </c>
      <c r="D795" t="inlineStr">
        <is>
          <t>1319-11-25</t>
        </is>
      </c>
    </row>
    <row r="796">
      <c r="A796" s="1" t="n">
        <v>795</v>
      </c>
      <c r="B796">
        <f>TEXT(795, "[$-170000]yyyy-mm-dd")</f>
        <v/>
      </c>
      <c r="C796">
        <f>TEXT(795, "[$-060000]yyyy-mm-dd")</f>
        <v/>
      </c>
      <c r="D796" t="inlineStr">
        <is>
          <t>1319-11-26</t>
        </is>
      </c>
    </row>
    <row r="797">
      <c r="A797" s="1" t="n">
        <v>796</v>
      </c>
      <c r="B797">
        <f>TEXT(796, "[$-170000]yyyy-mm-dd")</f>
        <v/>
      </c>
      <c r="C797">
        <f>TEXT(796, "[$-060000]yyyy-mm-dd")</f>
        <v/>
      </c>
      <c r="D797" t="inlineStr">
        <is>
          <t>1319-11-27</t>
        </is>
      </c>
    </row>
    <row r="798">
      <c r="A798" s="1" t="n">
        <v>797</v>
      </c>
      <c r="B798">
        <f>TEXT(797, "[$-170000]yyyy-mm-dd")</f>
        <v/>
      </c>
      <c r="C798">
        <f>TEXT(797, "[$-060000]yyyy-mm-dd")</f>
        <v/>
      </c>
      <c r="D798" t="inlineStr">
        <is>
          <t>1319-11-28</t>
        </is>
      </c>
    </row>
    <row r="799">
      <c r="A799" s="1" t="n">
        <v>798</v>
      </c>
      <c r="B799">
        <f>TEXT(798, "[$-170000]yyyy-mm-dd")</f>
        <v/>
      </c>
      <c r="C799">
        <f>TEXT(798, "[$-060000]yyyy-mm-dd")</f>
        <v/>
      </c>
      <c r="D799" t="inlineStr">
        <is>
          <t>1319-11-29</t>
        </is>
      </c>
    </row>
    <row r="800">
      <c r="A800" s="1" t="n">
        <v>799</v>
      </c>
      <c r="B800">
        <f>TEXT(799, "[$-170000]yyyy-mm-dd")</f>
        <v/>
      </c>
      <c r="C800">
        <f>TEXT(799, "[$-060000]yyyy-mm-dd")</f>
        <v/>
      </c>
      <c r="D800" t="inlineStr">
        <is>
          <t>1319-11-30</t>
        </is>
      </c>
    </row>
    <row r="801">
      <c r="A801" s="1" t="n">
        <v>800</v>
      </c>
      <c r="B801">
        <f>TEXT(800, "[$-170000]yyyy-mm-dd")</f>
        <v/>
      </c>
      <c r="C801">
        <f>TEXT(800, "[$-060000]yyyy-mm-dd")</f>
        <v/>
      </c>
      <c r="D801" t="inlineStr">
        <is>
          <t>1319-12-01</t>
        </is>
      </c>
    </row>
    <row r="802">
      <c r="A802" s="1" t="n">
        <v>801</v>
      </c>
      <c r="B802">
        <f>TEXT(801, "[$-170000]yyyy-mm-dd")</f>
        <v/>
      </c>
      <c r="C802">
        <f>TEXT(801, "[$-060000]yyyy-mm-dd")</f>
        <v/>
      </c>
      <c r="D802" t="inlineStr">
        <is>
          <t>1319-12-02</t>
        </is>
      </c>
    </row>
    <row r="803">
      <c r="A803" s="1" t="n">
        <v>802</v>
      </c>
      <c r="B803">
        <f>TEXT(802, "[$-170000]yyyy-mm-dd")</f>
        <v/>
      </c>
      <c r="C803">
        <f>TEXT(802, "[$-060000]yyyy-mm-dd")</f>
        <v/>
      </c>
      <c r="D803" t="inlineStr">
        <is>
          <t>1319-12-03</t>
        </is>
      </c>
    </row>
    <row r="804">
      <c r="A804" s="1" t="n">
        <v>803</v>
      </c>
      <c r="B804">
        <f>TEXT(803, "[$-170000]yyyy-mm-dd")</f>
        <v/>
      </c>
      <c r="C804">
        <f>TEXT(803, "[$-060000]yyyy-mm-dd")</f>
        <v/>
      </c>
      <c r="D804" t="inlineStr">
        <is>
          <t>1319-12-04</t>
        </is>
      </c>
    </row>
    <row r="805">
      <c r="A805" s="1" t="n">
        <v>804</v>
      </c>
      <c r="B805">
        <f>TEXT(804, "[$-170000]yyyy-mm-dd")</f>
        <v/>
      </c>
      <c r="C805">
        <f>TEXT(804, "[$-060000]yyyy-mm-dd")</f>
        <v/>
      </c>
      <c r="D805" t="inlineStr">
        <is>
          <t>1319-12-05</t>
        </is>
      </c>
    </row>
    <row r="806">
      <c r="A806" s="1" t="n">
        <v>805</v>
      </c>
      <c r="B806">
        <f>TEXT(805, "[$-170000]yyyy-mm-dd")</f>
        <v/>
      </c>
      <c r="C806">
        <f>TEXT(805, "[$-060000]yyyy-mm-dd")</f>
        <v/>
      </c>
      <c r="D806" t="inlineStr">
        <is>
          <t>1319-12-06</t>
        </is>
      </c>
    </row>
    <row r="807">
      <c r="A807" s="1" t="n">
        <v>806</v>
      </c>
      <c r="B807">
        <f>TEXT(806, "[$-170000]yyyy-mm-dd")</f>
        <v/>
      </c>
      <c r="C807">
        <f>TEXT(806, "[$-060000]yyyy-mm-dd")</f>
        <v/>
      </c>
      <c r="D807" t="inlineStr">
        <is>
          <t>1319-12-07</t>
        </is>
      </c>
    </row>
    <row r="808">
      <c r="A808" s="1" t="n">
        <v>807</v>
      </c>
      <c r="B808">
        <f>TEXT(807, "[$-170000]yyyy-mm-dd")</f>
        <v/>
      </c>
      <c r="C808">
        <f>TEXT(807, "[$-060000]yyyy-mm-dd")</f>
        <v/>
      </c>
      <c r="D808" t="inlineStr">
        <is>
          <t>1319-12-08</t>
        </is>
      </c>
    </row>
    <row r="809">
      <c r="A809" s="1" t="n">
        <v>808</v>
      </c>
      <c r="B809">
        <f>TEXT(808, "[$-170000]yyyy-mm-dd")</f>
        <v/>
      </c>
      <c r="C809">
        <f>TEXT(808, "[$-060000]yyyy-mm-dd")</f>
        <v/>
      </c>
      <c r="D809" t="inlineStr">
        <is>
          <t>1319-12-09</t>
        </is>
      </c>
    </row>
    <row r="810">
      <c r="A810" s="1" t="n">
        <v>809</v>
      </c>
      <c r="B810">
        <f>TEXT(809, "[$-170000]yyyy-mm-dd")</f>
        <v/>
      </c>
      <c r="C810">
        <f>TEXT(809, "[$-060000]yyyy-mm-dd")</f>
        <v/>
      </c>
      <c r="D810" t="inlineStr">
        <is>
          <t>1319-12-10</t>
        </is>
      </c>
    </row>
    <row r="811">
      <c r="A811" s="1" t="n">
        <v>810</v>
      </c>
      <c r="B811">
        <f>TEXT(810, "[$-170000]yyyy-mm-dd")</f>
        <v/>
      </c>
      <c r="C811">
        <f>TEXT(810, "[$-060000]yyyy-mm-dd")</f>
        <v/>
      </c>
      <c r="D811" t="inlineStr">
        <is>
          <t>1319-12-11</t>
        </is>
      </c>
    </row>
    <row r="812">
      <c r="A812" s="1" t="n">
        <v>811</v>
      </c>
      <c r="B812">
        <f>TEXT(811, "[$-170000]yyyy-mm-dd")</f>
        <v/>
      </c>
      <c r="C812">
        <f>TEXT(811, "[$-060000]yyyy-mm-dd")</f>
        <v/>
      </c>
      <c r="D812" t="inlineStr">
        <is>
          <t>1319-12-12</t>
        </is>
      </c>
    </row>
    <row r="813">
      <c r="A813" s="1" t="n">
        <v>812</v>
      </c>
      <c r="B813">
        <f>TEXT(812, "[$-170000]yyyy-mm-dd")</f>
        <v/>
      </c>
      <c r="C813">
        <f>TEXT(812, "[$-060000]yyyy-mm-dd")</f>
        <v/>
      </c>
      <c r="D813" t="inlineStr">
        <is>
          <t>1319-12-13</t>
        </is>
      </c>
    </row>
    <row r="814">
      <c r="A814" s="1" t="n">
        <v>813</v>
      </c>
      <c r="B814">
        <f>TEXT(813, "[$-170000]yyyy-mm-dd")</f>
        <v/>
      </c>
      <c r="C814">
        <f>TEXT(813, "[$-060000]yyyy-mm-dd")</f>
        <v/>
      </c>
      <c r="D814" t="inlineStr">
        <is>
          <t>1319-12-14</t>
        </is>
      </c>
    </row>
    <row r="815">
      <c r="A815" s="1" t="n">
        <v>814</v>
      </c>
      <c r="B815">
        <f>TEXT(814, "[$-170000]yyyy-mm-dd")</f>
        <v/>
      </c>
      <c r="C815">
        <f>TEXT(814, "[$-060000]yyyy-mm-dd")</f>
        <v/>
      </c>
      <c r="D815" t="inlineStr">
        <is>
          <t>1319-12-15</t>
        </is>
      </c>
    </row>
    <row r="816">
      <c r="A816" s="1" t="n">
        <v>815</v>
      </c>
      <c r="B816">
        <f>TEXT(815, "[$-170000]yyyy-mm-dd")</f>
        <v/>
      </c>
      <c r="C816">
        <f>TEXT(815, "[$-060000]yyyy-mm-dd")</f>
        <v/>
      </c>
      <c r="D816" t="inlineStr">
        <is>
          <t>1319-12-16</t>
        </is>
      </c>
    </row>
    <row r="817">
      <c r="A817" s="1" t="n">
        <v>816</v>
      </c>
      <c r="B817">
        <f>TEXT(816, "[$-170000]yyyy-mm-dd")</f>
        <v/>
      </c>
      <c r="C817">
        <f>TEXT(816, "[$-060000]yyyy-mm-dd")</f>
        <v/>
      </c>
      <c r="D817" t="inlineStr">
        <is>
          <t>1319-12-17</t>
        </is>
      </c>
    </row>
    <row r="818">
      <c r="A818" s="1" t="n">
        <v>817</v>
      </c>
      <c r="B818">
        <f>TEXT(817, "[$-170000]yyyy-mm-dd")</f>
        <v/>
      </c>
      <c r="C818">
        <f>TEXT(817, "[$-060000]yyyy-mm-dd")</f>
        <v/>
      </c>
      <c r="D818" t="inlineStr">
        <is>
          <t>1319-12-18</t>
        </is>
      </c>
    </row>
    <row r="819">
      <c r="A819" s="1" t="n">
        <v>818</v>
      </c>
      <c r="B819">
        <f>TEXT(818, "[$-170000]yyyy-mm-dd")</f>
        <v/>
      </c>
      <c r="C819">
        <f>TEXT(818, "[$-060000]yyyy-mm-dd")</f>
        <v/>
      </c>
      <c r="D819" t="inlineStr">
        <is>
          <t>1319-12-19</t>
        </is>
      </c>
    </row>
    <row r="820">
      <c r="A820" s="1" t="n">
        <v>819</v>
      </c>
      <c r="B820">
        <f>TEXT(819, "[$-170000]yyyy-mm-dd")</f>
        <v/>
      </c>
      <c r="C820">
        <f>TEXT(819, "[$-060000]yyyy-mm-dd")</f>
        <v/>
      </c>
      <c r="D820" t="inlineStr">
        <is>
          <t>1319-12-20</t>
        </is>
      </c>
    </row>
    <row r="821">
      <c r="A821" s="1" t="n">
        <v>820</v>
      </c>
      <c r="B821">
        <f>TEXT(820, "[$-170000]yyyy-mm-dd")</f>
        <v/>
      </c>
      <c r="C821">
        <f>TEXT(820, "[$-060000]yyyy-mm-dd")</f>
        <v/>
      </c>
      <c r="D821" t="inlineStr">
        <is>
          <t>1319-12-21</t>
        </is>
      </c>
    </row>
    <row r="822">
      <c r="A822" s="1" t="n">
        <v>821</v>
      </c>
      <c r="B822">
        <f>TEXT(821, "[$-170000]yyyy-mm-dd")</f>
        <v/>
      </c>
      <c r="C822">
        <f>TEXT(821, "[$-060000]yyyy-mm-dd")</f>
        <v/>
      </c>
      <c r="D822" t="inlineStr">
        <is>
          <t>1319-12-22</t>
        </is>
      </c>
    </row>
    <row r="823">
      <c r="A823" s="1" t="n">
        <v>822</v>
      </c>
      <c r="B823">
        <f>TEXT(822, "[$-170000]yyyy-mm-dd")</f>
        <v/>
      </c>
      <c r="C823">
        <f>TEXT(822, "[$-060000]yyyy-mm-dd")</f>
        <v/>
      </c>
      <c r="D823" t="inlineStr">
        <is>
          <t>1319-12-23</t>
        </is>
      </c>
    </row>
    <row r="824">
      <c r="A824" s="1" t="n">
        <v>823</v>
      </c>
      <c r="B824">
        <f>TEXT(823, "[$-170000]yyyy-mm-dd")</f>
        <v/>
      </c>
      <c r="C824">
        <f>TEXT(823, "[$-060000]yyyy-mm-dd")</f>
        <v/>
      </c>
      <c r="D824" t="inlineStr">
        <is>
          <t>1319-12-24</t>
        </is>
      </c>
    </row>
    <row r="825">
      <c r="A825" s="1" t="n">
        <v>824</v>
      </c>
      <c r="B825">
        <f>TEXT(824, "[$-170000]yyyy-mm-dd")</f>
        <v/>
      </c>
      <c r="C825">
        <f>TEXT(824, "[$-060000]yyyy-mm-dd")</f>
        <v/>
      </c>
      <c r="D825" t="inlineStr">
        <is>
          <t>1319-12-25</t>
        </is>
      </c>
    </row>
    <row r="826">
      <c r="A826" s="1" t="n">
        <v>825</v>
      </c>
      <c r="B826">
        <f>TEXT(825, "[$-170000]yyyy-mm-dd")</f>
        <v/>
      </c>
      <c r="C826">
        <f>TEXT(825, "[$-060000]yyyy-mm-dd")</f>
        <v/>
      </c>
      <c r="D826" t="inlineStr">
        <is>
          <t>1319-12-26</t>
        </is>
      </c>
    </row>
    <row r="827">
      <c r="A827" s="1" t="n">
        <v>826</v>
      </c>
      <c r="B827">
        <f>TEXT(826, "[$-170000]yyyy-mm-dd")</f>
        <v/>
      </c>
      <c r="C827">
        <f>TEXT(826, "[$-060000]yyyy-mm-dd")</f>
        <v/>
      </c>
      <c r="D827" t="inlineStr">
        <is>
          <t>1319-12-27</t>
        </is>
      </c>
    </row>
    <row r="828">
      <c r="A828" s="1" t="n">
        <v>827</v>
      </c>
      <c r="B828">
        <f>TEXT(827, "[$-170000]yyyy-mm-dd")</f>
        <v/>
      </c>
      <c r="C828">
        <f>TEXT(827, "[$-060000]yyyy-mm-dd")</f>
        <v/>
      </c>
      <c r="D828" t="inlineStr">
        <is>
          <t>1319-12-28</t>
        </is>
      </c>
    </row>
    <row r="829">
      <c r="A829" s="1" t="n">
        <v>828</v>
      </c>
      <c r="B829">
        <f>TEXT(828, "[$-170000]yyyy-mm-dd")</f>
        <v/>
      </c>
      <c r="C829">
        <f>TEXT(828, "[$-060000]yyyy-mm-dd")</f>
        <v/>
      </c>
      <c r="D829" t="inlineStr">
        <is>
          <t>1319-12-29</t>
        </is>
      </c>
    </row>
    <row r="830">
      <c r="A830" s="1" t="n">
        <v>829</v>
      </c>
      <c r="B830">
        <f>TEXT(829, "[$-170000]yyyy-mm-dd")</f>
        <v/>
      </c>
      <c r="C830">
        <f>TEXT(829, "[$-060000]yyyy-mm-dd")</f>
        <v/>
      </c>
      <c r="D830" t="inlineStr">
        <is>
          <t>1319-12-30</t>
        </is>
      </c>
    </row>
    <row r="831">
      <c r="A831" s="1" t="n">
        <v>830</v>
      </c>
      <c r="B831">
        <f>TEXT(830, "[$-170000]yyyy-mm-dd")</f>
        <v/>
      </c>
      <c r="C831">
        <f>TEXT(830, "[$-060000]yyyy-mm-dd")</f>
        <v/>
      </c>
      <c r="D831" t="inlineStr">
        <is>
          <t>1320-01-01</t>
        </is>
      </c>
    </row>
    <row r="832">
      <c r="A832" s="1" t="n">
        <v>831</v>
      </c>
      <c r="B832">
        <f>TEXT(831, "[$-170000]yyyy-mm-dd")</f>
        <v/>
      </c>
      <c r="C832">
        <f>TEXT(831, "[$-060000]yyyy-mm-dd")</f>
        <v/>
      </c>
      <c r="D832" t="inlineStr">
        <is>
          <t>1320-01-02</t>
        </is>
      </c>
    </row>
    <row r="833">
      <c r="A833" s="1" t="n">
        <v>832</v>
      </c>
      <c r="B833">
        <f>TEXT(832, "[$-170000]yyyy-mm-dd")</f>
        <v/>
      </c>
      <c r="C833">
        <f>TEXT(832, "[$-060000]yyyy-mm-dd")</f>
        <v/>
      </c>
      <c r="D833" t="inlineStr">
        <is>
          <t>1320-01-03</t>
        </is>
      </c>
    </row>
    <row r="834">
      <c r="A834" s="1" t="n">
        <v>833</v>
      </c>
      <c r="B834">
        <f>TEXT(833, "[$-170000]yyyy-mm-dd")</f>
        <v/>
      </c>
      <c r="C834">
        <f>TEXT(833, "[$-060000]yyyy-mm-dd")</f>
        <v/>
      </c>
      <c r="D834" t="inlineStr">
        <is>
          <t>1320-01-04</t>
        </is>
      </c>
    </row>
    <row r="835">
      <c r="A835" s="1" t="n">
        <v>834</v>
      </c>
      <c r="B835">
        <f>TEXT(834, "[$-170000]yyyy-mm-dd")</f>
        <v/>
      </c>
      <c r="C835">
        <f>TEXT(834, "[$-060000]yyyy-mm-dd")</f>
        <v/>
      </c>
      <c r="D835" t="inlineStr">
        <is>
          <t>1320-01-05</t>
        </is>
      </c>
    </row>
    <row r="836">
      <c r="A836" s="1" t="n">
        <v>835</v>
      </c>
      <c r="B836">
        <f>TEXT(835, "[$-170000]yyyy-mm-dd")</f>
        <v/>
      </c>
      <c r="C836">
        <f>TEXT(835, "[$-060000]yyyy-mm-dd")</f>
        <v/>
      </c>
      <c r="D836" t="inlineStr">
        <is>
          <t>1320-01-06</t>
        </is>
      </c>
    </row>
    <row r="837">
      <c r="A837" s="1" t="n">
        <v>836</v>
      </c>
      <c r="B837">
        <f>TEXT(836, "[$-170000]yyyy-mm-dd")</f>
        <v/>
      </c>
      <c r="C837">
        <f>TEXT(836, "[$-060000]yyyy-mm-dd")</f>
        <v/>
      </c>
      <c r="D837" t="inlineStr">
        <is>
          <t>1320-01-07</t>
        </is>
      </c>
    </row>
    <row r="838">
      <c r="A838" s="1" t="n">
        <v>837</v>
      </c>
      <c r="B838">
        <f>TEXT(837, "[$-170000]yyyy-mm-dd")</f>
        <v/>
      </c>
      <c r="C838">
        <f>TEXT(837, "[$-060000]yyyy-mm-dd")</f>
        <v/>
      </c>
      <c r="D838" t="inlineStr">
        <is>
          <t>1320-01-08</t>
        </is>
      </c>
    </row>
    <row r="839">
      <c r="A839" s="1" t="n">
        <v>838</v>
      </c>
      <c r="B839">
        <f>TEXT(838, "[$-170000]yyyy-mm-dd")</f>
        <v/>
      </c>
      <c r="C839">
        <f>TEXT(838, "[$-060000]yyyy-mm-dd")</f>
        <v/>
      </c>
      <c r="D839" t="inlineStr">
        <is>
          <t>1320-01-09</t>
        </is>
      </c>
    </row>
    <row r="840">
      <c r="A840" s="1" t="n">
        <v>839</v>
      </c>
      <c r="B840">
        <f>TEXT(839, "[$-170000]yyyy-mm-dd")</f>
        <v/>
      </c>
      <c r="C840">
        <f>TEXT(839, "[$-060000]yyyy-mm-dd")</f>
        <v/>
      </c>
      <c r="D840" t="inlineStr">
        <is>
          <t>1320-01-10</t>
        </is>
      </c>
    </row>
    <row r="841">
      <c r="A841" s="1" t="n">
        <v>840</v>
      </c>
      <c r="B841">
        <f>TEXT(840, "[$-170000]yyyy-mm-dd")</f>
        <v/>
      </c>
      <c r="C841">
        <f>TEXT(840, "[$-060000]yyyy-mm-dd")</f>
        <v/>
      </c>
      <c r="D841" t="inlineStr">
        <is>
          <t>1320-01-11</t>
        </is>
      </c>
    </row>
    <row r="842">
      <c r="A842" s="1" t="n">
        <v>841</v>
      </c>
      <c r="B842">
        <f>TEXT(841, "[$-170000]yyyy-mm-dd")</f>
        <v/>
      </c>
      <c r="C842">
        <f>TEXT(841, "[$-060000]yyyy-mm-dd")</f>
        <v/>
      </c>
      <c r="D842" t="inlineStr">
        <is>
          <t>1320-01-12</t>
        </is>
      </c>
    </row>
    <row r="843">
      <c r="A843" s="1" t="n">
        <v>842</v>
      </c>
      <c r="B843">
        <f>TEXT(842, "[$-170000]yyyy-mm-dd")</f>
        <v/>
      </c>
      <c r="C843">
        <f>TEXT(842, "[$-060000]yyyy-mm-dd")</f>
        <v/>
      </c>
      <c r="D843" t="inlineStr">
        <is>
          <t>1320-01-13</t>
        </is>
      </c>
    </row>
    <row r="844">
      <c r="A844" s="1" t="n">
        <v>843</v>
      </c>
      <c r="B844">
        <f>TEXT(843, "[$-170000]yyyy-mm-dd")</f>
        <v/>
      </c>
      <c r="C844">
        <f>TEXT(843, "[$-060000]yyyy-mm-dd")</f>
        <v/>
      </c>
      <c r="D844" t="inlineStr">
        <is>
          <t>1320-01-14</t>
        </is>
      </c>
    </row>
    <row r="845">
      <c r="A845" s="1" t="n">
        <v>844</v>
      </c>
      <c r="B845">
        <f>TEXT(844, "[$-170000]yyyy-mm-dd")</f>
        <v/>
      </c>
      <c r="C845">
        <f>TEXT(844, "[$-060000]yyyy-mm-dd")</f>
        <v/>
      </c>
      <c r="D845" t="inlineStr">
        <is>
          <t>1320-01-15</t>
        </is>
      </c>
    </row>
    <row r="846">
      <c r="A846" s="1" t="n">
        <v>845</v>
      </c>
      <c r="B846">
        <f>TEXT(845, "[$-170000]yyyy-mm-dd")</f>
        <v/>
      </c>
      <c r="C846">
        <f>TEXT(845, "[$-060000]yyyy-mm-dd")</f>
        <v/>
      </c>
      <c r="D846" t="inlineStr">
        <is>
          <t>1320-01-16</t>
        </is>
      </c>
    </row>
    <row r="847">
      <c r="A847" s="1" t="n">
        <v>846</v>
      </c>
      <c r="B847">
        <f>TEXT(846, "[$-170000]yyyy-mm-dd")</f>
        <v/>
      </c>
      <c r="C847">
        <f>TEXT(846, "[$-060000]yyyy-mm-dd")</f>
        <v/>
      </c>
      <c r="D847" t="inlineStr">
        <is>
          <t>1320-01-17</t>
        </is>
      </c>
    </row>
    <row r="848">
      <c r="A848" s="1" t="n">
        <v>847</v>
      </c>
      <c r="B848">
        <f>TEXT(847, "[$-170000]yyyy-mm-dd")</f>
        <v/>
      </c>
      <c r="C848">
        <f>TEXT(847, "[$-060000]yyyy-mm-dd")</f>
        <v/>
      </c>
      <c r="D848" t="inlineStr">
        <is>
          <t>1320-01-18</t>
        </is>
      </c>
    </row>
    <row r="849">
      <c r="A849" s="1" t="n">
        <v>848</v>
      </c>
      <c r="B849">
        <f>TEXT(848, "[$-170000]yyyy-mm-dd")</f>
        <v/>
      </c>
      <c r="C849">
        <f>TEXT(848, "[$-060000]yyyy-mm-dd")</f>
        <v/>
      </c>
      <c r="D849" t="inlineStr">
        <is>
          <t>1320-01-19</t>
        </is>
      </c>
    </row>
    <row r="850">
      <c r="A850" s="1" t="n">
        <v>849</v>
      </c>
      <c r="B850">
        <f>TEXT(849, "[$-170000]yyyy-mm-dd")</f>
        <v/>
      </c>
      <c r="C850">
        <f>TEXT(849, "[$-060000]yyyy-mm-dd")</f>
        <v/>
      </c>
      <c r="D850" t="inlineStr">
        <is>
          <t>1320-01-20</t>
        </is>
      </c>
    </row>
    <row r="851">
      <c r="A851" s="1" t="n">
        <v>850</v>
      </c>
      <c r="B851">
        <f>TEXT(850, "[$-170000]yyyy-mm-dd")</f>
        <v/>
      </c>
      <c r="C851">
        <f>TEXT(850, "[$-060000]yyyy-mm-dd")</f>
        <v/>
      </c>
      <c r="D851" t="inlineStr">
        <is>
          <t>1320-01-21</t>
        </is>
      </c>
    </row>
    <row r="852">
      <c r="A852" s="1" t="n">
        <v>851</v>
      </c>
      <c r="B852">
        <f>TEXT(851, "[$-170000]yyyy-mm-dd")</f>
        <v/>
      </c>
      <c r="C852">
        <f>TEXT(851, "[$-060000]yyyy-mm-dd")</f>
        <v/>
      </c>
      <c r="D852" t="inlineStr">
        <is>
          <t>1320-01-22</t>
        </is>
      </c>
    </row>
    <row r="853">
      <c r="A853" s="1" t="n">
        <v>852</v>
      </c>
      <c r="B853">
        <f>TEXT(852, "[$-170000]yyyy-mm-dd")</f>
        <v/>
      </c>
      <c r="C853">
        <f>TEXT(852, "[$-060000]yyyy-mm-dd")</f>
        <v/>
      </c>
      <c r="D853" t="inlineStr">
        <is>
          <t>1320-01-23</t>
        </is>
      </c>
    </row>
    <row r="854">
      <c r="A854" s="1" t="n">
        <v>853</v>
      </c>
      <c r="B854">
        <f>TEXT(853, "[$-170000]yyyy-mm-dd")</f>
        <v/>
      </c>
      <c r="C854">
        <f>TEXT(853, "[$-060000]yyyy-mm-dd")</f>
        <v/>
      </c>
      <c r="D854" t="inlineStr">
        <is>
          <t>1320-01-24</t>
        </is>
      </c>
    </row>
    <row r="855">
      <c r="A855" s="1" t="n">
        <v>854</v>
      </c>
      <c r="B855">
        <f>TEXT(854, "[$-170000]yyyy-mm-dd")</f>
        <v/>
      </c>
      <c r="C855">
        <f>TEXT(854, "[$-060000]yyyy-mm-dd")</f>
        <v/>
      </c>
      <c r="D855" t="inlineStr">
        <is>
          <t>1320-01-25</t>
        </is>
      </c>
    </row>
    <row r="856">
      <c r="A856" s="1" t="n">
        <v>855</v>
      </c>
      <c r="B856">
        <f>TEXT(855, "[$-170000]yyyy-mm-dd")</f>
        <v/>
      </c>
      <c r="C856">
        <f>TEXT(855, "[$-060000]yyyy-mm-dd")</f>
        <v/>
      </c>
      <c r="D856" t="inlineStr">
        <is>
          <t>1320-01-26</t>
        </is>
      </c>
    </row>
    <row r="857">
      <c r="A857" s="1" t="n">
        <v>856</v>
      </c>
      <c r="B857">
        <f>TEXT(856, "[$-170000]yyyy-mm-dd")</f>
        <v/>
      </c>
      <c r="C857">
        <f>TEXT(856, "[$-060000]yyyy-mm-dd")</f>
        <v/>
      </c>
      <c r="D857" t="inlineStr">
        <is>
          <t>1320-01-27</t>
        </is>
      </c>
    </row>
    <row r="858">
      <c r="A858" s="1" t="n">
        <v>857</v>
      </c>
      <c r="B858">
        <f>TEXT(857, "[$-170000]yyyy-mm-dd")</f>
        <v/>
      </c>
      <c r="C858">
        <f>TEXT(857, "[$-060000]yyyy-mm-dd")</f>
        <v/>
      </c>
      <c r="D858" t="inlineStr">
        <is>
          <t>1320-01-28</t>
        </is>
      </c>
    </row>
    <row r="859">
      <c r="A859" s="1" t="n">
        <v>858</v>
      </c>
      <c r="B859">
        <f>TEXT(858, "[$-170000]yyyy-mm-dd")</f>
        <v/>
      </c>
      <c r="C859">
        <f>TEXT(858, "[$-060000]yyyy-mm-dd")</f>
        <v/>
      </c>
      <c r="D859" t="inlineStr">
        <is>
          <t>1320-01-29</t>
        </is>
      </c>
    </row>
    <row r="860">
      <c r="A860" s="1" t="n">
        <v>859</v>
      </c>
      <c r="B860">
        <f>TEXT(859, "[$-170000]yyyy-mm-dd")</f>
        <v/>
      </c>
      <c r="C860">
        <f>TEXT(859, "[$-060000]yyyy-mm-dd")</f>
        <v/>
      </c>
      <c r="D860" t="inlineStr">
        <is>
          <t>1320-01-30</t>
        </is>
      </c>
    </row>
    <row r="861">
      <c r="A861" s="1" t="n">
        <v>860</v>
      </c>
      <c r="B861">
        <f>TEXT(860, "[$-170000]yyyy-mm-dd")</f>
        <v/>
      </c>
      <c r="C861">
        <f>TEXT(860, "[$-060000]yyyy-mm-dd")</f>
        <v/>
      </c>
      <c r="D861" t="inlineStr">
        <is>
          <t>1320-02-01</t>
        </is>
      </c>
    </row>
    <row r="862">
      <c r="A862" s="1" t="n">
        <v>861</v>
      </c>
      <c r="B862">
        <f>TEXT(861, "[$-170000]yyyy-mm-dd")</f>
        <v/>
      </c>
      <c r="C862">
        <f>TEXT(861, "[$-060000]yyyy-mm-dd")</f>
        <v/>
      </c>
      <c r="D862" t="inlineStr">
        <is>
          <t>1320-02-02</t>
        </is>
      </c>
    </row>
    <row r="863">
      <c r="A863" s="1" t="n">
        <v>862</v>
      </c>
      <c r="B863">
        <f>TEXT(862, "[$-170000]yyyy-mm-dd")</f>
        <v/>
      </c>
      <c r="C863">
        <f>TEXT(862, "[$-060000]yyyy-mm-dd")</f>
        <v/>
      </c>
      <c r="D863" t="inlineStr">
        <is>
          <t>1320-02-03</t>
        </is>
      </c>
    </row>
    <row r="864">
      <c r="A864" s="1" t="n">
        <v>863</v>
      </c>
      <c r="B864">
        <f>TEXT(863, "[$-170000]yyyy-mm-dd")</f>
        <v/>
      </c>
      <c r="C864">
        <f>TEXT(863, "[$-060000]yyyy-mm-dd")</f>
        <v/>
      </c>
      <c r="D864" t="inlineStr">
        <is>
          <t>1320-02-04</t>
        </is>
      </c>
    </row>
    <row r="865">
      <c r="A865" s="1" t="n">
        <v>864</v>
      </c>
      <c r="B865">
        <f>TEXT(864, "[$-170000]yyyy-mm-dd")</f>
        <v/>
      </c>
      <c r="C865">
        <f>TEXT(864, "[$-060000]yyyy-mm-dd")</f>
        <v/>
      </c>
      <c r="D865" t="inlineStr">
        <is>
          <t>1320-02-05</t>
        </is>
      </c>
    </row>
    <row r="866">
      <c r="A866" s="1" t="n">
        <v>865</v>
      </c>
      <c r="B866">
        <f>TEXT(865, "[$-170000]yyyy-mm-dd")</f>
        <v/>
      </c>
      <c r="C866">
        <f>TEXT(865, "[$-060000]yyyy-mm-dd")</f>
        <v/>
      </c>
      <c r="D866" t="inlineStr">
        <is>
          <t>1320-02-06</t>
        </is>
      </c>
    </row>
    <row r="867">
      <c r="A867" s="1" t="n">
        <v>866</v>
      </c>
      <c r="B867">
        <f>TEXT(866, "[$-170000]yyyy-mm-dd")</f>
        <v/>
      </c>
      <c r="C867">
        <f>TEXT(866, "[$-060000]yyyy-mm-dd")</f>
        <v/>
      </c>
      <c r="D867" t="inlineStr">
        <is>
          <t>1320-02-07</t>
        </is>
      </c>
    </row>
    <row r="868">
      <c r="A868" s="1" t="n">
        <v>867</v>
      </c>
      <c r="B868">
        <f>TEXT(867, "[$-170000]yyyy-mm-dd")</f>
        <v/>
      </c>
      <c r="C868">
        <f>TEXT(867, "[$-060000]yyyy-mm-dd")</f>
        <v/>
      </c>
      <c r="D868" t="inlineStr">
        <is>
          <t>1320-02-08</t>
        </is>
      </c>
    </row>
    <row r="869">
      <c r="A869" s="1" t="n">
        <v>868</v>
      </c>
      <c r="B869">
        <f>TEXT(868, "[$-170000]yyyy-mm-dd")</f>
        <v/>
      </c>
      <c r="C869">
        <f>TEXT(868, "[$-060000]yyyy-mm-dd")</f>
        <v/>
      </c>
      <c r="D869" t="inlineStr">
        <is>
          <t>1320-02-09</t>
        </is>
      </c>
    </row>
    <row r="870">
      <c r="A870" s="1" t="n">
        <v>869</v>
      </c>
      <c r="B870">
        <f>TEXT(869, "[$-170000]yyyy-mm-dd")</f>
        <v/>
      </c>
      <c r="C870">
        <f>TEXT(869, "[$-060000]yyyy-mm-dd")</f>
        <v/>
      </c>
      <c r="D870" t="inlineStr">
        <is>
          <t>1320-02-10</t>
        </is>
      </c>
    </row>
    <row r="871">
      <c r="A871" s="1" t="n">
        <v>870</v>
      </c>
      <c r="B871">
        <f>TEXT(870, "[$-170000]yyyy-mm-dd")</f>
        <v/>
      </c>
      <c r="C871">
        <f>TEXT(870, "[$-060000]yyyy-mm-dd")</f>
        <v/>
      </c>
      <c r="D871" t="inlineStr">
        <is>
          <t>1320-02-11</t>
        </is>
      </c>
    </row>
    <row r="872">
      <c r="A872" s="1" t="n">
        <v>871</v>
      </c>
      <c r="B872">
        <f>TEXT(871, "[$-170000]yyyy-mm-dd")</f>
        <v/>
      </c>
      <c r="C872">
        <f>TEXT(871, "[$-060000]yyyy-mm-dd")</f>
        <v/>
      </c>
      <c r="D872" t="inlineStr">
        <is>
          <t>1320-02-12</t>
        </is>
      </c>
    </row>
    <row r="873">
      <c r="A873" s="1" t="n">
        <v>872</v>
      </c>
      <c r="B873">
        <f>TEXT(872, "[$-170000]yyyy-mm-dd")</f>
        <v/>
      </c>
      <c r="C873">
        <f>TEXT(872, "[$-060000]yyyy-mm-dd")</f>
        <v/>
      </c>
      <c r="D873" t="inlineStr">
        <is>
          <t>1320-02-13</t>
        </is>
      </c>
    </row>
    <row r="874">
      <c r="A874" s="1" t="n">
        <v>873</v>
      </c>
      <c r="B874">
        <f>TEXT(873, "[$-170000]yyyy-mm-dd")</f>
        <v/>
      </c>
      <c r="C874">
        <f>TEXT(873, "[$-060000]yyyy-mm-dd")</f>
        <v/>
      </c>
      <c r="D874" t="inlineStr">
        <is>
          <t>1320-02-14</t>
        </is>
      </c>
    </row>
    <row r="875">
      <c r="A875" s="1" t="n">
        <v>874</v>
      </c>
      <c r="B875">
        <f>TEXT(874, "[$-170000]yyyy-mm-dd")</f>
        <v/>
      </c>
      <c r="C875">
        <f>TEXT(874, "[$-060000]yyyy-mm-dd")</f>
        <v/>
      </c>
      <c r="D875" t="inlineStr">
        <is>
          <t>1320-02-15</t>
        </is>
      </c>
    </row>
    <row r="876">
      <c r="A876" s="1" t="n">
        <v>875</v>
      </c>
      <c r="B876">
        <f>TEXT(875, "[$-170000]yyyy-mm-dd")</f>
        <v/>
      </c>
      <c r="C876">
        <f>TEXT(875, "[$-060000]yyyy-mm-dd")</f>
        <v/>
      </c>
      <c r="D876" t="inlineStr">
        <is>
          <t>1320-02-16</t>
        </is>
      </c>
    </row>
    <row r="877">
      <c r="A877" s="1" t="n">
        <v>876</v>
      </c>
      <c r="B877">
        <f>TEXT(876, "[$-170000]yyyy-mm-dd")</f>
        <v/>
      </c>
      <c r="C877">
        <f>TEXT(876, "[$-060000]yyyy-mm-dd")</f>
        <v/>
      </c>
      <c r="D877" t="inlineStr">
        <is>
          <t>1320-02-17</t>
        </is>
      </c>
    </row>
    <row r="878">
      <c r="A878" s="1" t="n">
        <v>877</v>
      </c>
      <c r="B878">
        <f>TEXT(877, "[$-170000]yyyy-mm-dd")</f>
        <v/>
      </c>
      <c r="C878">
        <f>TEXT(877, "[$-060000]yyyy-mm-dd")</f>
        <v/>
      </c>
      <c r="D878" t="inlineStr">
        <is>
          <t>1320-02-18</t>
        </is>
      </c>
    </row>
    <row r="879">
      <c r="A879" s="1" t="n">
        <v>878</v>
      </c>
      <c r="B879">
        <f>TEXT(878, "[$-170000]yyyy-mm-dd")</f>
        <v/>
      </c>
      <c r="C879">
        <f>TEXT(878, "[$-060000]yyyy-mm-dd")</f>
        <v/>
      </c>
      <c r="D879" t="inlineStr">
        <is>
          <t>1320-02-19</t>
        </is>
      </c>
    </row>
    <row r="880">
      <c r="A880" s="1" t="n">
        <v>879</v>
      </c>
      <c r="B880">
        <f>TEXT(879, "[$-170000]yyyy-mm-dd")</f>
        <v/>
      </c>
      <c r="C880">
        <f>TEXT(879, "[$-060000]yyyy-mm-dd")</f>
        <v/>
      </c>
      <c r="D880" t="inlineStr">
        <is>
          <t>1320-02-20</t>
        </is>
      </c>
    </row>
    <row r="881">
      <c r="A881" s="1" t="n">
        <v>880</v>
      </c>
      <c r="B881">
        <f>TEXT(880, "[$-170000]yyyy-mm-dd")</f>
        <v/>
      </c>
      <c r="C881">
        <f>TEXT(880, "[$-060000]yyyy-mm-dd")</f>
        <v/>
      </c>
      <c r="D881" t="inlineStr">
        <is>
          <t>1320-02-21</t>
        </is>
      </c>
    </row>
    <row r="882">
      <c r="A882" s="1" t="n">
        <v>881</v>
      </c>
      <c r="B882">
        <f>TEXT(881, "[$-170000]yyyy-mm-dd")</f>
        <v/>
      </c>
      <c r="C882">
        <f>TEXT(881, "[$-060000]yyyy-mm-dd")</f>
        <v/>
      </c>
      <c r="D882" t="inlineStr">
        <is>
          <t>1320-02-22</t>
        </is>
      </c>
    </row>
    <row r="883">
      <c r="A883" s="1" t="n">
        <v>882</v>
      </c>
      <c r="B883">
        <f>TEXT(882, "[$-170000]yyyy-mm-dd")</f>
        <v/>
      </c>
      <c r="C883">
        <f>TEXT(882, "[$-060000]yyyy-mm-dd")</f>
        <v/>
      </c>
      <c r="D883" t="inlineStr">
        <is>
          <t>1320-02-23</t>
        </is>
      </c>
    </row>
    <row r="884">
      <c r="A884" s="1" t="n">
        <v>883</v>
      </c>
      <c r="B884">
        <f>TEXT(883, "[$-170000]yyyy-mm-dd")</f>
        <v/>
      </c>
      <c r="C884">
        <f>TEXT(883, "[$-060000]yyyy-mm-dd")</f>
        <v/>
      </c>
      <c r="D884" t="inlineStr">
        <is>
          <t>1320-02-24</t>
        </is>
      </c>
    </row>
    <row r="885">
      <c r="A885" s="1" t="n">
        <v>884</v>
      </c>
      <c r="B885">
        <f>TEXT(884, "[$-170000]yyyy-mm-dd")</f>
        <v/>
      </c>
      <c r="C885">
        <f>TEXT(884, "[$-060000]yyyy-mm-dd")</f>
        <v/>
      </c>
      <c r="D885" t="inlineStr">
        <is>
          <t>1320-02-25</t>
        </is>
      </c>
    </row>
    <row r="886">
      <c r="A886" s="1" t="n">
        <v>885</v>
      </c>
      <c r="B886">
        <f>TEXT(885, "[$-170000]yyyy-mm-dd")</f>
        <v/>
      </c>
      <c r="C886">
        <f>TEXT(885, "[$-060000]yyyy-mm-dd")</f>
        <v/>
      </c>
      <c r="D886" t="inlineStr">
        <is>
          <t>1320-02-26</t>
        </is>
      </c>
    </row>
    <row r="887">
      <c r="A887" s="1" t="n">
        <v>886</v>
      </c>
      <c r="B887">
        <f>TEXT(886, "[$-170000]yyyy-mm-dd")</f>
        <v/>
      </c>
      <c r="C887">
        <f>TEXT(886, "[$-060000]yyyy-mm-dd")</f>
        <v/>
      </c>
      <c r="D887" t="inlineStr">
        <is>
          <t>1320-02-27</t>
        </is>
      </c>
    </row>
    <row r="888">
      <c r="A888" s="1" t="n">
        <v>887</v>
      </c>
      <c r="B888">
        <f>TEXT(887, "[$-170000]yyyy-mm-dd")</f>
        <v/>
      </c>
      <c r="C888">
        <f>TEXT(887, "[$-060000]yyyy-mm-dd")</f>
        <v/>
      </c>
      <c r="D888" t="inlineStr">
        <is>
          <t>1320-02-28</t>
        </is>
      </c>
    </row>
    <row r="889">
      <c r="A889" s="1" t="n">
        <v>888</v>
      </c>
      <c r="B889">
        <f>TEXT(888, "[$-170000]yyyy-mm-dd")</f>
        <v/>
      </c>
      <c r="C889">
        <f>TEXT(888, "[$-060000]yyyy-mm-dd")</f>
        <v/>
      </c>
      <c r="D889" t="inlineStr">
        <is>
          <t>1320-02-29</t>
        </is>
      </c>
    </row>
    <row r="890">
      <c r="A890" s="1" t="n">
        <v>889</v>
      </c>
      <c r="B890">
        <f>TEXT(889, "[$-170000]yyyy-mm-dd")</f>
        <v/>
      </c>
      <c r="C890">
        <f>TEXT(889, "[$-060000]yyyy-mm-dd")</f>
        <v/>
      </c>
      <c r="D890" t="inlineStr">
        <is>
          <t>1320-03-01</t>
        </is>
      </c>
    </row>
    <row r="891">
      <c r="A891" s="1" t="n">
        <v>890</v>
      </c>
      <c r="B891">
        <f>TEXT(890, "[$-170000]yyyy-mm-dd")</f>
        <v/>
      </c>
      <c r="C891">
        <f>TEXT(890, "[$-060000]yyyy-mm-dd")</f>
        <v/>
      </c>
      <c r="D891" t="inlineStr">
        <is>
          <t>1320-03-02</t>
        </is>
      </c>
    </row>
    <row r="892">
      <c r="A892" s="1" t="n">
        <v>891</v>
      </c>
      <c r="B892">
        <f>TEXT(891, "[$-170000]yyyy-mm-dd")</f>
        <v/>
      </c>
      <c r="C892">
        <f>TEXT(891, "[$-060000]yyyy-mm-dd")</f>
        <v/>
      </c>
      <c r="D892" t="inlineStr">
        <is>
          <t>1320-03-03</t>
        </is>
      </c>
    </row>
    <row r="893">
      <c r="A893" s="1" t="n">
        <v>892</v>
      </c>
      <c r="B893">
        <f>TEXT(892, "[$-170000]yyyy-mm-dd")</f>
        <v/>
      </c>
      <c r="C893">
        <f>TEXT(892, "[$-060000]yyyy-mm-dd")</f>
        <v/>
      </c>
      <c r="D893" t="inlineStr">
        <is>
          <t>1320-03-04</t>
        </is>
      </c>
    </row>
    <row r="894">
      <c r="A894" s="1" t="n">
        <v>893</v>
      </c>
      <c r="B894">
        <f>TEXT(893, "[$-170000]yyyy-mm-dd")</f>
        <v/>
      </c>
      <c r="C894">
        <f>TEXT(893, "[$-060000]yyyy-mm-dd")</f>
        <v/>
      </c>
      <c r="D894" t="inlineStr">
        <is>
          <t>1320-03-05</t>
        </is>
      </c>
    </row>
    <row r="895">
      <c r="A895" s="1" t="n">
        <v>894</v>
      </c>
      <c r="B895">
        <f>TEXT(894, "[$-170000]yyyy-mm-dd")</f>
        <v/>
      </c>
      <c r="C895">
        <f>TEXT(894, "[$-060000]yyyy-mm-dd")</f>
        <v/>
      </c>
      <c r="D895" t="inlineStr">
        <is>
          <t>1320-03-06</t>
        </is>
      </c>
    </row>
    <row r="896">
      <c r="A896" s="1" t="n">
        <v>895</v>
      </c>
      <c r="B896">
        <f>TEXT(895, "[$-170000]yyyy-mm-dd")</f>
        <v/>
      </c>
      <c r="C896">
        <f>TEXT(895, "[$-060000]yyyy-mm-dd")</f>
        <v/>
      </c>
      <c r="D896" t="inlineStr">
        <is>
          <t>1320-03-07</t>
        </is>
      </c>
    </row>
    <row r="897">
      <c r="A897" s="1" t="n">
        <v>896</v>
      </c>
      <c r="B897">
        <f>TEXT(896, "[$-170000]yyyy-mm-dd")</f>
        <v/>
      </c>
      <c r="C897">
        <f>TEXT(896, "[$-060000]yyyy-mm-dd")</f>
        <v/>
      </c>
      <c r="D897" t="inlineStr">
        <is>
          <t>1320-03-08</t>
        </is>
      </c>
    </row>
    <row r="898">
      <c r="A898" s="1" t="n">
        <v>897</v>
      </c>
      <c r="B898">
        <f>TEXT(897, "[$-170000]yyyy-mm-dd")</f>
        <v/>
      </c>
      <c r="C898">
        <f>TEXT(897, "[$-060000]yyyy-mm-dd")</f>
        <v/>
      </c>
      <c r="D898" t="inlineStr">
        <is>
          <t>1320-03-09</t>
        </is>
      </c>
    </row>
    <row r="899">
      <c r="A899" s="1" t="n">
        <v>898</v>
      </c>
      <c r="B899">
        <f>TEXT(898, "[$-170000]yyyy-mm-dd")</f>
        <v/>
      </c>
      <c r="C899">
        <f>TEXT(898, "[$-060000]yyyy-mm-dd")</f>
        <v/>
      </c>
      <c r="D899" t="inlineStr">
        <is>
          <t>1320-03-10</t>
        </is>
      </c>
    </row>
    <row r="900">
      <c r="A900" s="1" t="n">
        <v>899</v>
      </c>
      <c r="B900">
        <f>TEXT(899, "[$-170000]yyyy-mm-dd")</f>
        <v/>
      </c>
      <c r="C900">
        <f>TEXT(899, "[$-060000]yyyy-mm-dd")</f>
        <v/>
      </c>
      <c r="D900" t="inlineStr">
        <is>
          <t>1320-03-11</t>
        </is>
      </c>
    </row>
    <row r="901">
      <c r="A901" s="1" t="n">
        <v>900</v>
      </c>
      <c r="B901">
        <f>TEXT(900, "[$-170000]yyyy-mm-dd")</f>
        <v/>
      </c>
      <c r="C901">
        <f>TEXT(900, "[$-060000]yyyy-mm-dd")</f>
        <v/>
      </c>
      <c r="D901" t="inlineStr">
        <is>
          <t>1320-03-12</t>
        </is>
      </c>
    </row>
    <row r="902">
      <c r="A902" s="1" t="n">
        <v>901</v>
      </c>
      <c r="B902">
        <f>TEXT(901, "[$-170000]yyyy-mm-dd")</f>
        <v/>
      </c>
      <c r="C902">
        <f>TEXT(901, "[$-060000]yyyy-mm-dd")</f>
        <v/>
      </c>
      <c r="D902" t="inlineStr">
        <is>
          <t>1320-03-13</t>
        </is>
      </c>
    </row>
    <row r="903">
      <c r="A903" s="1" t="n">
        <v>902</v>
      </c>
      <c r="B903">
        <f>TEXT(902, "[$-170000]yyyy-mm-dd")</f>
        <v/>
      </c>
      <c r="C903">
        <f>TEXT(902, "[$-060000]yyyy-mm-dd")</f>
        <v/>
      </c>
      <c r="D903" t="inlineStr">
        <is>
          <t>1320-03-14</t>
        </is>
      </c>
    </row>
    <row r="904">
      <c r="A904" s="1" t="n">
        <v>903</v>
      </c>
      <c r="B904">
        <f>TEXT(903, "[$-170000]yyyy-mm-dd")</f>
        <v/>
      </c>
      <c r="C904">
        <f>TEXT(903, "[$-060000]yyyy-mm-dd")</f>
        <v/>
      </c>
      <c r="D904" t="inlineStr">
        <is>
          <t>1320-03-15</t>
        </is>
      </c>
    </row>
    <row r="905">
      <c r="A905" s="1" t="n">
        <v>904</v>
      </c>
      <c r="B905">
        <f>TEXT(904, "[$-170000]yyyy-mm-dd")</f>
        <v/>
      </c>
      <c r="C905">
        <f>TEXT(904, "[$-060000]yyyy-mm-dd")</f>
        <v/>
      </c>
      <c r="D905" t="inlineStr">
        <is>
          <t>1320-03-16</t>
        </is>
      </c>
    </row>
    <row r="906">
      <c r="A906" s="1" t="n">
        <v>905</v>
      </c>
      <c r="B906">
        <f>TEXT(905, "[$-170000]yyyy-mm-dd")</f>
        <v/>
      </c>
      <c r="C906">
        <f>TEXT(905, "[$-060000]yyyy-mm-dd")</f>
        <v/>
      </c>
      <c r="D906" t="inlineStr">
        <is>
          <t>1320-03-17</t>
        </is>
      </c>
    </row>
    <row r="907">
      <c r="A907" s="1" t="n">
        <v>906</v>
      </c>
      <c r="B907">
        <f>TEXT(906, "[$-170000]yyyy-mm-dd")</f>
        <v/>
      </c>
      <c r="C907">
        <f>TEXT(906, "[$-060000]yyyy-mm-dd")</f>
        <v/>
      </c>
      <c r="D907" t="inlineStr">
        <is>
          <t>1320-03-18</t>
        </is>
      </c>
    </row>
    <row r="908">
      <c r="A908" s="1" t="n">
        <v>907</v>
      </c>
      <c r="B908">
        <f>TEXT(907, "[$-170000]yyyy-mm-dd")</f>
        <v/>
      </c>
      <c r="C908">
        <f>TEXT(907, "[$-060000]yyyy-mm-dd")</f>
        <v/>
      </c>
      <c r="D908" t="inlineStr">
        <is>
          <t>1320-03-19</t>
        </is>
      </c>
    </row>
    <row r="909">
      <c r="A909" s="1" t="n">
        <v>908</v>
      </c>
      <c r="B909">
        <f>TEXT(908, "[$-170000]yyyy-mm-dd")</f>
        <v/>
      </c>
      <c r="C909">
        <f>TEXT(908, "[$-060000]yyyy-mm-dd")</f>
        <v/>
      </c>
      <c r="D909" t="inlineStr">
        <is>
          <t>1320-03-20</t>
        </is>
      </c>
    </row>
    <row r="910">
      <c r="A910" s="1" t="n">
        <v>909</v>
      </c>
      <c r="B910">
        <f>TEXT(909, "[$-170000]yyyy-mm-dd")</f>
        <v/>
      </c>
      <c r="C910">
        <f>TEXT(909, "[$-060000]yyyy-mm-dd")</f>
        <v/>
      </c>
      <c r="D910" t="inlineStr">
        <is>
          <t>1320-03-21</t>
        </is>
      </c>
    </row>
    <row r="911">
      <c r="A911" s="1" t="n">
        <v>910</v>
      </c>
      <c r="B911">
        <f>TEXT(910, "[$-170000]yyyy-mm-dd")</f>
        <v/>
      </c>
      <c r="C911">
        <f>TEXT(910, "[$-060000]yyyy-mm-dd")</f>
        <v/>
      </c>
      <c r="D911" t="inlineStr">
        <is>
          <t>1320-03-22</t>
        </is>
      </c>
    </row>
    <row r="912">
      <c r="A912" s="1" t="n">
        <v>911</v>
      </c>
      <c r="B912">
        <f>TEXT(911, "[$-170000]yyyy-mm-dd")</f>
        <v/>
      </c>
      <c r="C912">
        <f>TEXT(911, "[$-060000]yyyy-mm-dd")</f>
        <v/>
      </c>
      <c r="D912" t="inlineStr">
        <is>
          <t>1320-03-23</t>
        </is>
      </c>
    </row>
    <row r="913">
      <c r="A913" s="1" t="n">
        <v>912</v>
      </c>
      <c r="B913">
        <f>TEXT(912, "[$-170000]yyyy-mm-dd")</f>
        <v/>
      </c>
      <c r="C913">
        <f>TEXT(912, "[$-060000]yyyy-mm-dd")</f>
        <v/>
      </c>
      <c r="D913" t="inlineStr">
        <is>
          <t>1320-03-24</t>
        </is>
      </c>
    </row>
    <row r="914">
      <c r="A914" s="1" t="n">
        <v>913</v>
      </c>
      <c r="B914">
        <f>TEXT(913, "[$-170000]yyyy-mm-dd")</f>
        <v/>
      </c>
      <c r="C914">
        <f>TEXT(913, "[$-060000]yyyy-mm-dd")</f>
        <v/>
      </c>
      <c r="D914" t="inlineStr">
        <is>
          <t>1320-03-25</t>
        </is>
      </c>
    </row>
    <row r="915">
      <c r="A915" s="1" t="n">
        <v>914</v>
      </c>
      <c r="B915">
        <f>TEXT(914, "[$-170000]yyyy-mm-dd")</f>
        <v/>
      </c>
      <c r="C915">
        <f>TEXT(914, "[$-060000]yyyy-mm-dd")</f>
        <v/>
      </c>
      <c r="D915" t="inlineStr">
        <is>
          <t>1320-03-26</t>
        </is>
      </c>
    </row>
    <row r="916">
      <c r="A916" s="1" t="n">
        <v>915</v>
      </c>
      <c r="B916">
        <f>TEXT(915, "[$-170000]yyyy-mm-dd")</f>
        <v/>
      </c>
      <c r="C916">
        <f>TEXT(915, "[$-060000]yyyy-mm-dd")</f>
        <v/>
      </c>
      <c r="D916" t="inlineStr">
        <is>
          <t>1320-03-27</t>
        </is>
      </c>
    </row>
    <row r="917">
      <c r="A917" s="1" t="n">
        <v>916</v>
      </c>
      <c r="B917">
        <f>TEXT(916, "[$-170000]yyyy-mm-dd")</f>
        <v/>
      </c>
      <c r="C917">
        <f>TEXT(916, "[$-060000]yyyy-mm-dd")</f>
        <v/>
      </c>
      <c r="D917" t="inlineStr">
        <is>
          <t>1320-03-28</t>
        </is>
      </c>
    </row>
    <row r="918">
      <c r="A918" s="1" t="n">
        <v>917</v>
      </c>
      <c r="B918">
        <f>TEXT(917, "[$-170000]yyyy-mm-dd")</f>
        <v/>
      </c>
      <c r="C918">
        <f>TEXT(917, "[$-060000]yyyy-mm-dd")</f>
        <v/>
      </c>
      <c r="D918" t="inlineStr">
        <is>
          <t>1320-03-29</t>
        </is>
      </c>
    </row>
    <row r="919">
      <c r="A919" s="1" t="n">
        <v>918</v>
      </c>
      <c r="B919">
        <f>TEXT(918, "[$-170000]yyyy-mm-dd")</f>
        <v/>
      </c>
      <c r="C919">
        <f>TEXT(918, "[$-060000]yyyy-mm-dd")</f>
        <v/>
      </c>
      <c r="D919" t="inlineStr">
        <is>
          <t>1320-03-30</t>
        </is>
      </c>
    </row>
    <row r="920">
      <c r="A920" s="1" t="n">
        <v>919</v>
      </c>
      <c r="B920">
        <f>TEXT(919, "[$-170000]yyyy-mm-dd")</f>
        <v/>
      </c>
      <c r="C920">
        <f>TEXT(919, "[$-060000]yyyy-mm-dd")</f>
        <v/>
      </c>
      <c r="D920" t="inlineStr">
        <is>
          <t>1320-04-01</t>
        </is>
      </c>
    </row>
    <row r="921">
      <c r="A921" s="1" t="n">
        <v>920</v>
      </c>
      <c r="B921">
        <f>TEXT(920, "[$-170000]yyyy-mm-dd")</f>
        <v/>
      </c>
      <c r="C921">
        <f>TEXT(920, "[$-060000]yyyy-mm-dd")</f>
        <v/>
      </c>
      <c r="D921" t="inlineStr">
        <is>
          <t>1320-04-02</t>
        </is>
      </c>
    </row>
    <row r="922">
      <c r="A922" s="1" t="n">
        <v>921</v>
      </c>
      <c r="B922">
        <f>TEXT(921, "[$-170000]yyyy-mm-dd")</f>
        <v/>
      </c>
      <c r="C922">
        <f>TEXT(921, "[$-060000]yyyy-mm-dd")</f>
        <v/>
      </c>
      <c r="D922" t="inlineStr">
        <is>
          <t>1320-04-03</t>
        </is>
      </c>
    </row>
    <row r="923">
      <c r="A923" s="1" t="n">
        <v>922</v>
      </c>
      <c r="B923">
        <f>TEXT(922, "[$-170000]yyyy-mm-dd")</f>
        <v/>
      </c>
      <c r="C923">
        <f>TEXT(922, "[$-060000]yyyy-mm-dd")</f>
        <v/>
      </c>
      <c r="D923" t="inlineStr">
        <is>
          <t>1320-04-04</t>
        </is>
      </c>
    </row>
    <row r="924">
      <c r="A924" s="1" t="n">
        <v>923</v>
      </c>
      <c r="B924">
        <f>TEXT(923, "[$-170000]yyyy-mm-dd")</f>
        <v/>
      </c>
      <c r="C924">
        <f>TEXT(923, "[$-060000]yyyy-mm-dd")</f>
        <v/>
      </c>
      <c r="D924" t="inlineStr">
        <is>
          <t>1320-04-05</t>
        </is>
      </c>
    </row>
    <row r="925">
      <c r="A925" s="1" t="n">
        <v>924</v>
      </c>
      <c r="B925">
        <f>TEXT(924, "[$-170000]yyyy-mm-dd")</f>
        <v/>
      </c>
      <c r="C925">
        <f>TEXT(924, "[$-060000]yyyy-mm-dd")</f>
        <v/>
      </c>
      <c r="D925" t="inlineStr">
        <is>
          <t>1320-04-06</t>
        </is>
      </c>
    </row>
    <row r="926">
      <c r="A926" s="1" t="n">
        <v>925</v>
      </c>
      <c r="B926">
        <f>TEXT(925, "[$-170000]yyyy-mm-dd")</f>
        <v/>
      </c>
      <c r="C926">
        <f>TEXT(925, "[$-060000]yyyy-mm-dd")</f>
        <v/>
      </c>
      <c r="D926" t="inlineStr">
        <is>
          <t>1320-04-07</t>
        </is>
      </c>
    </row>
    <row r="927">
      <c r="A927" s="1" t="n">
        <v>926</v>
      </c>
      <c r="B927">
        <f>TEXT(926, "[$-170000]yyyy-mm-dd")</f>
        <v/>
      </c>
      <c r="C927">
        <f>TEXT(926, "[$-060000]yyyy-mm-dd")</f>
        <v/>
      </c>
      <c r="D927" t="inlineStr">
        <is>
          <t>1320-04-08</t>
        </is>
      </c>
    </row>
    <row r="928">
      <c r="A928" s="1" t="n">
        <v>927</v>
      </c>
      <c r="B928">
        <f>TEXT(927, "[$-170000]yyyy-mm-dd")</f>
        <v/>
      </c>
      <c r="C928">
        <f>TEXT(927, "[$-060000]yyyy-mm-dd")</f>
        <v/>
      </c>
      <c r="D928" t="inlineStr">
        <is>
          <t>1320-04-09</t>
        </is>
      </c>
    </row>
    <row r="929">
      <c r="A929" s="1" t="n">
        <v>928</v>
      </c>
      <c r="B929">
        <f>TEXT(928, "[$-170000]yyyy-mm-dd")</f>
        <v/>
      </c>
      <c r="C929">
        <f>TEXT(928, "[$-060000]yyyy-mm-dd")</f>
        <v/>
      </c>
      <c r="D929" t="inlineStr">
        <is>
          <t>1320-04-10</t>
        </is>
      </c>
    </row>
    <row r="930">
      <c r="A930" s="1" t="n">
        <v>929</v>
      </c>
      <c r="B930">
        <f>TEXT(929, "[$-170000]yyyy-mm-dd")</f>
        <v/>
      </c>
      <c r="C930">
        <f>TEXT(929, "[$-060000]yyyy-mm-dd")</f>
        <v/>
      </c>
      <c r="D930" t="inlineStr">
        <is>
          <t>1320-04-11</t>
        </is>
      </c>
    </row>
    <row r="931">
      <c r="A931" s="1" t="n">
        <v>930</v>
      </c>
      <c r="B931">
        <f>TEXT(930, "[$-170000]yyyy-mm-dd")</f>
        <v/>
      </c>
      <c r="C931">
        <f>TEXT(930, "[$-060000]yyyy-mm-dd")</f>
        <v/>
      </c>
      <c r="D931" t="inlineStr">
        <is>
          <t>1320-04-12</t>
        </is>
      </c>
    </row>
    <row r="932">
      <c r="A932" s="1" t="n">
        <v>931</v>
      </c>
      <c r="B932">
        <f>TEXT(931, "[$-170000]yyyy-mm-dd")</f>
        <v/>
      </c>
      <c r="C932">
        <f>TEXT(931, "[$-060000]yyyy-mm-dd")</f>
        <v/>
      </c>
      <c r="D932" t="inlineStr">
        <is>
          <t>1320-04-13</t>
        </is>
      </c>
    </row>
    <row r="933">
      <c r="A933" s="1" t="n">
        <v>932</v>
      </c>
      <c r="B933">
        <f>TEXT(932, "[$-170000]yyyy-mm-dd")</f>
        <v/>
      </c>
      <c r="C933">
        <f>TEXT(932, "[$-060000]yyyy-mm-dd")</f>
        <v/>
      </c>
      <c r="D933" t="inlineStr">
        <is>
          <t>1320-04-14</t>
        </is>
      </c>
    </row>
    <row r="934">
      <c r="A934" s="1" t="n">
        <v>933</v>
      </c>
      <c r="B934">
        <f>TEXT(933, "[$-170000]yyyy-mm-dd")</f>
        <v/>
      </c>
      <c r="C934">
        <f>TEXT(933, "[$-060000]yyyy-mm-dd")</f>
        <v/>
      </c>
      <c r="D934" t="inlineStr">
        <is>
          <t>1320-04-15</t>
        </is>
      </c>
    </row>
    <row r="935">
      <c r="A935" s="1" t="n">
        <v>934</v>
      </c>
      <c r="B935">
        <f>TEXT(934, "[$-170000]yyyy-mm-dd")</f>
        <v/>
      </c>
      <c r="C935">
        <f>TEXT(934, "[$-060000]yyyy-mm-dd")</f>
        <v/>
      </c>
      <c r="D935" t="inlineStr">
        <is>
          <t>1320-04-16</t>
        </is>
      </c>
    </row>
    <row r="936">
      <c r="A936" s="1" t="n">
        <v>935</v>
      </c>
      <c r="B936">
        <f>TEXT(935, "[$-170000]yyyy-mm-dd")</f>
        <v/>
      </c>
      <c r="C936">
        <f>TEXT(935, "[$-060000]yyyy-mm-dd")</f>
        <v/>
      </c>
      <c r="D936" t="inlineStr">
        <is>
          <t>1320-04-17</t>
        </is>
      </c>
    </row>
    <row r="937">
      <c r="A937" s="1" t="n">
        <v>936</v>
      </c>
      <c r="B937">
        <f>TEXT(936, "[$-170000]yyyy-mm-dd")</f>
        <v/>
      </c>
      <c r="C937">
        <f>TEXT(936, "[$-060000]yyyy-mm-dd")</f>
        <v/>
      </c>
      <c r="D937" t="inlineStr">
        <is>
          <t>1320-04-18</t>
        </is>
      </c>
    </row>
    <row r="938">
      <c r="A938" s="1" t="n">
        <v>937</v>
      </c>
      <c r="B938">
        <f>TEXT(937, "[$-170000]yyyy-mm-dd")</f>
        <v/>
      </c>
      <c r="C938">
        <f>TEXT(937, "[$-060000]yyyy-mm-dd")</f>
        <v/>
      </c>
      <c r="D938" t="inlineStr">
        <is>
          <t>1320-04-19</t>
        </is>
      </c>
    </row>
    <row r="939">
      <c r="A939" s="1" t="n">
        <v>938</v>
      </c>
      <c r="B939">
        <f>TEXT(938, "[$-170000]yyyy-mm-dd")</f>
        <v/>
      </c>
      <c r="C939">
        <f>TEXT(938, "[$-060000]yyyy-mm-dd")</f>
        <v/>
      </c>
      <c r="D939" t="inlineStr">
        <is>
          <t>1320-04-20</t>
        </is>
      </c>
    </row>
    <row r="940">
      <c r="A940" s="1" t="n">
        <v>939</v>
      </c>
      <c r="B940">
        <f>TEXT(939, "[$-170000]yyyy-mm-dd")</f>
        <v/>
      </c>
      <c r="C940">
        <f>TEXT(939, "[$-060000]yyyy-mm-dd")</f>
        <v/>
      </c>
      <c r="D940" t="inlineStr">
        <is>
          <t>1320-04-21</t>
        </is>
      </c>
    </row>
    <row r="941">
      <c r="A941" s="1" t="n">
        <v>940</v>
      </c>
      <c r="B941">
        <f>TEXT(940, "[$-170000]yyyy-mm-dd")</f>
        <v/>
      </c>
      <c r="C941">
        <f>TEXT(940, "[$-060000]yyyy-mm-dd")</f>
        <v/>
      </c>
      <c r="D941" t="inlineStr">
        <is>
          <t>1320-04-22</t>
        </is>
      </c>
    </row>
    <row r="942">
      <c r="A942" s="1" t="n">
        <v>941</v>
      </c>
      <c r="B942">
        <f>TEXT(941, "[$-170000]yyyy-mm-dd")</f>
        <v/>
      </c>
      <c r="C942">
        <f>TEXT(941, "[$-060000]yyyy-mm-dd")</f>
        <v/>
      </c>
      <c r="D942" t="inlineStr">
        <is>
          <t>1320-04-23</t>
        </is>
      </c>
    </row>
    <row r="943">
      <c r="A943" s="1" t="n">
        <v>942</v>
      </c>
      <c r="B943">
        <f>TEXT(942, "[$-170000]yyyy-mm-dd")</f>
        <v/>
      </c>
      <c r="C943">
        <f>TEXT(942, "[$-060000]yyyy-mm-dd")</f>
        <v/>
      </c>
      <c r="D943" t="inlineStr">
        <is>
          <t>1320-04-24</t>
        </is>
      </c>
    </row>
    <row r="944">
      <c r="A944" s="1" t="n">
        <v>943</v>
      </c>
      <c r="B944">
        <f>TEXT(943, "[$-170000]yyyy-mm-dd")</f>
        <v/>
      </c>
      <c r="C944">
        <f>TEXT(943, "[$-060000]yyyy-mm-dd")</f>
        <v/>
      </c>
      <c r="D944" t="inlineStr">
        <is>
          <t>1320-04-25</t>
        </is>
      </c>
    </row>
    <row r="945">
      <c r="A945" s="1" t="n">
        <v>944</v>
      </c>
      <c r="B945">
        <f>TEXT(944, "[$-170000]yyyy-mm-dd")</f>
        <v/>
      </c>
      <c r="C945">
        <f>TEXT(944, "[$-060000]yyyy-mm-dd")</f>
        <v/>
      </c>
      <c r="D945" t="inlineStr">
        <is>
          <t>1320-04-26</t>
        </is>
      </c>
    </row>
    <row r="946">
      <c r="A946" s="1" t="n">
        <v>945</v>
      </c>
      <c r="B946">
        <f>TEXT(945, "[$-170000]yyyy-mm-dd")</f>
        <v/>
      </c>
      <c r="C946">
        <f>TEXT(945, "[$-060000]yyyy-mm-dd")</f>
        <v/>
      </c>
      <c r="D946" t="inlineStr">
        <is>
          <t>1320-04-27</t>
        </is>
      </c>
    </row>
    <row r="947">
      <c r="A947" s="1" t="n">
        <v>946</v>
      </c>
      <c r="B947">
        <f>TEXT(946, "[$-170000]yyyy-mm-dd")</f>
        <v/>
      </c>
      <c r="C947">
        <f>TEXT(946, "[$-060000]yyyy-mm-dd")</f>
        <v/>
      </c>
      <c r="D947" t="inlineStr">
        <is>
          <t>1320-04-28</t>
        </is>
      </c>
    </row>
    <row r="948">
      <c r="A948" s="1" t="n">
        <v>947</v>
      </c>
      <c r="B948">
        <f>TEXT(947, "[$-170000]yyyy-mm-dd")</f>
        <v/>
      </c>
      <c r="C948">
        <f>TEXT(947, "[$-060000]yyyy-mm-dd")</f>
        <v/>
      </c>
      <c r="D948" t="inlineStr">
        <is>
          <t>1320-04-29</t>
        </is>
      </c>
    </row>
    <row r="949">
      <c r="A949" s="1" t="n">
        <v>948</v>
      </c>
      <c r="B949">
        <f>TEXT(948, "[$-170000]yyyy-mm-dd")</f>
        <v/>
      </c>
      <c r="C949">
        <f>TEXT(948, "[$-060000]yyyy-mm-dd")</f>
        <v/>
      </c>
      <c r="D949" t="inlineStr">
        <is>
          <t>1320-05-01</t>
        </is>
      </c>
    </row>
    <row r="950">
      <c r="A950" s="1" t="n">
        <v>949</v>
      </c>
      <c r="B950">
        <f>TEXT(949, "[$-170000]yyyy-mm-dd")</f>
        <v/>
      </c>
      <c r="C950">
        <f>TEXT(949, "[$-060000]yyyy-mm-dd")</f>
        <v/>
      </c>
      <c r="D950" t="inlineStr">
        <is>
          <t>1320-05-02</t>
        </is>
      </c>
    </row>
    <row r="951">
      <c r="A951" s="1" t="n">
        <v>950</v>
      </c>
      <c r="B951">
        <f>TEXT(950, "[$-170000]yyyy-mm-dd")</f>
        <v/>
      </c>
      <c r="C951">
        <f>TEXT(950, "[$-060000]yyyy-mm-dd")</f>
        <v/>
      </c>
      <c r="D951" t="inlineStr">
        <is>
          <t>1320-05-03</t>
        </is>
      </c>
    </row>
    <row r="952">
      <c r="A952" s="1" t="n">
        <v>951</v>
      </c>
      <c r="B952">
        <f>TEXT(951, "[$-170000]yyyy-mm-dd")</f>
        <v/>
      </c>
      <c r="C952">
        <f>TEXT(951, "[$-060000]yyyy-mm-dd")</f>
        <v/>
      </c>
      <c r="D952" t="inlineStr">
        <is>
          <t>1320-05-04</t>
        </is>
      </c>
    </row>
    <row r="953">
      <c r="A953" s="1" t="n">
        <v>952</v>
      </c>
      <c r="B953">
        <f>TEXT(952, "[$-170000]yyyy-mm-dd")</f>
        <v/>
      </c>
      <c r="C953">
        <f>TEXT(952, "[$-060000]yyyy-mm-dd")</f>
        <v/>
      </c>
      <c r="D953" t="inlineStr">
        <is>
          <t>1320-05-05</t>
        </is>
      </c>
    </row>
    <row r="954">
      <c r="A954" s="1" t="n">
        <v>953</v>
      </c>
      <c r="B954">
        <f>TEXT(953, "[$-170000]yyyy-mm-dd")</f>
        <v/>
      </c>
      <c r="C954">
        <f>TEXT(953, "[$-060000]yyyy-mm-dd")</f>
        <v/>
      </c>
      <c r="D954" t="inlineStr">
        <is>
          <t>1320-05-06</t>
        </is>
      </c>
    </row>
    <row r="955">
      <c r="A955" s="1" t="n">
        <v>954</v>
      </c>
      <c r="B955">
        <f>TEXT(954, "[$-170000]yyyy-mm-dd")</f>
        <v/>
      </c>
      <c r="C955">
        <f>TEXT(954, "[$-060000]yyyy-mm-dd")</f>
        <v/>
      </c>
      <c r="D955" t="inlineStr">
        <is>
          <t>1320-05-07</t>
        </is>
      </c>
    </row>
    <row r="956">
      <c r="A956" s="1" t="n">
        <v>955</v>
      </c>
      <c r="B956">
        <f>TEXT(955, "[$-170000]yyyy-mm-dd")</f>
        <v/>
      </c>
      <c r="C956">
        <f>TEXT(955, "[$-060000]yyyy-mm-dd")</f>
        <v/>
      </c>
      <c r="D956" t="inlineStr">
        <is>
          <t>1320-05-08</t>
        </is>
      </c>
    </row>
    <row r="957">
      <c r="A957" s="1" t="n">
        <v>956</v>
      </c>
      <c r="B957">
        <f>TEXT(956, "[$-170000]yyyy-mm-dd")</f>
        <v/>
      </c>
      <c r="C957">
        <f>TEXT(956, "[$-060000]yyyy-mm-dd")</f>
        <v/>
      </c>
      <c r="D957" t="inlineStr">
        <is>
          <t>1320-05-09</t>
        </is>
      </c>
    </row>
    <row r="958">
      <c r="A958" s="1" t="n">
        <v>957</v>
      </c>
      <c r="B958">
        <f>TEXT(957, "[$-170000]yyyy-mm-dd")</f>
        <v/>
      </c>
      <c r="C958">
        <f>TEXT(957, "[$-060000]yyyy-mm-dd")</f>
        <v/>
      </c>
      <c r="D958" t="inlineStr">
        <is>
          <t>1320-05-10</t>
        </is>
      </c>
    </row>
    <row r="959">
      <c r="A959" s="1" t="n">
        <v>958</v>
      </c>
      <c r="B959">
        <f>TEXT(958, "[$-170000]yyyy-mm-dd")</f>
        <v/>
      </c>
      <c r="C959">
        <f>TEXT(958, "[$-060000]yyyy-mm-dd")</f>
        <v/>
      </c>
      <c r="D959" t="inlineStr">
        <is>
          <t>1320-05-11</t>
        </is>
      </c>
    </row>
    <row r="960">
      <c r="A960" s="1" t="n">
        <v>959</v>
      </c>
      <c r="B960">
        <f>TEXT(959, "[$-170000]yyyy-mm-dd")</f>
        <v/>
      </c>
      <c r="C960">
        <f>TEXT(959, "[$-060000]yyyy-mm-dd")</f>
        <v/>
      </c>
      <c r="D960" t="inlineStr">
        <is>
          <t>1320-05-12</t>
        </is>
      </c>
    </row>
    <row r="961">
      <c r="A961" s="1" t="n">
        <v>960</v>
      </c>
      <c r="B961">
        <f>TEXT(960, "[$-170000]yyyy-mm-dd")</f>
        <v/>
      </c>
      <c r="C961">
        <f>TEXT(960, "[$-060000]yyyy-mm-dd")</f>
        <v/>
      </c>
      <c r="D961" t="inlineStr">
        <is>
          <t>1320-05-13</t>
        </is>
      </c>
    </row>
    <row r="962">
      <c r="A962" s="1" t="n">
        <v>961</v>
      </c>
      <c r="B962">
        <f>TEXT(961, "[$-170000]yyyy-mm-dd")</f>
        <v/>
      </c>
      <c r="C962">
        <f>TEXT(961, "[$-060000]yyyy-mm-dd")</f>
        <v/>
      </c>
      <c r="D962" t="inlineStr">
        <is>
          <t>1320-05-14</t>
        </is>
      </c>
    </row>
    <row r="963">
      <c r="A963" s="1" t="n">
        <v>962</v>
      </c>
      <c r="B963">
        <f>TEXT(962, "[$-170000]yyyy-mm-dd")</f>
        <v/>
      </c>
      <c r="C963">
        <f>TEXT(962, "[$-060000]yyyy-mm-dd")</f>
        <v/>
      </c>
      <c r="D963" t="inlineStr">
        <is>
          <t>1320-05-15</t>
        </is>
      </c>
    </row>
    <row r="964">
      <c r="A964" s="1" t="n">
        <v>963</v>
      </c>
      <c r="B964">
        <f>TEXT(963, "[$-170000]yyyy-mm-dd")</f>
        <v/>
      </c>
      <c r="C964">
        <f>TEXT(963, "[$-060000]yyyy-mm-dd")</f>
        <v/>
      </c>
      <c r="D964" t="inlineStr">
        <is>
          <t>1320-05-16</t>
        </is>
      </c>
    </row>
    <row r="965">
      <c r="A965" s="1" t="n">
        <v>964</v>
      </c>
      <c r="B965">
        <f>TEXT(964, "[$-170000]yyyy-mm-dd")</f>
        <v/>
      </c>
      <c r="C965">
        <f>TEXT(964, "[$-060000]yyyy-mm-dd")</f>
        <v/>
      </c>
      <c r="D965" t="inlineStr">
        <is>
          <t>1320-05-17</t>
        </is>
      </c>
    </row>
    <row r="966">
      <c r="A966" s="1" t="n">
        <v>965</v>
      </c>
      <c r="B966">
        <f>TEXT(965, "[$-170000]yyyy-mm-dd")</f>
        <v/>
      </c>
      <c r="C966">
        <f>TEXT(965, "[$-060000]yyyy-mm-dd")</f>
        <v/>
      </c>
      <c r="D966" t="inlineStr">
        <is>
          <t>1320-05-18</t>
        </is>
      </c>
    </row>
    <row r="967">
      <c r="A967" s="1" t="n">
        <v>966</v>
      </c>
      <c r="B967">
        <f>TEXT(966, "[$-170000]yyyy-mm-dd")</f>
        <v/>
      </c>
      <c r="C967">
        <f>TEXT(966, "[$-060000]yyyy-mm-dd")</f>
        <v/>
      </c>
      <c r="D967" t="inlineStr">
        <is>
          <t>1320-05-19</t>
        </is>
      </c>
    </row>
    <row r="968">
      <c r="A968" s="1" t="n">
        <v>967</v>
      </c>
      <c r="B968">
        <f>TEXT(967, "[$-170000]yyyy-mm-dd")</f>
        <v/>
      </c>
      <c r="C968">
        <f>TEXT(967, "[$-060000]yyyy-mm-dd")</f>
        <v/>
      </c>
      <c r="D968" t="inlineStr">
        <is>
          <t>1320-05-20</t>
        </is>
      </c>
    </row>
    <row r="969">
      <c r="A969" s="1" t="n">
        <v>968</v>
      </c>
      <c r="B969">
        <f>TEXT(968, "[$-170000]yyyy-mm-dd")</f>
        <v/>
      </c>
      <c r="C969">
        <f>TEXT(968, "[$-060000]yyyy-mm-dd")</f>
        <v/>
      </c>
      <c r="D969" t="inlineStr">
        <is>
          <t>1320-05-21</t>
        </is>
      </c>
    </row>
    <row r="970">
      <c r="A970" s="1" t="n">
        <v>969</v>
      </c>
      <c r="B970">
        <f>TEXT(969, "[$-170000]yyyy-mm-dd")</f>
        <v/>
      </c>
      <c r="C970">
        <f>TEXT(969, "[$-060000]yyyy-mm-dd")</f>
        <v/>
      </c>
      <c r="D970" t="inlineStr">
        <is>
          <t>1320-05-22</t>
        </is>
      </c>
    </row>
    <row r="971">
      <c r="A971" s="1" t="n">
        <v>970</v>
      </c>
      <c r="B971">
        <f>TEXT(970, "[$-170000]yyyy-mm-dd")</f>
        <v/>
      </c>
      <c r="C971">
        <f>TEXT(970, "[$-060000]yyyy-mm-dd")</f>
        <v/>
      </c>
      <c r="D971" t="inlineStr">
        <is>
          <t>1320-05-23</t>
        </is>
      </c>
    </row>
    <row r="972">
      <c r="A972" s="1" t="n">
        <v>971</v>
      </c>
      <c r="B972">
        <f>TEXT(971, "[$-170000]yyyy-mm-dd")</f>
        <v/>
      </c>
      <c r="C972">
        <f>TEXT(971, "[$-060000]yyyy-mm-dd")</f>
        <v/>
      </c>
      <c r="D972" t="inlineStr">
        <is>
          <t>1320-05-24</t>
        </is>
      </c>
    </row>
    <row r="973">
      <c r="A973" s="1" t="n">
        <v>972</v>
      </c>
      <c r="B973">
        <f>TEXT(972, "[$-170000]yyyy-mm-dd")</f>
        <v/>
      </c>
      <c r="C973">
        <f>TEXT(972, "[$-060000]yyyy-mm-dd")</f>
        <v/>
      </c>
      <c r="D973" t="inlineStr">
        <is>
          <t>1320-05-25</t>
        </is>
      </c>
    </row>
    <row r="974">
      <c r="A974" s="1" t="n">
        <v>973</v>
      </c>
      <c r="B974">
        <f>TEXT(973, "[$-170000]yyyy-mm-dd")</f>
        <v/>
      </c>
      <c r="C974">
        <f>TEXT(973, "[$-060000]yyyy-mm-dd")</f>
        <v/>
      </c>
      <c r="D974" t="inlineStr">
        <is>
          <t>1320-05-26</t>
        </is>
      </c>
    </row>
    <row r="975">
      <c r="A975" s="1" t="n">
        <v>974</v>
      </c>
      <c r="B975">
        <f>TEXT(974, "[$-170000]yyyy-mm-dd")</f>
        <v/>
      </c>
      <c r="C975">
        <f>TEXT(974, "[$-060000]yyyy-mm-dd")</f>
        <v/>
      </c>
      <c r="D975" t="inlineStr">
        <is>
          <t>1320-05-27</t>
        </is>
      </c>
    </row>
    <row r="976">
      <c r="A976" s="1" t="n">
        <v>975</v>
      </c>
      <c r="B976">
        <f>TEXT(975, "[$-170000]yyyy-mm-dd")</f>
        <v/>
      </c>
      <c r="C976">
        <f>TEXT(975, "[$-060000]yyyy-mm-dd")</f>
        <v/>
      </c>
      <c r="D976" t="inlineStr">
        <is>
          <t>1320-05-28</t>
        </is>
      </c>
    </row>
    <row r="977">
      <c r="A977" s="1" t="n">
        <v>976</v>
      </c>
      <c r="B977">
        <f>TEXT(976, "[$-170000]yyyy-mm-dd")</f>
        <v/>
      </c>
      <c r="C977">
        <f>TEXT(976, "[$-060000]yyyy-mm-dd")</f>
        <v/>
      </c>
      <c r="D977" t="inlineStr">
        <is>
          <t>1320-05-29</t>
        </is>
      </c>
    </row>
    <row r="978">
      <c r="A978" s="1" t="n">
        <v>977</v>
      </c>
      <c r="B978">
        <f>TEXT(977, "[$-170000]yyyy-mm-dd")</f>
        <v/>
      </c>
      <c r="C978">
        <f>TEXT(977, "[$-060000]yyyy-mm-dd")</f>
        <v/>
      </c>
      <c r="D978" t="inlineStr">
        <is>
          <t>1320-05-30</t>
        </is>
      </c>
    </row>
    <row r="979">
      <c r="A979" s="1" t="n">
        <v>978</v>
      </c>
      <c r="B979">
        <f>TEXT(978, "[$-170000]yyyy-mm-dd")</f>
        <v/>
      </c>
      <c r="C979">
        <f>TEXT(978, "[$-060000]yyyy-mm-dd")</f>
        <v/>
      </c>
      <c r="D979" t="inlineStr">
        <is>
          <t>1320-06-01</t>
        </is>
      </c>
    </row>
    <row r="980">
      <c r="A980" s="1" t="n">
        <v>979</v>
      </c>
      <c r="B980">
        <f>TEXT(979, "[$-170000]yyyy-mm-dd")</f>
        <v/>
      </c>
      <c r="C980">
        <f>TEXT(979, "[$-060000]yyyy-mm-dd")</f>
        <v/>
      </c>
      <c r="D980" t="inlineStr">
        <is>
          <t>1320-06-02</t>
        </is>
      </c>
    </row>
    <row r="981">
      <c r="A981" s="1" t="n">
        <v>980</v>
      </c>
      <c r="B981">
        <f>TEXT(980, "[$-170000]yyyy-mm-dd")</f>
        <v/>
      </c>
      <c r="C981">
        <f>TEXT(980, "[$-060000]yyyy-mm-dd")</f>
        <v/>
      </c>
      <c r="D981" t="inlineStr">
        <is>
          <t>1320-06-03</t>
        </is>
      </c>
    </row>
    <row r="982">
      <c r="A982" s="1" t="n">
        <v>981</v>
      </c>
      <c r="B982">
        <f>TEXT(981, "[$-170000]yyyy-mm-dd")</f>
        <v/>
      </c>
      <c r="C982">
        <f>TEXT(981, "[$-060000]yyyy-mm-dd")</f>
        <v/>
      </c>
      <c r="D982" t="inlineStr">
        <is>
          <t>1320-06-04</t>
        </is>
      </c>
    </row>
    <row r="983">
      <c r="A983" s="1" t="n">
        <v>982</v>
      </c>
      <c r="B983">
        <f>TEXT(982, "[$-170000]yyyy-mm-dd")</f>
        <v/>
      </c>
      <c r="C983">
        <f>TEXT(982, "[$-060000]yyyy-mm-dd")</f>
        <v/>
      </c>
      <c r="D983" t="inlineStr">
        <is>
          <t>1320-06-05</t>
        </is>
      </c>
    </row>
    <row r="984">
      <c r="A984" s="1" t="n">
        <v>983</v>
      </c>
      <c r="B984">
        <f>TEXT(983, "[$-170000]yyyy-mm-dd")</f>
        <v/>
      </c>
      <c r="C984">
        <f>TEXT(983, "[$-060000]yyyy-mm-dd")</f>
        <v/>
      </c>
      <c r="D984" t="inlineStr">
        <is>
          <t>1320-06-06</t>
        </is>
      </c>
    </row>
    <row r="985">
      <c r="A985" s="1" t="n">
        <v>984</v>
      </c>
      <c r="B985">
        <f>TEXT(984, "[$-170000]yyyy-mm-dd")</f>
        <v/>
      </c>
      <c r="C985">
        <f>TEXT(984, "[$-060000]yyyy-mm-dd")</f>
        <v/>
      </c>
      <c r="D985" t="inlineStr">
        <is>
          <t>1320-06-07</t>
        </is>
      </c>
    </row>
    <row r="986">
      <c r="A986" s="1" t="n">
        <v>985</v>
      </c>
      <c r="B986">
        <f>TEXT(985, "[$-170000]yyyy-mm-dd")</f>
        <v/>
      </c>
      <c r="C986">
        <f>TEXT(985, "[$-060000]yyyy-mm-dd")</f>
        <v/>
      </c>
      <c r="D986" t="inlineStr">
        <is>
          <t>1320-06-08</t>
        </is>
      </c>
    </row>
    <row r="987">
      <c r="A987" s="1" t="n">
        <v>986</v>
      </c>
      <c r="B987">
        <f>TEXT(986, "[$-170000]yyyy-mm-dd")</f>
        <v/>
      </c>
      <c r="C987">
        <f>TEXT(986, "[$-060000]yyyy-mm-dd")</f>
        <v/>
      </c>
      <c r="D987" t="inlineStr">
        <is>
          <t>1320-06-09</t>
        </is>
      </c>
    </row>
    <row r="988">
      <c r="A988" s="1" t="n">
        <v>987</v>
      </c>
      <c r="B988">
        <f>TEXT(987, "[$-170000]yyyy-mm-dd")</f>
        <v/>
      </c>
      <c r="C988">
        <f>TEXT(987, "[$-060000]yyyy-mm-dd")</f>
        <v/>
      </c>
      <c r="D988" t="inlineStr">
        <is>
          <t>1320-06-10</t>
        </is>
      </c>
    </row>
    <row r="989">
      <c r="A989" s="1" t="n">
        <v>988</v>
      </c>
      <c r="B989">
        <f>TEXT(988, "[$-170000]yyyy-mm-dd")</f>
        <v/>
      </c>
      <c r="C989">
        <f>TEXT(988, "[$-060000]yyyy-mm-dd")</f>
        <v/>
      </c>
      <c r="D989" t="inlineStr">
        <is>
          <t>1320-06-11</t>
        </is>
      </c>
    </row>
    <row r="990">
      <c r="A990" s="1" t="n">
        <v>989</v>
      </c>
      <c r="B990">
        <f>TEXT(989, "[$-170000]yyyy-mm-dd")</f>
        <v/>
      </c>
      <c r="C990">
        <f>TEXT(989, "[$-060000]yyyy-mm-dd")</f>
        <v/>
      </c>
      <c r="D990" t="inlineStr">
        <is>
          <t>1320-06-12</t>
        </is>
      </c>
    </row>
    <row r="991">
      <c r="A991" s="1" t="n">
        <v>990</v>
      </c>
      <c r="B991">
        <f>TEXT(990, "[$-170000]yyyy-mm-dd")</f>
        <v/>
      </c>
      <c r="C991">
        <f>TEXT(990, "[$-060000]yyyy-mm-dd")</f>
        <v/>
      </c>
      <c r="D991" t="inlineStr">
        <is>
          <t>1320-06-13</t>
        </is>
      </c>
    </row>
    <row r="992">
      <c r="A992" s="1" t="n">
        <v>991</v>
      </c>
      <c r="B992">
        <f>TEXT(991, "[$-170000]yyyy-mm-dd")</f>
        <v/>
      </c>
      <c r="C992">
        <f>TEXT(991, "[$-060000]yyyy-mm-dd")</f>
        <v/>
      </c>
      <c r="D992" t="inlineStr">
        <is>
          <t>1320-06-14</t>
        </is>
      </c>
    </row>
    <row r="993">
      <c r="A993" s="1" t="n">
        <v>992</v>
      </c>
      <c r="B993">
        <f>TEXT(992, "[$-170000]yyyy-mm-dd")</f>
        <v/>
      </c>
      <c r="C993">
        <f>TEXT(992, "[$-060000]yyyy-mm-dd")</f>
        <v/>
      </c>
      <c r="D993" t="inlineStr">
        <is>
          <t>1320-06-15</t>
        </is>
      </c>
    </row>
    <row r="994">
      <c r="A994" s="1" t="n">
        <v>993</v>
      </c>
      <c r="B994">
        <f>TEXT(993, "[$-170000]yyyy-mm-dd")</f>
        <v/>
      </c>
      <c r="C994">
        <f>TEXT(993, "[$-060000]yyyy-mm-dd")</f>
        <v/>
      </c>
      <c r="D994" t="inlineStr">
        <is>
          <t>1320-06-16</t>
        </is>
      </c>
    </row>
    <row r="995">
      <c r="A995" s="1" t="n">
        <v>994</v>
      </c>
      <c r="B995">
        <f>TEXT(994, "[$-170000]yyyy-mm-dd")</f>
        <v/>
      </c>
      <c r="C995">
        <f>TEXT(994, "[$-060000]yyyy-mm-dd")</f>
        <v/>
      </c>
      <c r="D995" t="inlineStr">
        <is>
          <t>1320-06-17</t>
        </is>
      </c>
    </row>
    <row r="996">
      <c r="A996" s="1" t="n">
        <v>995</v>
      </c>
      <c r="B996">
        <f>TEXT(995, "[$-170000]yyyy-mm-dd")</f>
        <v/>
      </c>
      <c r="C996">
        <f>TEXT(995, "[$-060000]yyyy-mm-dd")</f>
        <v/>
      </c>
      <c r="D996" t="inlineStr">
        <is>
          <t>1320-06-18</t>
        </is>
      </c>
    </row>
    <row r="997">
      <c r="A997" s="1" t="n">
        <v>996</v>
      </c>
      <c r="B997">
        <f>TEXT(996, "[$-170000]yyyy-mm-dd")</f>
        <v/>
      </c>
      <c r="C997">
        <f>TEXT(996, "[$-060000]yyyy-mm-dd")</f>
        <v/>
      </c>
      <c r="D997" t="inlineStr">
        <is>
          <t>1320-06-19</t>
        </is>
      </c>
    </row>
    <row r="998">
      <c r="A998" s="1" t="n">
        <v>997</v>
      </c>
      <c r="B998">
        <f>TEXT(997, "[$-170000]yyyy-mm-dd")</f>
        <v/>
      </c>
      <c r="C998">
        <f>TEXT(997, "[$-060000]yyyy-mm-dd")</f>
        <v/>
      </c>
      <c r="D998" t="inlineStr">
        <is>
          <t>1320-06-20</t>
        </is>
      </c>
    </row>
    <row r="999">
      <c r="A999" s="1" t="n">
        <v>998</v>
      </c>
      <c r="B999">
        <f>TEXT(998, "[$-170000]yyyy-mm-dd")</f>
        <v/>
      </c>
      <c r="C999">
        <f>TEXT(998, "[$-060000]yyyy-mm-dd")</f>
        <v/>
      </c>
      <c r="D999" t="inlineStr">
        <is>
          <t>1320-06-21</t>
        </is>
      </c>
    </row>
    <row r="1000">
      <c r="A1000" s="1" t="n">
        <v>999</v>
      </c>
      <c r="B1000">
        <f>TEXT(999, "[$-170000]yyyy-mm-dd")</f>
        <v/>
      </c>
      <c r="C1000">
        <f>TEXT(999, "[$-060000]yyyy-mm-dd")</f>
        <v/>
      </c>
      <c r="D1000" t="inlineStr">
        <is>
          <t>1320-06-22</t>
        </is>
      </c>
    </row>
    <row r="1001">
      <c r="A1001" s="1" t="n">
        <v>1000</v>
      </c>
      <c r="B1001">
        <f>TEXT(1000, "[$-170000]yyyy-mm-dd")</f>
        <v/>
      </c>
      <c r="C1001">
        <f>TEXT(1000, "[$-060000]yyyy-mm-dd")</f>
        <v/>
      </c>
      <c r="D1001" t="inlineStr">
        <is>
          <t>1320-06-23</t>
        </is>
      </c>
    </row>
    <row r="1002">
      <c r="A1002" s="1" t="n">
        <v>1001</v>
      </c>
      <c r="B1002">
        <f>TEXT(1001, "[$-170000]yyyy-mm-dd")</f>
        <v/>
      </c>
      <c r="C1002">
        <f>TEXT(1001, "[$-060000]yyyy-mm-dd")</f>
        <v/>
      </c>
      <c r="D1002" t="inlineStr">
        <is>
          <t>1320-06-24</t>
        </is>
      </c>
    </row>
    <row r="1003">
      <c r="A1003" s="1" t="n">
        <v>1002</v>
      </c>
      <c r="B1003">
        <f>TEXT(1002, "[$-170000]yyyy-mm-dd")</f>
        <v/>
      </c>
      <c r="C1003">
        <f>TEXT(1002, "[$-060000]yyyy-mm-dd")</f>
        <v/>
      </c>
      <c r="D1003" t="inlineStr">
        <is>
          <t>1320-06-25</t>
        </is>
      </c>
    </row>
    <row r="1004">
      <c r="A1004" s="1" t="n">
        <v>1003</v>
      </c>
      <c r="B1004">
        <f>TEXT(1003, "[$-170000]yyyy-mm-dd")</f>
        <v/>
      </c>
      <c r="C1004">
        <f>TEXT(1003, "[$-060000]yyyy-mm-dd")</f>
        <v/>
      </c>
      <c r="D1004" t="inlineStr">
        <is>
          <t>1320-06-26</t>
        </is>
      </c>
    </row>
    <row r="1005">
      <c r="A1005" s="1" t="n">
        <v>1004</v>
      </c>
      <c r="B1005">
        <f>TEXT(1004, "[$-170000]yyyy-mm-dd")</f>
        <v/>
      </c>
      <c r="C1005">
        <f>TEXT(1004, "[$-060000]yyyy-mm-dd")</f>
        <v/>
      </c>
      <c r="D1005" t="inlineStr">
        <is>
          <t>1320-06-27</t>
        </is>
      </c>
    </row>
    <row r="1006">
      <c r="A1006" s="1" t="n">
        <v>1005</v>
      </c>
      <c r="B1006">
        <f>TEXT(1005, "[$-170000]yyyy-mm-dd")</f>
        <v/>
      </c>
      <c r="C1006">
        <f>TEXT(1005, "[$-060000]yyyy-mm-dd")</f>
        <v/>
      </c>
      <c r="D1006" t="inlineStr">
        <is>
          <t>1320-06-28</t>
        </is>
      </c>
    </row>
    <row r="1007">
      <c r="A1007" s="1" t="n">
        <v>1006</v>
      </c>
      <c r="B1007">
        <f>TEXT(1006, "[$-170000]yyyy-mm-dd")</f>
        <v/>
      </c>
      <c r="C1007">
        <f>TEXT(1006, "[$-060000]yyyy-mm-dd")</f>
        <v/>
      </c>
      <c r="D1007" t="inlineStr">
        <is>
          <t>1320-06-29</t>
        </is>
      </c>
    </row>
    <row r="1008">
      <c r="A1008" s="1" t="n">
        <v>1007</v>
      </c>
      <c r="B1008">
        <f>TEXT(1007, "[$-170000]yyyy-mm-dd")</f>
        <v/>
      </c>
      <c r="C1008">
        <f>TEXT(1007, "[$-060000]yyyy-mm-dd")</f>
        <v/>
      </c>
      <c r="D1008" t="inlineStr">
        <is>
          <t>1320-07-01</t>
        </is>
      </c>
    </row>
    <row r="1009">
      <c r="A1009" s="1" t="n">
        <v>1008</v>
      </c>
      <c r="B1009">
        <f>TEXT(1008, "[$-170000]yyyy-mm-dd")</f>
        <v/>
      </c>
      <c r="C1009">
        <f>TEXT(1008, "[$-060000]yyyy-mm-dd")</f>
        <v/>
      </c>
      <c r="D1009" t="inlineStr">
        <is>
          <t>1320-07-02</t>
        </is>
      </c>
    </row>
    <row r="1010">
      <c r="A1010" s="1" t="n">
        <v>1009</v>
      </c>
      <c r="B1010">
        <f>TEXT(1009, "[$-170000]yyyy-mm-dd")</f>
        <v/>
      </c>
      <c r="C1010">
        <f>TEXT(1009, "[$-060000]yyyy-mm-dd")</f>
        <v/>
      </c>
      <c r="D1010" t="inlineStr">
        <is>
          <t>1320-07-03</t>
        </is>
      </c>
    </row>
    <row r="1011">
      <c r="A1011" s="1" t="n">
        <v>1010</v>
      </c>
      <c r="B1011">
        <f>TEXT(1010, "[$-170000]yyyy-mm-dd")</f>
        <v/>
      </c>
      <c r="C1011">
        <f>TEXT(1010, "[$-060000]yyyy-mm-dd")</f>
        <v/>
      </c>
      <c r="D1011" t="inlineStr">
        <is>
          <t>1320-07-04</t>
        </is>
      </c>
    </row>
    <row r="1012">
      <c r="A1012" s="1" t="n">
        <v>1011</v>
      </c>
      <c r="B1012">
        <f>TEXT(1011, "[$-170000]yyyy-mm-dd")</f>
        <v/>
      </c>
      <c r="C1012">
        <f>TEXT(1011, "[$-060000]yyyy-mm-dd")</f>
        <v/>
      </c>
      <c r="D1012" t="inlineStr">
        <is>
          <t>1320-07-05</t>
        </is>
      </c>
    </row>
    <row r="1013">
      <c r="A1013" s="1" t="n">
        <v>1012</v>
      </c>
      <c r="B1013">
        <f>TEXT(1012, "[$-170000]yyyy-mm-dd")</f>
        <v/>
      </c>
      <c r="C1013">
        <f>TEXT(1012, "[$-060000]yyyy-mm-dd")</f>
        <v/>
      </c>
      <c r="D1013" t="inlineStr">
        <is>
          <t>1320-07-06</t>
        </is>
      </c>
    </row>
    <row r="1014">
      <c r="A1014" s="1" t="n">
        <v>1013</v>
      </c>
      <c r="B1014">
        <f>TEXT(1013, "[$-170000]yyyy-mm-dd")</f>
        <v/>
      </c>
      <c r="C1014">
        <f>TEXT(1013, "[$-060000]yyyy-mm-dd")</f>
        <v/>
      </c>
      <c r="D1014" t="inlineStr">
        <is>
          <t>1320-07-07</t>
        </is>
      </c>
    </row>
    <row r="1015">
      <c r="A1015" s="1" t="n">
        <v>1014</v>
      </c>
      <c r="B1015">
        <f>TEXT(1014, "[$-170000]yyyy-mm-dd")</f>
        <v/>
      </c>
      <c r="C1015">
        <f>TEXT(1014, "[$-060000]yyyy-mm-dd")</f>
        <v/>
      </c>
      <c r="D1015" t="inlineStr">
        <is>
          <t>1320-07-08</t>
        </is>
      </c>
    </row>
    <row r="1016">
      <c r="A1016" s="1" t="n">
        <v>1015</v>
      </c>
      <c r="B1016">
        <f>TEXT(1015, "[$-170000]yyyy-mm-dd")</f>
        <v/>
      </c>
      <c r="C1016">
        <f>TEXT(1015, "[$-060000]yyyy-mm-dd")</f>
        <v/>
      </c>
      <c r="D1016" t="inlineStr">
        <is>
          <t>1320-07-09</t>
        </is>
      </c>
    </row>
    <row r="1017">
      <c r="A1017" s="1" t="n">
        <v>1016</v>
      </c>
      <c r="B1017">
        <f>TEXT(1016, "[$-170000]yyyy-mm-dd")</f>
        <v/>
      </c>
      <c r="C1017">
        <f>TEXT(1016, "[$-060000]yyyy-mm-dd")</f>
        <v/>
      </c>
      <c r="D1017" t="inlineStr">
        <is>
          <t>1320-07-10</t>
        </is>
      </c>
    </row>
    <row r="1018">
      <c r="A1018" s="1" t="n">
        <v>1017</v>
      </c>
      <c r="B1018">
        <f>TEXT(1017, "[$-170000]yyyy-mm-dd")</f>
        <v/>
      </c>
      <c r="C1018">
        <f>TEXT(1017, "[$-060000]yyyy-mm-dd")</f>
        <v/>
      </c>
      <c r="D1018" t="inlineStr">
        <is>
          <t>1320-07-11</t>
        </is>
      </c>
    </row>
    <row r="1019">
      <c r="A1019" s="1" t="n">
        <v>1018</v>
      </c>
      <c r="B1019">
        <f>TEXT(1018, "[$-170000]yyyy-mm-dd")</f>
        <v/>
      </c>
      <c r="C1019">
        <f>TEXT(1018, "[$-060000]yyyy-mm-dd")</f>
        <v/>
      </c>
      <c r="D1019" t="inlineStr">
        <is>
          <t>1320-07-12</t>
        </is>
      </c>
    </row>
    <row r="1020">
      <c r="A1020" s="1" t="n">
        <v>1019</v>
      </c>
      <c r="B1020">
        <f>TEXT(1019, "[$-170000]yyyy-mm-dd")</f>
        <v/>
      </c>
      <c r="C1020">
        <f>TEXT(1019, "[$-060000]yyyy-mm-dd")</f>
        <v/>
      </c>
      <c r="D1020" t="inlineStr">
        <is>
          <t>1320-07-13</t>
        </is>
      </c>
    </row>
    <row r="1021">
      <c r="A1021" s="1" t="n">
        <v>1020</v>
      </c>
      <c r="B1021">
        <f>TEXT(1020, "[$-170000]yyyy-mm-dd")</f>
        <v/>
      </c>
      <c r="C1021">
        <f>TEXT(1020, "[$-060000]yyyy-mm-dd")</f>
        <v/>
      </c>
      <c r="D1021" t="inlineStr">
        <is>
          <t>1320-07-14</t>
        </is>
      </c>
    </row>
    <row r="1022">
      <c r="A1022" s="1" t="n">
        <v>1021</v>
      </c>
      <c r="B1022">
        <f>TEXT(1021, "[$-170000]yyyy-mm-dd")</f>
        <v/>
      </c>
      <c r="C1022">
        <f>TEXT(1021, "[$-060000]yyyy-mm-dd")</f>
        <v/>
      </c>
      <c r="D1022" t="inlineStr">
        <is>
          <t>1320-07-15</t>
        </is>
      </c>
    </row>
    <row r="1023">
      <c r="A1023" s="1" t="n">
        <v>1022</v>
      </c>
      <c r="B1023">
        <f>TEXT(1022, "[$-170000]yyyy-mm-dd")</f>
        <v/>
      </c>
      <c r="C1023">
        <f>TEXT(1022, "[$-060000]yyyy-mm-dd")</f>
        <v/>
      </c>
      <c r="D1023" t="inlineStr">
        <is>
          <t>1320-07-16</t>
        </is>
      </c>
    </row>
    <row r="1024">
      <c r="A1024" s="1" t="n">
        <v>1023</v>
      </c>
      <c r="B1024">
        <f>TEXT(1023, "[$-170000]yyyy-mm-dd")</f>
        <v/>
      </c>
      <c r="C1024">
        <f>TEXT(1023, "[$-060000]yyyy-mm-dd")</f>
        <v/>
      </c>
      <c r="D1024" t="inlineStr">
        <is>
          <t>1320-07-17</t>
        </is>
      </c>
    </row>
    <row r="1025">
      <c r="A1025" s="1" t="n">
        <v>1024</v>
      </c>
      <c r="B1025">
        <f>TEXT(1024, "[$-170000]yyyy-mm-dd")</f>
        <v/>
      </c>
      <c r="C1025">
        <f>TEXT(1024, "[$-060000]yyyy-mm-dd")</f>
        <v/>
      </c>
      <c r="D1025" t="inlineStr">
        <is>
          <t>1320-07-18</t>
        </is>
      </c>
    </row>
    <row r="1026">
      <c r="A1026" s="1" t="n">
        <v>1025</v>
      </c>
      <c r="B1026">
        <f>TEXT(1025, "[$-170000]yyyy-mm-dd")</f>
        <v/>
      </c>
      <c r="C1026">
        <f>TEXT(1025, "[$-060000]yyyy-mm-dd")</f>
        <v/>
      </c>
      <c r="D1026" t="inlineStr">
        <is>
          <t>1320-07-19</t>
        </is>
      </c>
    </row>
    <row r="1027">
      <c r="A1027" s="1" t="n">
        <v>1026</v>
      </c>
      <c r="B1027">
        <f>TEXT(1026, "[$-170000]yyyy-mm-dd")</f>
        <v/>
      </c>
      <c r="C1027">
        <f>TEXT(1026, "[$-060000]yyyy-mm-dd")</f>
        <v/>
      </c>
      <c r="D1027" t="inlineStr">
        <is>
          <t>1320-07-20</t>
        </is>
      </c>
    </row>
    <row r="1028">
      <c r="A1028" s="1" t="n">
        <v>1027</v>
      </c>
      <c r="B1028">
        <f>TEXT(1027, "[$-170000]yyyy-mm-dd")</f>
        <v/>
      </c>
      <c r="C1028">
        <f>TEXT(1027, "[$-060000]yyyy-mm-dd")</f>
        <v/>
      </c>
      <c r="D1028" t="inlineStr">
        <is>
          <t>1320-07-21</t>
        </is>
      </c>
    </row>
    <row r="1029">
      <c r="A1029" s="1" t="n">
        <v>1028</v>
      </c>
      <c r="B1029">
        <f>TEXT(1028, "[$-170000]yyyy-mm-dd")</f>
        <v/>
      </c>
      <c r="C1029">
        <f>TEXT(1028, "[$-060000]yyyy-mm-dd")</f>
        <v/>
      </c>
      <c r="D1029" t="inlineStr">
        <is>
          <t>1320-07-22</t>
        </is>
      </c>
    </row>
    <row r="1030">
      <c r="A1030" s="1" t="n">
        <v>1029</v>
      </c>
      <c r="B1030">
        <f>TEXT(1029, "[$-170000]yyyy-mm-dd")</f>
        <v/>
      </c>
      <c r="C1030">
        <f>TEXT(1029, "[$-060000]yyyy-mm-dd")</f>
        <v/>
      </c>
      <c r="D1030" t="inlineStr">
        <is>
          <t>1320-07-23</t>
        </is>
      </c>
    </row>
    <row r="1031">
      <c r="A1031" s="1" t="n">
        <v>1030</v>
      </c>
      <c r="B1031">
        <f>TEXT(1030, "[$-170000]yyyy-mm-dd")</f>
        <v/>
      </c>
      <c r="C1031">
        <f>TEXT(1030, "[$-060000]yyyy-mm-dd")</f>
        <v/>
      </c>
      <c r="D1031" t="inlineStr">
        <is>
          <t>1320-07-24</t>
        </is>
      </c>
    </row>
    <row r="1032">
      <c r="A1032" s="1" t="n">
        <v>1031</v>
      </c>
      <c r="B1032">
        <f>TEXT(1031, "[$-170000]yyyy-mm-dd")</f>
        <v/>
      </c>
      <c r="C1032">
        <f>TEXT(1031, "[$-060000]yyyy-mm-dd")</f>
        <v/>
      </c>
      <c r="D1032" t="inlineStr">
        <is>
          <t>1320-07-25</t>
        </is>
      </c>
    </row>
    <row r="1033">
      <c r="A1033" s="1" t="n">
        <v>1032</v>
      </c>
      <c r="B1033">
        <f>TEXT(1032, "[$-170000]yyyy-mm-dd")</f>
        <v/>
      </c>
      <c r="C1033">
        <f>TEXT(1032, "[$-060000]yyyy-mm-dd")</f>
        <v/>
      </c>
      <c r="D1033" t="inlineStr">
        <is>
          <t>1320-07-26</t>
        </is>
      </c>
    </row>
    <row r="1034">
      <c r="A1034" s="1" t="n">
        <v>1033</v>
      </c>
      <c r="B1034">
        <f>TEXT(1033, "[$-170000]yyyy-mm-dd")</f>
        <v/>
      </c>
      <c r="C1034">
        <f>TEXT(1033, "[$-060000]yyyy-mm-dd")</f>
        <v/>
      </c>
      <c r="D1034" t="inlineStr">
        <is>
          <t>1320-07-27</t>
        </is>
      </c>
    </row>
    <row r="1035">
      <c r="A1035" s="1" t="n">
        <v>1034</v>
      </c>
      <c r="B1035">
        <f>TEXT(1034, "[$-170000]yyyy-mm-dd")</f>
        <v/>
      </c>
      <c r="C1035">
        <f>TEXT(1034, "[$-060000]yyyy-mm-dd")</f>
        <v/>
      </c>
      <c r="D1035" t="inlineStr">
        <is>
          <t>1320-07-28</t>
        </is>
      </c>
    </row>
    <row r="1036">
      <c r="A1036" s="1" t="n">
        <v>1035</v>
      </c>
      <c r="B1036">
        <f>TEXT(1035, "[$-170000]yyyy-mm-dd")</f>
        <v/>
      </c>
      <c r="C1036">
        <f>TEXT(1035, "[$-060000]yyyy-mm-dd")</f>
        <v/>
      </c>
      <c r="D1036" t="inlineStr">
        <is>
          <t>1320-07-29</t>
        </is>
      </c>
    </row>
    <row r="1037">
      <c r="A1037" s="1" t="n">
        <v>1036</v>
      </c>
      <c r="B1037">
        <f>TEXT(1036, "[$-170000]yyyy-mm-dd")</f>
        <v/>
      </c>
      <c r="C1037">
        <f>TEXT(1036, "[$-060000]yyyy-mm-dd")</f>
        <v/>
      </c>
      <c r="D1037" t="inlineStr">
        <is>
          <t>1320-07-30</t>
        </is>
      </c>
    </row>
    <row r="1038">
      <c r="A1038" s="1" t="n">
        <v>1037</v>
      </c>
      <c r="B1038">
        <f>TEXT(1037, "[$-170000]yyyy-mm-dd")</f>
        <v/>
      </c>
      <c r="C1038">
        <f>TEXT(1037, "[$-060000]yyyy-mm-dd")</f>
        <v/>
      </c>
      <c r="D1038" t="inlineStr">
        <is>
          <t>1320-08-01</t>
        </is>
      </c>
    </row>
    <row r="1039">
      <c r="A1039" s="1" t="n">
        <v>1038</v>
      </c>
      <c r="B1039">
        <f>TEXT(1038, "[$-170000]yyyy-mm-dd")</f>
        <v/>
      </c>
      <c r="C1039">
        <f>TEXT(1038, "[$-060000]yyyy-mm-dd")</f>
        <v/>
      </c>
      <c r="D1039" t="inlineStr">
        <is>
          <t>1320-08-02</t>
        </is>
      </c>
    </row>
    <row r="1040">
      <c r="A1040" s="1" t="n">
        <v>1039</v>
      </c>
      <c r="B1040">
        <f>TEXT(1039, "[$-170000]yyyy-mm-dd")</f>
        <v/>
      </c>
      <c r="C1040">
        <f>TEXT(1039, "[$-060000]yyyy-mm-dd")</f>
        <v/>
      </c>
      <c r="D1040" t="inlineStr">
        <is>
          <t>1320-08-03</t>
        </is>
      </c>
    </row>
    <row r="1041">
      <c r="A1041" s="1" t="n">
        <v>1040</v>
      </c>
      <c r="B1041">
        <f>TEXT(1040, "[$-170000]yyyy-mm-dd")</f>
        <v/>
      </c>
      <c r="C1041">
        <f>TEXT(1040, "[$-060000]yyyy-mm-dd")</f>
        <v/>
      </c>
      <c r="D1041" t="inlineStr">
        <is>
          <t>1320-08-04</t>
        </is>
      </c>
    </row>
    <row r="1042">
      <c r="A1042" s="1" t="n">
        <v>1041</v>
      </c>
      <c r="B1042">
        <f>TEXT(1041, "[$-170000]yyyy-mm-dd")</f>
        <v/>
      </c>
      <c r="C1042">
        <f>TEXT(1041, "[$-060000]yyyy-mm-dd")</f>
        <v/>
      </c>
      <c r="D1042" t="inlineStr">
        <is>
          <t>1320-08-05</t>
        </is>
      </c>
    </row>
    <row r="1043">
      <c r="A1043" s="1" t="n">
        <v>1042</v>
      </c>
      <c r="B1043">
        <f>TEXT(1042, "[$-170000]yyyy-mm-dd")</f>
        <v/>
      </c>
      <c r="C1043">
        <f>TEXT(1042, "[$-060000]yyyy-mm-dd")</f>
        <v/>
      </c>
      <c r="D1043" t="inlineStr">
        <is>
          <t>1320-08-06</t>
        </is>
      </c>
    </row>
    <row r="1044">
      <c r="A1044" s="1" t="n">
        <v>1043</v>
      </c>
      <c r="B1044">
        <f>TEXT(1043, "[$-170000]yyyy-mm-dd")</f>
        <v/>
      </c>
      <c r="C1044">
        <f>TEXT(1043, "[$-060000]yyyy-mm-dd")</f>
        <v/>
      </c>
      <c r="D1044" t="inlineStr">
        <is>
          <t>1320-08-07</t>
        </is>
      </c>
    </row>
    <row r="1045">
      <c r="A1045" s="1" t="n">
        <v>1044</v>
      </c>
      <c r="B1045">
        <f>TEXT(1044, "[$-170000]yyyy-mm-dd")</f>
        <v/>
      </c>
      <c r="C1045">
        <f>TEXT(1044, "[$-060000]yyyy-mm-dd")</f>
        <v/>
      </c>
      <c r="D1045" t="inlineStr">
        <is>
          <t>1320-08-08</t>
        </is>
      </c>
    </row>
    <row r="1046">
      <c r="A1046" s="1" t="n">
        <v>1045</v>
      </c>
      <c r="B1046">
        <f>TEXT(1045, "[$-170000]yyyy-mm-dd")</f>
        <v/>
      </c>
      <c r="C1046">
        <f>TEXT(1045, "[$-060000]yyyy-mm-dd")</f>
        <v/>
      </c>
      <c r="D1046" t="inlineStr">
        <is>
          <t>1320-08-09</t>
        </is>
      </c>
    </row>
    <row r="1047">
      <c r="A1047" s="1" t="n">
        <v>1046</v>
      </c>
      <c r="B1047">
        <f>TEXT(1046, "[$-170000]yyyy-mm-dd")</f>
        <v/>
      </c>
      <c r="C1047">
        <f>TEXT(1046, "[$-060000]yyyy-mm-dd")</f>
        <v/>
      </c>
      <c r="D1047" t="inlineStr">
        <is>
          <t>1320-08-10</t>
        </is>
      </c>
    </row>
    <row r="1048">
      <c r="A1048" s="1" t="n">
        <v>1047</v>
      </c>
      <c r="B1048">
        <f>TEXT(1047, "[$-170000]yyyy-mm-dd")</f>
        <v/>
      </c>
      <c r="C1048">
        <f>TEXT(1047, "[$-060000]yyyy-mm-dd")</f>
        <v/>
      </c>
      <c r="D1048" t="inlineStr">
        <is>
          <t>1320-08-11</t>
        </is>
      </c>
    </row>
    <row r="1049">
      <c r="A1049" s="1" t="n">
        <v>1048</v>
      </c>
      <c r="B1049">
        <f>TEXT(1048, "[$-170000]yyyy-mm-dd")</f>
        <v/>
      </c>
      <c r="C1049">
        <f>TEXT(1048, "[$-060000]yyyy-mm-dd")</f>
        <v/>
      </c>
      <c r="D1049" t="inlineStr">
        <is>
          <t>1320-08-12</t>
        </is>
      </c>
    </row>
    <row r="1050">
      <c r="A1050" s="1" t="n">
        <v>1049</v>
      </c>
      <c r="B1050">
        <f>TEXT(1049, "[$-170000]yyyy-mm-dd")</f>
        <v/>
      </c>
      <c r="C1050">
        <f>TEXT(1049, "[$-060000]yyyy-mm-dd")</f>
        <v/>
      </c>
      <c r="D1050" t="inlineStr">
        <is>
          <t>1320-08-13</t>
        </is>
      </c>
    </row>
    <row r="1051">
      <c r="A1051" s="1" t="n">
        <v>1050</v>
      </c>
      <c r="B1051">
        <f>TEXT(1050, "[$-170000]yyyy-mm-dd")</f>
        <v/>
      </c>
      <c r="C1051">
        <f>TEXT(1050, "[$-060000]yyyy-mm-dd")</f>
        <v/>
      </c>
      <c r="D1051" t="inlineStr">
        <is>
          <t>1320-08-14</t>
        </is>
      </c>
    </row>
    <row r="1052">
      <c r="A1052" s="1" t="n">
        <v>1051</v>
      </c>
      <c r="B1052">
        <f>TEXT(1051, "[$-170000]yyyy-mm-dd")</f>
        <v/>
      </c>
      <c r="C1052">
        <f>TEXT(1051, "[$-060000]yyyy-mm-dd")</f>
        <v/>
      </c>
      <c r="D1052" t="inlineStr">
        <is>
          <t>1320-08-15</t>
        </is>
      </c>
    </row>
    <row r="1053">
      <c r="A1053" s="1" t="n">
        <v>1052</v>
      </c>
      <c r="B1053">
        <f>TEXT(1052, "[$-170000]yyyy-mm-dd")</f>
        <v/>
      </c>
      <c r="C1053">
        <f>TEXT(1052, "[$-060000]yyyy-mm-dd")</f>
        <v/>
      </c>
      <c r="D1053" t="inlineStr">
        <is>
          <t>1320-08-16</t>
        </is>
      </c>
    </row>
    <row r="1054">
      <c r="A1054" s="1" t="n">
        <v>1053</v>
      </c>
      <c r="B1054">
        <f>TEXT(1053, "[$-170000]yyyy-mm-dd")</f>
        <v/>
      </c>
      <c r="C1054">
        <f>TEXT(1053, "[$-060000]yyyy-mm-dd")</f>
        <v/>
      </c>
      <c r="D1054" t="inlineStr">
        <is>
          <t>1320-08-17</t>
        </is>
      </c>
    </row>
    <row r="1055">
      <c r="A1055" s="1" t="n">
        <v>1054</v>
      </c>
      <c r="B1055">
        <f>TEXT(1054, "[$-170000]yyyy-mm-dd")</f>
        <v/>
      </c>
      <c r="C1055">
        <f>TEXT(1054, "[$-060000]yyyy-mm-dd")</f>
        <v/>
      </c>
      <c r="D1055" t="inlineStr">
        <is>
          <t>1320-08-18</t>
        </is>
      </c>
    </row>
    <row r="1056">
      <c r="A1056" s="1" t="n">
        <v>1055</v>
      </c>
      <c r="B1056">
        <f>TEXT(1055, "[$-170000]yyyy-mm-dd")</f>
        <v/>
      </c>
      <c r="C1056">
        <f>TEXT(1055, "[$-060000]yyyy-mm-dd")</f>
        <v/>
      </c>
      <c r="D1056" t="inlineStr">
        <is>
          <t>1320-08-19</t>
        </is>
      </c>
    </row>
    <row r="1057">
      <c r="A1057" s="1" t="n">
        <v>1056</v>
      </c>
      <c r="B1057">
        <f>TEXT(1056, "[$-170000]yyyy-mm-dd")</f>
        <v/>
      </c>
      <c r="C1057">
        <f>TEXT(1056, "[$-060000]yyyy-mm-dd")</f>
        <v/>
      </c>
      <c r="D1057" t="inlineStr">
        <is>
          <t>1320-08-20</t>
        </is>
      </c>
    </row>
    <row r="1058">
      <c r="A1058" s="1" t="n">
        <v>1057</v>
      </c>
      <c r="B1058">
        <f>TEXT(1057, "[$-170000]yyyy-mm-dd")</f>
        <v/>
      </c>
      <c r="C1058">
        <f>TEXT(1057, "[$-060000]yyyy-mm-dd")</f>
        <v/>
      </c>
      <c r="D1058" t="inlineStr">
        <is>
          <t>1320-08-21</t>
        </is>
      </c>
    </row>
    <row r="1059">
      <c r="A1059" s="1" t="n">
        <v>1058</v>
      </c>
      <c r="B1059">
        <f>TEXT(1058, "[$-170000]yyyy-mm-dd")</f>
        <v/>
      </c>
      <c r="C1059">
        <f>TEXT(1058, "[$-060000]yyyy-mm-dd")</f>
        <v/>
      </c>
      <c r="D1059" t="inlineStr">
        <is>
          <t>1320-08-22</t>
        </is>
      </c>
    </row>
    <row r="1060">
      <c r="A1060" s="1" t="n">
        <v>1059</v>
      </c>
      <c r="B1060">
        <f>TEXT(1059, "[$-170000]yyyy-mm-dd")</f>
        <v/>
      </c>
      <c r="C1060">
        <f>TEXT(1059, "[$-060000]yyyy-mm-dd")</f>
        <v/>
      </c>
      <c r="D1060" t="inlineStr">
        <is>
          <t>1320-08-23</t>
        </is>
      </c>
    </row>
    <row r="1061">
      <c r="A1061" s="1" t="n">
        <v>1060</v>
      </c>
      <c r="B1061">
        <f>TEXT(1060, "[$-170000]yyyy-mm-dd")</f>
        <v/>
      </c>
      <c r="C1061">
        <f>TEXT(1060, "[$-060000]yyyy-mm-dd")</f>
        <v/>
      </c>
      <c r="D1061" t="inlineStr">
        <is>
          <t>1320-08-24</t>
        </is>
      </c>
    </row>
    <row r="1062">
      <c r="A1062" s="1" t="n">
        <v>1061</v>
      </c>
      <c r="B1062">
        <f>TEXT(1061, "[$-170000]yyyy-mm-dd")</f>
        <v/>
      </c>
      <c r="C1062">
        <f>TEXT(1061, "[$-060000]yyyy-mm-dd")</f>
        <v/>
      </c>
      <c r="D1062" t="inlineStr">
        <is>
          <t>1320-08-25</t>
        </is>
      </c>
    </row>
    <row r="1063">
      <c r="A1063" s="1" t="n">
        <v>1062</v>
      </c>
      <c r="B1063">
        <f>TEXT(1062, "[$-170000]yyyy-mm-dd")</f>
        <v/>
      </c>
      <c r="C1063">
        <f>TEXT(1062, "[$-060000]yyyy-mm-dd")</f>
        <v/>
      </c>
      <c r="D1063" t="inlineStr">
        <is>
          <t>1320-08-26</t>
        </is>
      </c>
    </row>
    <row r="1064">
      <c r="A1064" s="1" t="n">
        <v>1063</v>
      </c>
      <c r="B1064">
        <f>TEXT(1063, "[$-170000]yyyy-mm-dd")</f>
        <v/>
      </c>
      <c r="C1064">
        <f>TEXT(1063, "[$-060000]yyyy-mm-dd")</f>
        <v/>
      </c>
      <c r="D1064" t="inlineStr">
        <is>
          <t>1320-08-27</t>
        </is>
      </c>
    </row>
    <row r="1065">
      <c r="A1065" s="1" t="n">
        <v>1064</v>
      </c>
      <c r="B1065">
        <f>TEXT(1064, "[$-170000]yyyy-mm-dd")</f>
        <v/>
      </c>
      <c r="C1065">
        <f>TEXT(1064, "[$-060000]yyyy-mm-dd")</f>
        <v/>
      </c>
      <c r="D1065" t="inlineStr">
        <is>
          <t>1320-08-28</t>
        </is>
      </c>
    </row>
    <row r="1066">
      <c r="A1066" s="1" t="n">
        <v>1065</v>
      </c>
      <c r="B1066">
        <f>TEXT(1065, "[$-170000]yyyy-mm-dd")</f>
        <v/>
      </c>
      <c r="C1066">
        <f>TEXT(1065, "[$-060000]yyyy-mm-dd")</f>
        <v/>
      </c>
      <c r="D1066" t="inlineStr">
        <is>
          <t>1320-08-29</t>
        </is>
      </c>
    </row>
    <row r="1067">
      <c r="A1067" s="1" t="n">
        <v>1066</v>
      </c>
      <c r="B1067">
        <f>TEXT(1066, "[$-170000]yyyy-mm-dd")</f>
        <v/>
      </c>
      <c r="C1067">
        <f>TEXT(1066, "[$-060000]yyyy-mm-dd")</f>
        <v/>
      </c>
      <c r="D1067" t="inlineStr">
        <is>
          <t>1320-09-01</t>
        </is>
      </c>
    </row>
    <row r="1068">
      <c r="A1068" s="1" t="n">
        <v>1067</v>
      </c>
      <c r="B1068">
        <f>TEXT(1067, "[$-170000]yyyy-mm-dd")</f>
        <v/>
      </c>
      <c r="C1068">
        <f>TEXT(1067, "[$-060000]yyyy-mm-dd")</f>
        <v/>
      </c>
      <c r="D1068" t="inlineStr">
        <is>
          <t>1320-09-02</t>
        </is>
      </c>
    </row>
    <row r="1069">
      <c r="A1069" s="1" t="n">
        <v>1068</v>
      </c>
      <c r="B1069">
        <f>TEXT(1068, "[$-170000]yyyy-mm-dd")</f>
        <v/>
      </c>
      <c r="C1069">
        <f>TEXT(1068, "[$-060000]yyyy-mm-dd")</f>
        <v/>
      </c>
      <c r="D1069" t="inlineStr">
        <is>
          <t>1320-09-03</t>
        </is>
      </c>
    </row>
    <row r="1070">
      <c r="A1070" s="1" t="n">
        <v>1069</v>
      </c>
      <c r="B1070">
        <f>TEXT(1069, "[$-170000]yyyy-mm-dd")</f>
        <v/>
      </c>
      <c r="C1070">
        <f>TEXT(1069, "[$-060000]yyyy-mm-dd")</f>
        <v/>
      </c>
      <c r="D1070" t="inlineStr">
        <is>
          <t>1320-09-04</t>
        </is>
      </c>
    </row>
    <row r="1071">
      <c r="A1071" s="1" t="n">
        <v>1070</v>
      </c>
      <c r="B1071">
        <f>TEXT(1070, "[$-170000]yyyy-mm-dd")</f>
        <v/>
      </c>
      <c r="C1071">
        <f>TEXT(1070, "[$-060000]yyyy-mm-dd")</f>
        <v/>
      </c>
      <c r="D1071" t="inlineStr">
        <is>
          <t>1320-09-05</t>
        </is>
      </c>
    </row>
    <row r="1072">
      <c r="A1072" s="1" t="n">
        <v>1071</v>
      </c>
      <c r="B1072">
        <f>TEXT(1071, "[$-170000]yyyy-mm-dd")</f>
        <v/>
      </c>
      <c r="C1072">
        <f>TEXT(1071, "[$-060000]yyyy-mm-dd")</f>
        <v/>
      </c>
      <c r="D1072" t="inlineStr">
        <is>
          <t>1320-09-06</t>
        </is>
      </c>
    </row>
    <row r="1073">
      <c r="A1073" s="1" t="n">
        <v>1072</v>
      </c>
      <c r="B1073">
        <f>TEXT(1072, "[$-170000]yyyy-mm-dd")</f>
        <v/>
      </c>
      <c r="C1073">
        <f>TEXT(1072, "[$-060000]yyyy-mm-dd")</f>
        <v/>
      </c>
      <c r="D1073" t="inlineStr">
        <is>
          <t>1320-09-07</t>
        </is>
      </c>
    </row>
    <row r="1074">
      <c r="A1074" s="1" t="n">
        <v>1073</v>
      </c>
      <c r="B1074">
        <f>TEXT(1073, "[$-170000]yyyy-mm-dd")</f>
        <v/>
      </c>
      <c r="C1074">
        <f>TEXT(1073, "[$-060000]yyyy-mm-dd")</f>
        <v/>
      </c>
      <c r="D1074" t="inlineStr">
        <is>
          <t>1320-09-08</t>
        </is>
      </c>
    </row>
    <row r="1075">
      <c r="A1075" s="1" t="n">
        <v>1074</v>
      </c>
      <c r="B1075">
        <f>TEXT(1074, "[$-170000]yyyy-mm-dd")</f>
        <v/>
      </c>
      <c r="C1075">
        <f>TEXT(1074, "[$-060000]yyyy-mm-dd")</f>
        <v/>
      </c>
      <c r="D1075" t="inlineStr">
        <is>
          <t>1320-09-09</t>
        </is>
      </c>
    </row>
    <row r="1076">
      <c r="A1076" s="1" t="n">
        <v>1075</v>
      </c>
      <c r="B1076">
        <f>TEXT(1075, "[$-170000]yyyy-mm-dd")</f>
        <v/>
      </c>
      <c r="C1076">
        <f>TEXT(1075, "[$-060000]yyyy-mm-dd")</f>
        <v/>
      </c>
      <c r="D1076" t="inlineStr">
        <is>
          <t>1320-09-10</t>
        </is>
      </c>
    </row>
    <row r="1077">
      <c r="A1077" s="1" t="n">
        <v>1076</v>
      </c>
      <c r="B1077">
        <f>TEXT(1076, "[$-170000]yyyy-mm-dd")</f>
        <v/>
      </c>
      <c r="C1077">
        <f>TEXT(1076, "[$-060000]yyyy-mm-dd")</f>
        <v/>
      </c>
      <c r="D1077" t="inlineStr">
        <is>
          <t>1320-09-11</t>
        </is>
      </c>
    </row>
    <row r="1078">
      <c r="A1078" s="1" t="n">
        <v>1077</v>
      </c>
      <c r="B1078">
        <f>TEXT(1077, "[$-170000]yyyy-mm-dd")</f>
        <v/>
      </c>
      <c r="C1078">
        <f>TEXT(1077, "[$-060000]yyyy-mm-dd")</f>
        <v/>
      </c>
      <c r="D1078" t="inlineStr">
        <is>
          <t>1320-09-12</t>
        </is>
      </c>
    </row>
    <row r="1079">
      <c r="A1079" s="1" t="n">
        <v>1078</v>
      </c>
      <c r="B1079">
        <f>TEXT(1078, "[$-170000]yyyy-mm-dd")</f>
        <v/>
      </c>
      <c r="C1079">
        <f>TEXT(1078, "[$-060000]yyyy-mm-dd")</f>
        <v/>
      </c>
      <c r="D1079" t="inlineStr">
        <is>
          <t>1320-09-13</t>
        </is>
      </c>
    </row>
    <row r="1080">
      <c r="A1080" s="1" t="n">
        <v>1079</v>
      </c>
      <c r="B1080">
        <f>TEXT(1079, "[$-170000]yyyy-mm-dd")</f>
        <v/>
      </c>
      <c r="C1080">
        <f>TEXT(1079, "[$-060000]yyyy-mm-dd")</f>
        <v/>
      </c>
      <c r="D1080" t="inlineStr">
        <is>
          <t>1320-09-14</t>
        </is>
      </c>
    </row>
    <row r="1081">
      <c r="A1081" s="1" t="n">
        <v>1080</v>
      </c>
      <c r="B1081">
        <f>TEXT(1080, "[$-170000]yyyy-mm-dd")</f>
        <v/>
      </c>
      <c r="C1081">
        <f>TEXT(1080, "[$-060000]yyyy-mm-dd")</f>
        <v/>
      </c>
      <c r="D1081" t="inlineStr">
        <is>
          <t>1320-09-15</t>
        </is>
      </c>
    </row>
    <row r="1082">
      <c r="A1082" s="1" t="n">
        <v>1081</v>
      </c>
      <c r="B1082">
        <f>TEXT(1081, "[$-170000]yyyy-mm-dd")</f>
        <v/>
      </c>
      <c r="C1082">
        <f>TEXT(1081, "[$-060000]yyyy-mm-dd")</f>
        <v/>
      </c>
      <c r="D1082" t="inlineStr">
        <is>
          <t>1320-09-16</t>
        </is>
      </c>
    </row>
    <row r="1083">
      <c r="A1083" s="1" t="n">
        <v>1082</v>
      </c>
      <c r="B1083">
        <f>TEXT(1082, "[$-170000]yyyy-mm-dd")</f>
        <v/>
      </c>
      <c r="C1083">
        <f>TEXT(1082, "[$-060000]yyyy-mm-dd")</f>
        <v/>
      </c>
      <c r="D1083" t="inlineStr">
        <is>
          <t>1320-09-17</t>
        </is>
      </c>
    </row>
    <row r="1084">
      <c r="A1084" s="1" t="n">
        <v>1083</v>
      </c>
      <c r="B1084">
        <f>TEXT(1083, "[$-170000]yyyy-mm-dd")</f>
        <v/>
      </c>
      <c r="C1084">
        <f>TEXT(1083, "[$-060000]yyyy-mm-dd")</f>
        <v/>
      </c>
      <c r="D1084" t="inlineStr">
        <is>
          <t>1320-09-18</t>
        </is>
      </c>
    </row>
    <row r="1085">
      <c r="A1085" s="1" t="n">
        <v>1084</v>
      </c>
      <c r="B1085">
        <f>TEXT(1084, "[$-170000]yyyy-mm-dd")</f>
        <v/>
      </c>
      <c r="C1085">
        <f>TEXT(1084, "[$-060000]yyyy-mm-dd")</f>
        <v/>
      </c>
      <c r="D1085" t="inlineStr">
        <is>
          <t>1320-09-19</t>
        </is>
      </c>
    </row>
    <row r="1086">
      <c r="A1086" s="1" t="n">
        <v>1085</v>
      </c>
      <c r="B1086">
        <f>TEXT(1085, "[$-170000]yyyy-mm-dd")</f>
        <v/>
      </c>
      <c r="C1086">
        <f>TEXT(1085, "[$-060000]yyyy-mm-dd")</f>
        <v/>
      </c>
      <c r="D1086" t="inlineStr">
        <is>
          <t>1320-09-20</t>
        </is>
      </c>
    </row>
    <row r="1087">
      <c r="A1087" s="1" t="n">
        <v>1086</v>
      </c>
      <c r="B1087">
        <f>TEXT(1086, "[$-170000]yyyy-mm-dd")</f>
        <v/>
      </c>
      <c r="C1087">
        <f>TEXT(1086, "[$-060000]yyyy-mm-dd")</f>
        <v/>
      </c>
      <c r="D1087" t="inlineStr">
        <is>
          <t>1320-09-21</t>
        </is>
      </c>
    </row>
    <row r="1088">
      <c r="A1088" s="1" t="n">
        <v>1087</v>
      </c>
      <c r="B1088">
        <f>TEXT(1087, "[$-170000]yyyy-mm-dd")</f>
        <v/>
      </c>
      <c r="C1088">
        <f>TEXT(1087, "[$-060000]yyyy-mm-dd")</f>
        <v/>
      </c>
      <c r="D1088" t="inlineStr">
        <is>
          <t>1320-09-22</t>
        </is>
      </c>
    </row>
    <row r="1089">
      <c r="A1089" s="1" t="n">
        <v>1088</v>
      </c>
      <c r="B1089">
        <f>TEXT(1088, "[$-170000]yyyy-mm-dd")</f>
        <v/>
      </c>
      <c r="C1089">
        <f>TEXT(1088, "[$-060000]yyyy-mm-dd")</f>
        <v/>
      </c>
      <c r="D1089" t="inlineStr">
        <is>
          <t>1320-09-23</t>
        </is>
      </c>
    </row>
    <row r="1090">
      <c r="A1090" s="1" t="n">
        <v>1089</v>
      </c>
      <c r="B1090">
        <f>TEXT(1089, "[$-170000]yyyy-mm-dd")</f>
        <v/>
      </c>
      <c r="C1090">
        <f>TEXT(1089, "[$-060000]yyyy-mm-dd")</f>
        <v/>
      </c>
      <c r="D1090" t="inlineStr">
        <is>
          <t>1320-09-24</t>
        </is>
      </c>
    </row>
    <row r="1091">
      <c r="A1091" s="1" t="n">
        <v>1090</v>
      </c>
      <c r="B1091">
        <f>TEXT(1090, "[$-170000]yyyy-mm-dd")</f>
        <v/>
      </c>
      <c r="C1091">
        <f>TEXT(1090, "[$-060000]yyyy-mm-dd")</f>
        <v/>
      </c>
      <c r="D1091" t="inlineStr">
        <is>
          <t>1320-09-25</t>
        </is>
      </c>
    </row>
    <row r="1092">
      <c r="A1092" s="1" t="n">
        <v>1091</v>
      </c>
      <c r="B1092">
        <f>TEXT(1091, "[$-170000]yyyy-mm-dd")</f>
        <v/>
      </c>
      <c r="C1092">
        <f>TEXT(1091, "[$-060000]yyyy-mm-dd")</f>
        <v/>
      </c>
      <c r="D1092" t="inlineStr">
        <is>
          <t>1320-09-26</t>
        </is>
      </c>
    </row>
    <row r="1093">
      <c r="A1093" s="1" t="n">
        <v>1092</v>
      </c>
      <c r="B1093">
        <f>TEXT(1092, "[$-170000]yyyy-mm-dd")</f>
        <v/>
      </c>
      <c r="C1093">
        <f>TEXT(1092, "[$-060000]yyyy-mm-dd")</f>
        <v/>
      </c>
      <c r="D1093" t="inlineStr">
        <is>
          <t>1320-09-27</t>
        </is>
      </c>
    </row>
    <row r="1094">
      <c r="A1094" s="1" t="n">
        <v>1093</v>
      </c>
      <c r="B1094">
        <f>TEXT(1093, "[$-170000]yyyy-mm-dd")</f>
        <v/>
      </c>
      <c r="C1094">
        <f>TEXT(1093, "[$-060000]yyyy-mm-dd")</f>
        <v/>
      </c>
      <c r="D1094" t="inlineStr">
        <is>
          <t>1320-09-28</t>
        </is>
      </c>
    </row>
    <row r="1095">
      <c r="A1095" s="1" t="n">
        <v>1094</v>
      </c>
      <c r="B1095">
        <f>TEXT(1094, "[$-170000]yyyy-mm-dd")</f>
        <v/>
      </c>
      <c r="C1095">
        <f>TEXT(1094, "[$-060000]yyyy-mm-dd")</f>
        <v/>
      </c>
      <c r="D1095" t="inlineStr">
        <is>
          <t>1320-09-29</t>
        </is>
      </c>
    </row>
    <row r="1096">
      <c r="A1096" s="1" t="n">
        <v>1095</v>
      </c>
      <c r="B1096">
        <f>TEXT(1095, "[$-170000]yyyy-mm-dd")</f>
        <v/>
      </c>
      <c r="C1096">
        <f>TEXT(1095, "[$-060000]yyyy-mm-dd")</f>
        <v/>
      </c>
      <c r="D1096" t="inlineStr">
        <is>
          <t>1320-09-30</t>
        </is>
      </c>
    </row>
    <row r="1097">
      <c r="A1097" s="1" t="n">
        <v>1096</v>
      </c>
      <c r="B1097">
        <f>TEXT(1096, "[$-170000]yyyy-mm-dd")</f>
        <v/>
      </c>
      <c r="C1097">
        <f>TEXT(1096, "[$-060000]yyyy-mm-dd")</f>
        <v/>
      </c>
      <c r="D1097" t="inlineStr">
        <is>
          <t>1320-10-01</t>
        </is>
      </c>
    </row>
    <row r="1098">
      <c r="A1098" s="1" t="n">
        <v>1097</v>
      </c>
      <c r="B1098">
        <f>TEXT(1097, "[$-170000]yyyy-mm-dd")</f>
        <v/>
      </c>
      <c r="C1098">
        <f>TEXT(1097, "[$-060000]yyyy-mm-dd")</f>
        <v/>
      </c>
      <c r="D1098" t="inlineStr">
        <is>
          <t>1320-10-02</t>
        </is>
      </c>
    </row>
    <row r="1099">
      <c r="A1099" s="1" t="n">
        <v>1098</v>
      </c>
      <c r="B1099">
        <f>TEXT(1098, "[$-170000]yyyy-mm-dd")</f>
        <v/>
      </c>
      <c r="C1099">
        <f>TEXT(1098, "[$-060000]yyyy-mm-dd")</f>
        <v/>
      </c>
      <c r="D1099" t="inlineStr">
        <is>
          <t>1320-10-03</t>
        </is>
      </c>
    </row>
    <row r="1100">
      <c r="A1100" s="1" t="n">
        <v>1099</v>
      </c>
      <c r="B1100">
        <f>TEXT(1099, "[$-170000]yyyy-mm-dd")</f>
        <v/>
      </c>
      <c r="C1100">
        <f>TEXT(1099, "[$-060000]yyyy-mm-dd")</f>
        <v/>
      </c>
      <c r="D1100" t="inlineStr">
        <is>
          <t>1320-10-04</t>
        </is>
      </c>
    </row>
    <row r="1101">
      <c r="A1101" s="1" t="n">
        <v>1100</v>
      </c>
      <c r="B1101">
        <f>TEXT(1100, "[$-170000]yyyy-mm-dd")</f>
        <v/>
      </c>
      <c r="C1101">
        <f>TEXT(1100, "[$-060000]yyyy-mm-dd")</f>
        <v/>
      </c>
      <c r="D1101" t="inlineStr">
        <is>
          <t>1320-10-05</t>
        </is>
      </c>
    </row>
    <row r="1102">
      <c r="A1102" s="1" t="n">
        <v>1101</v>
      </c>
      <c r="B1102">
        <f>TEXT(1101, "[$-170000]yyyy-mm-dd")</f>
        <v/>
      </c>
      <c r="C1102">
        <f>TEXT(1101, "[$-060000]yyyy-mm-dd")</f>
        <v/>
      </c>
      <c r="D1102" t="inlineStr">
        <is>
          <t>1320-10-06</t>
        </is>
      </c>
    </row>
    <row r="1103">
      <c r="A1103" s="1" t="n">
        <v>1102</v>
      </c>
      <c r="B1103">
        <f>TEXT(1102, "[$-170000]yyyy-mm-dd")</f>
        <v/>
      </c>
      <c r="C1103">
        <f>TEXT(1102, "[$-060000]yyyy-mm-dd")</f>
        <v/>
      </c>
      <c r="D1103" t="inlineStr">
        <is>
          <t>1320-10-07</t>
        </is>
      </c>
    </row>
    <row r="1104">
      <c r="A1104" s="1" t="n">
        <v>1103</v>
      </c>
      <c r="B1104">
        <f>TEXT(1103, "[$-170000]yyyy-mm-dd")</f>
        <v/>
      </c>
      <c r="C1104">
        <f>TEXT(1103, "[$-060000]yyyy-mm-dd")</f>
        <v/>
      </c>
      <c r="D1104" t="inlineStr">
        <is>
          <t>1320-10-08</t>
        </is>
      </c>
    </row>
    <row r="1105">
      <c r="A1105" s="1" t="n">
        <v>1104</v>
      </c>
      <c r="B1105">
        <f>TEXT(1104, "[$-170000]yyyy-mm-dd")</f>
        <v/>
      </c>
      <c r="C1105">
        <f>TEXT(1104, "[$-060000]yyyy-mm-dd")</f>
        <v/>
      </c>
      <c r="D1105" t="inlineStr">
        <is>
          <t>1320-10-09</t>
        </is>
      </c>
    </row>
    <row r="1106">
      <c r="A1106" s="1" t="n">
        <v>1105</v>
      </c>
      <c r="B1106">
        <f>TEXT(1105, "[$-170000]yyyy-mm-dd")</f>
        <v/>
      </c>
      <c r="C1106">
        <f>TEXT(1105, "[$-060000]yyyy-mm-dd")</f>
        <v/>
      </c>
      <c r="D1106" t="inlineStr">
        <is>
          <t>1320-10-10</t>
        </is>
      </c>
    </row>
    <row r="1107">
      <c r="A1107" s="1" t="n">
        <v>1106</v>
      </c>
      <c r="B1107">
        <f>TEXT(1106, "[$-170000]yyyy-mm-dd")</f>
        <v/>
      </c>
      <c r="C1107">
        <f>TEXT(1106, "[$-060000]yyyy-mm-dd")</f>
        <v/>
      </c>
      <c r="D1107" t="inlineStr">
        <is>
          <t>1320-10-11</t>
        </is>
      </c>
    </row>
    <row r="1108">
      <c r="A1108" s="1" t="n">
        <v>1107</v>
      </c>
      <c r="B1108">
        <f>TEXT(1107, "[$-170000]yyyy-mm-dd")</f>
        <v/>
      </c>
      <c r="C1108">
        <f>TEXT(1107, "[$-060000]yyyy-mm-dd")</f>
        <v/>
      </c>
      <c r="D1108" t="inlineStr">
        <is>
          <t>1320-10-12</t>
        </is>
      </c>
    </row>
    <row r="1109">
      <c r="A1109" s="1" t="n">
        <v>1108</v>
      </c>
      <c r="B1109">
        <f>TEXT(1108, "[$-170000]yyyy-mm-dd")</f>
        <v/>
      </c>
      <c r="C1109">
        <f>TEXT(1108, "[$-060000]yyyy-mm-dd")</f>
        <v/>
      </c>
      <c r="D1109" t="inlineStr">
        <is>
          <t>1320-10-13</t>
        </is>
      </c>
    </row>
    <row r="1110">
      <c r="A1110" s="1" t="n">
        <v>1109</v>
      </c>
      <c r="B1110">
        <f>TEXT(1109, "[$-170000]yyyy-mm-dd")</f>
        <v/>
      </c>
      <c r="C1110">
        <f>TEXT(1109, "[$-060000]yyyy-mm-dd")</f>
        <v/>
      </c>
      <c r="D1110" t="inlineStr">
        <is>
          <t>1320-10-14</t>
        </is>
      </c>
    </row>
    <row r="1111">
      <c r="A1111" s="1" t="n">
        <v>1110</v>
      </c>
      <c r="B1111">
        <f>TEXT(1110, "[$-170000]yyyy-mm-dd")</f>
        <v/>
      </c>
      <c r="C1111">
        <f>TEXT(1110, "[$-060000]yyyy-mm-dd")</f>
        <v/>
      </c>
      <c r="D1111" t="inlineStr">
        <is>
          <t>1320-10-15</t>
        </is>
      </c>
    </row>
    <row r="1112">
      <c r="A1112" s="1" t="n">
        <v>1111</v>
      </c>
      <c r="B1112">
        <f>TEXT(1111, "[$-170000]yyyy-mm-dd")</f>
        <v/>
      </c>
      <c r="C1112">
        <f>TEXT(1111, "[$-060000]yyyy-mm-dd")</f>
        <v/>
      </c>
      <c r="D1112" t="inlineStr">
        <is>
          <t>1320-10-16</t>
        </is>
      </c>
    </row>
    <row r="1113">
      <c r="A1113" s="1" t="n">
        <v>1112</v>
      </c>
      <c r="B1113">
        <f>TEXT(1112, "[$-170000]yyyy-mm-dd")</f>
        <v/>
      </c>
      <c r="C1113">
        <f>TEXT(1112, "[$-060000]yyyy-mm-dd")</f>
        <v/>
      </c>
      <c r="D1113" t="inlineStr">
        <is>
          <t>1320-10-17</t>
        </is>
      </c>
    </row>
    <row r="1114">
      <c r="A1114" s="1" t="n">
        <v>1113</v>
      </c>
      <c r="B1114">
        <f>TEXT(1113, "[$-170000]yyyy-mm-dd")</f>
        <v/>
      </c>
      <c r="C1114">
        <f>TEXT(1113, "[$-060000]yyyy-mm-dd")</f>
        <v/>
      </c>
      <c r="D1114" t="inlineStr">
        <is>
          <t>1320-10-18</t>
        </is>
      </c>
    </row>
    <row r="1115">
      <c r="A1115" s="1" t="n">
        <v>1114</v>
      </c>
      <c r="B1115">
        <f>TEXT(1114, "[$-170000]yyyy-mm-dd")</f>
        <v/>
      </c>
      <c r="C1115">
        <f>TEXT(1114, "[$-060000]yyyy-mm-dd")</f>
        <v/>
      </c>
      <c r="D1115" t="inlineStr">
        <is>
          <t>1320-10-19</t>
        </is>
      </c>
    </row>
    <row r="1116">
      <c r="A1116" s="1" t="n">
        <v>1115</v>
      </c>
      <c r="B1116">
        <f>TEXT(1115, "[$-170000]yyyy-mm-dd")</f>
        <v/>
      </c>
      <c r="C1116">
        <f>TEXT(1115, "[$-060000]yyyy-mm-dd")</f>
        <v/>
      </c>
      <c r="D1116" t="inlineStr">
        <is>
          <t>1320-10-20</t>
        </is>
      </c>
    </row>
    <row r="1117">
      <c r="A1117" s="1" t="n">
        <v>1116</v>
      </c>
      <c r="B1117">
        <f>TEXT(1116, "[$-170000]yyyy-mm-dd")</f>
        <v/>
      </c>
      <c r="C1117">
        <f>TEXT(1116, "[$-060000]yyyy-mm-dd")</f>
        <v/>
      </c>
      <c r="D1117" t="inlineStr">
        <is>
          <t>1320-10-21</t>
        </is>
      </c>
    </row>
    <row r="1118">
      <c r="A1118" s="1" t="n">
        <v>1117</v>
      </c>
      <c r="B1118">
        <f>TEXT(1117, "[$-170000]yyyy-mm-dd")</f>
        <v/>
      </c>
      <c r="C1118">
        <f>TEXT(1117, "[$-060000]yyyy-mm-dd")</f>
        <v/>
      </c>
      <c r="D1118" t="inlineStr">
        <is>
          <t>1320-10-22</t>
        </is>
      </c>
    </row>
    <row r="1119">
      <c r="A1119" s="1" t="n">
        <v>1118</v>
      </c>
      <c r="B1119">
        <f>TEXT(1118, "[$-170000]yyyy-mm-dd")</f>
        <v/>
      </c>
      <c r="C1119">
        <f>TEXT(1118, "[$-060000]yyyy-mm-dd")</f>
        <v/>
      </c>
      <c r="D1119" t="inlineStr">
        <is>
          <t>1320-10-23</t>
        </is>
      </c>
    </row>
    <row r="1120">
      <c r="A1120" s="1" t="n">
        <v>1119</v>
      </c>
      <c r="B1120">
        <f>TEXT(1119, "[$-170000]yyyy-mm-dd")</f>
        <v/>
      </c>
      <c r="C1120">
        <f>TEXT(1119, "[$-060000]yyyy-mm-dd")</f>
        <v/>
      </c>
      <c r="D1120" t="inlineStr">
        <is>
          <t>1320-10-24</t>
        </is>
      </c>
    </row>
    <row r="1121">
      <c r="A1121" s="1" t="n">
        <v>1120</v>
      </c>
      <c r="B1121">
        <f>TEXT(1120, "[$-170000]yyyy-mm-dd")</f>
        <v/>
      </c>
      <c r="C1121">
        <f>TEXT(1120, "[$-060000]yyyy-mm-dd")</f>
        <v/>
      </c>
      <c r="D1121" t="inlineStr">
        <is>
          <t>1320-10-25</t>
        </is>
      </c>
    </row>
    <row r="1122">
      <c r="A1122" s="1" t="n">
        <v>1121</v>
      </c>
      <c r="B1122">
        <f>TEXT(1121, "[$-170000]yyyy-mm-dd")</f>
        <v/>
      </c>
      <c r="C1122">
        <f>TEXT(1121, "[$-060000]yyyy-mm-dd")</f>
        <v/>
      </c>
      <c r="D1122" t="inlineStr">
        <is>
          <t>1320-10-26</t>
        </is>
      </c>
    </row>
    <row r="1123">
      <c r="A1123" s="1" t="n">
        <v>1122</v>
      </c>
      <c r="B1123">
        <f>TEXT(1122, "[$-170000]yyyy-mm-dd")</f>
        <v/>
      </c>
      <c r="C1123">
        <f>TEXT(1122, "[$-060000]yyyy-mm-dd")</f>
        <v/>
      </c>
      <c r="D1123" t="inlineStr">
        <is>
          <t>1320-10-27</t>
        </is>
      </c>
    </row>
    <row r="1124">
      <c r="A1124" s="1" t="n">
        <v>1123</v>
      </c>
      <c r="B1124">
        <f>TEXT(1123, "[$-170000]yyyy-mm-dd")</f>
        <v/>
      </c>
      <c r="C1124">
        <f>TEXT(1123, "[$-060000]yyyy-mm-dd")</f>
        <v/>
      </c>
      <c r="D1124" t="inlineStr">
        <is>
          <t>1320-10-28</t>
        </is>
      </c>
    </row>
    <row r="1125">
      <c r="A1125" s="1" t="n">
        <v>1124</v>
      </c>
      <c r="B1125">
        <f>TEXT(1124, "[$-170000]yyyy-mm-dd")</f>
        <v/>
      </c>
      <c r="C1125">
        <f>TEXT(1124, "[$-060000]yyyy-mm-dd")</f>
        <v/>
      </c>
      <c r="D1125" t="inlineStr">
        <is>
          <t>1320-10-29</t>
        </is>
      </c>
    </row>
    <row r="1126">
      <c r="A1126" s="1" t="n">
        <v>1125</v>
      </c>
      <c r="B1126">
        <f>TEXT(1125, "[$-170000]yyyy-mm-dd")</f>
        <v/>
      </c>
      <c r="C1126">
        <f>TEXT(1125, "[$-060000]yyyy-mm-dd")</f>
        <v/>
      </c>
      <c r="D1126" t="inlineStr">
        <is>
          <t>1320-11-01</t>
        </is>
      </c>
    </row>
    <row r="1127">
      <c r="A1127" s="1" t="n">
        <v>1126</v>
      </c>
      <c r="B1127">
        <f>TEXT(1126, "[$-170000]yyyy-mm-dd")</f>
        <v/>
      </c>
      <c r="C1127">
        <f>TEXT(1126, "[$-060000]yyyy-mm-dd")</f>
        <v/>
      </c>
      <c r="D1127" t="inlineStr">
        <is>
          <t>1320-11-02</t>
        </is>
      </c>
    </row>
    <row r="1128">
      <c r="A1128" s="1" t="n">
        <v>1127</v>
      </c>
      <c r="B1128">
        <f>TEXT(1127, "[$-170000]yyyy-mm-dd")</f>
        <v/>
      </c>
      <c r="C1128">
        <f>TEXT(1127, "[$-060000]yyyy-mm-dd")</f>
        <v/>
      </c>
      <c r="D1128" t="inlineStr">
        <is>
          <t>1320-11-03</t>
        </is>
      </c>
    </row>
    <row r="1129">
      <c r="A1129" s="1" t="n">
        <v>1128</v>
      </c>
      <c r="B1129">
        <f>TEXT(1128, "[$-170000]yyyy-mm-dd")</f>
        <v/>
      </c>
      <c r="C1129">
        <f>TEXT(1128, "[$-060000]yyyy-mm-dd")</f>
        <v/>
      </c>
      <c r="D1129" t="inlineStr">
        <is>
          <t>1320-11-04</t>
        </is>
      </c>
    </row>
    <row r="1130">
      <c r="A1130" s="1" t="n">
        <v>1129</v>
      </c>
      <c r="B1130">
        <f>TEXT(1129, "[$-170000]yyyy-mm-dd")</f>
        <v/>
      </c>
      <c r="C1130">
        <f>TEXT(1129, "[$-060000]yyyy-mm-dd")</f>
        <v/>
      </c>
      <c r="D1130" t="inlineStr">
        <is>
          <t>1320-11-05</t>
        </is>
      </c>
    </row>
    <row r="1131">
      <c r="A1131" s="1" t="n">
        <v>1130</v>
      </c>
      <c r="B1131">
        <f>TEXT(1130, "[$-170000]yyyy-mm-dd")</f>
        <v/>
      </c>
      <c r="C1131">
        <f>TEXT(1130, "[$-060000]yyyy-mm-dd")</f>
        <v/>
      </c>
      <c r="D1131" t="inlineStr">
        <is>
          <t>1320-11-06</t>
        </is>
      </c>
    </row>
    <row r="1132">
      <c r="A1132" s="1" t="n">
        <v>1131</v>
      </c>
      <c r="B1132">
        <f>TEXT(1131, "[$-170000]yyyy-mm-dd")</f>
        <v/>
      </c>
      <c r="C1132">
        <f>TEXT(1131, "[$-060000]yyyy-mm-dd")</f>
        <v/>
      </c>
      <c r="D1132" t="inlineStr">
        <is>
          <t>1320-11-07</t>
        </is>
      </c>
    </row>
    <row r="1133">
      <c r="A1133" s="1" t="n">
        <v>1132</v>
      </c>
      <c r="B1133">
        <f>TEXT(1132, "[$-170000]yyyy-mm-dd")</f>
        <v/>
      </c>
      <c r="C1133">
        <f>TEXT(1132, "[$-060000]yyyy-mm-dd")</f>
        <v/>
      </c>
      <c r="D1133" t="inlineStr">
        <is>
          <t>1320-11-08</t>
        </is>
      </c>
    </row>
    <row r="1134">
      <c r="A1134" s="1" t="n">
        <v>1133</v>
      </c>
      <c r="B1134">
        <f>TEXT(1133, "[$-170000]yyyy-mm-dd")</f>
        <v/>
      </c>
      <c r="C1134">
        <f>TEXT(1133, "[$-060000]yyyy-mm-dd")</f>
        <v/>
      </c>
      <c r="D1134" t="inlineStr">
        <is>
          <t>1320-11-09</t>
        </is>
      </c>
    </row>
    <row r="1135">
      <c r="A1135" s="1" t="n">
        <v>1134</v>
      </c>
      <c r="B1135">
        <f>TEXT(1134, "[$-170000]yyyy-mm-dd")</f>
        <v/>
      </c>
      <c r="C1135">
        <f>TEXT(1134, "[$-060000]yyyy-mm-dd")</f>
        <v/>
      </c>
      <c r="D1135" t="inlineStr">
        <is>
          <t>1320-11-10</t>
        </is>
      </c>
    </row>
    <row r="1136">
      <c r="A1136" s="1" t="n">
        <v>1135</v>
      </c>
      <c r="B1136">
        <f>TEXT(1135, "[$-170000]yyyy-mm-dd")</f>
        <v/>
      </c>
      <c r="C1136">
        <f>TEXT(1135, "[$-060000]yyyy-mm-dd")</f>
        <v/>
      </c>
      <c r="D1136" t="inlineStr">
        <is>
          <t>1320-11-11</t>
        </is>
      </c>
    </row>
    <row r="1137">
      <c r="A1137" s="1" t="n">
        <v>1136</v>
      </c>
      <c r="B1137">
        <f>TEXT(1136, "[$-170000]yyyy-mm-dd")</f>
        <v/>
      </c>
      <c r="C1137">
        <f>TEXT(1136, "[$-060000]yyyy-mm-dd")</f>
        <v/>
      </c>
      <c r="D1137" t="inlineStr">
        <is>
          <t>1320-11-12</t>
        </is>
      </c>
    </row>
    <row r="1138">
      <c r="A1138" s="1" t="n">
        <v>1137</v>
      </c>
      <c r="B1138">
        <f>TEXT(1137, "[$-170000]yyyy-mm-dd")</f>
        <v/>
      </c>
      <c r="C1138">
        <f>TEXT(1137, "[$-060000]yyyy-mm-dd")</f>
        <v/>
      </c>
      <c r="D1138" t="inlineStr">
        <is>
          <t>1320-11-13</t>
        </is>
      </c>
    </row>
    <row r="1139">
      <c r="A1139" s="1" t="n">
        <v>1138</v>
      </c>
      <c r="B1139">
        <f>TEXT(1138, "[$-170000]yyyy-mm-dd")</f>
        <v/>
      </c>
      <c r="C1139">
        <f>TEXT(1138, "[$-060000]yyyy-mm-dd")</f>
        <v/>
      </c>
      <c r="D1139" t="inlineStr">
        <is>
          <t>1320-11-14</t>
        </is>
      </c>
    </row>
    <row r="1140">
      <c r="A1140" s="1" t="n">
        <v>1139</v>
      </c>
      <c r="B1140">
        <f>TEXT(1139, "[$-170000]yyyy-mm-dd")</f>
        <v/>
      </c>
      <c r="C1140">
        <f>TEXT(1139, "[$-060000]yyyy-mm-dd")</f>
        <v/>
      </c>
      <c r="D1140" t="inlineStr">
        <is>
          <t>1320-11-15</t>
        </is>
      </c>
    </row>
    <row r="1141">
      <c r="A1141" s="1" t="n">
        <v>1140</v>
      </c>
      <c r="B1141">
        <f>TEXT(1140, "[$-170000]yyyy-mm-dd")</f>
        <v/>
      </c>
      <c r="C1141">
        <f>TEXT(1140, "[$-060000]yyyy-mm-dd")</f>
        <v/>
      </c>
      <c r="D1141" t="inlineStr">
        <is>
          <t>1320-11-16</t>
        </is>
      </c>
    </row>
    <row r="1142">
      <c r="A1142" s="1" t="n">
        <v>1141</v>
      </c>
      <c r="B1142">
        <f>TEXT(1141, "[$-170000]yyyy-mm-dd")</f>
        <v/>
      </c>
      <c r="C1142">
        <f>TEXT(1141, "[$-060000]yyyy-mm-dd")</f>
        <v/>
      </c>
      <c r="D1142" t="inlineStr">
        <is>
          <t>1320-11-17</t>
        </is>
      </c>
    </row>
    <row r="1143">
      <c r="A1143" s="1" t="n">
        <v>1142</v>
      </c>
      <c r="B1143">
        <f>TEXT(1142, "[$-170000]yyyy-mm-dd")</f>
        <v/>
      </c>
      <c r="C1143">
        <f>TEXT(1142, "[$-060000]yyyy-mm-dd")</f>
        <v/>
      </c>
      <c r="D1143" t="inlineStr">
        <is>
          <t>1320-11-18</t>
        </is>
      </c>
    </row>
    <row r="1144">
      <c r="A1144" s="1" t="n">
        <v>1143</v>
      </c>
      <c r="B1144">
        <f>TEXT(1143, "[$-170000]yyyy-mm-dd")</f>
        <v/>
      </c>
      <c r="C1144">
        <f>TEXT(1143, "[$-060000]yyyy-mm-dd")</f>
        <v/>
      </c>
      <c r="D1144" t="inlineStr">
        <is>
          <t>1320-11-19</t>
        </is>
      </c>
    </row>
    <row r="1145">
      <c r="A1145" s="1" t="n">
        <v>1144</v>
      </c>
      <c r="B1145">
        <f>TEXT(1144, "[$-170000]yyyy-mm-dd")</f>
        <v/>
      </c>
      <c r="C1145">
        <f>TEXT(1144, "[$-060000]yyyy-mm-dd")</f>
        <v/>
      </c>
      <c r="D1145" t="inlineStr">
        <is>
          <t>1320-11-20</t>
        </is>
      </c>
    </row>
    <row r="1146">
      <c r="A1146" s="1" t="n">
        <v>1145</v>
      </c>
      <c r="B1146">
        <f>TEXT(1145, "[$-170000]yyyy-mm-dd")</f>
        <v/>
      </c>
      <c r="C1146">
        <f>TEXT(1145, "[$-060000]yyyy-mm-dd")</f>
        <v/>
      </c>
      <c r="D1146" t="inlineStr">
        <is>
          <t>1320-11-21</t>
        </is>
      </c>
    </row>
    <row r="1147">
      <c r="A1147" s="1" t="n">
        <v>1146</v>
      </c>
      <c r="B1147">
        <f>TEXT(1146, "[$-170000]yyyy-mm-dd")</f>
        <v/>
      </c>
      <c r="C1147">
        <f>TEXT(1146, "[$-060000]yyyy-mm-dd")</f>
        <v/>
      </c>
      <c r="D1147" t="inlineStr">
        <is>
          <t>1320-11-22</t>
        </is>
      </c>
    </row>
    <row r="1148">
      <c r="A1148" s="1" t="n">
        <v>1147</v>
      </c>
      <c r="B1148">
        <f>TEXT(1147, "[$-170000]yyyy-mm-dd")</f>
        <v/>
      </c>
      <c r="C1148">
        <f>TEXT(1147, "[$-060000]yyyy-mm-dd")</f>
        <v/>
      </c>
      <c r="D1148" t="inlineStr">
        <is>
          <t>1320-11-23</t>
        </is>
      </c>
    </row>
    <row r="1149">
      <c r="A1149" s="1" t="n">
        <v>1148</v>
      </c>
      <c r="B1149">
        <f>TEXT(1148, "[$-170000]yyyy-mm-dd")</f>
        <v/>
      </c>
      <c r="C1149">
        <f>TEXT(1148, "[$-060000]yyyy-mm-dd")</f>
        <v/>
      </c>
      <c r="D1149" t="inlineStr">
        <is>
          <t>1320-11-24</t>
        </is>
      </c>
    </row>
    <row r="1150">
      <c r="A1150" s="1" t="n">
        <v>1149</v>
      </c>
      <c r="B1150">
        <f>TEXT(1149, "[$-170000]yyyy-mm-dd")</f>
        <v/>
      </c>
      <c r="C1150">
        <f>TEXT(1149, "[$-060000]yyyy-mm-dd")</f>
        <v/>
      </c>
      <c r="D1150" t="inlineStr">
        <is>
          <t>1320-11-25</t>
        </is>
      </c>
    </row>
    <row r="1151">
      <c r="A1151" s="1" t="n">
        <v>1150</v>
      </c>
      <c r="B1151">
        <f>TEXT(1150, "[$-170000]yyyy-mm-dd")</f>
        <v/>
      </c>
      <c r="C1151">
        <f>TEXT(1150, "[$-060000]yyyy-mm-dd")</f>
        <v/>
      </c>
      <c r="D1151" t="inlineStr">
        <is>
          <t>1320-11-26</t>
        </is>
      </c>
    </row>
    <row r="1152">
      <c r="A1152" s="1" t="n">
        <v>1151</v>
      </c>
      <c r="B1152">
        <f>TEXT(1151, "[$-170000]yyyy-mm-dd")</f>
        <v/>
      </c>
      <c r="C1152">
        <f>TEXT(1151, "[$-060000]yyyy-mm-dd")</f>
        <v/>
      </c>
      <c r="D1152" t="inlineStr">
        <is>
          <t>1320-11-27</t>
        </is>
      </c>
    </row>
    <row r="1153">
      <c r="A1153" s="1" t="n">
        <v>1152</v>
      </c>
      <c r="B1153">
        <f>TEXT(1152, "[$-170000]yyyy-mm-dd")</f>
        <v/>
      </c>
      <c r="C1153">
        <f>TEXT(1152, "[$-060000]yyyy-mm-dd")</f>
        <v/>
      </c>
      <c r="D1153" t="inlineStr">
        <is>
          <t>1320-11-28</t>
        </is>
      </c>
    </row>
    <row r="1154">
      <c r="A1154" s="1" t="n">
        <v>1153</v>
      </c>
      <c r="B1154">
        <f>TEXT(1153, "[$-170000]yyyy-mm-dd")</f>
        <v/>
      </c>
      <c r="C1154">
        <f>TEXT(1153, "[$-060000]yyyy-mm-dd")</f>
        <v/>
      </c>
      <c r="D1154" t="inlineStr">
        <is>
          <t>1320-11-29</t>
        </is>
      </c>
    </row>
    <row r="1155">
      <c r="A1155" s="1" t="n">
        <v>1154</v>
      </c>
      <c r="B1155">
        <f>TEXT(1154, "[$-170000]yyyy-mm-dd")</f>
        <v/>
      </c>
      <c r="C1155">
        <f>TEXT(1154, "[$-060000]yyyy-mm-dd")</f>
        <v/>
      </c>
      <c r="D1155" t="inlineStr">
        <is>
          <t>1320-11-30</t>
        </is>
      </c>
    </row>
    <row r="1156">
      <c r="A1156" s="1" t="n">
        <v>1155</v>
      </c>
      <c r="B1156">
        <f>TEXT(1155, "[$-170000]yyyy-mm-dd")</f>
        <v/>
      </c>
      <c r="C1156">
        <f>TEXT(1155, "[$-060000]yyyy-mm-dd")</f>
        <v/>
      </c>
      <c r="D1156" t="inlineStr">
        <is>
          <t>1320-12-01</t>
        </is>
      </c>
    </row>
    <row r="1157">
      <c r="A1157" s="1" t="n">
        <v>1156</v>
      </c>
      <c r="B1157">
        <f>TEXT(1156, "[$-170000]yyyy-mm-dd")</f>
        <v/>
      </c>
      <c r="C1157">
        <f>TEXT(1156, "[$-060000]yyyy-mm-dd")</f>
        <v/>
      </c>
      <c r="D1157" t="inlineStr">
        <is>
          <t>1320-12-02</t>
        </is>
      </c>
    </row>
    <row r="1158">
      <c r="A1158" s="1" t="n">
        <v>1157</v>
      </c>
      <c r="B1158">
        <f>TEXT(1157, "[$-170000]yyyy-mm-dd")</f>
        <v/>
      </c>
      <c r="C1158">
        <f>TEXT(1157, "[$-060000]yyyy-mm-dd")</f>
        <v/>
      </c>
      <c r="D1158" t="inlineStr">
        <is>
          <t>1320-12-03</t>
        </is>
      </c>
    </row>
    <row r="1159">
      <c r="A1159" s="1" t="n">
        <v>1158</v>
      </c>
      <c r="B1159">
        <f>TEXT(1158, "[$-170000]yyyy-mm-dd")</f>
        <v/>
      </c>
      <c r="C1159">
        <f>TEXT(1158, "[$-060000]yyyy-mm-dd")</f>
        <v/>
      </c>
      <c r="D1159" t="inlineStr">
        <is>
          <t>1320-12-04</t>
        </is>
      </c>
    </row>
    <row r="1160">
      <c r="A1160" s="1" t="n">
        <v>1159</v>
      </c>
      <c r="B1160">
        <f>TEXT(1159, "[$-170000]yyyy-mm-dd")</f>
        <v/>
      </c>
      <c r="C1160">
        <f>TEXT(1159, "[$-060000]yyyy-mm-dd")</f>
        <v/>
      </c>
      <c r="D1160" t="inlineStr">
        <is>
          <t>1320-12-05</t>
        </is>
      </c>
    </row>
    <row r="1161">
      <c r="A1161" s="1" t="n">
        <v>1160</v>
      </c>
      <c r="B1161">
        <f>TEXT(1160, "[$-170000]yyyy-mm-dd")</f>
        <v/>
      </c>
      <c r="C1161">
        <f>TEXT(1160, "[$-060000]yyyy-mm-dd")</f>
        <v/>
      </c>
      <c r="D1161" t="inlineStr">
        <is>
          <t>1320-12-06</t>
        </is>
      </c>
    </row>
    <row r="1162">
      <c r="A1162" s="1" t="n">
        <v>1161</v>
      </c>
      <c r="B1162">
        <f>TEXT(1161, "[$-170000]yyyy-mm-dd")</f>
        <v/>
      </c>
      <c r="C1162">
        <f>TEXT(1161, "[$-060000]yyyy-mm-dd")</f>
        <v/>
      </c>
      <c r="D1162" t="inlineStr">
        <is>
          <t>1320-12-07</t>
        </is>
      </c>
    </row>
    <row r="1163">
      <c r="A1163" s="1" t="n">
        <v>1162</v>
      </c>
      <c r="B1163">
        <f>TEXT(1162, "[$-170000]yyyy-mm-dd")</f>
        <v/>
      </c>
      <c r="C1163">
        <f>TEXT(1162, "[$-060000]yyyy-mm-dd")</f>
        <v/>
      </c>
      <c r="D1163" t="inlineStr">
        <is>
          <t>1320-12-08</t>
        </is>
      </c>
    </row>
    <row r="1164">
      <c r="A1164" s="1" t="n">
        <v>1163</v>
      </c>
      <c r="B1164">
        <f>TEXT(1163, "[$-170000]yyyy-mm-dd")</f>
        <v/>
      </c>
      <c r="C1164">
        <f>TEXT(1163, "[$-060000]yyyy-mm-dd")</f>
        <v/>
      </c>
      <c r="D1164" t="inlineStr">
        <is>
          <t>1320-12-09</t>
        </is>
      </c>
    </row>
    <row r="1165">
      <c r="A1165" s="1" t="n">
        <v>1164</v>
      </c>
      <c r="B1165">
        <f>TEXT(1164, "[$-170000]yyyy-mm-dd")</f>
        <v/>
      </c>
      <c r="C1165">
        <f>TEXT(1164, "[$-060000]yyyy-mm-dd")</f>
        <v/>
      </c>
      <c r="D1165" t="inlineStr">
        <is>
          <t>1320-12-10</t>
        </is>
      </c>
    </row>
    <row r="1166">
      <c r="A1166" s="1" t="n">
        <v>1165</v>
      </c>
      <c r="B1166">
        <f>TEXT(1165, "[$-170000]yyyy-mm-dd")</f>
        <v/>
      </c>
      <c r="C1166">
        <f>TEXT(1165, "[$-060000]yyyy-mm-dd")</f>
        <v/>
      </c>
      <c r="D1166" t="inlineStr">
        <is>
          <t>1320-12-11</t>
        </is>
      </c>
    </row>
    <row r="1167">
      <c r="A1167" s="1" t="n">
        <v>1166</v>
      </c>
      <c r="B1167">
        <f>TEXT(1166, "[$-170000]yyyy-mm-dd")</f>
        <v/>
      </c>
      <c r="C1167">
        <f>TEXT(1166, "[$-060000]yyyy-mm-dd")</f>
        <v/>
      </c>
      <c r="D1167" t="inlineStr">
        <is>
          <t>1320-12-12</t>
        </is>
      </c>
    </row>
    <row r="1168">
      <c r="A1168" s="1" t="n">
        <v>1167</v>
      </c>
      <c r="B1168">
        <f>TEXT(1167, "[$-170000]yyyy-mm-dd")</f>
        <v/>
      </c>
      <c r="C1168">
        <f>TEXT(1167, "[$-060000]yyyy-mm-dd")</f>
        <v/>
      </c>
      <c r="D1168" t="inlineStr">
        <is>
          <t>1320-12-13</t>
        </is>
      </c>
    </row>
    <row r="1169">
      <c r="A1169" s="1" t="n">
        <v>1168</v>
      </c>
      <c r="B1169">
        <f>TEXT(1168, "[$-170000]yyyy-mm-dd")</f>
        <v/>
      </c>
      <c r="C1169">
        <f>TEXT(1168, "[$-060000]yyyy-mm-dd")</f>
        <v/>
      </c>
      <c r="D1169" t="inlineStr">
        <is>
          <t>1320-12-14</t>
        </is>
      </c>
    </row>
    <row r="1170">
      <c r="A1170" s="1" t="n">
        <v>1169</v>
      </c>
      <c r="B1170">
        <f>TEXT(1169, "[$-170000]yyyy-mm-dd")</f>
        <v/>
      </c>
      <c r="C1170">
        <f>TEXT(1169, "[$-060000]yyyy-mm-dd")</f>
        <v/>
      </c>
      <c r="D1170" t="inlineStr">
        <is>
          <t>1320-12-15</t>
        </is>
      </c>
    </row>
    <row r="1171">
      <c r="A1171" s="1" t="n">
        <v>1170</v>
      </c>
      <c r="B1171">
        <f>TEXT(1170, "[$-170000]yyyy-mm-dd")</f>
        <v/>
      </c>
      <c r="C1171">
        <f>TEXT(1170, "[$-060000]yyyy-mm-dd")</f>
        <v/>
      </c>
      <c r="D1171" t="inlineStr">
        <is>
          <t>1320-12-16</t>
        </is>
      </c>
    </row>
    <row r="1172">
      <c r="A1172" s="1" t="n">
        <v>1171</v>
      </c>
      <c r="B1172">
        <f>TEXT(1171, "[$-170000]yyyy-mm-dd")</f>
        <v/>
      </c>
      <c r="C1172">
        <f>TEXT(1171, "[$-060000]yyyy-mm-dd")</f>
        <v/>
      </c>
      <c r="D1172" t="inlineStr">
        <is>
          <t>1320-12-17</t>
        </is>
      </c>
    </row>
    <row r="1173">
      <c r="A1173" s="1" t="n">
        <v>1172</v>
      </c>
      <c r="B1173">
        <f>TEXT(1172, "[$-170000]yyyy-mm-dd")</f>
        <v/>
      </c>
      <c r="C1173">
        <f>TEXT(1172, "[$-060000]yyyy-mm-dd")</f>
        <v/>
      </c>
      <c r="D1173" t="inlineStr">
        <is>
          <t>1320-12-18</t>
        </is>
      </c>
    </row>
    <row r="1174">
      <c r="A1174" s="1" t="n">
        <v>1173</v>
      </c>
      <c r="B1174">
        <f>TEXT(1173, "[$-170000]yyyy-mm-dd")</f>
        <v/>
      </c>
      <c r="C1174">
        <f>TEXT(1173, "[$-060000]yyyy-mm-dd")</f>
        <v/>
      </c>
      <c r="D1174" t="inlineStr">
        <is>
          <t>1320-12-19</t>
        </is>
      </c>
    </row>
    <row r="1175">
      <c r="A1175" s="1" t="n">
        <v>1174</v>
      </c>
      <c r="B1175">
        <f>TEXT(1174, "[$-170000]yyyy-mm-dd")</f>
        <v/>
      </c>
      <c r="C1175">
        <f>TEXT(1174, "[$-060000]yyyy-mm-dd")</f>
        <v/>
      </c>
      <c r="D1175" t="inlineStr">
        <is>
          <t>1320-12-20</t>
        </is>
      </c>
    </row>
    <row r="1176">
      <c r="A1176" s="1" t="n">
        <v>1175</v>
      </c>
      <c r="B1176">
        <f>TEXT(1175, "[$-170000]yyyy-mm-dd")</f>
        <v/>
      </c>
      <c r="C1176">
        <f>TEXT(1175, "[$-060000]yyyy-mm-dd")</f>
        <v/>
      </c>
      <c r="D1176" t="inlineStr">
        <is>
          <t>1320-12-21</t>
        </is>
      </c>
    </row>
    <row r="1177">
      <c r="A1177" s="1" t="n">
        <v>1176</v>
      </c>
      <c r="B1177">
        <f>TEXT(1176, "[$-170000]yyyy-mm-dd")</f>
        <v/>
      </c>
      <c r="C1177">
        <f>TEXT(1176, "[$-060000]yyyy-mm-dd")</f>
        <v/>
      </c>
      <c r="D1177" t="inlineStr">
        <is>
          <t>1320-12-22</t>
        </is>
      </c>
    </row>
    <row r="1178">
      <c r="A1178" s="1" t="n">
        <v>1177</v>
      </c>
      <c r="B1178">
        <f>TEXT(1177, "[$-170000]yyyy-mm-dd")</f>
        <v/>
      </c>
      <c r="C1178">
        <f>TEXT(1177, "[$-060000]yyyy-mm-dd")</f>
        <v/>
      </c>
      <c r="D1178" t="inlineStr">
        <is>
          <t>1320-12-23</t>
        </is>
      </c>
    </row>
    <row r="1179">
      <c r="A1179" s="1" t="n">
        <v>1178</v>
      </c>
      <c r="B1179">
        <f>TEXT(1178, "[$-170000]yyyy-mm-dd")</f>
        <v/>
      </c>
      <c r="C1179">
        <f>TEXT(1178, "[$-060000]yyyy-mm-dd")</f>
        <v/>
      </c>
      <c r="D1179" t="inlineStr">
        <is>
          <t>1320-12-24</t>
        </is>
      </c>
    </row>
    <row r="1180">
      <c r="A1180" s="1" t="n">
        <v>1179</v>
      </c>
      <c r="B1180">
        <f>TEXT(1179, "[$-170000]yyyy-mm-dd")</f>
        <v/>
      </c>
      <c r="C1180">
        <f>TEXT(1179, "[$-060000]yyyy-mm-dd")</f>
        <v/>
      </c>
      <c r="D1180" t="inlineStr">
        <is>
          <t>1320-12-25</t>
        </is>
      </c>
    </row>
    <row r="1181">
      <c r="A1181" s="1" t="n">
        <v>1180</v>
      </c>
      <c r="B1181">
        <f>TEXT(1180, "[$-170000]yyyy-mm-dd")</f>
        <v/>
      </c>
      <c r="C1181">
        <f>TEXT(1180, "[$-060000]yyyy-mm-dd")</f>
        <v/>
      </c>
      <c r="D1181" t="inlineStr">
        <is>
          <t>1320-12-26</t>
        </is>
      </c>
    </row>
    <row r="1182">
      <c r="A1182" s="1" t="n">
        <v>1181</v>
      </c>
      <c r="B1182">
        <f>TEXT(1181, "[$-170000]yyyy-mm-dd")</f>
        <v/>
      </c>
      <c r="C1182">
        <f>TEXT(1181, "[$-060000]yyyy-mm-dd")</f>
        <v/>
      </c>
      <c r="D1182" t="inlineStr">
        <is>
          <t>1320-12-27</t>
        </is>
      </c>
    </row>
    <row r="1183">
      <c r="A1183" s="1" t="n">
        <v>1182</v>
      </c>
      <c r="B1183">
        <f>TEXT(1182, "[$-170000]yyyy-mm-dd")</f>
        <v/>
      </c>
      <c r="C1183">
        <f>TEXT(1182, "[$-060000]yyyy-mm-dd")</f>
        <v/>
      </c>
      <c r="D1183" t="inlineStr">
        <is>
          <t>1320-12-28</t>
        </is>
      </c>
    </row>
    <row r="1184">
      <c r="A1184" s="1" t="n">
        <v>1183</v>
      </c>
      <c r="B1184">
        <f>TEXT(1183, "[$-170000]yyyy-mm-dd")</f>
        <v/>
      </c>
      <c r="C1184">
        <f>TEXT(1183, "[$-060000]yyyy-mm-dd")</f>
        <v/>
      </c>
      <c r="D1184" t="inlineStr">
        <is>
          <t>1320-12-29</t>
        </is>
      </c>
    </row>
    <row r="1185">
      <c r="A1185" s="1" t="n">
        <v>1184</v>
      </c>
      <c r="B1185">
        <f>TEXT(1184, "[$-170000]yyyy-mm-dd")</f>
        <v/>
      </c>
      <c r="C1185">
        <f>TEXT(1184, "[$-060000]yyyy-mm-dd")</f>
        <v/>
      </c>
      <c r="D1185" t="inlineStr">
        <is>
          <t>1321-01-01</t>
        </is>
      </c>
    </row>
    <row r="1186">
      <c r="A1186" s="1" t="n">
        <v>1185</v>
      </c>
      <c r="B1186">
        <f>TEXT(1185, "[$-170000]yyyy-mm-dd")</f>
        <v/>
      </c>
      <c r="C1186">
        <f>TEXT(1185, "[$-060000]yyyy-mm-dd")</f>
        <v/>
      </c>
      <c r="D1186" t="inlineStr">
        <is>
          <t>1321-01-02</t>
        </is>
      </c>
    </row>
    <row r="1187">
      <c r="A1187" s="1" t="n">
        <v>1186</v>
      </c>
      <c r="B1187">
        <f>TEXT(1186, "[$-170000]yyyy-mm-dd")</f>
        <v/>
      </c>
      <c r="C1187">
        <f>TEXT(1186, "[$-060000]yyyy-mm-dd")</f>
        <v/>
      </c>
      <c r="D1187" t="inlineStr">
        <is>
          <t>1321-01-03</t>
        </is>
      </c>
    </row>
    <row r="1188">
      <c r="A1188" s="1" t="n">
        <v>1187</v>
      </c>
      <c r="B1188">
        <f>TEXT(1187, "[$-170000]yyyy-mm-dd")</f>
        <v/>
      </c>
      <c r="C1188">
        <f>TEXT(1187, "[$-060000]yyyy-mm-dd")</f>
        <v/>
      </c>
      <c r="D1188" t="inlineStr">
        <is>
          <t>1321-01-04</t>
        </is>
      </c>
    </row>
    <row r="1189">
      <c r="A1189" s="1" t="n">
        <v>1188</v>
      </c>
      <c r="B1189">
        <f>TEXT(1188, "[$-170000]yyyy-mm-dd")</f>
        <v/>
      </c>
      <c r="C1189">
        <f>TEXT(1188, "[$-060000]yyyy-mm-dd")</f>
        <v/>
      </c>
      <c r="D1189" t="inlineStr">
        <is>
          <t>1321-01-05</t>
        </is>
      </c>
    </row>
    <row r="1190">
      <c r="A1190" s="1" t="n">
        <v>1189</v>
      </c>
      <c r="B1190">
        <f>TEXT(1189, "[$-170000]yyyy-mm-dd")</f>
        <v/>
      </c>
      <c r="C1190">
        <f>TEXT(1189, "[$-060000]yyyy-mm-dd")</f>
        <v/>
      </c>
      <c r="D1190" t="inlineStr">
        <is>
          <t>1321-01-06</t>
        </is>
      </c>
    </row>
    <row r="1191">
      <c r="A1191" s="1" t="n">
        <v>1190</v>
      </c>
      <c r="B1191">
        <f>TEXT(1190, "[$-170000]yyyy-mm-dd")</f>
        <v/>
      </c>
      <c r="C1191">
        <f>TEXT(1190, "[$-060000]yyyy-mm-dd")</f>
        <v/>
      </c>
      <c r="D1191" t="inlineStr">
        <is>
          <t>1321-01-07</t>
        </is>
      </c>
    </row>
    <row r="1192">
      <c r="A1192" s="1" t="n">
        <v>1191</v>
      </c>
      <c r="B1192">
        <f>TEXT(1191, "[$-170000]yyyy-mm-dd")</f>
        <v/>
      </c>
      <c r="C1192">
        <f>TEXT(1191, "[$-060000]yyyy-mm-dd")</f>
        <v/>
      </c>
      <c r="D1192" t="inlineStr">
        <is>
          <t>1321-01-08</t>
        </is>
      </c>
    </row>
    <row r="1193">
      <c r="A1193" s="1" t="n">
        <v>1192</v>
      </c>
      <c r="B1193">
        <f>TEXT(1192, "[$-170000]yyyy-mm-dd")</f>
        <v/>
      </c>
      <c r="C1193">
        <f>TEXT(1192, "[$-060000]yyyy-mm-dd")</f>
        <v/>
      </c>
      <c r="D1193" t="inlineStr">
        <is>
          <t>1321-01-09</t>
        </is>
      </c>
    </row>
    <row r="1194">
      <c r="A1194" s="1" t="n">
        <v>1193</v>
      </c>
      <c r="B1194">
        <f>TEXT(1193, "[$-170000]yyyy-mm-dd")</f>
        <v/>
      </c>
      <c r="C1194">
        <f>TEXT(1193, "[$-060000]yyyy-mm-dd")</f>
        <v/>
      </c>
      <c r="D1194" t="inlineStr">
        <is>
          <t>1321-01-10</t>
        </is>
      </c>
    </row>
    <row r="1195">
      <c r="A1195" s="1" t="n">
        <v>1194</v>
      </c>
      <c r="B1195">
        <f>TEXT(1194, "[$-170000]yyyy-mm-dd")</f>
        <v/>
      </c>
      <c r="C1195">
        <f>TEXT(1194, "[$-060000]yyyy-mm-dd")</f>
        <v/>
      </c>
      <c r="D1195" t="inlineStr">
        <is>
          <t>1321-01-11</t>
        </is>
      </c>
    </row>
    <row r="1196">
      <c r="A1196" s="1" t="n">
        <v>1195</v>
      </c>
      <c r="B1196">
        <f>TEXT(1195, "[$-170000]yyyy-mm-dd")</f>
        <v/>
      </c>
      <c r="C1196">
        <f>TEXT(1195, "[$-060000]yyyy-mm-dd")</f>
        <v/>
      </c>
      <c r="D1196" t="inlineStr">
        <is>
          <t>1321-01-12</t>
        </is>
      </c>
    </row>
    <row r="1197">
      <c r="A1197" s="1" t="n">
        <v>1196</v>
      </c>
      <c r="B1197">
        <f>TEXT(1196, "[$-170000]yyyy-mm-dd")</f>
        <v/>
      </c>
      <c r="C1197">
        <f>TEXT(1196, "[$-060000]yyyy-mm-dd")</f>
        <v/>
      </c>
      <c r="D1197" t="inlineStr">
        <is>
          <t>1321-01-13</t>
        </is>
      </c>
    </row>
    <row r="1198">
      <c r="A1198" s="1" t="n">
        <v>1197</v>
      </c>
      <c r="B1198">
        <f>TEXT(1197, "[$-170000]yyyy-mm-dd")</f>
        <v/>
      </c>
      <c r="C1198">
        <f>TEXT(1197, "[$-060000]yyyy-mm-dd")</f>
        <v/>
      </c>
      <c r="D1198" t="inlineStr">
        <is>
          <t>1321-01-14</t>
        </is>
      </c>
    </row>
    <row r="1199">
      <c r="A1199" s="1" t="n">
        <v>1198</v>
      </c>
      <c r="B1199">
        <f>TEXT(1198, "[$-170000]yyyy-mm-dd")</f>
        <v/>
      </c>
      <c r="C1199">
        <f>TEXT(1198, "[$-060000]yyyy-mm-dd")</f>
        <v/>
      </c>
      <c r="D1199" t="inlineStr">
        <is>
          <t>1321-01-15</t>
        </is>
      </c>
    </row>
    <row r="1200">
      <c r="A1200" s="1" t="n">
        <v>1199</v>
      </c>
      <c r="B1200">
        <f>TEXT(1199, "[$-170000]yyyy-mm-dd")</f>
        <v/>
      </c>
      <c r="C1200">
        <f>TEXT(1199, "[$-060000]yyyy-mm-dd")</f>
        <v/>
      </c>
      <c r="D1200" t="inlineStr">
        <is>
          <t>1321-01-16</t>
        </is>
      </c>
    </row>
    <row r="1201">
      <c r="A1201" s="1" t="n">
        <v>1200</v>
      </c>
      <c r="B1201">
        <f>TEXT(1200, "[$-170000]yyyy-mm-dd")</f>
        <v/>
      </c>
      <c r="C1201">
        <f>TEXT(1200, "[$-060000]yyyy-mm-dd")</f>
        <v/>
      </c>
      <c r="D1201" t="inlineStr">
        <is>
          <t>1321-01-17</t>
        </is>
      </c>
    </row>
    <row r="1202">
      <c r="A1202" s="1" t="n">
        <v>1201</v>
      </c>
      <c r="B1202">
        <f>TEXT(1201, "[$-170000]yyyy-mm-dd")</f>
        <v/>
      </c>
      <c r="C1202">
        <f>TEXT(1201, "[$-060000]yyyy-mm-dd")</f>
        <v/>
      </c>
      <c r="D1202" t="inlineStr">
        <is>
          <t>1321-01-18</t>
        </is>
      </c>
    </row>
    <row r="1203">
      <c r="A1203" s="1" t="n">
        <v>1202</v>
      </c>
      <c r="B1203">
        <f>TEXT(1202, "[$-170000]yyyy-mm-dd")</f>
        <v/>
      </c>
      <c r="C1203">
        <f>TEXT(1202, "[$-060000]yyyy-mm-dd")</f>
        <v/>
      </c>
      <c r="D1203" t="inlineStr">
        <is>
          <t>1321-01-19</t>
        </is>
      </c>
    </row>
    <row r="1204">
      <c r="A1204" s="1" t="n">
        <v>1203</v>
      </c>
      <c r="B1204">
        <f>TEXT(1203, "[$-170000]yyyy-mm-dd")</f>
        <v/>
      </c>
      <c r="C1204">
        <f>TEXT(1203, "[$-060000]yyyy-mm-dd")</f>
        <v/>
      </c>
      <c r="D1204" t="inlineStr">
        <is>
          <t>1321-01-20</t>
        </is>
      </c>
    </row>
    <row r="1205">
      <c r="A1205" s="1" t="n">
        <v>1204</v>
      </c>
      <c r="B1205">
        <f>TEXT(1204, "[$-170000]yyyy-mm-dd")</f>
        <v/>
      </c>
      <c r="C1205">
        <f>TEXT(1204, "[$-060000]yyyy-mm-dd")</f>
        <v/>
      </c>
      <c r="D1205" t="inlineStr">
        <is>
          <t>1321-01-21</t>
        </is>
      </c>
    </row>
    <row r="1206">
      <c r="A1206" s="1" t="n">
        <v>1205</v>
      </c>
      <c r="B1206">
        <f>TEXT(1205, "[$-170000]yyyy-mm-dd")</f>
        <v/>
      </c>
      <c r="C1206">
        <f>TEXT(1205, "[$-060000]yyyy-mm-dd")</f>
        <v/>
      </c>
      <c r="D1206" t="inlineStr">
        <is>
          <t>1321-01-22</t>
        </is>
      </c>
    </row>
    <row r="1207">
      <c r="A1207" s="1" t="n">
        <v>1206</v>
      </c>
      <c r="B1207">
        <f>TEXT(1206, "[$-170000]yyyy-mm-dd")</f>
        <v/>
      </c>
      <c r="C1207">
        <f>TEXT(1206, "[$-060000]yyyy-mm-dd")</f>
        <v/>
      </c>
      <c r="D1207" t="inlineStr">
        <is>
          <t>1321-01-23</t>
        </is>
      </c>
    </row>
    <row r="1208">
      <c r="A1208" s="1" t="n">
        <v>1207</v>
      </c>
      <c r="B1208">
        <f>TEXT(1207, "[$-170000]yyyy-mm-dd")</f>
        <v/>
      </c>
      <c r="C1208">
        <f>TEXT(1207, "[$-060000]yyyy-mm-dd")</f>
        <v/>
      </c>
      <c r="D1208" t="inlineStr">
        <is>
          <t>1321-01-24</t>
        </is>
      </c>
    </row>
    <row r="1209">
      <c r="A1209" s="1" t="n">
        <v>1208</v>
      </c>
      <c r="B1209">
        <f>TEXT(1208, "[$-170000]yyyy-mm-dd")</f>
        <v/>
      </c>
      <c r="C1209">
        <f>TEXT(1208, "[$-060000]yyyy-mm-dd")</f>
        <v/>
      </c>
      <c r="D1209" t="inlineStr">
        <is>
          <t>1321-01-25</t>
        </is>
      </c>
    </row>
    <row r="1210">
      <c r="A1210" s="1" t="n">
        <v>1209</v>
      </c>
      <c r="B1210">
        <f>TEXT(1209, "[$-170000]yyyy-mm-dd")</f>
        <v/>
      </c>
      <c r="C1210">
        <f>TEXT(1209, "[$-060000]yyyy-mm-dd")</f>
        <v/>
      </c>
      <c r="D1210" t="inlineStr">
        <is>
          <t>1321-01-26</t>
        </is>
      </c>
    </row>
    <row r="1211">
      <c r="A1211" s="1" t="n">
        <v>1210</v>
      </c>
      <c r="B1211">
        <f>TEXT(1210, "[$-170000]yyyy-mm-dd")</f>
        <v/>
      </c>
      <c r="C1211">
        <f>TEXT(1210, "[$-060000]yyyy-mm-dd")</f>
        <v/>
      </c>
      <c r="D1211" t="inlineStr">
        <is>
          <t>1321-01-27</t>
        </is>
      </c>
    </row>
    <row r="1212">
      <c r="A1212" s="1" t="n">
        <v>1211</v>
      </c>
      <c r="B1212">
        <f>TEXT(1211, "[$-170000]yyyy-mm-dd")</f>
        <v/>
      </c>
      <c r="C1212">
        <f>TEXT(1211, "[$-060000]yyyy-mm-dd")</f>
        <v/>
      </c>
      <c r="D1212" t="inlineStr">
        <is>
          <t>1321-01-28</t>
        </is>
      </c>
    </row>
    <row r="1213">
      <c r="A1213" s="1" t="n">
        <v>1212</v>
      </c>
      <c r="B1213">
        <f>TEXT(1212, "[$-170000]yyyy-mm-dd")</f>
        <v/>
      </c>
      <c r="C1213">
        <f>TEXT(1212, "[$-060000]yyyy-mm-dd")</f>
        <v/>
      </c>
      <c r="D1213" t="inlineStr">
        <is>
          <t>1321-01-29</t>
        </is>
      </c>
    </row>
    <row r="1214">
      <c r="A1214" s="1" t="n">
        <v>1213</v>
      </c>
      <c r="B1214">
        <f>TEXT(1213, "[$-170000]yyyy-mm-dd")</f>
        <v/>
      </c>
      <c r="C1214">
        <f>TEXT(1213, "[$-060000]yyyy-mm-dd")</f>
        <v/>
      </c>
      <c r="D1214" t="inlineStr">
        <is>
          <t>1321-01-30</t>
        </is>
      </c>
    </row>
    <row r="1215">
      <c r="A1215" s="1" t="n">
        <v>1214</v>
      </c>
      <c r="B1215">
        <f>TEXT(1214, "[$-170000]yyyy-mm-dd")</f>
        <v/>
      </c>
      <c r="C1215">
        <f>TEXT(1214, "[$-060000]yyyy-mm-dd")</f>
        <v/>
      </c>
      <c r="D1215" t="inlineStr">
        <is>
          <t>1321-02-01</t>
        </is>
      </c>
    </row>
    <row r="1216">
      <c r="A1216" s="1" t="n">
        <v>1215</v>
      </c>
      <c r="B1216">
        <f>TEXT(1215, "[$-170000]yyyy-mm-dd")</f>
        <v/>
      </c>
      <c r="C1216">
        <f>TEXT(1215, "[$-060000]yyyy-mm-dd")</f>
        <v/>
      </c>
      <c r="D1216" t="inlineStr">
        <is>
          <t>1321-02-02</t>
        </is>
      </c>
    </row>
    <row r="1217">
      <c r="A1217" s="1" t="n">
        <v>1216</v>
      </c>
      <c r="B1217">
        <f>TEXT(1216, "[$-170000]yyyy-mm-dd")</f>
        <v/>
      </c>
      <c r="C1217">
        <f>TEXT(1216, "[$-060000]yyyy-mm-dd")</f>
        <v/>
      </c>
      <c r="D1217" t="inlineStr">
        <is>
          <t>1321-02-03</t>
        </is>
      </c>
    </row>
    <row r="1218">
      <c r="A1218" s="1" t="n">
        <v>1217</v>
      </c>
      <c r="B1218">
        <f>TEXT(1217, "[$-170000]yyyy-mm-dd")</f>
        <v/>
      </c>
      <c r="C1218">
        <f>TEXT(1217, "[$-060000]yyyy-mm-dd")</f>
        <v/>
      </c>
      <c r="D1218" t="inlineStr">
        <is>
          <t>1321-02-04</t>
        </is>
      </c>
    </row>
    <row r="1219">
      <c r="A1219" s="1" t="n">
        <v>1218</v>
      </c>
      <c r="B1219">
        <f>TEXT(1218, "[$-170000]yyyy-mm-dd")</f>
        <v/>
      </c>
      <c r="C1219">
        <f>TEXT(1218, "[$-060000]yyyy-mm-dd")</f>
        <v/>
      </c>
      <c r="D1219" t="inlineStr">
        <is>
          <t>1321-02-05</t>
        </is>
      </c>
    </row>
    <row r="1220">
      <c r="A1220" s="1" t="n">
        <v>1219</v>
      </c>
      <c r="B1220">
        <f>TEXT(1219, "[$-170000]yyyy-mm-dd")</f>
        <v/>
      </c>
      <c r="C1220">
        <f>TEXT(1219, "[$-060000]yyyy-mm-dd")</f>
        <v/>
      </c>
      <c r="D1220" t="inlineStr">
        <is>
          <t>1321-02-06</t>
        </is>
      </c>
    </row>
    <row r="1221">
      <c r="A1221" s="1" t="n">
        <v>1220</v>
      </c>
      <c r="B1221">
        <f>TEXT(1220, "[$-170000]yyyy-mm-dd")</f>
        <v/>
      </c>
      <c r="C1221">
        <f>TEXT(1220, "[$-060000]yyyy-mm-dd")</f>
        <v/>
      </c>
      <c r="D1221" t="inlineStr">
        <is>
          <t>1321-02-07</t>
        </is>
      </c>
    </row>
    <row r="1222">
      <c r="A1222" s="1" t="n">
        <v>1221</v>
      </c>
      <c r="B1222">
        <f>TEXT(1221, "[$-170000]yyyy-mm-dd")</f>
        <v/>
      </c>
      <c r="C1222">
        <f>TEXT(1221, "[$-060000]yyyy-mm-dd")</f>
        <v/>
      </c>
      <c r="D1222" t="inlineStr">
        <is>
          <t>1321-02-08</t>
        </is>
      </c>
    </row>
    <row r="1223">
      <c r="A1223" s="1" t="n">
        <v>1222</v>
      </c>
      <c r="B1223">
        <f>TEXT(1222, "[$-170000]yyyy-mm-dd")</f>
        <v/>
      </c>
      <c r="C1223">
        <f>TEXT(1222, "[$-060000]yyyy-mm-dd")</f>
        <v/>
      </c>
      <c r="D1223" t="inlineStr">
        <is>
          <t>1321-02-09</t>
        </is>
      </c>
    </row>
    <row r="1224">
      <c r="A1224" s="1" t="n">
        <v>1223</v>
      </c>
      <c r="B1224">
        <f>TEXT(1223, "[$-170000]yyyy-mm-dd")</f>
        <v/>
      </c>
      <c r="C1224">
        <f>TEXT(1223, "[$-060000]yyyy-mm-dd")</f>
        <v/>
      </c>
      <c r="D1224" t="inlineStr">
        <is>
          <t>1321-02-10</t>
        </is>
      </c>
    </row>
    <row r="1225">
      <c r="A1225" s="1" t="n">
        <v>1224</v>
      </c>
      <c r="B1225">
        <f>TEXT(1224, "[$-170000]yyyy-mm-dd")</f>
        <v/>
      </c>
      <c r="C1225">
        <f>TEXT(1224, "[$-060000]yyyy-mm-dd")</f>
        <v/>
      </c>
      <c r="D1225" t="inlineStr">
        <is>
          <t>1321-02-11</t>
        </is>
      </c>
    </row>
    <row r="1226">
      <c r="A1226" s="1" t="n">
        <v>1225</v>
      </c>
      <c r="B1226">
        <f>TEXT(1225, "[$-170000]yyyy-mm-dd")</f>
        <v/>
      </c>
      <c r="C1226">
        <f>TEXT(1225, "[$-060000]yyyy-mm-dd")</f>
        <v/>
      </c>
      <c r="D1226" t="inlineStr">
        <is>
          <t>1321-02-12</t>
        </is>
      </c>
    </row>
    <row r="1227">
      <c r="A1227" s="1" t="n">
        <v>1226</v>
      </c>
      <c r="B1227">
        <f>TEXT(1226, "[$-170000]yyyy-mm-dd")</f>
        <v/>
      </c>
      <c r="C1227">
        <f>TEXT(1226, "[$-060000]yyyy-mm-dd")</f>
        <v/>
      </c>
      <c r="D1227" t="inlineStr">
        <is>
          <t>1321-02-13</t>
        </is>
      </c>
    </row>
    <row r="1228">
      <c r="A1228" s="1" t="n">
        <v>1227</v>
      </c>
      <c r="B1228">
        <f>TEXT(1227, "[$-170000]yyyy-mm-dd")</f>
        <v/>
      </c>
      <c r="C1228">
        <f>TEXT(1227, "[$-060000]yyyy-mm-dd")</f>
        <v/>
      </c>
      <c r="D1228" t="inlineStr">
        <is>
          <t>1321-02-14</t>
        </is>
      </c>
    </row>
    <row r="1229">
      <c r="A1229" s="1" t="n">
        <v>1228</v>
      </c>
      <c r="B1229">
        <f>TEXT(1228, "[$-170000]yyyy-mm-dd")</f>
        <v/>
      </c>
      <c r="C1229">
        <f>TEXT(1228, "[$-060000]yyyy-mm-dd")</f>
        <v/>
      </c>
      <c r="D1229" t="inlineStr">
        <is>
          <t>1321-02-15</t>
        </is>
      </c>
    </row>
    <row r="1230">
      <c r="A1230" s="1" t="n">
        <v>1229</v>
      </c>
      <c r="B1230">
        <f>TEXT(1229, "[$-170000]yyyy-mm-dd")</f>
        <v/>
      </c>
      <c r="C1230">
        <f>TEXT(1229, "[$-060000]yyyy-mm-dd")</f>
        <v/>
      </c>
      <c r="D1230" t="inlineStr">
        <is>
          <t>1321-02-16</t>
        </is>
      </c>
    </row>
    <row r="1231">
      <c r="A1231" s="1" t="n">
        <v>1230</v>
      </c>
      <c r="B1231">
        <f>TEXT(1230, "[$-170000]yyyy-mm-dd")</f>
        <v/>
      </c>
      <c r="C1231">
        <f>TEXT(1230, "[$-060000]yyyy-mm-dd")</f>
        <v/>
      </c>
      <c r="D1231" t="inlineStr">
        <is>
          <t>1321-02-17</t>
        </is>
      </c>
    </row>
    <row r="1232">
      <c r="A1232" s="1" t="n">
        <v>1231</v>
      </c>
      <c r="B1232">
        <f>TEXT(1231, "[$-170000]yyyy-mm-dd")</f>
        <v/>
      </c>
      <c r="C1232">
        <f>TEXT(1231, "[$-060000]yyyy-mm-dd")</f>
        <v/>
      </c>
      <c r="D1232" t="inlineStr">
        <is>
          <t>1321-02-18</t>
        </is>
      </c>
    </row>
    <row r="1233">
      <c r="A1233" s="1" t="n">
        <v>1232</v>
      </c>
      <c r="B1233">
        <f>TEXT(1232, "[$-170000]yyyy-mm-dd")</f>
        <v/>
      </c>
      <c r="C1233">
        <f>TEXT(1232, "[$-060000]yyyy-mm-dd")</f>
        <v/>
      </c>
      <c r="D1233" t="inlineStr">
        <is>
          <t>1321-02-19</t>
        </is>
      </c>
    </row>
    <row r="1234">
      <c r="A1234" s="1" t="n">
        <v>1233</v>
      </c>
      <c r="B1234">
        <f>TEXT(1233, "[$-170000]yyyy-mm-dd")</f>
        <v/>
      </c>
      <c r="C1234">
        <f>TEXT(1233, "[$-060000]yyyy-mm-dd")</f>
        <v/>
      </c>
      <c r="D1234" t="inlineStr">
        <is>
          <t>1321-02-20</t>
        </is>
      </c>
    </row>
    <row r="1235">
      <c r="A1235" s="1" t="n">
        <v>1234</v>
      </c>
      <c r="B1235">
        <f>TEXT(1234, "[$-170000]yyyy-mm-dd")</f>
        <v/>
      </c>
      <c r="C1235">
        <f>TEXT(1234, "[$-060000]yyyy-mm-dd")</f>
        <v/>
      </c>
      <c r="D1235" t="inlineStr">
        <is>
          <t>1321-02-21</t>
        </is>
      </c>
    </row>
    <row r="1236">
      <c r="A1236" s="1" t="n">
        <v>1235</v>
      </c>
      <c r="B1236">
        <f>TEXT(1235, "[$-170000]yyyy-mm-dd")</f>
        <v/>
      </c>
      <c r="C1236">
        <f>TEXT(1235, "[$-060000]yyyy-mm-dd")</f>
        <v/>
      </c>
      <c r="D1236" t="inlineStr">
        <is>
          <t>1321-02-22</t>
        </is>
      </c>
    </row>
    <row r="1237">
      <c r="A1237" s="1" t="n">
        <v>1236</v>
      </c>
      <c r="B1237">
        <f>TEXT(1236, "[$-170000]yyyy-mm-dd")</f>
        <v/>
      </c>
      <c r="C1237">
        <f>TEXT(1236, "[$-060000]yyyy-mm-dd")</f>
        <v/>
      </c>
      <c r="D1237" t="inlineStr">
        <is>
          <t>1321-02-23</t>
        </is>
      </c>
    </row>
    <row r="1238">
      <c r="A1238" s="1" t="n">
        <v>1237</v>
      </c>
      <c r="B1238">
        <f>TEXT(1237, "[$-170000]yyyy-mm-dd")</f>
        <v/>
      </c>
      <c r="C1238">
        <f>TEXT(1237, "[$-060000]yyyy-mm-dd")</f>
        <v/>
      </c>
      <c r="D1238" t="inlineStr">
        <is>
          <t>1321-02-24</t>
        </is>
      </c>
    </row>
    <row r="1239">
      <c r="A1239" s="1" t="n">
        <v>1238</v>
      </c>
      <c r="B1239">
        <f>TEXT(1238, "[$-170000]yyyy-mm-dd")</f>
        <v/>
      </c>
      <c r="C1239">
        <f>TEXT(1238, "[$-060000]yyyy-mm-dd")</f>
        <v/>
      </c>
      <c r="D1239" t="inlineStr">
        <is>
          <t>1321-02-25</t>
        </is>
      </c>
    </row>
    <row r="1240">
      <c r="A1240" s="1" t="n">
        <v>1239</v>
      </c>
      <c r="B1240">
        <f>TEXT(1239, "[$-170000]yyyy-mm-dd")</f>
        <v/>
      </c>
      <c r="C1240">
        <f>TEXT(1239, "[$-060000]yyyy-mm-dd")</f>
        <v/>
      </c>
      <c r="D1240" t="inlineStr">
        <is>
          <t>1321-02-26</t>
        </is>
      </c>
    </row>
    <row r="1241">
      <c r="A1241" s="1" t="n">
        <v>1240</v>
      </c>
      <c r="B1241">
        <f>TEXT(1240, "[$-170000]yyyy-mm-dd")</f>
        <v/>
      </c>
      <c r="C1241">
        <f>TEXT(1240, "[$-060000]yyyy-mm-dd")</f>
        <v/>
      </c>
      <c r="D1241" t="inlineStr">
        <is>
          <t>1321-02-27</t>
        </is>
      </c>
    </row>
    <row r="1242">
      <c r="A1242" s="1" t="n">
        <v>1241</v>
      </c>
      <c r="B1242">
        <f>TEXT(1241, "[$-170000]yyyy-mm-dd")</f>
        <v/>
      </c>
      <c r="C1242">
        <f>TEXT(1241, "[$-060000]yyyy-mm-dd")</f>
        <v/>
      </c>
      <c r="D1242" t="inlineStr">
        <is>
          <t>1321-02-28</t>
        </is>
      </c>
    </row>
    <row r="1243">
      <c r="A1243" s="1" t="n">
        <v>1242</v>
      </c>
      <c r="B1243">
        <f>TEXT(1242, "[$-170000]yyyy-mm-dd")</f>
        <v/>
      </c>
      <c r="C1243">
        <f>TEXT(1242, "[$-060000]yyyy-mm-dd")</f>
        <v/>
      </c>
      <c r="D1243" t="inlineStr">
        <is>
          <t>1321-02-29</t>
        </is>
      </c>
    </row>
    <row r="1244">
      <c r="A1244" s="1" t="n">
        <v>1243</v>
      </c>
      <c r="B1244">
        <f>TEXT(1243, "[$-170000]yyyy-mm-dd")</f>
        <v/>
      </c>
      <c r="C1244">
        <f>TEXT(1243, "[$-060000]yyyy-mm-dd")</f>
        <v/>
      </c>
      <c r="D1244" t="inlineStr">
        <is>
          <t>1321-03-01</t>
        </is>
      </c>
    </row>
    <row r="1245">
      <c r="A1245" s="1" t="n">
        <v>1244</v>
      </c>
      <c r="B1245">
        <f>TEXT(1244, "[$-170000]yyyy-mm-dd")</f>
        <v/>
      </c>
      <c r="C1245">
        <f>TEXT(1244, "[$-060000]yyyy-mm-dd")</f>
        <v/>
      </c>
      <c r="D1245" t="inlineStr">
        <is>
          <t>1321-03-02</t>
        </is>
      </c>
    </row>
    <row r="1246">
      <c r="A1246" s="1" t="n">
        <v>1245</v>
      </c>
      <c r="B1246">
        <f>TEXT(1245, "[$-170000]yyyy-mm-dd")</f>
        <v/>
      </c>
      <c r="C1246">
        <f>TEXT(1245, "[$-060000]yyyy-mm-dd")</f>
        <v/>
      </c>
      <c r="D1246" t="inlineStr">
        <is>
          <t>1321-03-03</t>
        </is>
      </c>
    </row>
    <row r="1247">
      <c r="A1247" s="1" t="n">
        <v>1246</v>
      </c>
      <c r="B1247">
        <f>TEXT(1246, "[$-170000]yyyy-mm-dd")</f>
        <v/>
      </c>
      <c r="C1247">
        <f>TEXT(1246, "[$-060000]yyyy-mm-dd")</f>
        <v/>
      </c>
      <c r="D1247" t="inlineStr">
        <is>
          <t>1321-03-04</t>
        </is>
      </c>
    </row>
    <row r="1248">
      <c r="A1248" s="1" t="n">
        <v>1247</v>
      </c>
      <c r="B1248">
        <f>TEXT(1247, "[$-170000]yyyy-mm-dd")</f>
        <v/>
      </c>
      <c r="C1248">
        <f>TEXT(1247, "[$-060000]yyyy-mm-dd")</f>
        <v/>
      </c>
      <c r="D1248" t="inlineStr">
        <is>
          <t>1321-03-05</t>
        </is>
      </c>
    </row>
    <row r="1249">
      <c r="A1249" s="1" t="n">
        <v>1248</v>
      </c>
      <c r="B1249">
        <f>TEXT(1248, "[$-170000]yyyy-mm-dd")</f>
        <v/>
      </c>
      <c r="C1249">
        <f>TEXT(1248, "[$-060000]yyyy-mm-dd")</f>
        <v/>
      </c>
      <c r="D1249" t="inlineStr">
        <is>
          <t>1321-03-06</t>
        </is>
      </c>
    </row>
    <row r="1250">
      <c r="A1250" s="1" t="n">
        <v>1249</v>
      </c>
      <c r="B1250">
        <f>TEXT(1249, "[$-170000]yyyy-mm-dd")</f>
        <v/>
      </c>
      <c r="C1250">
        <f>TEXT(1249, "[$-060000]yyyy-mm-dd")</f>
        <v/>
      </c>
      <c r="D1250" t="inlineStr">
        <is>
          <t>1321-03-07</t>
        </is>
      </c>
    </row>
    <row r="1251">
      <c r="A1251" s="1" t="n">
        <v>1250</v>
      </c>
      <c r="B1251">
        <f>TEXT(1250, "[$-170000]yyyy-mm-dd")</f>
        <v/>
      </c>
      <c r="C1251">
        <f>TEXT(1250, "[$-060000]yyyy-mm-dd")</f>
        <v/>
      </c>
      <c r="D1251" t="inlineStr">
        <is>
          <t>1321-03-08</t>
        </is>
      </c>
    </row>
    <row r="1252">
      <c r="A1252" s="1" t="n">
        <v>1251</v>
      </c>
      <c r="B1252">
        <f>TEXT(1251, "[$-170000]yyyy-mm-dd")</f>
        <v/>
      </c>
      <c r="C1252">
        <f>TEXT(1251, "[$-060000]yyyy-mm-dd")</f>
        <v/>
      </c>
      <c r="D1252" t="inlineStr">
        <is>
          <t>1321-03-09</t>
        </is>
      </c>
    </row>
    <row r="1253">
      <c r="A1253" s="1" t="n">
        <v>1252</v>
      </c>
      <c r="B1253">
        <f>TEXT(1252, "[$-170000]yyyy-mm-dd")</f>
        <v/>
      </c>
      <c r="C1253">
        <f>TEXT(1252, "[$-060000]yyyy-mm-dd")</f>
        <v/>
      </c>
      <c r="D1253" t="inlineStr">
        <is>
          <t>1321-03-10</t>
        </is>
      </c>
    </row>
    <row r="1254">
      <c r="A1254" s="1" t="n">
        <v>1253</v>
      </c>
      <c r="B1254">
        <f>TEXT(1253, "[$-170000]yyyy-mm-dd")</f>
        <v/>
      </c>
      <c r="C1254">
        <f>TEXT(1253, "[$-060000]yyyy-mm-dd")</f>
        <v/>
      </c>
      <c r="D1254" t="inlineStr">
        <is>
          <t>1321-03-11</t>
        </is>
      </c>
    </row>
    <row r="1255">
      <c r="A1255" s="1" t="n">
        <v>1254</v>
      </c>
      <c r="B1255">
        <f>TEXT(1254, "[$-170000]yyyy-mm-dd")</f>
        <v/>
      </c>
      <c r="C1255">
        <f>TEXT(1254, "[$-060000]yyyy-mm-dd")</f>
        <v/>
      </c>
      <c r="D1255" t="inlineStr">
        <is>
          <t>1321-03-12</t>
        </is>
      </c>
    </row>
    <row r="1256">
      <c r="A1256" s="1" t="n">
        <v>1255</v>
      </c>
      <c r="B1256">
        <f>TEXT(1255, "[$-170000]yyyy-mm-dd")</f>
        <v/>
      </c>
      <c r="C1256">
        <f>TEXT(1255, "[$-060000]yyyy-mm-dd")</f>
        <v/>
      </c>
      <c r="D1256" t="inlineStr">
        <is>
          <t>1321-03-13</t>
        </is>
      </c>
    </row>
    <row r="1257">
      <c r="A1257" s="1" t="n">
        <v>1256</v>
      </c>
      <c r="B1257">
        <f>TEXT(1256, "[$-170000]yyyy-mm-dd")</f>
        <v/>
      </c>
      <c r="C1257">
        <f>TEXT(1256, "[$-060000]yyyy-mm-dd")</f>
        <v/>
      </c>
      <c r="D1257" t="inlineStr">
        <is>
          <t>1321-03-14</t>
        </is>
      </c>
    </row>
    <row r="1258">
      <c r="A1258" s="1" t="n">
        <v>1257</v>
      </c>
      <c r="B1258">
        <f>TEXT(1257, "[$-170000]yyyy-mm-dd")</f>
        <v/>
      </c>
      <c r="C1258">
        <f>TEXT(1257, "[$-060000]yyyy-mm-dd")</f>
        <v/>
      </c>
      <c r="D1258" t="inlineStr">
        <is>
          <t>1321-03-15</t>
        </is>
      </c>
    </row>
    <row r="1259">
      <c r="A1259" s="1" t="n">
        <v>1258</v>
      </c>
      <c r="B1259">
        <f>TEXT(1258, "[$-170000]yyyy-mm-dd")</f>
        <v/>
      </c>
      <c r="C1259">
        <f>TEXT(1258, "[$-060000]yyyy-mm-dd")</f>
        <v/>
      </c>
      <c r="D1259" t="inlineStr">
        <is>
          <t>1321-03-16</t>
        </is>
      </c>
    </row>
    <row r="1260">
      <c r="A1260" s="1" t="n">
        <v>1259</v>
      </c>
      <c r="B1260">
        <f>TEXT(1259, "[$-170000]yyyy-mm-dd")</f>
        <v/>
      </c>
      <c r="C1260">
        <f>TEXT(1259, "[$-060000]yyyy-mm-dd")</f>
        <v/>
      </c>
      <c r="D1260" t="inlineStr">
        <is>
          <t>1321-03-17</t>
        </is>
      </c>
    </row>
    <row r="1261">
      <c r="A1261" s="1" t="n">
        <v>1260</v>
      </c>
      <c r="B1261">
        <f>TEXT(1260, "[$-170000]yyyy-mm-dd")</f>
        <v/>
      </c>
      <c r="C1261">
        <f>TEXT(1260, "[$-060000]yyyy-mm-dd")</f>
        <v/>
      </c>
      <c r="D1261" t="inlineStr">
        <is>
          <t>1321-03-18</t>
        </is>
      </c>
    </row>
    <row r="1262">
      <c r="A1262" s="1" t="n">
        <v>1261</v>
      </c>
      <c r="B1262">
        <f>TEXT(1261, "[$-170000]yyyy-mm-dd")</f>
        <v/>
      </c>
      <c r="C1262">
        <f>TEXT(1261, "[$-060000]yyyy-mm-dd")</f>
        <v/>
      </c>
      <c r="D1262" t="inlineStr">
        <is>
          <t>1321-03-19</t>
        </is>
      </c>
    </row>
    <row r="1263">
      <c r="A1263" s="1" t="n">
        <v>1262</v>
      </c>
      <c r="B1263">
        <f>TEXT(1262, "[$-170000]yyyy-mm-dd")</f>
        <v/>
      </c>
      <c r="C1263">
        <f>TEXT(1262, "[$-060000]yyyy-mm-dd")</f>
        <v/>
      </c>
      <c r="D1263" t="inlineStr">
        <is>
          <t>1321-03-20</t>
        </is>
      </c>
    </row>
    <row r="1264">
      <c r="A1264" s="1" t="n">
        <v>1263</v>
      </c>
      <c r="B1264">
        <f>TEXT(1263, "[$-170000]yyyy-mm-dd")</f>
        <v/>
      </c>
      <c r="C1264">
        <f>TEXT(1263, "[$-060000]yyyy-mm-dd")</f>
        <v/>
      </c>
      <c r="D1264" t="inlineStr">
        <is>
          <t>1321-03-21</t>
        </is>
      </c>
    </row>
    <row r="1265">
      <c r="A1265" s="1" t="n">
        <v>1264</v>
      </c>
      <c r="B1265">
        <f>TEXT(1264, "[$-170000]yyyy-mm-dd")</f>
        <v/>
      </c>
      <c r="C1265">
        <f>TEXT(1264, "[$-060000]yyyy-mm-dd")</f>
        <v/>
      </c>
      <c r="D1265" t="inlineStr">
        <is>
          <t>1321-03-22</t>
        </is>
      </c>
    </row>
    <row r="1266">
      <c r="A1266" s="1" t="n">
        <v>1265</v>
      </c>
      <c r="B1266">
        <f>TEXT(1265, "[$-170000]yyyy-mm-dd")</f>
        <v/>
      </c>
      <c r="C1266">
        <f>TEXT(1265, "[$-060000]yyyy-mm-dd")</f>
        <v/>
      </c>
      <c r="D1266" t="inlineStr">
        <is>
          <t>1321-03-23</t>
        </is>
      </c>
    </row>
    <row r="1267">
      <c r="A1267" s="1" t="n">
        <v>1266</v>
      </c>
      <c r="B1267">
        <f>TEXT(1266, "[$-170000]yyyy-mm-dd")</f>
        <v/>
      </c>
      <c r="C1267">
        <f>TEXT(1266, "[$-060000]yyyy-mm-dd")</f>
        <v/>
      </c>
      <c r="D1267" t="inlineStr">
        <is>
          <t>1321-03-24</t>
        </is>
      </c>
    </row>
    <row r="1268">
      <c r="A1268" s="1" t="n">
        <v>1267</v>
      </c>
      <c r="B1268">
        <f>TEXT(1267, "[$-170000]yyyy-mm-dd")</f>
        <v/>
      </c>
      <c r="C1268">
        <f>TEXT(1267, "[$-060000]yyyy-mm-dd")</f>
        <v/>
      </c>
      <c r="D1268" t="inlineStr">
        <is>
          <t>1321-03-25</t>
        </is>
      </c>
    </row>
    <row r="1269">
      <c r="A1269" s="1" t="n">
        <v>1268</v>
      </c>
      <c r="B1269">
        <f>TEXT(1268, "[$-170000]yyyy-mm-dd")</f>
        <v/>
      </c>
      <c r="C1269">
        <f>TEXT(1268, "[$-060000]yyyy-mm-dd")</f>
        <v/>
      </c>
      <c r="D1269" t="inlineStr">
        <is>
          <t>1321-03-26</t>
        </is>
      </c>
    </row>
    <row r="1270">
      <c r="A1270" s="1" t="n">
        <v>1269</v>
      </c>
      <c r="B1270">
        <f>TEXT(1269, "[$-170000]yyyy-mm-dd")</f>
        <v/>
      </c>
      <c r="C1270">
        <f>TEXT(1269, "[$-060000]yyyy-mm-dd")</f>
        <v/>
      </c>
      <c r="D1270" t="inlineStr">
        <is>
          <t>1321-03-27</t>
        </is>
      </c>
    </row>
    <row r="1271">
      <c r="A1271" s="1" t="n">
        <v>1270</v>
      </c>
      <c r="B1271">
        <f>TEXT(1270, "[$-170000]yyyy-mm-dd")</f>
        <v/>
      </c>
      <c r="C1271">
        <f>TEXT(1270, "[$-060000]yyyy-mm-dd")</f>
        <v/>
      </c>
      <c r="D1271" t="inlineStr">
        <is>
          <t>1321-03-28</t>
        </is>
      </c>
    </row>
    <row r="1272">
      <c r="A1272" s="1" t="n">
        <v>1271</v>
      </c>
      <c r="B1272">
        <f>TEXT(1271, "[$-170000]yyyy-mm-dd")</f>
        <v/>
      </c>
      <c r="C1272">
        <f>TEXT(1271, "[$-060000]yyyy-mm-dd")</f>
        <v/>
      </c>
      <c r="D1272" t="inlineStr">
        <is>
          <t>1321-03-29</t>
        </is>
      </c>
    </row>
    <row r="1273">
      <c r="A1273" s="1" t="n">
        <v>1272</v>
      </c>
      <c r="B1273">
        <f>TEXT(1272, "[$-170000]yyyy-mm-dd")</f>
        <v/>
      </c>
      <c r="C1273">
        <f>TEXT(1272, "[$-060000]yyyy-mm-dd")</f>
        <v/>
      </c>
      <c r="D1273" t="inlineStr">
        <is>
          <t>1321-03-30</t>
        </is>
      </c>
    </row>
    <row r="1274">
      <c r="A1274" s="1" t="n">
        <v>1273</v>
      </c>
      <c r="B1274">
        <f>TEXT(1273, "[$-170000]yyyy-mm-dd")</f>
        <v/>
      </c>
      <c r="C1274">
        <f>TEXT(1273, "[$-060000]yyyy-mm-dd")</f>
        <v/>
      </c>
      <c r="D1274" t="inlineStr">
        <is>
          <t>1321-04-01</t>
        </is>
      </c>
    </row>
    <row r="1275">
      <c r="A1275" s="1" t="n">
        <v>1274</v>
      </c>
      <c r="B1275">
        <f>TEXT(1274, "[$-170000]yyyy-mm-dd")</f>
        <v/>
      </c>
      <c r="C1275">
        <f>TEXT(1274, "[$-060000]yyyy-mm-dd")</f>
        <v/>
      </c>
      <c r="D1275" t="inlineStr">
        <is>
          <t>1321-04-02</t>
        </is>
      </c>
    </row>
    <row r="1276">
      <c r="A1276" s="1" t="n">
        <v>1275</v>
      </c>
      <c r="B1276">
        <f>TEXT(1275, "[$-170000]yyyy-mm-dd")</f>
        <v/>
      </c>
      <c r="C1276">
        <f>TEXT(1275, "[$-060000]yyyy-mm-dd")</f>
        <v/>
      </c>
      <c r="D1276" t="inlineStr">
        <is>
          <t>1321-04-03</t>
        </is>
      </c>
    </row>
    <row r="1277">
      <c r="A1277" s="1" t="n">
        <v>1276</v>
      </c>
      <c r="B1277">
        <f>TEXT(1276, "[$-170000]yyyy-mm-dd")</f>
        <v/>
      </c>
      <c r="C1277">
        <f>TEXT(1276, "[$-060000]yyyy-mm-dd")</f>
        <v/>
      </c>
      <c r="D1277" t="inlineStr">
        <is>
          <t>1321-04-04</t>
        </is>
      </c>
    </row>
    <row r="1278">
      <c r="A1278" s="1" t="n">
        <v>1277</v>
      </c>
      <c r="B1278">
        <f>TEXT(1277, "[$-170000]yyyy-mm-dd")</f>
        <v/>
      </c>
      <c r="C1278">
        <f>TEXT(1277, "[$-060000]yyyy-mm-dd")</f>
        <v/>
      </c>
      <c r="D1278" t="inlineStr">
        <is>
          <t>1321-04-05</t>
        </is>
      </c>
    </row>
    <row r="1279">
      <c r="A1279" s="1" t="n">
        <v>1278</v>
      </c>
      <c r="B1279">
        <f>TEXT(1278, "[$-170000]yyyy-mm-dd")</f>
        <v/>
      </c>
      <c r="C1279">
        <f>TEXT(1278, "[$-060000]yyyy-mm-dd")</f>
        <v/>
      </c>
      <c r="D1279" t="inlineStr">
        <is>
          <t>1321-04-06</t>
        </is>
      </c>
    </row>
    <row r="1280">
      <c r="A1280" s="1" t="n">
        <v>1279</v>
      </c>
      <c r="B1280">
        <f>TEXT(1279, "[$-170000]yyyy-mm-dd")</f>
        <v/>
      </c>
      <c r="C1280">
        <f>TEXT(1279, "[$-060000]yyyy-mm-dd")</f>
        <v/>
      </c>
      <c r="D1280" t="inlineStr">
        <is>
          <t>1321-04-07</t>
        </is>
      </c>
    </row>
    <row r="1281">
      <c r="A1281" s="1" t="n">
        <v>1280</v>
      </c>
      <c r="B1281">
        <f>TEXT(1280, "[$-170000]yyyy-mm-dd")</f>
        <v/>
      </c>
      <c r="C1281">
        <f>TEXT(1280, "[$-060000]yyyy-mm-dd")</f>
        <v/>
      </c>
      <c r="D1281" t="inlineStr">
        <is>
          <t>1321-04-08</t>
        </is>
      </c>
    </row>
    <row r="1282">
      <c r="A1282" s="1" t="n">
        <v>1281</v>
      </c>
      <c r="B1282">
        <f>TEXT(1281, "[$-170000]yyyy-mm-dd")</f>
        <v/>
      </c>
      <c r="C1282">
        <f>TEXT(1281, "[$-060000]yyyy-mm-dd")</f>
        <v/>
      </c>
      <c r="D1282" t="inlineStr">
        <is>
          <t>1321-04-09</t>
        </is>
      </c>
    </row>
    <row r="1283">
      <c r="A1283" s="1" t="n">
        <v>1282</v>
      </c>
      <c r="B1283">
        <f>TEXT(1282, "[$-170000]yyyy-mm-dd")</f>
        <v/>
      </c>
      <c r="C1283">
        <f>TEXT(1282, "[$-060000]yyyy-mm-dd")</f>
        <v/>
      </c>
      <c r="D1283" t="inlineStr">
        <is>
          <t>1321-04-10</t>
        </is>
      </c>
    </row>
    <row r="1284">
      <c r="A1284" s="1" t="n">
        <v>1283</v>
      </c>
      <c r="B1284">
        <f>TEXT(1283, "[$-170000]yyyy-mm-dd")</f>
        <v/>
      </c>
      <c r="C1284">
        <f>TEXT(1283, "[$-060000]yyyy-mm-dd")</f>
        <v/>
      </c>
      <c r="D1284" t="inlineStr">
        <is>
          <t>1321-04-11</t>
        </is>
      </c>
    </row>
    <row r="1285">
      <c r="A1285" s="1" t="n">
        <v>1284</v>
      </c>
      <c r="B1285">
        <f>TEXT(1284, "[$-170000]yyyy-mm-dd")</f>
        <v/>
      </c>
      <c r="C1285">
        <f>TEXT(1284, "[$-060000]yyyy-mm-dd")</f>
        <v/>
      </c>
      <c r="D1285" t="inlineStr">
        <is>
          <t>1321-04-12</t>
        </is>
      </c>
    </row>
    <row r="1286">
      <c r="A1286" s="1" t="n">
        <v>1285</v>
      </c>
      <c r="B1286">
        <f>TEXT(1285, "[$-170000]yyyy-mm-dd")</f>
        <v/>
      </c>
      <c r="C1286">
        <f>TEXT(1285, "[$-060000]yyyy-mm-dd")</f>
        <v/>
      </c>
      <c r="D1286" t="inlineStr">
        <is>
          <t>1321-04-13</t>
        </is>
      </c>
    </row>
    <row r="1287">
      <c r="A1287" s="1" t="n">
        <v>1286</v>
      </c>
      <c r="B1287">
        <f>TEXT(1286, "[$-170000]yyyy-mm-dd")</f>
        <v/>
      </c>
      <c r="C1287">
        <f>TEXT(1286, "[$-060000]yyyy-mm-dd")</f>
        <v/>
      </c>
      <c r="D1287" t="inlineStr">
        <is>
          <t>1321-04-14</t>
        </is>
      </c>
    </row>
    <row r="1288">
      <c r="A1288" s="1" t="n">
        <v>1287</v>
      </c>
      <c r="B1288">
        <f>TEXT(1287, "[$-170000]yyyy-mm-dd")</f>
        <v/>
      </c>
      <c r="C1288">
        <f>TEXT(1287, "[$-060000]yyyy-mm-dd")</f>
        <v/>
      </c>
      <c r="D1288" t="inlineStr">
        <is>
          <t>1321-04-15</t>
        </is>
      </c>
    </row>
    <row r="1289">
      <c r="A1289" s="1" t="n">
        <v>1288</v>
      </c>
      <c r="B1289">
        <f>TEXT(1288, "[$-170000]yyyy-mm-dd")</f>
        <v/>
      </c>
      <c r="C1289">
        <f>TEXT(1288, "[$-060000]yyyy-mm-dd")</f>
        <v/>
      </c>
      <c r="D1289" t="inlineStr">
        <is>
          <t>1321-04-16</t>
        </is>
      </c>
    </row>
    <row r="1290">
      <c r="A1290" s="1" t="n">
        <v>1289</v>
      </c>
      <c r="B1290">
        <f>TEXT(1289, "[$-170000]yyyy-mm-dd")</f>
        <v/>
      </c>
      <c r="C1290">
        <f>TEXT(1289, "[$-060000]yyyy-mm-dd")</f>
        <v/>
      </c>
      <c r="D1290" t="inlineStr">
        <is>
          <t>1321-04-17</t>
        </is>
      </c>
    </row>
    <row r="1291">
      <c r="A1291" s="1" t="n">
        <v>1290</v>
      </c>
      <c r="B1291">
        <f>TEXT(1290, "[$-170000]yyyy-mm-dd")</f>
        <v/>
      </c>
      <c r="C1291">
        <f>TEXT(1290, "[$-060000]yyyy-mm-dd")</f>
        <v/>
      </c>
      <c r="D1291" t="inlineStr">
        <is>
          <t>1321-04-18</t>
        </is>
      </c>
    </row>
    <row r="1292">
      <c r="A1292" s="1" t="n">
        <v>1291</v>
      </c>
      <c r="B1292">
        <f>TEXT(1291, "[$-170000]yyyy-mm-dd")</f>
        <v/>
      </c>
      <c r="C1292">
        <f>TEXT(1291, "[$-060000]yyyy-mm-dd")</f>
        <v/>
      </c>
      <c r="D1292" t="inlineStr">
        <is>
          <t>1321-04-19</t>
        </is>
      </c>
    </row>
    <row r="1293">
      <c r="A1293" s="1" t="n">
        <v>1292</v>
      </c>
      <c r="B1293">
        <f>TEXT(1292, "[$-170000]yyyy-mm-dd")</f>
        <v/>
      </c>
      <c r="C1293">
        <f>TEXT(1292, "[$-060000]yyyy-mm-dd")</f>
        <v/>
      </c>
      <c r="D1293" t="inlineStr">
        <is>
          <t>1321-04-20</t>
        </is>
      </c>
    </row>
    <row r="1294">
      <c r="A1294" s="1" t="n">
        <v>1293</v>
      </c>
      <c r="B1294">
        <f>TEXT(1293, "[$-170000]yyyy-mm-dd")</f>
        <v/>
      </c>
      <c r="C1294">
        <f>TEXT(1293, "[$-060000]yyyy-mm-dd")</f>
        <v/>
      </c>
      <c r="D1294" t="inlineStr">
        <is>
          <t>1321-04-21</t>
        </is>
      </c>
    </row>
    <row r="1295">
      <c r="A1295" s="1" t="n">
        <v>1294</v>
      </c>
      <c r="B1295">
        <f>TEXT(1294, "[$-170000]yyyy-mm-dd")</f>
        <v/>
      </c>
      <c r="C1295">
        <f>TEXT(1294, "[$-060000]yyyy-mm-dd")</f>
        <v/>
      </c>
      <c r="D1295" t="inlineStr">
        <is>
          <t>1321-04-22</t>
        </is>
      </c>
    </row>
    <row r="1296">
      <c r="A1296" s="1" t="n">
        <v>1295</v>
      </c>
      <c r="B1296">
        <f>TEXT(1295, "[$-170000]yyyy-mm-dd")</f>
        <v/>
      </c>
      <c r="C1296">
        <f>TEXT(1295, "[$-060000]yyyy-mm-dd")</f>
        <v/>
      </c>
      <c r="D1296" t="inlineStr">
        <is>
          <t>1321-04-23</t>
        </is>
      </c>
    </row>
    <row r="1297">
      <c r="A1297" s="1" t="n">
        <v>1296</v>
      </c>
      <c r="B1297">
        <f>TEXT(1296, "[$-170000]yyyy-mm-dd")</f>
        <v/>
      </c>
      <c r="C1297">
        <f>TEXT(1296, "[$-060000]yyyy-mm-dd")</f>
        <v/>
      </c>
      <c r="D1297" t="inlineStr">
        <is>
          <t>1321-04-24</t>
        </is>
      </c>
    </row>
    <row r="1298">
      <c r="A1298" s="1" t="n">
        <v>1297</v>
      </c>
      <c r="B1298">
        <f>TEXT(1297, "[$-170000]yyyy-mm-dd")</f>
        <v/>
      </c>
      <c r="C1298">
        <f>TEXT(1297, "[$-060000]yyyy-mm-dd")</f>
        <v/>
      </c>
      <c r="D1298" t="inlineStr">
        <is>
          <t>1321-04-25</t>
        </is>
      </c>
    </row>
    <row r="1299">
      <c r="A1299" s="1" t="n">
        <v>1298</v>
      </c>
      <c r="B1299">
        <f>TEXT(1298, "[$-170000]yyyy-mm-dd")</f>
        <v/>
      </c>
      <c r="C1299">
        <f>TEXT(1298, "[$-060000]yyyy-mm-dd")</f>
        <v/>
      </c>
      <c r="D1299" t="inlineStr">
        <is>
          <t>1321-04-26</t>
        </is>
      </c>
    </row>
    <row r="1300">
      <c r="A1300" s="1" t="n">
        <v>1299</v>
      </c>
      <c r="B1300">
        <f>TEXT(1299, "[$-170000]yyyy-mm-dd")</f>
        <v/>
      </c>
      <c r="C1300">
        <f>TEXT(1299, "[$-060000]yyyy-mm-dd")</f>
        <v/>
      </c>
      <c r="D1300" t="inlineStr">
        <is>
          <t>1321-04-27</t>
        </is>
      </c>
    </row>
    <row r="1301">
      <c r="A1301" s="1" t="n">
        <v>1300</v>
      </c>
      <c r="B1301">
        <f>TEXT(1300, "[$-170000]yyyy-mm-dd")</f>
        <v/>
      </c>
      <c r="C1301">
        <f>TEXT(1300, "[$-060000]yyyy-mm-dd")</f>
        <v/>
      </c>
      <c r="D1301" t="inlineStr">
        <is>
          <t>1321-04-28</t>
        </is>
      </c>
    </row>
    <row r="1302">
      <c r="A1302" s="1" t="n">
        <v>1301</v>
      </c>
      <c r="B1302">
        <f>TEXT(1301, "[$-170000]yyyy-mm-dd")</f>
        <v/>
      </c>
      <c r="C1302">
        <f>TEXT(1301, "[$-060000]yyyy-mm-dd")</f>
        <v/>
      </c>
      <c r="D1302" t="inlineStr">
        <is>
          <t>1321-04-29</t>
        </is>
      </c>
    </row>
    <row r="1303">
      <c r="A1303" s="1" t="n">
        <v>1302</v>
      </c>
      <c r="B1303">
        <f>TEXT(1302, "[$-170000]yyyy-mm-dd")</f>
        <v/>
      </c>
      <c r="C1303">
        <f>TEXT(1302, "[$-060000]yyyy-mm-dd")</f>
        <v/>
      </c>
      <c r="D1303" t="inlineStr">
        <is>
          <t>1321-05-01</t>
        </is>
      </c>
    </row>
    <row r="1304">
      <c r="A1304" s="1" t="n">
        <v>1303</v>
      </c>
      <c r="B1304">
        <f>TEXT(1303, "[$-170000]yyyy-mm-dd")</f>
        <v/>
      </c>
      <c r="C1304">
        <f>TEXT(1303, "[$-060000]yyyy-mm-dd")</f>
        <v/>
      </c>
      <c r="D1304" t="inlineStr">
        <is>
          <t>1321-05-02</t>
        </is>
      </c>
    </row>
    <row r="1305">
      <c r="A1305" s="1" t="n">
        <v>1304</v>
      </c>
      <c r="B1305">
        <f>TEXT(1304, "[$-170000]yyyy-mm-dd")</f>
        <v/>
      </c>
      <c r="C1305">
        <f>TEXT(1304, "[$-060000]yyyy-mm-dd")</f>
        <v/>
      </c>
      <c r="D1305" t="inlineStr">
        <is>
          <t>1321-05-03</t>
        </is>
      </c>
    </row>
    <row r="1306">
      <c r="A1306" s="1" t="n">
        <v>1305</v>
      </c>
      <c r="B1306">
        <f>TEXT(1305, "[$-170000]yyyy-mm-dd")</f>
        <v/>
      </c>
      <c r="C1306">
        <f>TEXT(1305, "[$-060000]yyyy-mm-dd")</f>
        <v/>
      </c>
      <c r="D1306" t="inlineStr">
        <is>
          <t>1321-05-04</t>
        </is>
      </c>
    </row>
    <row r="1307">
      <c r="A1307" s="1" t="n">
        <v>1306</v>
      </c>
      <c r="B1307">
        <f>TEXT(1306, "[$-170000]yyyy-mm-dd")</f>
        <v/>
      </c>
      <c r="C1307">
        <f>TEXT(1306, "[$-060000]yyyy-mm-dd")</f>
        <v/>
      </c>
      <c r="D1307" t="inlineStr">
        <is>
          <t>1321-05-05</t>
        </is>
      </c>
    </row>
    <row r="1308">
      <c r="A1308" s="1" t="n">
        <v>1307</v>
      </c>
      <c r="B1308">
        <f>TEXT(1307, "[$-170000]yyyy-mm-dd")</f>
        <v/>
      </c>
      <c r="C1308">
        <f>TEXT(1307, "[$-060000]yyyy-mm-dd")</f>
        <v/>
      </c>
      <c r="D1308" t="inlineStr">
        <is>
          <t>1321-05-06</t>
        </is>
      </c>
    </row>
    <row r="1309">
      <c r="A1309" s="1" t="n">
        <v>1308</v>
      </c>
      <c r="B1309">
        <f>TEXT(1308, "[$-170000]yyyy-mm-dd")</f>
        <v/>
      </c>
      <c r="C1309">
        <f>TEXT(1308, "[$-060000]yyyy-mm-dd")</f>
        <v/>
      </c>
      <c r="D1309" t="inlineStr">
        <is>
          <t>1321-05-07</t>
        </is>
      </c>
    </row>
    <row r="1310">
      <c r="A1310" s="1" t="n">
        <v>1309</v>
      </c>
      <c r="B1310">
        <f>TEXT(1309, "[$-170000]yyyy-mm-dd")</f>
        <v/>
      </c>
      <c r="C1310">
        <f>TEXT(1309, "[$-060000]yyyy-mm-dd")</f>
        <v/>
      </c>
      <c r="D1310" t="inlineStr">
        <is>
          <t>1321-05-08</t>
        </is>
      </c>
    </row>
    <row r="1311">
      <c r="A1311" s="1" t="n">
        <v>1310</v>
      </c>
      <c r="B1311">
        <f>TEXT(1310, "[$-170000]yyyy-mm-dd")</f>
        <v/>
      </c>
      <c r="C1311">
        <f>TEXT(1310, "[$-060000]yyyy-mm-dd")</f>
        <v/>
      </c>
      <c r="D1311" t="inlineStr">
        <is>
          <t>1321-05-09</t>
        </is>
      </c>
    </row>
    <row r="1312">
      <c r="A1312" s="1" t="n">
        <v>1311</v>
      </c>
      <c r="B1312">
        <f>TEXT(1311, "[$-170000]yyyy-mm-dd")</f>
        <v/>
      </c>
      <c r="C1312">
        <f>TEXT(1311, "[$-060000]yyyy-mm-dd")</f>
        <v/>
      </c>
      <c r="D1312" t="inlineStr">
        <is>
          <t>1321-05-10</t>
        </is>
      </c>
    </row>
    <row r="1313">
      <c r="A1313" s="1" t="n">
        <v>1312</v>
      </c>
      <c r="B1313">
        <f>TEXT(1312, "[$-170000]yyyy-mm-dd")</f>
        <v/>
      </c>
      <c r="C1313">
        <f>TEXT(1312, "[$-060000]yyyy-mm-dd")</f>
        <v/>
      </c>
      <c r="D1313" t="inlineStr">
        <is>
          <t>1321-05-11</t>
        </is>
      </c>
    </row>
    <row r="1314">
      <c r="A1314" s="1" t="n">
        <v>1313</v>
      </c>
      <c r="B1314">
        <f>TEXT(1313, "[$-170000]yyyy-mm-dd")</f>
        <v/>
      </c>
      <c r="C1314">
        <f>TEXT(1313, "[$-060000]yyyy-mm-dd")</f>
        <v/>
      </c>
      <c r="D1314" t="inlineStr">
        <is>
          <t>1321-05-12</t>
        </is>
      </c>
    </row>
    <row r="1315">
      <c r="A1315" s="1" t="n">
        <v>1314</v>
      </c>
      <c r="B1315">
        <f>TEXT(1314, "[$-170000]yyyy-mm-dd")</f>
        <v/>
      </c>
      <c r="C1315">
        <f>TEXT(1314, "[$-060000]yyyy-mm-dd")</f>
        <v/>
      </c>
      <c r="D1315" t="inlineStr">
        <is>
          <t>1321-05-13</t>
        </is>
      </c>
    </row>
    <row r="1316">
      <c r="A1316" s="1" t="n">
        <v>1315</v>
      </c>
      <c r="B1316">
        <f>TEXT(1315, "[$-170000]yyyy-mm-dd")</f>
        <v/>
      </c>
      <c r="C1316">
        <f>TEXT(1315, "[$-060000]yyyy-mm-dd")</f>
        <v/>
      </c>
      <c r="D1316" t="inlineStr">
        <is>
          <t>1321-05-14</t>
        </is>
      </c>
    </row>
    <row r="1317">
      <c r="A1317" s="1" t="n">
        <v>1316</v>
      </c>
      <c r="B1317">
        <f>TEXT(1316, "[$-170000]yyyy-mm-dd")</f>
        <v/>
      </c>
      <c r="C1317">
        <f>TEXT(1316, "[$-060000]yyyy-mm-dd")</f>
        <v/>
      </c>
      <c r="D1317" t="inlineStr">
        <is>
          <t>1321-05-15</t>
        </is>
      </c>
    </row>
    <row r="1318">
      <c r="A1318" s="1" t="n">
        <v>1317</v>
      </c>
      <c r="B1318">
        <f>TEXT(1317, "[$-170000]yyyy-mm-dd")</f>
        <v/>
      </c>
      <c r="C1318">
        <f>TEXT(1317, "[$-060000]yyyy-mm-dd")</f>
        <v/>
      </c>
      <c r="D1318" t="inlineStr">
        <is>
          <t>1321-05-16</t>
        </is>
      </c>
    </row>
    <row r="1319">
      <c r="A1319" s="1" t="n">
        <v>1318</v>
      </c>
      <c r="B1319">
        <f>TEXT(1318, "[$-170000]yyyy-mm-dd")</f>
        <v/>
      </c>
      <c r="C1319">
        <f>TEXT(1318, "[$-060000]yyyy-mm-dd")</f>
        <v/>
      </c>
      <c r="D1319" t="inlineStr">
        <is>
          <t>1321-05-17</t>
        </is>
      </c>
    </row>
    <row r="1320">
      <c r="A1320" s="1" t="n">
        <v>1319</v>
      </c>
      <c r="B1320">
        <f>TEXT(1319, "[$-170000]yyyy-mm-dd")</f>
        <v/>
      </c>
      <c r="C1320">
        <f>TEXT(1319, "[$-060000]yyyy-mm-dd")</f>
        <v/>
      </c>
      <c r="D1320" t="inlineStr">
        <is>
          <t>1321-05-18</t>
        </is>
      </c>
    </row>
    <row r="1321">
      <c r="A1321" s="1" t="n">
        <v>1320</v>
      </c>
      <c r="B1321">
        <f>TEXT(1320, "[$-170000]yyyy-mm-dd")</f>
        <v/>
      </c>
      <c r="C1321">
        <f>TEXT(1320, "[$-060000]yyyy-mm-dd")</f>
        <v/>
      </c>
      <c r="D1321" t="inlineStr">
        <is>
          <t>1321-05-19</t>
        </is>
      </c>
    </row>
    <row r="1322">
      <c r="A1322" s="1" t="n">
        <v>1321</v>
      </c>
      <c r="B1322">
        <f>TEXT(1321, "[$-170000]yyyy-mm-dd")</f>
        <v/>
      </c>
      <c r="C1322">
        <f>TEXT(1321, "[$-060000]yyyy-mm-dd")</f>
        <v/>
      </c>
      <c r="D1322" t="inlineStr">
        <is>
          <t>1321-05-20</t>
        </is>
      </c>
    </row>
    <row r="1323">
      <c r="A1323" s="1" t="n">
        <v>1322</v>
      </c>
      <c r="B1323">
        <f>TEXT(1322, "[$-170000]yyyy-mm-dd")</f>
        <v/>
      </c>
      <c r="C1323">
        <f>TEXT(1322, "[$-060000]yyyy-mm-dd")</f>
        <v/>
      </c>
      <c r="D1323" t="inlineStr">
        <is>
          <t>1321-05-21</t>
        </is>
      </c>
    </row>
    <row r="1324">
      <c r="A1324" s="1" t="n">
        <v>1323</v>
      </c>
      <c r="B1324">
        <f>TEXT(1323, "[$-170000]yyyy-mm-dd")</f>
        <v/>
      </c>
      <c r="C1324">
        <f>TEXT(1323, "[$-060000]yyyy-mm-dd")</f>
        <v/>
      </c>
      <c r="D1324" t="inlineStr">
        <is>
          <t>1321-05-22</t>
        </is>
      </c>
    </row>
    <row r="1325">
      <c r="A1325" s="1" t="n">
        <v>1324</v>
      </c>
      <c r="B1325">
        <f>TEXT(1324, "[$-170000]yyyy-mm-dd")</f>
        <v/>
      </c>
      <c r="C1325">
        <f>TEXT(1324, "[$-060000]yyyy-mm-dd")</f>
        <v/>
      </c>
      <c r="D1325" t="inlineStr">
        <is>
          <t>1321-05-23</t>
        </is>
      </c>
    </row>
    <row r="1326">
      <c r="A1326" s="1" t="n">
        <v>1325</v>
      </c>
      <c r="B1326">
        <f>TEXT(1325, "[$-170000]yyyy-mm-dd")</f>
        <v/>
      </c>
      <c r="C1326">
        <f>TEXT(1325, "[$-060000]yyyy-mm-dd")</f>
        <v/>
      </c>
      <c r="D1326" t="inlineStr">
        <is>
          <t>1321-05-24</t>
        </is>
      </c>
    </row>
    <row r="1327">
      <c r="A1327" s="1" t="n">
        <v>1326</v>
      </c>
      <c r="B1327">
        <f>TEXT(1326, "[$-170000]yyyy-mm-dd")</f>
        <v/>
      </c>
      <c r="C1327">
        <f>TEXT(1326, "[$-060000]yyyy-mm-dd")</f>
        <v/>
      </c>
      <c r="D1327" t="inlineStr">
        <is>
          <t>1321-05-25</t>
        </is>
      </c>
    </row>
    <row r="1328">
      <c r="A1328" s="1" t="n">
        <v>1327</v>
      </c>
      <c r="B1328">
        <f>TEXT(1327, "[$-170000]yyyy-mm-dd")</f>
        <v/>
      </c>
      <c r="C1328">
        <f>TEXT(1327, "[$-060000]yyyy-mm-dd")</f>
        <v/>
      </c>
      <c r="D1328" t="inlineStr">
        <is>
          <t>1321-05-26</t>
        </is>
      </c>
    </row>
    <row r="1329">
      <c r="A1329" s="1" t="n">
        <v>1328</v>
      </c>
      <c r="B1329">
        <f>TEXT(1328, "[$-170000]yyyy-mm-dd")</f>
        <v/>
      </c>
      <c r="C1329">
        <f>TEXT(1328, "[$-060000]yyyy-mm-dd")</f>
        <v/>
      </c>
      <c r="D1329" t="inlineStr">
        <is>
          <t>1321-05-27</t>
        </is>
      </c>
    </row>
    <row r="1330">
      <c r="A1330" s="1" t="n">
        <v>1329</v>
      </c>
      <c r="B1330">
        <f>TEXT(1329, "[$-170000]yyyy-mm-dd")</f>
        <v/>
      </c>
      <c r="C1330">
        <f>TEXT(1329, "[$-060000]yyyy-mm-dd")</f>
        <v/>
      </c>
      <c r="D1330" t="inlineStr">
        <is>
          <t>1321-05-28</t>
        </is>
      </c>
    </row>
    <row r="1331">
      <c r="A1331" s="1" t="n">
        <v>1330</v>
      </c>
      <c r="B1331">
        <f>TEXT(1330, "[$-170000]yyyy-mm-dd")</f>
        <v/>
      </c>
      <c r="C1331">
        <f>TEXT(1330, "[$-060000]yyyy-mm-dd")</f>
        <v/>
      </c>
      <c r="D1331" t="inlineStr">
        <is>
          <t>1321-05-29</t>
        </is>
      </c>
    </row>
    <row r="1332">
      <c r="A1332" s="1" t="n">
        <v>1331</v>
      </c>
      <c r="B1332">
        <f>TEXT(1331, "[$-170000]yyyy-mm-dd")</f>
        <v/>
      </c>
      <c r="C1332">
        <f>TEXT(1331, "[$-060000]yyyy-mm-dd")</f>
        <v/>
      </c>
      <c r="D1332" t="inlineStr">
        <is>
          <t>1321-05-30</t>
        </is>
      </c>
    </row>
    <row r="1333">
      <c r="A1333" s="1" t="n">
        <v>1332</v>
      </c>
      <c r="B1333">
        <f>TEXT(1332, "[$-170000]yyyy-mm-dd")</f>
        <v/>
      </c>
      <c r="C1333">
        <f>TEXT(1332, "[$-060000]yyyy-mm-dd")</f>
        <v/>
      </c>
      <c r="D1333" t="inlineStr">
        <is>
          <t>1321-06-01</t>
        </is>
      </c>
    </row>
    <row r="1334">
      <c r="A1334" s="1" t="n">
        <v>1333</v>
      </c>
      <c r="B1334">
        <f>TEXT(1333, "[$-170000]yyyy-mm-dd")</f>
        <v/>
      </c>
      <c r="C1334">
        <f>TEXT(1333, "[$-060000]yyyy-mm-dd")</f>
        <v/>
      </c>
      <c r="D1334" t="inlineStr">
        <is>
          <t>1321-06-02</t>
        </is>
      </c>
    </row>
    <row r="1335">
      <c r="A1335" s="1" t="n">
        <v>1334</v>
      </c>
      <c r="B1335">
        <f>TEXT(1334, "[$-170000]yyyy-mm-dd")</f>
        <v/>
      </c>
      <c r="C1335">
        <f>TEXT(1334, "[$-060000]yyyy-mm-dd")</f>
        <v/>
      </c>
      <c r="D1335" t="inlineStr">
        <is>
          <t>1321-06-03</t>
        </is>
      </c>
    </row>
    <row r="1336">
      <c r="A1336" s="1" t="n">
        <v>1335</v>
      </c>
      <c r="B1336">
        <f>TEXT(1335, "[$-170000]yyyy-mm-dd")</f>
        <v/>
      </c>
      <c r="C1336">
        <f>TEXT(1335, "[$-060000]yyyy-mm-dd")</f>
        <v/>
      </c>
      <c r="D1336" t="inlineStr">
        <is>
          <t>1321-06-04</t>
        </is>
      </c>
    </row>
    <row r="1337">
      <c r="A1337" s="1" t="n">
        <v>1336</v>
      </c>
      <c r="B1337">
        <f>TEXT(1336, "[$-170000]yyyy-mm-dd")</f>
        <v/>
      </c>
      <c r="C1337">
        <f>TEXT(1336, "[$-060000]yyyy-mm-dd")</f>
        <v/>
      </c>
      <c r="D1337" t="inlineStr">
        <is>
          <t>1321-06-05</t>
        </is>
      </c>
    </row>
    <row r="1338">
      <c r="A1338" s="1" t="n">
        <v>1337</v>
      </c>
      <c r="B1338">
        <f>TEXT(1337, "[$-170000]yyyy-mm-dd")</f>
        <v/>
      </c>
      <c r="C1338">
        <f>TEXT(1337, "[$-060000]yyyy-mm-dd")</f>
        <v/>
      </c>
      <c r="D1338" t="inlineStr">
        <is>
          <t>1321-06-06</t>
        </is>
      </c>
    </row>
    <row r="1339">
      <c r="A1339" s="1" t="n">
        <v>1338</v>
      </c>
      <c r="B1339">
        <f>TEXT(1338, "[$-170000]yyyy-mm-dd")</f>
        <v/>
      </c>
      <c r="C1339">
        <f>TEXT(1338, "[$-060000]yyyy-mm-dd")</f>
        <v/>
      </c>
      <c r="D1339" t="inlineStr">
        <is>
          <t>1321-06-07</t>
        </is>
      </c>
    </row>
    <row r="1340">
      <c r="A1340" s="1" t="n">
        <v>1339</v>
      </c>
      <c r="B1340">
        <f>TEXT(1339, "[$-170000]yyyy-mm-dd")</f>
        <v/>
      </c>
      <c r="C1340">
        <f>TEXT(1339, "[$-060000]yyyy-mm-dd")</f>
        <v/>
      </c>
      <c r="D1340" t="inlineStr">
        <is>
          <t>1321-06-08</t>
        </is>
      </c>
    </row>
    <row r="1341">
      <c r="A1341" s="1" t="n">
        <v>1340</v>
      </c>
      <c r="B1341">
        <f>TEXT(1340, "[$-170000]yyyy-mm-dd")</f>
        <v/>
      </c>
      <c r="C1341">
        <f>TEXT(1340, "[$-060000]yyyy-mm-dd")</f>
        <v/>
      </c>
      <c r="D1341" t="inlineStr">
        <is>
          <t>1321-06-09</t>
        </is>
      </c>
    </row>
    <row r="1342">
      <c r="A1342" s="1" t="n">
        <v>1341</v>
      </c>
      <c r="B1342">
        <f>TEXT(1341, "[$-170000]yyyy-mm-dd")</f>
        <v/>
      </c>
      <c r="C1342">
        <f>TEXT(1341, "[$-060000]yyyy-mm-dd")</f>
        <v/>
      </c>
      <c r="D1342" t="inlineStr">
        <is>
          <t>1321-06-10</t>
        </is>
      </c>
    </row>
    <row r="1343">
      <c r="A1343" s="1" t="n">
        <v>1342</v>
      </c>
      <c r="B1343">
        <f>TEXT(1342, "[$-170000]yyyy-mm-dd")</f>
        <v/>
      </c>
      <c r="C1343">
        <f>TEXT(1342, "[$-060000]yyyy-mm-dd")</f>
        <v/>
      </c>
      <c r="D1343" t="inlineStr">
        <is>
          <t>1321-06-11</t>
        </is>
      </c>
    </row>
    <row r="1344">
      <c r="A1344" s="1" t="n">
        <v>1343</v>
      </c>
      <c r="B1344">
        <f>TEXT(1343, "[$-170000]yyyy-mm-dd")</f>
        <v/>
      </c>
      <c r="C1344">
        <f>TEXT(1343, "[$-060000]yyyy-mm-dd")</f>
        <v/>
      </c>
      <c r="D1344" t="inlineStr">
        <is>
          <t>1321-06-12</t>
        </is>
      </c>
    </row>
    <row r="1345">
      <c r="A1345" s="1" t="n">
        <v>1344</v>
      </c>
      <c r="B1345">
        <f>TEXT(1344, "[$-170000]yyyy-mm-dd")</f>
        <v/>
      </c>
      <c r="C1345">
        <f>TEXT(1344, "[$-060000]yyyy-mm-dd")</f>
        <v/>
      </c>
      <c r="D1345" t="inlineStr">
        <is>
          <t>1321-06-13</t>
        </is>
      </c>
    </row>
    <row r="1346">
      <c r="A1346" s="1" t="n">
        <v>1345</v>
      </c>
      <c r="B1346">
        <f>TEXT(1345, "[$-170000]yyyy-mm-dd")</f>
        <v/>
      </c>
      <c r="C1346">
        <f>TEXT(1345, "[$-060000]yyyy-mm-dd")</f>
        <v/>
      </c>
      <c r="D1346" t="inlineStr">
        <is>
          <t>1321-06-14</t>
        </is>
      </c>
    </row>
    <row r="1347">
      <c r="A1347" s="1" t="n">
        <v>1346</v>
      </c>
      <c r="B1347">
        <f>TEXT(1346, "[$-170000]yyyy-mm-dd")</f>
        <v/>
      </c>
      <c r="C1347">
        <f>TEXT(1346, "[$-060000]yyyy-mm-dd")</f>
        <v/>
      </c>
      <c r="D1347" t="inlineStr">
        <is>
          <t>1321-06-15</t>
        </is>
      </c>
    </row>
    <row r="1348">
      <c r="A1348" s="1" t="n">
        <v>1347</v>
      </c>
      <c r="B1348">
        <f>TEXT(1347, "[$-170000]yyyy-mm-dd")</f>
        <v/>
      </c>
      <c r="C1348">
        <f>TEXT(1347, "[$-060000]yyyy-mm-dd")</f>
        <v/>
      </c>
      <c r="D1348" t="inlineStr">
        <is>
          <t>1321-06-16</t>
        </is>
      </c>
    </row>
    <row r="1349">
      <c r="A1349" s="1" t="n">
        <v>1348</v>
      </c>
      <c r="B1349">
        <f>TEXT(1348, "[$-170000]yyyy-mm-dd")</f>
        <v/>
      </c>
      <c r="C1349">
        <f>TEXT(1348, "[$-060000]yyyy-mm-dd")</f>
        <v/>
      </c>
      <c r="D1349" t="inlineStr">
        <is>
          <t>1321-06-17</t>
        </is>
      </c>
    </row>
    <row r="1350">
      <c r="A1350" s="1" t="n">
        <v>1349</v>
      </c>
      <c r="B1350">
        <f>TEXT(1349, "[$-170000]yyyy-mm-dd")</f>
        <v/>
      </c>
      <c r="C1350">
        <f>TEXT(1349, "[$-060000]yyyy-mm-dd")</f>
        <v/>
      </c>
      <c r="D1350" t="inlineStr">
        <is>
          <t>1321-06-18</t>
        </is>
      </c>
    </row>
    <row r="1351">
      <c r="A1351" s="1" t="n">
        <v>1350</v>
      </c>
      <c r="B1351">
        <f>TEXT(1350, "[$-170000]yyyy-mm-dd")</f>
        <v/>
      </c>
      <c r="C1351">
        <f>TEXT(1350, "[$-060000]yyyy-mm-dd")</f>
        <v/>
      </c>
      <c r="D1351" t="inlineStr">
        <is>
          <t>1321-06-19</t>
        </is>
      </c>
    </row>
    <row r="1352">
      <c r="A1352" s="1" t="n">
        <v>1351</v>
      </c>
      <c r="B1352">
        <f>TEXT(1351, "[$-170000]yyyy-mm-dd")</f>
        <v/>
      </c>
      <c r="C1352">
        <f>TEXT(1351, "[$-060000]yyyy-mm-dd")</f>
        <v/>
      </c>
      <c r="D1352" t="inlineStr">
        <is>
          <t>1321-06-20</t>
        </is>
      </c>
    </row>
    <row r="1353">
      <c r="A1353" s="1" t="n">
        <v>1352</v>
      </c>
      <c r="B1353">
        <f>TEXT(1352, "[$-170000]yyyy-mm-dd")</f>
        <v/>
      </c>
      <c r="C1353">
        <f>TEXT(1352, "[$-060000]yyyy-mm-dd")</f>
        <v/>
      </c>
      <c r="D1353" t="inlineStr">
        <is>
          <t>1321-06-21</t>
        </is>
      </c>
    </row>
    <row r="1354">
      <c r="A1354" s="1" t="n">
        <v>1353</v>
      </c>
      <c r="B1354">
        <f>TEXT(1353, "[$-170000]yyyy-mm-dd")</f>
        <v/>
      </c>
      <c r="C1354">
        <f>TEXT(1353, "[$-060000]yyyy-mm-dd")</f>
        <v/>
      </c>
      <c r="D1354" t="inlineStr">
        <is>
          <t>1321-06-22</t>
        </is>
      </c>
    </row>
    <row r="1355">
      <c r="A1355" s="1" t="n">
        <v>1354</v>
      </c>
      <c r="B1355">
        <f>TEXT(1354, "[$-170000]yyyy-mm-dd")</f>
        <v/>
      </c>
      <c r="C1355">
        <f>TEXT(1354, "[$-060000]yyyy-mm-dd")</f>
        <v/>
      </c>
      <c r="D1355" t="inlineStr">
        <is>
          <t>1321-06-23</t>
        </is>
      </c>
    </row>
    <row r="1356">
      <c r="A1356" s="1" t="n">
        <v>1355</v>
      </c>
      <c r="B1356">
        <f>TEXT(1355, "[$-170000]yyyy-mm-dd")</f>
        <v/>
      </c>
      <c r="C1356">
        <f>TEXT(1355, "[$-060000]yyyy-mm-dd")</f>
        <v/>
      </c>
      <c r="D1356" t="inlineStr">
        <is>
          <t>1321-06-24</t>
        </is>
      </c>
    </row>
    <row r="1357">
      <c r="A1357" s="1" t="n">
        <v>1356</v>
      </c>
      <c r="B1357">
        <f>TEXT(1356, "[$-170000]yyyy-mm-dd")</f>
        <v/>
      </c>
      <c r="C1357">
        <f>TEXT(1356, "[$-060000]yyyy-mm-dd")</f>
        <v/>
      </c>
      <c r="D1357" t="inlineStr">
        <is>
          <t>1321-06-25</t>
        </is>
      </c>
    </row>
    <row r="1358">
      <c r="A1358" s="1" t="n">
        <v>1357</v>
      </c>
      <c r="B1358">
        <f>TEXT(1357, "[$-170000]yyyy-mm-dd")</f>
        <v/>
      </c>
      <c r="C1358">
        <f>TEXT(1357, "[$-060000]yyyy-mm-dd")</f>
        <v/>
      </c>
      <c r="D1358" t="inlineStr">
        <is>
          <t>1321-06-26</t>
        </is>
      </c>
    </row>
    <row r="1359">
      <c r="A1359" s="1" t="n">
        <v>1358</v>
      </c>
      <c r="B1359">
        <f>TEXT(1358, "[$-170000]yyyy-mm-dd")</f>
        <v/>
      </c>
      <c r="C1359">
        <f>TEXT(1358, "[$-060000]yyyy-mm-dd")</f>
        <v/>
      </c>
      <c r="D1359" t="inlineStr">
        <is>
          <t>1321-06-27</t>
        </is>
      </c>
    </row>
    <row r="1360">
      <c r="A1360" s="1" t="n">
        <v>1359</v>
      </c>
      <c r="B1360">
        <f>TEXT(1359, "[$-170000]yyyy-mm-dd")</f>
        <v/>
      </c>
      <c r="C1360">
        <f>TEXT(1359, "[$-060000]yyyy-mm-dd")</f>
        <v/>
      </c>
      <c r="D1360" t="inlineStr">
        <is>
          <t>1321-06-28</t>
        </is>
      </c>
    </row>
    <row r="1361">
      <c r="A1361" s="1" t="n">
        <v>1360</v>
      </c>
      <c r="B1361">
        <f>TEXT(1360, "[$-170000]yyyy-mm-dd")</f>
        <v/>
      </c>
      <c r="C1361">
        <f>TEXT(1360, "[$-060000]yyyy-mm-dd")</f>
        <v/>
      </c>
      <c r="D1361" t="inlineStr">
        <is>
          <t>1321-06-29</t>
        </is>
      </c>
    </row>
    <row r="1362">
      <c r="A1362" s="1" t="n">
        <v>1361</v>
      </c>
      <c r="B1362">
        <f>TEXT(1361, "[$-170000]yyyy-mm-dd")</f>
        <v/>
      </c>
      <c r="C1362">
        <f>TEXT(1361, "[$-060000]yyyy-mm-dd")</f>
        <v/>
      </c>
      <c r="D1362" t="inlineStr">
        <is>
          <t>1321-07-01</t>
        </is>
      </c>
    </row>
    <row r="1363">
      <c r="A1363" s="1" t="n">
        <v>1362</v>
      </c>
      <c r="B1363">
        <f>TEXT(1362, "[$-170000]yyyy-mm-dd")</f>
        <v/>
      </c>
      <c r="C1363">
        <f>TEXT(1362, "[$-060000]yyyy-mm-dd")</f>
        <v/>
      </c>
      <c r="D1363" t="inlineStr">
        <is>
          <t>1321-07-02</t>
        </is>
      </c>
    </row>
    <row r="1364">
      <c r="A1364" s="1" t="n">
        <v>1363</v>
      </c>
      <c r="B1364">
        <f>TEXT(1363, "[$-170000]yyyy-mm-dd")</f>
        <v/>
      </c>
      <c r="C1364">
        <f>TEXT(1363, "[$-060000]yyyy-mm-dd")</f>
        <v/>
      </c>
      <c r="D1364" t="inlineStr">
        <is>
          <t>1321-07-03</t>
        </is>
      </c>
    </row>
    <row r="1365">
      <c r="A1365" s="1" t="n">
        <v>1364</v>
      </c>
      <c r="B1365">
        <f>TEXT(1364, "[$-170000]yyyy-mm-dd")</f>
        <v/>
      </c>
      <c r="C1365">
        <f>TEXT(1364, "[$-060000]yyyy-mm-dd")</f>
        <v/>
      </c>
      <c r="D1365" t="inlineStr">
        <is>
          <t>1321-07-04</t>
        </is>
      </c>
    </row>
    <row r="1366">
      <c r="A1366" s="1" t="n">
        <v>1365</v>
      </c>
      <c r="B1366">
        <f>TEXT(1365, "[$-170000]yyyy-mm-dd")</f>
        <v/>
      </c>
      <c r="C1366">
        <f>TEXT(1365, "[$-060000]yyyy-mm-dd")</f>
        <v/>
      </c>
      <c r="D1366" t="inlineStr">
        <is>
          <t>1321-07-05</t>
        </is>
      </c>
    </row>
    <row r="1367">
      <c r="A1367" s="1" t="n">
        <v>1366</v>
      </c>
      <c r="B1367">
        <f>TEXT(1366, "[$-170000]yyyy-mm-dd")</f>
        <v/>
      </c>
      <c r="C1367">
        <f>TEXT(1366, "[$-060000]yyyy-mm-dd")</f>
        <v/>
      </c>
      <c r="D1367" t="inlineStr">
        <is>
          <t>1321-07-06</t>
        </is>
      </c>
    </row>
    <row r="1368">
      <c r="A1368" s="1" t="n">
        <v>1367</v>
      </c>
      <c r="B1368">
        <f>TEXT(1367, "[$-170000]yyyy-mm-dd")</f>
        <v/>
      </c>
      <c r="C1368">
        <f>TEXT(1367, "[$-060000]yyyy-mm-dd")</f>
        <v/>
      </c>
      <c r="D1368" t="inlineStr">
        <is>
          <t>1321-07-07</t>
        </is>
      </c>
    </row>
    <row r="1369">
      <c r="A1369" s="1" t="n">
        <v>1368</v>
      </c>
      <c r="B1369">
        <f>TEXT(1368, "[$-170000]yyyy-mm-dd")</f>
        <v/>
      </c>
      <c r="C1369">
        <f>TEXT(1368, "[$-060000]yyyy-mm-dd")</f>
        <v/>
      </c>
      <c r="D1369" t="inlineStr">
        <is>
          <t>1321-07-08</t>
        </is>
      </c>
    </row>
    <row r="1370">
      <c r="A1370" s="1" t="n">
        <v>1369</v>
      </c>
      <c r="B1370">
        <f>TEXT(1369, "[$-170000]yyyy-mm-dd")</f>
        <v/>
      </c>
      <c r="C1370">
        <f>TEXT(1369, "[$-060000]yyyy-mm-dd")</f>
        <v/>
      </c>
      <c r="D1370" t="inlineStr">
        <is>
          <t>1321-07-09</t>
        </is>
      </c>
    </row>
    <row r="1371">
      <c r="A1371" s="1" t="n">
        <v>1370</v>
      </c>
      <c r="B1371">
        <f>TEXT(1370, "[$-170000]yyyy-mm-dd")</f>
        <v/>
      </c>
      <c r="C1371">
        <f>TEXT(1370, "[$-060000]yyyy-mm-dd")</f>
        <v/>
      </c>
      <c r="D1371" t="inlineStr">
        <is>
          <t>1321-07-10</t>
        </is>
      </c>
    </row>
    <row r="1372">
      <c r="A1372" s="1" t="n">
        <v>1371</v>
      </c>
      <c r="B1372">
        <f>TEXT(1371, "[$-170000]yyyy-mm-dd")</f>
        <v/>
      </c>
      <c r="C1372">
        <f>TEXT(1371, "[$-060000]yyyy-mm-dd")</f>
        <v/>
      </c>
      <c r="D1372" t="inlineStr">
        <is>
          <t>1321-07-11</t>
        </is>
      </c>
    </row>
    <row r="1373">
      <c r="A1373" s="1" t="n">
        <v>1372</v>
      </c>
      <c r="B1373">
        <f>TEXT(1372, "[$-170000]yyyy-mm-dd")</f>
        <v/>
      </c>
      <c r="C1373">
        <f>TEXT(1372, "[$-060000]yyyy-mm-dd")</f>
        <v/>
      </c>
      <c r="D1373" t="inlineStr">
        <is>
          <t>1321-07-12</t>
        </is>
      </c>
    </row>
    <row r="1374">
      <c r="A1374" s="1" t="n">
        <v>1373</v>
      </c>
      <c r="B1374">
        <f>TEXT(1373, "[$-170000]yyyy-mm-dd")</f>
        <v/>
      </c>
      <c r="C1374">
        <f>TEXT(1373, "[$-060000]yyyy-mm-dd")</f>
        <v/>
      </c>
      <c r="D1374" t="inlineStr">
        <is>
          <t>1321-07-13</t>
        </is>
      </c>
    </row>
    <row r="1375">
      <c r="A1375" s="1" t="n">
        <v>1374</v>
      </c>
      <c r="B1375">
        <f>TEXT(1374, "[$-170000]yyyy-mm-dd")</f>
        <v/>
      </c>
      <c r="C1375">
        <f>TEXT(1374, "[$-060000]yyyy-mm-dd")</f>
        <v/>
      </c>
      <c r="D1375" t="inlineStr">
        <is>
          <t>1321-07-14</t>
        </is>
      </c>
    </row>
    <row r="1376">
      <c r="A1376" s="1" t="n">
        <v>1375</v>
      </c>
      <c r="B1376">
        <f>TEXT(1375, "[$-170000]yyyy-mm-dd")</f>
        <v/>
      </c>
      <c r="C1376">
        <f>TEXT(1375, "[$-060000]yyyy-mm-dd")</f>
        <v/>
      </c>
      <c r="D1376" t="inlineStr">
        <is>
          <t>1321-07-15</t>
        </is>
      </c>
    </row>
    <row r="1377">
      <c r="A1377" s="1" t="n">
        <v>1376</v>
      </c>
      <c r="B1377">
        <f>TEXT(1376, "[$-170000]yyyy-mm-dd")</f>
        <v/>
      </c>
      <c r="C1377">
        <f>TEXT(1376, "[$-060000]yyyy-mm-dd")</f>
        <v/>
      </c>
      <c r="D1377" t="inlineStr">
        <is>
          <t>1321-07-16</t>
        </is>
      </c>
    </row>
    <row r="1378">
      <c r="A1378" s="1" t="n">
        <v>1377</v>
      </c>
      <c r="B1378">
        <f>TEXT(1377, "[$-170000]yyyy-mm-dd")</f>
        <v/>
      </c>
      <c r="C1378">
        <f>TEXT(1377, "[$-060000]yyyy-mm-dd")</f>
        <v/>
      </c>
      <c r="D1378" t="inlineStr">
        <is>
          <t>1321-07-17</t>
        </is>
      </c>
    </row>
    <row r="1379">
      <c r="A1379" s="1" t="n">
        <v>1378</v>
      </c>
      <c r="B1379">
        <f>TEXT(1378, "[$-170000]yyyy-mm-dd")</f>
        <v/>
      </c>
      <c r="C1379">
        <f>TEXT(1378, "[$-060000]yyyy-mm-dd")</f>
        <v/>
      </c>
      <c r="D1379" t="inlineStr">
        <is>
          <t>1321-07-18</t>
        </is>
      </c>
    </row>
    <row r="1380">
      <c r="A1380" s="1" t="n">
        <v>1379</v>
      </c>
      <c r="B1380">
        <f>TEXT(1379, "[$-170000]yyyy-mm-dd")</f>
        <v/>
      </c>
      <c r="C1380">
        <f>TEXT(1379, "[$-060000]yyyy-mm-dd")</f>
        <v/>
      </c>
      <c r="D1380" t="inlineStr">
        <is>
          <t>1321-07-19</t>
        </is>
      </c>
    </row>
    <row r="1381">
      <c r="A1381" s="1" t="n">
        <v>1380</v>
      </c>
      <c r="B1381">
        <f>TEXT(1380, "[$-170000]yyyy-mm-dd")</f>
        <v/>
      </c>
      <c r="C1381">
        <f>TEXT(1380, "[$-060000]yyyy-mm-dd")</f>
        <v/>
      </c>
      <c r="D1381" t="inlineStr">
        <is>
          <t>1321-07-20</t>
        </is>
      </c>
    </row>
    <row r="1382">
      <c r="A1382" s="1" t="n">
        <v>1381</v>
      </c>
      <c r="B1382">
        <f>TEXT(1381, "[$-170000]yyyy-mm-dd")</f>
        <v/>
      </c>
      <c r="C1382">
        <f>TEXT(1381, "[$-060000]yyyy-mm-dd")</f>
        <v/>
      </c>
      <c r="D1382" t="inlineStr">
        <is>
          <t>1321-07-21</t>
        </is>
      </c>
    </row>
    <row r="1383">
      <c r="A1383" s="1" t="n">
        <v>1382</v>
      </c>
      <c r="B1383">
        <f>TEXT(1382, "[$-170000]yyyy-mm-dd")</f>
        <v/>
      </c>
      <c r="C1383">
        <f>TEXT(1382, "[$-060000]yyyy-mm-dd")</f>
        <v/>
      </c>
      <c r="D1383" t="inlineStr">
        <is>
          <t>1321-07-22</t>
        </is>
      </c>
    </row>
    <row r="1384">
      <c r="A1384" s="1" t="n">
        <v>1383</v>
      </c>
      <c r="B1384">
        <f>TEXT(1383, "[$-170000]yyyy-mm-dd")</f>
        <v/>
      </c>
      <c r="C1384">
        <f>TEXT(1383, "[$-060000]yyyy-mm-dd")</f>
        <v/>
      </c>
      <c r="D1384" t="inlineStr">
        <is>
          <t>1321-07-23</t>
        </is>
      </c>
    </row>
    <row r="1385">
      <c r="A1385" s="1" t="n">
        <v>1384</v>
      </c>
      <c r="B1385">
        <f>TEXT(1384, "[$-170000]yyyy-mm-dd")</f>
        <v/>
      </c>
      <c r="C1385">
        <f>TEXT(1384, "[$-060000]yyyy-mm-dd")</f>
        <v/>
      </c>
      <c r="D1385" t="inlineStr">
        <is>
          <t>1321-07-24</t>
        </is>
      </c>
    </row>
    <row r="1386">
      <c r="A1386" s="1" t="n">
        <v>1385</v>
      </c>
      <c r="B1386">
        <f>TEXT(1385, "[$-170000]yyyy-mm-dd")</f>
        <v/>
      </c>
      <c r="C1386">
        <f>TEXT(1385, "[$-060000]yyyy-mm-dd")</f>
        <v/>
      </c>
      <c r="D1386" t="inlineStr">
        <is>
          <t>1321-07-25</t>
        </is>
      </c>
    </row>
    <row r="1387">
      <c r="A1387" s="1" t="n">
        <v>1386</v>
      </c>
      <c r="B1387">
        <f>TEXT(1386, "[$-170000]yyyy-mm-dd")</f>
        <v/>
      </c>
      <c r="C1387">
        <f>TEXT(1386, "[$-060000]yyyy-mm-dd")</f>
        <v/>
      </c>
      <c r="D1387" t="inlineStr">
        <is>
          <t>1321-07-26</t>
        </is>
      </c>
    </row>
    <row r="1388">
      <c r="A1388" s="1" t="n">
        <v>1387</v>
      </c>
      <c r="B1388">
        <f>TEXT(1387, "[$-170000]yyyy-mm-dd")</f>
        <v/>
      </c>
      <c r="C1388">
        <f>TEXT(1387, "[$-060000]yyyy-mm-dd")</f>
        <v/>
      </c>
      <c r="D1388" t="inlineStr">
        <is>
          <t>1321-07-27</t>
        </is>
      </c>
    </row>
    <row r="1389">
      <c r="A1389" s="1" t="n">
        <v>1388</v>
      </c>
      <c r="B1389">
        <f>TEXT(1388, "[$-170000]yyyy-mm-dd")</f>
        <v/>
      </c>
      <c r="C1389">
        <f>TEXT(1388, "[$-060000]yyyy-mm-dd")</f>
        <v/>
      </c>
      <c r="D1389" t="inlineStr">
        <is>
          <t>1321-07-28</t>
        </is>
      </c>
    </row>
    <row r="1390">
      <c r="A1390" s="1" t="n">
        <v>1389</v>
      </c>
      <c r="B1390">
        <f>TEXT(1389, "[$-170000]yyyy-mm-dd")</f>
        <v/>
      </c>
      <c r="C1390">
        <f>TEXT(1389, "[$-060000]yyyy-mm-dd")</f>
        <v/>
      </c>
      <c r="D1390" t="inlineStr">
        <is>
          <t>1321-07-29</t>
        </is>
      </c>
    </row>
    <row r="1391">
      <c r="A1391" s="1" t="n">
        <v>1390</v>
      </c>
      <c r="B1391">
        <f>TEXT(1390, "[$-170000]yyyy-mm-dd")</f>
        <v/>
      </c>
      <c r="C1391">
        <f>TEXT(1390, "[$-060000]yyyy-mm-dd")</f>
        <v/>
      </c>
      <c r="D1391" t="inlineStr">
        <is>
          <t>1321-07-30</t>
        </is>
      </c>
    </row>
    <row r="1392">
      <c r="A1392" s="1" t="n">
        <v>1391</v>
      </c>
      <c r="B1392">
        <f>TEXT(1391, "[$-170000]yyyy-mm-dd")</f>
        <v/>
      </c>
      <c r="C1392">
        <f>TEXT(1391, "[$-060000]yyyy-mm-dd")</f>
        <v/>
      </c>
      <c r="D1392" t="inlineStr">
        <is>
          <t>1321-08-01</t>
        </is>
      </c>
    </row>
    <row r="1393">
      <c r="A1393" s="1" t="n">
        <v>1392</v>
      </c>
      <c r="B1393">
        <f>TEXT(1392, "[$-170000]yyyy-mm-dd")</f>
        <v/>
      </c>
      <c r="C1393">
        <f>TEXT(1392, "[$-060000]yyyy-mm-dd")</f>
        <v/>
      </c>
      <c r="D1393" t="inlineStr">
        <is>
          <t>1321-08-02</t>
        </is>
      </c>
    </row>
    <row r="1394">
      <c r="A1394" s="1" t="n">
        <v>1393</v>
      </c>
      <c r="B1394">
        <f>TEXT(1393, "[$-170000]yyyy-mm-dd")</f>
        <v/>
      </c>
      <c r="C1394">
        <f>TEXT(1393, "[$-060000]yyyy-mm-dd")</f>
        <v/>
      </c>
      <c r="D1394" t="inlineStr">
        <is>
          <t>1321-08-03</t>
        </is>
      </c>
    </row>
    <row r="1395">
      <c r="A1395" s="1" t="n">
        <v>1394</v>
      </c>
      <c r="B1395">
        <f>TEXT(1394, "[$-170000]yyyy-mm-dd")</f>
        <v/>
      </c>
      <c r="C1395">
        <f>TEXT(1394, "[$-060000]yyyy-mm-dd")</f>
        <v/>
      </c>
      <c r="D1395" t="inlineStr">
        <is>
          <t>1321-08-04</t>
        </is>
      </c>
    </row>
    <row r="1396">
      <c r="A1396" s="1" t="n">
        <v>1395</v>
      </c>
      <c r="B1396">
        <f>TEXT(1395, "[$-170000]yyyy-mm-dd")</f>
        <v/>
      </c>
      <c r="C1396">
        <f>TEXT(1395, "[$-060000]yyyy-mm-dd")</f>
        <v/>
      </c>
      <c r="D1396" t="inlineStr">
        <is>
          <t>1321-08-05</t>
        </is>
      </c>
    </row>
    <row r="1397">
      <c r="A1397" s="1" t="n">
        <v>1396</v>
      </c>
      <c r="B1397">
        <f>TEXT(1396, "[$-170000]yyyy-mm-dd")</f>
        <v/>
      </c>
      <c r="C1397">
        <f>TEXT(1396, "[$-060000]yyyy-mm-dd")</f>
        <v/>
      </c>
      <c r="D1397" t="inlineStr">
        <is>
          <t>1321-08-06</t>
        </is>
      </c>
    </row>
    <row r="1398">
      <c r="A1398" s="1" t="n">
        <v>1397</v>
      </c>
      <c r="B1398">
        <f>TEXT(1397, "[$-170000]yyyy-mm-dd")</f>
        <v/>
      </c>
      <c r="C1398">
        <f>TEXT(1397, "[$-060000]yyyy-mm-dd")</f>
        <v/>
      </c>
      <c r="D1398" t="inlineStr">
        <is>
          <t>1321-08-07</t>
        </is>
      </c>
    </row>
    <row r="1399">
      <c r="A1399" s="1" t="n">
        <v>1398</v>
      </c>
      <c r="B1399">
        <f>TEXT(1398, "[$-170000]yyyy-mm-dd")</f>
        <v/>
      </c>
      <c r="C1399">
        <f>TEXT(1398, "[$-060000]yyyy-mm-dd")</f>
        <v/>
      </c>
      <c r="D1399" t="inlineStr">
        <is>
          <t>1321-08-08</t>
        </is>
      </c>
    </row>
    <row r="1400">
      <c r="A1400" s="1" t="n">
        <v>1399</v>
      </c>
      <c r="B1400">
        <f>TEXT(1399, "[$-170000]yyyy-mm-dd")</f>
        <v/>
      </c>
      <c r="C1400">
        <f>TEXT(1399, "[$-060000]yyyy-mm-dd")</f>
        <v/>
      </c>
      <c r="D1400" t="inlineStr">
        <is>
          <t>1321-08-09</t>
        </is>
      </c>
    </row>
    <row r="1401">
      <c r="A1401" s="1" t="n">
        <v>1400</v>
      </c>
      <c r="B1401">
        <f>TEXT(1400, "[$-170000]yyyy-mm-dd")</f>
        <v/>
      </c>
      <c r="C1401">
        <f>TEXT(1400, "[$-060000]yyyy-mm-dd")</f>
        <v/>
      </c>
      <c r="D1401" t="inlineStr">
        <is>
          <t>1321-08-10</t>
        </is>
      </c>
    </row>
    <row r="1402">
      <c r="A1402" s="1" t="n">
        <v>1401</v>
      </c>
      <c r="B1402">
        <f>TEXT(1401, "[$-170000]yyyy-mm-dd")</f>
        <v/>
      </c>
      <c r="C1402">
        <f>TEXT(1401, "[$-060000]yyyy-mm-dd")</f>
        <v/>
      </c>
      <c r="D1402" t="inlineStr">
        <is>
          <t>1321-08-11</t>
        </is>
      </c>
    </row>
    <row r="1403">
      <c r="A1403" s="1" t="n">
        <v>1402</v>
      </c>
      <c r="B1403">
        <f>TEXT(1402, "[$-170000]yyyy-mm-dd")</f>
        <v/>
      </c>
      <c r="C1403">
        <f>TEXT(1402, "[$-060000]yyyy-mm-dd")</f>
        <v/>
      </c>
      <c r="D1403" t="inlineStr">
        <is>
          <t>1321-08-12</t>
        </is>
      </c>
    </row>
    <row r="1404">
      <c r="A1404" s="1" t="n">
        <v>1403</v>
      </c>
      <c r="B1404">
        <f>TEXT(1403, "[$-170000]yyyy-mm-dd")</f>
        <v/>
      </c>
      <c r="C1404">
        <f>TEXT(1403, "[$-060000]yyyy-mm-dd")</f>
        <v/>
      </c>
      <c r="D1404" t="inlineStr">
        <is>
          <t>1321-08-13</t>
        </is>
      </c>
    </row>
    <row r="1405">
      <c r="A1405" s="1" t="n">
        <v>1404</v>
      </c>
      <c r="B1405">
        <f>TEXT(1404, "[$-170000]yyyy-mm-dd")</f>
        <v/>
      </c>
      <c r="C1405">
        <f>TEXT(1404, "[$-060000]yyyy-mm-dd")</f>
        <v/>
      </c>
      <c r="D1405" t="inlineStr">
        <is>
          <t>1321-08-14</t>
        </is>
      </c>
    </row>
    <row r="1406">
      <c r="A1406" s="1" t="n">
        <v>1405</v>
      </c>
      <c r="B1406">
        <f>TEXT(1405, "[$-170000]yyyy-mm-dd")</f>
        <v/>
      </c>
      <c r="C1406">
        <f>TEXT(1405, "[$-060000]yyyy-mm-dd")</f>
        <v/>
      </c>
      <c r="D1406" t="inlineStr">
        <is>
          <t>1321-08-15</t>
        </is>
      </c>
    </row>
    <row r="1407">
      <c r="A1407" s="1" t="n">
        <v>1406</v>
      </c>
      <c r="B1407">
        <f>TEXT(1406, "[$-170000]yyyy-mm-dd")</f>
        <v/>
      </c>
      <c r="C1407">
        <f>TEXT(1406, "[$-060000]yyyy-mm-dd")</f>
        <v/>
      </c>
      <c r="D1407" t="inlineStr">
        <is>
          <t>1321-08-16</t>
        </is>
      </c>
    </row>
    <row r="1408">
      <c r="A1408" s="1" t="n">
        <v>1407</v>
      </c>
      <c r="B1408">
        <f>TEXT(1407, "[$-170000]yyyy-mm-dd")</f>
        <v/>
      </c>
      <c r="C1408">
        <f>TEXT(1407, "[$-060000]yyyy-mm-dd")</f>
        <v/>
      </c>
      <c r="D1408" t="inlineStr">
        <is>
          <t>1321-08-17</t>
        </is>
      </c>
    </row>
    <row r="1409">
      <c r="A1409" s="1" t="n">
        <v>1408</v>
      </c>
      <c r="B1409">
        <f>TEXT(1408, "[$-170000]yyyy-mm-dd")</f>
        <v/>
      </c>
      <c r="C1409">
        <f>TEXT(1408, "[$-060000]yyyy-mm-dd")</f>
        <v/>
      </c>
      <c r="D1409" t="inlineStr">
        <is>
          <t>1321-08-18</t>
        </is>
      </c>
    </row>
    <row r="1410">
      <c r="A1410" s="1" t="n">
        <v>1409</v>
      </c>
      <c r="B1410">
        <f>TEXT(1409, "[$-170000]yyyy-mm-dd")</f>
        <v/>
      </c>
      <c r="C1410">
        <f>TEXT(1409, "[$-060000]yyyy-mm-dd")</f>
        <v/>
      </c>
      <c r="D1410" t="inlineStr">
        <is>
          <t>1321-08-19</t>
        </is>
      </c>
    </row>
    <row r="1411">
      <c r="A1411" s="1" t="n">
        <v>1410</v>
      </c>
      <c r="B1411">
        <f>TEXT(1410, "[$-170000]yyyy-mm-dd")</f>
        <v/>
      </c>
      <c r="C1411">
        <f>TEXT(1410, "[$-060000]yyyy-mm-dd")</f>
        <v/>
      </c>
      <c r="D1411" t="inlineStr">
        <is>
          <t>1321-08-20</t>
        </is>
      </c>
    </row>
    <row r="1412">
      <c r="A1412" s="1" t="n">
        <v>1411</v>
      </c>
      <c r="B1412">
        <f>TEXT(1411, "[$-170000]yyyy-mm-dd")</f>
        <v/>
      </c>
      <c r="C1412">
        <f>TEXT(1411, "[$-060000]yyyy-mm-dd")</f>
        <v/>
      </c>
      <c r="D1412" t="inlineStr">
        <is>
          <t>1321-08-21</t>
        </is>
      </c>
    </row>
    <row r="1413">
      <c r="A1413" s="1" t="n">
        <v>1412</v>
      </c>
      <c r="B1413">
        <f>TEXT(1412, "[$-170000]yyyy-mm-dd")</f>
        <v/>
      </c>
      <c r="C1413">
        <f>TEXT(1412, "[$-060000]yyyy-mm-dd")</f>
        <v/>
      </c>
      <c r="D1413" t="inlineStr">
        <is>
          <t>1321-08-22</t>
        </is>
      </c>
    </row>
    <row r="1414">
      <c r="A1414" s="1" t="n">
        <v>1413</v>
      </c>
      <c r="B1414">
        <f>TEXT(1413, "[$-170000]yyyy-mm-dd")</f>
        <v/>
      </c>
      <c r="C1414">
        <f>TEXT(1413, "[$-060000]yyyy-mm-dd")</f>
        <v/>
      </c>
      <c r="D1414" t="inlineStr">
        <is>
          <t>1321-08-23</t>
        </is>
      </c>
    </row>
    <row r="1415">
      <c r="A1415" s="1" t="n">
        <v>1414</v>
      </c>
      <c r="B1415">
        <f>TEXT(1414, "[$-170000]yyyy-mm-dd")</f>
        <v/>
      </c>
      <c r="C1415">
        <f>TEXT(1414, "[$-060000]yyyy-mm-dd")</f>
        <v/>
      </c>
      <c r="D1415" t="inlineStr">
        <is>
          <t>1321-08-24</t>
        </is>
      </c>
    </row>
    <row r="1416">
      <c r="A1416" s="1" t="n">
        <v>1415</v>
      </c>
      <c r="B1416">
        <f>TEXT(1415, "[$-170000]yyyy-mm-dd")</f>
        <v/>
      </c>
      <c r="C1416">
        <f>TEXT(1415, "[$-060000]yyyy-mm-dd")</f>
        <v/>
      </c>
      <c r="D1416" t="inlineStr">
        <is>
          <t>1321-08-25</t>
        </is>
      </c>
    </row>
    <row r="1417">
      <c r="A1417" s="1" t="n">
        <v>1416</v>
      </c>
      <c r="B1417">
        <f>TEXT(1416, "[$-170000]yyyy-mm-dd")</f>
        <v/>
      </c>
      <c r="C1417">
        <f>TEXT(1416, "[$-060000]yyyy-mm-dd")</f>
        <v/>
      </c>
      <c r="D1417" t="inlineStr">
        <is>
          <t>1321-08-26</t>
        </is>
      </c>
    </row>
    <row r="1418">
      <c r="A1418" s="1" t="n">
        <v>1417</v>
      </c>
      <c r="B1418">
        <f>TEXT(1417, "[$-170000]yyyy-mm-dd")</f>
        <v/>
      </c>
      <c r="C1418">
        <f>TEXT(1417, "[$-060000]yyyy-mm-dd")</f>
        <v/>
      </c>
      <c r="D1418" t="inlineStr">
        <is>
          <t>1321-08-27</t>
        </is>
      </c>
    </row>
    <row r="1419">
      <c r="A1419" s="1" t="n">
        <v>1418</v>
      </c>
      <c r="B1419">
        <f>TEXT(1418, "[$-170000]yyyy-mm-dd")</f>
        <v/>
      </c>
      <c r="C1419">
        <f>TEXT(1418, "[$-060000]yyyy-mm-dd")</f>
        <v/>
      </c>
      <c r="D1419" t="inlineStr">
        <is>
          <t>1321-08-28</t>
        </is>
      </c>
    </row>
    <row r="1420">
      <c r="A1420" s="1" t="n">
        <v>1419</v>
      </c>
      <c r="B1420">
        <f>TEXT(1419, "[$-170000]yyyy-mm-dd")</f>
        <v/>
      </c>
      <c r="C1420">
        <f>TEXT(1419, "[$-060000]yyyy-mm-dd")</f>
        <v/>
      </c>
      <c r="D1420" t="inlineStr">
        <is>
          <t>1321-08-29</t>
        </is>
      </c>
    </row>
    <row r="1421">
      <c r="A1421" s="1" t="n">
        <v>1420</v>
      </c>
      <c r="B1421">
        <f>TEXT(1420, "[$-170000]yyyy-mm-dd")</f>
        <v/>
      </c>
      <c r="C1421">
        <f>TEXT(1420, "[$-060000]yyyy-mm-dd")</f>
        <v/>
      </c>
      <c r="D1421" t="inlineStr">
        <is>
          <t>1321-09-01</t>
        </is>
      </c>
    </row>
    <row r="1422">
      <c r="A1422" s="1" t="n">
        <v>1421</v>
      </c>
      <c r="B1422">
        <f>TEXT(1421, "[$-170000]yyyy-mm-dd")</f>
        <v/>
      </c>
      <c r="C1422">
        <f>TEXT(1421, "[$-060000]yyyy-mm-dd")</f>
        <v/>
      </c>
      <c r="D1422" t="inlineStr">
        <is>
          <t>1321-09-02</t>
        </is>
      </c>
    </row>
    <row r="1423">
      <c r="A1423" s="1" t="n">
        <v>1422</v>
      </c>
      <c r="B1423">
        <f>TEXT(1422, "[$-170000]yyyy-mm-dd")</f>
        <v/>
      </c>
      <c r="C1423">
        <f>TEXT(1422, "[$-060000]yyyy-mm-dd")</f>
        <v/>
      </c>
      <c r="D1423" t="inlineStr">
        <is>
          <t>1321-09-03</t>
        </is>
      </c>
    </row>
    <row r="1424">
      <c r="A1424" s="1" t="n">
        <v>1423</v>
      </c>
      <c r="B1424">
        <f>TEXT(1423, "[$-170000]yyyy-mm-dd")</f>
        <v/>
      </c>
      <c r="C1424">
        <f>TEXT(1423, "[$-060000]yyyy-mm-dd")</f>
        <v/>
      </c>
      <c r="D1424" t="inlineStr">
        <is>
          <t>1321-09-04</t>
        </is>
      </c>
    </row>
    <row r="1425">
      <c r="A1425" s="1" t="n">
        <v>1424</v>
      </c>
      <c r="B1425">
        <f>TEXT(1424, "[$-170000]yyyy-mm-dd")</f>
        <v/>
      </c>
      <c r="C1425">
        <f>TEXT(1424, "[$-060000]yyyy-mm-dd")</f>
        <v/>
      </c>
      <c r="D1425" t="inlineStr">
        <is>
          <t>1321-09-05</t>
        </is>
      </c>
    </row>
    <row r="1426">
      <c r="A1426" s="1" t="n">
        <v>1425</v>
      </c>
      <c r="B1426">
        <f>TEXT(1425, "[$-170000]yyyy-mm-dd")</f>
        <v/>
      </c>
      <c r="C1426">
        <f>TEXT(1425, "[$-060000]yyyy-mm-dd")</f>
        <v/>
      </c>
      <c r="D1426" t="inlineStr">
        <is>
          <t>1321-09-06</t>
        </is>
      </c>
    </row>
    <row r="1427">
      <c r="A1427" s="1" t="n">
        <v>1426</v>
      </c>
      <c r="B1427">
        <f>TEXT(1426, "[$-170000]yyyy-mm-dd")</f>
        <v/>
      </c>
      <c r="C1427">
        <f>TEXT(1426, "[$-060000]yyyy-mm-dd")</f>
        <v/>
      </c>
      <c r="D1427" t="inlineStr">
        <is>
          <t>1321-09-07</t>
        </is>
      </c>
    </row>
    <row r="1428">
      <c r="A1428" s="1" t="n">
        <v>1427</v>
      </c>
      <c r="B1428">
        <f>TEXT(1427, "[$-170000]yyyy-mm-dd")</f>
        <v/>
      </c>
      <c r="C1428">
        <f>TEXT(1427, "[$-060000]yyyy-mm-dd")</f>
        <v/>
      </c>
      <c r="D1428" t="inlineStr">
        <is>
          <t>1321-09-08</t>
        </is>
      </c>
    </row>
    <row r="1429">
      <c r="A1429" s="1" t="n">
        <v>1428</v>
      </c>
      <c r="B1429">
        <f>TEXT(1428, "[$-170000]yyyy-mm-dd")</f>
        <v/>
      </c>
      <c r="C1429">
        <f>TEXT(1428, "[$-060000]yyyy-mm-dd")</f>
        <v/>
      </c>
      <c r="D1429" t="inlineStr">
        <is>
          <t>1321-09-09</t>
        </is>
      </c>
    </row>
    <row r="1430">
      <c r="A1430" s="1" t="n">
        <v>1429</v>
      </c>
      <c r="B1430">
        <f>TEXT(1429, "[$-170000]yyyy-mm-dd")</f>
        <v/>
      </c>
      <c r="C1430">
        <f>TEXT(1429, "[$-060000]yyyy-mm-dd")</f>
        <v/>
      </c>
      <c r="D1430" t="inlineStr">
        <is>
          <t>1321-09-10</t>
        </is>
      </c>
    </row>
    <row r="1431">
      <c r="A1431" s="1" t="n">
        <v>1430</v>
      </c>
      <c r="B1431">
        <f>TEXT(1430, "[$-170000]yyyy-mm-dd")</f>
        <v/>
      </c>
      <c r="C1431">
        <f>TEXT(1430, "[$-060000]yyyy-mm-dd")</f>
        <v/>
      </c>
      <c r="D1431" t="inlineStr">
        <is>
          <t>1321-09-11</t>
        </is>
      </c>
    </row>
    <row r="1432">
      <c r="A1432" s="1" t="n">
        <v>1431</v>
      </c>
      <c r="B1432">
        <f>TEXT(1431, "[$-170000]yyyy-mm-dd")</f>
        <v/>
      </c>
      <c r="C1432">
        <f>TEXT(1431, "[$-060000]yyyy-mm-dd")</f>
        <v/>
      </c>
      <c r="D1432" t="inlineStr">
        <is>
          <t>1321-09-12</t>
        </is>
      </c>
    </row>
    <row r="1433">
      <c r="A1433" s="1" t="n">
        <v>1432</v>
      </c>
      <c r="B1433">
        <f>TEXT(1432, "[$-170000]yyyy-mm-dd")</f>
        <v/>
      </c>
      <c r="C1433">
        <f>TEXT(1432, "[$-060000]yyyy-mm-dd")</f>
        <v/>
      </c>
      <c r="D1433" t="inlineStr">
        <is>
          <t>1321-09-13</t>
        </is>
      </c>
    </row>
    <row r="1434">
      <c r="A1434" s="1" t="n">
        <v>1433</v>
      </c>
      <c r="B1434">
        <f>TEXT(1433, "[$-170000]yyyy-mm-dd")</f>
        <v/>
      </c>
      <c r="C1434">
        <f>TEXT(1433, "[$-060000]yyyy-mm-dd")</f>
        <v/>
      </c>
      <c r="D1434" t="inlineStr">
        <is>
          <t>1321-09-14</t>
        </is>
      </c>
    </row>
    <row r="1435">
      <c r="A1435" s="1" t="n">
        <v>1434</v>
      </c>
      <c r="B1435">
        <f>TEXT(1434, "[$-170000]yyyy-mm-dd")</f>
        <v/>
      </c>
      <c r="C1435">
        <f>TEXT(1434, "[$-060000]yyyy-mm-dd")</f>
        <v/>
      </c>
      <c r="D1435" t="inlineStr">
        <is>
          <t>1321-09-15</t>
        </is>
      </c>
    </row>
    <row r="1436">
      <c r="A1436" s="1" t="n">
        <v>1435</v>
      </c>
      <c r="B1436">
        <f>TEXT(1435, "[$-170000]yyyy-mm-dd")</f>
        <v/>
      </c>
      <c r="C1436">
        <f>TEXT(1435, "[$-060000]yyyy-mm-dd")</f>
        <v/>
      </c>
      <c r="D1436" t="inlineStr">
        <is>
          <t>1321-09-16</t>
        </is>
      </c>
    </row>
    <row r="1437">
      <c r="A1437" s="1" t="n">
        <v>1436</v>
      </c>
      <c r="B1437">
        <f>TEXT(1436, "[$-170000]yyyy-mm-dd")</f>
        <v/>
      </c>
      <c r="C1437">
        <f>TEXT(1436, "[$-060000]yyyy-mm-dd")</f>
        <v/>
      </c>
      <c r="D1437" t="inlineStr">
        <is>
          <t>1321-09-17</t>
        </is>
      </c>
    </row>
    <row r="1438">
      <c r="A1438" s="1" t="n">
        <v>1437</v>
      </c>
      <c r="B1438">
        <f>TEXT(1437, "[$-170000]yyyy-mm-dd")</f>
        <v/>
      </c>
      <c r="C1438">
        <f>TEXT(1437, "[$-060000]yyyy-mm-dd")</f>
        <v/>
      </c>
      <c r="D1438" t="inlineStr">
        <is>
          <t>1321-09-18</t>
        </is>
      </c>
    </row>
    <row r="1439">
      <c r="A1439" s="1" t="n">
        <v>1438</v>
      </c>
      <c r="B1439">
        <f>TEXT(1438, "[$-170000]yyyy-mm-dd")</f>
        <v/>
      </c>
      <c r="C1439">
        <f>TEXT(1438, "[$-060000]yyyy-mm-dd")</f>
        <v/>
      </c>
      <c r="D1439" t="inlineStr">
        <is>
          <t>1321-09-19</t>
        </is>
      </c>
    </row>
    <row r="1440">
      <c r="A1440" s="1" t="n">
        <v>1439</v>
      </c>
      <c r="B1440">
        <f>TEXT(1439, "[$-170000]yyyy-mm-dd")</f>
        <v/>
      </c>
      <c r="C1440">
        <f>TEXT(1439, "[$-060000]yyyy-mm-dd")</f>
        <v/>
      </c>
      <c r="D1440" t="inlineStr">
        <is>
          <t>1321-09-20</t>
        </is>
      </c>
    </row>
    <row r="1441">
      <c r="A1441" s="1" t="n">
        <v>1440</v>
      </c>
      <c r="B1441">
        <f>TEXT(1440, "[$-170000]yyyy-mm-dd")</f>
        <v/>
      </c>
      <c r="C1441">
        <f>TEXT(1440, "[$-060000]yyyy-mm-dd")</f>
        <v/>
      </c>
      <c r="D1441" t="inlineStr">
        <is>
          <t>1321-09-21</t>
        </is>
      </c>
    </row>
    <row r="1442">
      <c r="A1442" s="1" t="n">
        <v>1441</v>
      </c>
      <c r="B1442">
        <f>TEXT(1441, "[$-170000]yyyy-mm-dd")</f>
        <v/>
      </c>
      <c r="C1442">
        <f>TEXT(1441, "[$-060000]yyyy-mm-dd")</f>
        <v/>
      </c>
      <c r="D1442" t="inlineStr">
        <is>
          <t>1321-09-22</t>
        </is>
      </c>
    </row>
    <row r="1443">
      <c r="A1443" s="1" t="n">
        <v>1442</v>
      </c>
      <c r="B1443">
        <f>TEXT(1442, "[$-170000]yyyy-mm-dd")</f>
        <v/>
      </c>
      <c r="C1443">
        <f>TEXT(1442, "[$-060000]yyyy-mm-dd")</f>
        <v/>
      </c>
      <c r="D1443" t="inlineStr">
        <is>
          <t>1321-09-23</t>
        </is>
      </c>
    </row>
    <row r="1444">
      <c r="A1444" s="1" t="n">
        <v>1443</v>
      </c>
      <c r="B1444">
        <f>TEXT(1443, "[$-170000]yyyy-mm-dd")</f>
        <v/>
      </c>
      <c r="C1444">
        <f>TEXT(1443, "[$-060000]yyyy-mm-dd")</f>
        <v/>
      </c>
      <c r="D1444" t="inlineStr">
        <is>
          <t>1321-09-24</t>
        </is>
      </c>
    </row>
    <row r="1445">
      <c r="A1445" s="1" t="n">
        <v>1444</v>
      </c>
      <c r="B1445">
        <f>TEXT(1444, "[$-170000]yyyy-mm-dd")</f>
        <v/>
      </c>
      <c r="C1445">
        <f>TEXT(1444, "[$-060000]yyyy-mm-dd")</f>
        <v/>
      </c>
      <c r="D1445" t="inlineStr">
        <is>
          <t>1321-09-25</t>
        </is>
      </c>
    </row>
    <row r="1446">
      <c r="A1446" s="1" t="n">
        <v>1445</v>
      </c>
      <c r="B1446">
        <f>TEXT(1445, "[$-170000]yyyy-mm-dd")</f>
        <v/>
      </c>
      <c r="C1446">
        <f>TEXT(1445, "[$-060000]yyyy-mm-dd")</f>
        <v/>
      </c>
      <c r="D1446" t="inlineStr">
        <is>
          <t>1321-09-26</t>
        </is>
      </c>
    </row>
    <row r="1447">
      <c r="A1447" s="1" t="n">
        <v>1446</v>
      </c>
      <c r="B1447">
        <f>TEXT(1446, "[$-170000]yyyy-mm-dd")</f>
        <v/>
      </c>
      <c r="C1447">
        <f>TEXT(1446, "[$-060000]yyyy-mm-dd")</f>
        <v/>
      </c>
      <c r="D1447" t="inlineStr">
        <is>
          <t>1321-09-27</t>
        </is>
      </c>
    </row>
    <row r="1448">
      <c r="A1448" s="1" t="n">
        <v>1447</v>
      </c>
      <c r="B1448">
        <f>TEXT(1447, "[$-170000]yyyy-mm-dd")</f>
        <v/>
      </c>
      <c r="C1448">
        <f>TEXT(1447, "[$-060000]yyyy-mm-dd")</f>
        <v/>
      </c>
      <c r="D1448" t="inlineStr">
        <is>
          <t>1321-09-28</t>
        </is>
      </c>
    </row>
    <row r="1449">
      <c r="A1449" s="1" t="n">
        <v>1448</v>
      </c>
      <c r="B1449">
        <f>TEXT(1448, "[$-170000]yyyy-mm-dd")</f>
        <v/>
      </c>
      <c r="C1449">
        <f>TEXT(1448, "[$-060000]yyyy-mm-dd")</f>
        <v/>
      </c>
      <c r="D1449" t="inlineStr">
        <is>
          <t>1321-09-29</t>
        </is>
      </c>
    </row>
    <row r="1450">
      <c r="A1450" s="1" t="n">
        <v>1449</v>
      </c>
      <c r="B1450">
        <f>TEXT(1449, "[$-170000]yyyy-mm-dd")</f>
        <v/>
      </c>
      <c r="C1450">
        <f>TEXT(1449, "[$-060000]yyyy-mm-dd")</f>
        <v/>
      </c>
      <c r="D1450" t="inlineStr">
        <is>
          <t>1321-09-30</t>
        </is>
      </c>
    </row>
    <row r="1451">
      <c r="A1451" s="1" t="n">
        <v>1450</v>
      </c>
      <c r="B1451">
        <f>TEXT(1450, "[$-170000]yyyy-mm-dd")</f>
        <v/>
      </c>
      <c r="C1451">
        <f>TEXT(1450, "[$-060000]yyyy-mm-dd")</f>
        <v/>
      </c>
      <c r="D1451" t="inlineStr">
        <is>
          <t>1321-10-01</t>
        </is>
      </c>
    </row>
    <row r="1452">
      <c r="A1452" s="1" t="n">
        <v>1451</v>
      </c>
      <c r="B1452">
        <f>TEXT(1451, "[$-170000]yyyy-mm-dd")</f>
        <v/>
      </c>
      <c r="C1452">
        <f>TEXT(1451, "[$-060000]yyyy-mm-dd")</f>
        <v/>
      </c>
      <c r="D1452" t="inlineStr">
        <is>
          <t>1321-10-02</t>
        </is>
      </c>
    </row>
    <row r="1453">
      <c r="A1453" s="1" t="n">
        <v>1452</v>
      </c>
      <c r="B1453">
        <f>TEXT(1452, "[$-170000]yyyy-mm-dd")</f>
        <v/>
      </c>
      <c r="C1453">
        <f>TEXT(1452, "[$-060000]yyyy-mm-dd")</f>
        <v/>
      </c>
      <c r="D1453" t="inlineStr">
        <is>
          <t>1321-10-03</t>
        </is>
      </c>
    </row>
    <row r="1454">
      <c r="A1454" s="1" t="n">
        <v>1453</v>
      </c>
      <c r="B1454">
        <f>TEXT(1453, "[$-170000]yyyy-mm-dd")</f>
        <v/>
      </c>
      <c r="C1454">
        <f>TEXT(1453, "[$-060000]yyyy-mm-dd")</f>
        <v/>
      </c>
      <c r="D1454" t="inlineStr">
        <is>
          <t>1321-10-04</t>
        </is>
      </c>
    </row>
    <row r="1455">
      <c r="A1455" s="1" t="n">
        <v>1454</v>
      </c>
      <c r="B1455">
        <f>TEXT(1454, "[$-170000]yyyy-mm-dd")</f>
        <v/>
      </c>
      <c r="C1455">
        <f>TEXT(1454, "[$-060000]yyyy-mm-dd")</f>
        <v/>
      </c>
      <c r="D1455" t="inlineStr">
        <is>
          <t>1321-10-05</t>
        </is>
      </c>
    </row>
    <row r="1456">
      <c r="A1456" s="1" t="n">
        <v>1455</v>
      </c>
      <c r="B1456">
        <f>TEXT(1455, "[$-170000]yyyy-mm-dd")</f>
        <v/>
      </c>
      <c r="C1456">
        <f>TEXT(1455, "[$-060000]yyyy-mm-dd")</f>
        <v/>
      </c>
      <c r="D1456" t="inlineStr">
        <is>
          <t>1321-10-06</t>
        </is>
      </c>
    </row>
    <row r="1457">
      <c r="A1457" s="1" t="n">
        <v>1456</v>
      </c>
      <c r="B1457">
        <f>TEXT(1456, "[$-170000]yyyy-mm-dd")</f>
        <v/>
      </c>
      <c r="C1457">
        <f>TEXT(1456, "[$-060000]yyyy-mm-dd")</f>
        <v/>
      </c>
      <c r="D1457" t="inlineStr">
        <is>
          <t>1321-10-07</t>
        </is>
      </c>
    </row>
    <row r="1458">
      <c r="A1458" s="1" t="n">
        <v>1457</v>
      </c>
      <c r="B1458">
        <f>TEXT(1457, "[$-170000]yyyy-mm-dd")</f>
        <v/>
      </c>
      <c r="C1458">
        <f>TEXT(1457, "[$-060000]yyyy-mm-dd")</f>
        <v/>
      </c>
      <c r="D1458" t="inlineStr">
        <is>
          <t>1321-10-08</t>
        </is>
      </c>
    </row>
    <row r="1459">
      <c r="A1459" s="1" t="n">
        <v>1458</v>
      </c>
      <c r="B1459">
        <f>TEXT(1458, "[$-170000]yyyy-mm-dd")</f>
        <v/>
      </c>
      <c r="C1459">
        <f>TEXT(1458, "[$-060000]yyyy-mm-dd")</f>
        <v/>
      </c>
      <c r="D1459" t="inlineStr">
        <is>
          <t>1321-10-09</t>
        </is>
      </c>
    </row>
    <row r="1460">
      <c r="A1460" s="1" t="n">
        <v>1459</v>
      </c>
      <c r="B1460">
        <f>TEXT(1459, "[$-170000]yyyy-mm-dd")</f>
        <v/>
      </c>
      <c r="C1460">
        <f>TEXT(1459, "[$-060000]yyyy-mm-dd")</f>
        <v/>
      </c>
      <c r="D1460" t="inlineStr">
        <is>
          <t>1321-10-10</t>
        </is>
      </c>
    </row>
    <row r="1461">
      <c r="A1461" s="1" t="n">
        <v>1460</v>
      </c>
      <c r="B1461">
        <f>TEXT(1460, "[$-170000]yyyy-mm-dd")</f>
        <v/>
      </c>
      <c r="C1461">
        <f>TEXT(1460, "[$-060000]yyyy-mm-dd")</f>
        <v/>
      </c>
      <c r="D1461" t="inlineStr">
        <is>
          <t>1321-10-11</t>
        </is>
      </c>
    </row>
    <row r="1462">
      <c r="A1462" s="1" t="n">
        <v>1461</v>
      </c>
      <c r="B1462">
        <f>TEXT(1461, "[$-170000]yyyy-mm-dd")</f>
        <v/>
      </c>
      <c r="C1462">
        <f>TEXT(1461, "[$-060000]yyyy-mm-dd")</f>
        <v/>
      </c>
      <c r="D1462" t="inlineStr">
        <is>
          <t>1321-10-12</t>
        </is>
      </c>
    </row>
    <row r="1463">
      <c r="A1463" s="1" t="n">
        <v>1462</v>
      </c>
      <c r="B1463">
        <f>TEXT(1462, "[$-170000]yyyy-mm-dd")</f>
        <v/>
      </c>
      <c r="C1463">
        <f>TEXT(1462, "[$-060000]yyyy-mm-dd")</f>
        <v/>
      </c>
      <c r="D1463" t="inlineStr">
        <is>
          <t>1321-10-13</t>
        </is>
      </c>
    </row>
    <row r="1464">
      <c r="A1464" s="1" t="n">
        <v>1463</v>
      </c>
      <c r="B1464">
        <f>TEXT(1463, "[$-170000]yyyy-mm-dd")</f>
        <v/>
      </c>
      <c r="C1464">
        <f>TEXT(1463, "[$-060000]yyyy-mm-dd")</f>
        <v/>
      </c>
      <c r="D1464" t="inlineStr">
        <is>
          <t>1321-10-14</t>
        </is>
      </c>
    </row>
    <row r="1465">
      <c r="A1465" s="1" t="n">
        <v>1464</v>
      </c>
      <c r="B1465">
        <f>TEXT(1464, "[$-170000]yyyy-mm-dd")</f>
        <v/>
      </c>
      <c r="C1465">
        <f>TEXT(1464, "[$-060000]yyyy-mm-dd")</f>
        <v/>
      </c>
      <c r="D1465" t="inlineStr">
        <is>
          <t>1321-10-15</t>
        </is>
      </c>
    </row>
    <row r="1466">
      <c r="A1466" s="1" t="n">
        <v>1465</v>
      </c>
      <c r="B1466">
        <f>TEXT(1465, "[$-170000]yyyy-mm-dd")</f>
        <v/>
      </c>
      <c r="C1466">
        <f>TEXT(1465, "[$-060000]yyyy-mm-dd")</f>
        <v/>
      </c>
      <c r="D1466" t="inlineStr">
        <is>
          <t>1321-10-16</t>
        </is>
      </c>
    </row>
    <row r="1467">
      <c r="A1467" s="1" t="n">
        <v>1466</v>
      </c>
      <c r="B1467">
        <f>TEXT(1466, "[$-170000]yyyy-mm-dd")</f>
        <v/>
      </c>
      <c r="C1467">
        <f>TEXT(1466, "[$-060000]yyyy-mm-dd")</f>
        <v/>
      </c>
      <c r="D1467" t="inlineStr">
        <is>
          <t>1321-10-17</t>
        </is>
      </c>
    </row>
    <row r="1468">
      <c r="A1468" s="1" t="n">
        <v>1467</v>
      </c>
      <c r="B1468">
        <f>TEXT(1467, "[$-170000]yyyy-mm-dd")</f>
        <v/>
      </c>
      <c r="C1468">
        <f>TEXT(1467, "[$-060000]yyyy-mm-dd")</f>
        <v/>
      </c>
      <c r="D1468" t="inlineStr">
        <is>
          <t>1321-10-18</t>
        </is>
      </c>
    </row>
    <row r="1469">
      <c r="A1469" s="1" t="n">
        <v>1468</v>
      </c>
      <c r="B1469">
        <f>TEXT(1468, "[$-170000]yyyy-mm-dd")</f>
        <v/>
      </c>
      <c r="C1469">
        <f>TEXT(1468, "[$-060000]yyyy-mm-dd")</f>
        <v/>
      </c>
      <c r="D1469" t="inlineStr">
        <is>
          <t>1321-10-19</t>
        </is>
      </c>
    </row>
    <row r="1470">
      <c r="A1470" s="1" t="n">
        <v>1469</v>
      </c>
      <c r="B1470">
        <f>TEXT(1469, "[$-170000]yyyy-mm-dd")</f>
        <v/>
      </c>
      <c r="C1470">
        <f>TEXT(1469, "[$-060000]yyyy-mm-dd")</f>
        <v/>
      </c>
      <c r="D1470" t="inlineStr">
        <is>
          <t>1321-10-20</t>
        </is>
      </c>
    </row>
    <row r="1471">
      <c r="A1471" s="1" t="n">
        <v>1470</v>
      </c>
      <c r="B1471">
        <f>TEXT(1470, "[$-170000]yyyy-mm-dd")</f>
        <v/>
      </c>
      <c r="C1471">
        <f>TEXT(1470, "[$-060000]yyyy-mm-dd")</f>
        <v/>
      </c>
      <c r="D1471" t="inlineStr">
        <is>
          <t>1321-10-21</t>
        </is>
      </c>
    </row>
    <row r="1472">
      <c r="A1472" s="1" t="n">
        <v>1471</v>
      </c>
      <c r="B1472">
        <f>TEXT(1471, "[$-170000]yyyy-mm-dd")</f>
        <v/>
      </c>
      <c r="C1472">
        <f>TEXT(1471, "[$-060000]yyyy-mm-dd")</f>
        <v/>
      </c>
      <c r="D1472" t="inlineStr">
        <is>
          <t>1321-10-22</t>
        </is>
      </c>
    </row>
    <row r="1473">
      <c r="A1473" s="1" t="n">
        <v>1472</v>
      </c>
      <c r="B1473">
        <f>TEXT(1472, "[$-170000]yyyy-mm-dd")</f>
        <v/>
      </c>
      <c r="C1473">
        <f>TEXT(1472, "[$-060000]yyyy-mm-dd")</f>
        <v/>
      </c>
      <c r="D1473" t="inlineStr">
        <is>
          <t>1321-10-23</t>
        </is>
      </c>
    </row>
    <row r="1474">
      <c r="A1474" s="1" t="n">
        <v>1473</v>
      </c>
      <c r="B1474">
        <f>TEXT(1473, "[$-170000]yyyy-mm-dd")</f>
        <v/>
      </c>
      <c r="C1474">
        <f>TEXT(1473, "[$-060000]yyyy-mm-dd")</f>
        <v/>
      </c>
      <c r="D1474" t="inlineStr">
        <is>
          <t>1321-10-24</t>
        </is>
      </c>
    </row>
    <row r="1475">
      <c r="A1475" s="1" t="n">
        <v>1474</v>
      </c>
      <c r="B1475">
        <f>TEXT(1474, "[$-170000]yyyy-mm-dd")</f>
        <v/>
      </c>
      <c r="C1475">
        <f>TEXT(1474, "[$-060000]yyyy-mm-dd")</f>
        <v/>
      </c>
      <c r="D1475" t="inlineStr">
        <is>
          <t>1321-10-25</t>
        </is>
      </c>
    </row>
    <row r="1476">
      <c r="A1476" s="1" t="n">
        <v>1475</v>
      </c>
      <c r="B1476">
        <f>TEXT(1475, "[$-170000]yyyy-mm-dd")</f>
        <v/>
      </c>
      <c r="C1476">
        <f>TEXT(1475, "[$-060000]yyyy-mm-dd")</f>
        <v/>
      </c>
      <c r="D1476" t="inlineStr">
        <is>
          <t>1321-10-26</t>
        </is>
      </c>
    </row>
    <row r="1477">
      <c r="A1477" s="1" t="n">
        <v>1476</v>
      </c>
      <c r="B1477">
        <f>TEXT(1476, "[$-170000]yyyy-mm-dd")</f>
        <v/>
      </c>
      <c r="C1477">
        <f>TEXT(1476, "[$-060000]yyyy-mm-dd")</f>
        <v/>
      </c>
      <c r="D1477" t="inlineStr">
        <is>
          <t>1321-10-27</t>
        </is>
      </c>
    </row>
    <row r="1478">
      <c r="A1478" s="1" t="n">
        <v>1477</v>
      </c>
      <c r="B1478">
        <f>TEXT(1477, "[$-170000]yyyy-mm-dd")</f>
        <v/>
      </c>
      <c r="C1478">
        <f>TEXT(1477, "[$-060000]yyyy-mm-dd")</f>
        <v/>
      </c>
      <c r="D1478" t="inlineStr">
        <is>
          <t>1321-10-28</t>
        </is>
      </c>
    </row>
    <row r="1479">
      <c r="A1479" s="1" t="n">
        <v>1478</v>
      </c>
      <c r="B1479">
        <f>TEXT(1478, "[$-170000]yyyy-mm-dd")</f>
        <v/>
      </c>
      <c r="C1479">
        <f>TEXT(1478, "[$-060000]yyyy-mm-dd")</f>
        <v/>
      </c>
      <c r="D1479" t="inlineStr">
        <is>
          <t>1321-10-29</t>
        </is>
      </c>
    </row>
    <row r="1480">
      <c r="A1480" s="1" t="n">
        <v>1479</v>
      </c>
      <c r="B1480">
        <f>TEXT(1479, "[$-170000]yyyy-mm-dd")</f>
        <v/>
      </c>
      <c r="C1480">
        <f>TEXT(1479, "[$-060000]yyyy-mm-dd")</f>
        <v/>
      </c>
      <c r="D1480" t="inlineStr">
        <is>
          <t>1321-11-01</t>
        </is>
      </c>
    </row>
    <row r="1481">
      <c r="A1481" s="1" t="n">
        <v>1480</v>
      </c>
      <c r="B1481">
        <f>TEXT(1480, "[$-170000]yyyy-mm-dd")</f>
        <v/>
      </c>
      <c r="C1481">
        <f>TEXT(1480, "[$-060000]yyyy-mm-dd")</f>
        <v/>
      </c>
      <c r="D1481" t="inlineStr">
        <is>
          <t>1321-11-02</t>
        </is>
      </c>
    </row>
    <row r="1482">
      <c r="A1482" s="1" t="n">
        <v>1481</v>
      </c>
      <c r="B1482">
        <f>TEXT(1481, "[$-170000]yyyy-mm-dd")</f>
        <v/>
      </c>
      <c r="C1482">
        <f>TEXT(1481, "[$-060000]yyyy-mm-dd")</f>
        <v/>
      </c>
      <c r="D1482" t="inlineStr">
        <is>
          <t>1321-11-03</t>
        </is>
      </c>
    </row>
    <row r="1483">
      <c r="A1483" s="1" t="n">
        <v>1482</v>
      </c>
      <c r="B1483">
        <f>TEXT(1482, "[$-170000]yyyy-mm-dd")</f>
        <v/>
      </c>
      <c r="C1483">
        <f>TEXT(1482, "[$-060000]yyyy-mm-dd")</f>
        <v/>
      </c>
      <c r="D1483" t="inlineStr">
        <is>
          <t>1321-11-04</t>
        </is>
      </c>
    </row>
    <row r="1484">
      <c r="A1484" s="1" t="n">
        <v>1483</v>
      </c>
      <c r="B1484">
        <f>TEXT(1483, "[$-170000]yyyy-mm-dd")</f>
        <v/>
      </c>
      <c r="C1484">
        <f>TEXT(1483, "[$-060000]yyyy-mm-dd")</f>
        <v/>
      </c>
      <c r="D1484" t="inlineStr">
        <is>
          <t>1321-11-05</t>
        </is>
      </c>
    </row>
    <row r="1485">
      <c r="A1485" s="1" t="n">
        <v>1484</v>
      </c>
      <c r="B1485">
        <f>TEXT(1484, "[$-170000]yyyy-mm-dd")</f>
        <v/>
      </c>
      <c r="C1485">
        <f>TEXT(1484, "[$-060000]yyyy-mm-dd")</f>
        <v/>
      </c>
      <c r="D1485" t="inlineStr">
        <is>
          <t>1321-11-06</t>
        </is>
      </c>
    </row>
    <row r="1486">
      <c r="A1486" s="1" t="n">
        <v>1485</v>
      </c>
      <c r="B1486">
        <f>TEXT(1485, "[$-170000]yyyy-mm-dd")</f>
        <v/>
      </c>
      <c r="C1486">
        <f>TEXT(1485, "[$-060000]yyyy-mm-dd")</f>
        <v/>
      </c>
      <c r="D1486" t="inlineStr">
        <is>
          <t>1321-11-07</t>
        </is>
      </c>
    </row>
    <row r="1487">
      <c r="A1487" s="1" t="n">
        <v>1486</v>
      </c>
      <c r="B1487">
        <f>TEXT(1486, "[$-170000]yyyy-mm-dd")</f>
        <v/>
      </c>
      <c r="C1487">
        <f>TEXT(1486, "[$-060000]yyyy-mm-dd")</f>
        <v/>
      </c>
      <c r="D1487" t="inlineStr">
        <is>
          <t>1321-11-08</t>
        </is>
      </c>
    </row>
    <row r="1488">
      <c r="A1488" s="1" t="n">
        <v>1487</v>
      </c>
      <c r="B1488">
        <f>TEXT(1487, "[$-170000]yyyy-mm-dd")</f>
        <v/>
      </c>
      <c r="C1488">
        <f>TEXT(1487, "[$-060000]yyyy-mm-dd")</f>
        <v/>
      </c>
      <c r="D1488" t="inlineStr">
        <is>
          <t>1321-11-09</t>
        </is>
      </c>
    </row>
    <row r="1489">
      <c r="A1489" s="1" t="n">
        <v>1488</v>
      </c>
      <c r="B1489">
        <f>TEXT(1488, "[$-170000]yyyy-mm-dd")</f>
        <v/>
      </c>
      <c r="C1489">
        <f>TEXT(1488, "[$-060000]yyyy-mm-dd")</f>
        <v/>
      </c>
      <c r="D1489" t="inlineStr">
        <is>
          <t>1321-11-10</t>
        </is>
      </c>
    </row>
    <row r="1490">
      <c r="A1490" s="1" t="n">
        <v>1489</v>
      </c>
      <c r="B1490">
        <f>TEXT(1489, "[$-170000]yyyy-mm-dd")</f>
        <v/>
      </c>
      <c r="C1490">
        <f>TEXT(1489, "[$-060000]yyyy-mm-dd")</f>
        <v/>
      </c>
      <c r="D1490" t="inlineStr">
        <is>
          <t>1321-11-11</t>
        </is>
      </c>
    </row>
    <row r="1491">
      <c r="A1491" s="1" t="n">
        <v>1490</v>
      </c>
      <c r="B1491">
        <f>TEXT(1490, "[$-170000]yyyy-mm-dd")</f>
        <v/>
      </c>
      <c r="C1491">
        <f>TEXT(1490, "[$-060000]yyyy-mm-dd")</f>
        <v/>
      </c>
      <c r="D1491" t="inlineStr">
        <is>
          <t>1321-11-12</t>
        </is>
      </c>
    </row>
    <row r="1492">
      <c r="A1492" s="1" t="n">
        <v>1491</v>
      </c>
      <c r="B1492">
        <f>TEXT(1491, "[$-170000]yyyy-mm-dd")</f>
        <v/>
      </c>
      <c r="C1492">
        <f>TEXT(1491, "[$-060000]yyyy-mm-dd")</f>
        <v/>
      </c>
      <c r="D1492" t="inlineStr">
        <is>
          <t>1321-11-13</t>
        </is>
      </c>
    </row>
    <row r="1493">
      <c r="A1493" s="1" t="n">
        <v>1492</v>
      </c>
      <c r="B1493">
        <f>TEXT(1492, "[$-170000]yyyy-mm-dd")</f>
        <v/>
      </c>
      <c r="C1493">
        <f>TEXT(1492, "[$-060000]yyyy-mm-dd")</f>
        <v/>
      </c>
      <c r="D1493" t="inlineStr">
        <is>
          <t>1321-11-14</t>
        </is>
      </c>
    </row>
    <row r="1494">
      <c r="A1494" s="1" t="n">
        <v>1493</v>
      </c>
      <c r="B1494">
        <f>TEXT(1493, "[$-170000]yyyy-mm-dd")</f>
        <v/>
      </c>
      <c r="C1494">
        <f>TEXT(1493, "[$-060000]yyyy-mm-dd")</f>
        <v/>
      </c>
      <c r="D1494" t="inlineStr">
        <is>
          <t>1321-11-15</t>
        </is>
      </c>
    </row>
    <row r="1495">
      <c r="A1495" s="1" t="n">
        <v>1494</v>
      </c>
      <c r="B1495">
        <f>TEXT(1494, "[$-170000]yyyy-mm-dd")</f>
        <v/>
      </c>
      <c r="C1495">
        <f>TEXT(1494, "[$-060000]yyyy-mm-dd")</f>
        <v/>
      </c>
      <c r="D1495" t="inlineStr">
        <is>
          <t>1321-11-16</t>
        </is>
      </c>
    </row>
    <row r="1496">
      <c r="A1496" s="1" t="n">
        <v>1495</v>
      </c>
      <c r="B1496">
        <f>TEXT(1495, "[$-170000]yyyy-mm-dd")</f>
        <v/>
      </c>
      <c r="C1496">
        <f>TEXT(1495, "[$-060000]yyyy-mm-dd")</f>
        <v/>
      </c>
      <c r="D1496" t="inlineStr">
        <is>
          <t>1321-11-17</t>
        </is>
      </c>
    </row>
    <row r="1497">
      <c r="A1497" s="1" t="n">
        <v>1496</v>
      </c>
      <c r="B1497">
        <f>TEXT(1496, "[$-170000]yyyy-mm-dd")</f>
        <v/>
      </c>
      <c r="C1497">
        <f>TEXT(1496, "[$-060000]yyyy-mm-dd")</f>
        <v/>
      </c>
      <c r="D1497" t="inlineStr">
        <is>
          <t>1321-11-18</t>
        </is>
      </c>
    </row>
    <row r="1498">
      <c r="A1498" s="1" t="n">
        <v>1497</v>
      </c>
      <c r="B1498">
        <f>TEXT(1497, "[$-170000]yyyy-mm-dd")</f>
        <v/>
      </c>
      <c r="C1498">
        <f>TEXT(1497, "[$-060000]yyyy-mm-dd")</f>
        <v/>
      </c>
      <c r="D1498" t="inlineStr">
        <is>
          <t>1321-11-19</t>
        </is>
      </c>
    </row>
    <row r="1499">
      <c r="A1499" s="1" t="n">
        <v>1498</v>
      </c>
      <c r="B1499">
        <f>TEXT(1498, "[$-170000]yyyy-mm-dd")</f>
        <v/>
      </c>
      <c r="C1499">
        <f>TEXT(1498, "[$-060000]yyyy-mm-dd")</f>
        <v/>
      </c>
      <c r="D1499" t="inlineStr">
        <is>
          <t>1321-11-20</t>
        </is>
      </c>
    </row>
    <row r="1500">
      <c r="A1500" s="1" t="n">
        <v>1499</v>
      </c>
      <c r="B1500">
        <f>TEXT(1499, "[$-170000]yyyy-mm-dd")</f>
        <v/>
      </c>
      <c r="C1500">
        <f>TEXT(1499, "[$-060000]yyyy-mm-dd")</f>
        <v/>
      </c>
      <c r="D1500" t="inlineStr">
        <is>
          <t>1321-11-21</t>
        </is>
      </c>
    </row>
    <row r="1501">
      <c r="A1501" s="1" t="n">
        <v>1500</v>
      </c>
      <c r="B1501">
        <f>TEXT(1500, "[$-170000]yyyy-mm-dd")</f>
        <v/>
      </c>
      <c r="C1501">
        <f>TEXT(1500, "[$-060000]yyyy-mm-dd")</f>
        <v/>
      </c>
      <c r="D1501" t="inlineStr">
        <is>
          <t>1321-11-22</t>
        </is>
      </c>
    </row>
    <row r="1502">
      <c r="A1502" s="1" t="n">
        <v>1501</v>
      </c>
      <c r="B1502">
        <f>TEXT(1501, "[$-170000]yyyy-mm-dd")</f>
        <v/>
      </c>
      <c r="C1502">
        <f>TEXT(1501, "[$-060000]yyyy-mm-dd")</f>
        <v/>
      </c>
      <c r="D1502" t="inlineStr">
        <is>
          <t>1321-11-23</t>
        </is>
      </c>
    </row>
    <row r="1503">
      <c r="A1503" s="1" t="n">
        <v>1502</v>
      </c>
      <c r="B1503">
        <f>TEXT(1502, "[$-170000]yyyy-mm-dd")</f>
        <v/>
      </c>
      <c r="C1503">
        <f>TEXT(1502, "[$-060000]yyyy-mm-dd")</f>
        <v/>
      </c>
      <c r="D1503" t="inlineStr">
        <is>
          <t>1321-11-24</t>
        </is>
      </c>
    </row>
    <row r="1504">
      <c r="A1504" s="1" t="n">
        <v>1503</v>
      </c>
      <c r="B1504">
        <f>TEXT(1503, "[$-170000]yyyy-mm-dd")</f>
        <v/>
      </c>
      <c r="C1504">
        <f>TEXT(1503, "[$-060000]yyyy-mm-dd")</f>
        <v/>
      </c>
      <c r="D1504" t="inlineStr">
        <is>
          <t>1321-11-25</t>
        </is>
      </c>
    </row>
    <row r="1505">
      <c r="A1505" s="1" t="n">
        <v>1504</v>
      </c>
      <c r="B1505">
        <f>TEXT(1504, "[$-170000]yyyy-mm-dd")</f>
        <v/>
      </c>
      <c r="C1505">
        <f>TEXT(1504, "[$-060000]yyyy-mm-dd")</f>
        <v/>
      </c>
      <c r="D1505" t="inlineStr">
        <is>
          <t>1321-11-26</t>
        </is>
      </c>
    </row>
    <row r="1506">
      <c r="A1506" s="1" t="n">
        <v>1505</v>
      </c>
      <c r="B1506">
        <f>TEXT(1505, "[$-170000]yyyy-mm-dd")</f>
        <v/>
      </c>
      <c r="C1506">
        <f>TEXT(1505, "[$-060000]yyyy-mm-dd")</f>
        <v/>
      </c>
      <c r="D1506" t="inlineStr">
        <is>
          <t>1321-11-27</t>
        </is>
      </c>
    </row>
    <row r="1507">
      <c r="A1507" s="1" t="n">
        <v>1506</v>
      </c>
      <c r="B1507">
        <f>TEXT(1506, "[$-170000]yyyy-mm-dd")</f>
        <v/>
      </c>
      <c r="C1507">
        <f>TEXT(1506, "[$-060000]yyyy-mm-dd")</f>
        <v/>
      </c>
      <c r="D1507" t="inlineStr">
        <is>
          <t>1321-11-28</t>
        </is>
      </c>
    </row>
    <row r="1508">
      <c r="A1508" s="1" t="n">
        <v>1507</v>
      </c>
      <c r="B1508">
        <f>TEXT(1507, "[$-170000]yyyy-mm-dd")</f>
        <v/>
      </c>
      <c r="C1508">
        <f>TEXT(1507, "[$-060000]yyyy-mm-dd")</f>
        <v/>
      </c>
      <c r="D1508" t="inlineStr">
        <is>
          <t>1321-11-29</t>
        </is>
      </c>
    </row>
    <row r="1509">
      <c r="A1509" s="1" t="n">
        <v>1508</v>
      </c>
      <c r="B1509">
        <f>TEXT(1508, "[$-170000]yyyy-mm-dd")</f>
        <v/>
      </c>
      <c r="C1509">
        <f>TEXT(1508, "[$-060000]yyyy-mm-dd")</f>
        <v/>
      </c>
      <c r="D1509" t="inlineStr">
        <is>
          <t>1321-11-30</t>
        </is>
      </c>
    </row>
    <row r="1510">
      <c r="A1510" s="1" t="n">
        <v>1509</v>
      </c>
      <c r="B1510">
        <f>TEXT(1509, "[$-170000]yyyy-mm-dd")</f>
        <v/>
      </c>
      <c r="C1510">
        <f>TEXT(1509, "[$-060000]yyyy-mm-dd")</f>
        <v/>
      </c>
      <c r="D1510" t="inlineStr">
        <is>
          <t>1321-12-01</t>
        </is>
      </c>
    </row>
    <row r="1511">
      <c r="A1511" s="1" t="n">
        <v>1510</v>
      </c>
      <c r="B1511">
        <f>TEXT(1510, "[$-170000]yyyy-mm-dd")</f>
        <v/>
      </c>
      <c r="C1511">
        <f>TEXT(1510, "[$-060000]yyyy-mm-dd")</f>
        <v/>
      </c>
      <c r="D1511" t="inlineStr">
        <is>
          <t>1321-12-02</t>
        </is>
      </c>
    </row>
    <row r="1512">
      <c r="A1512" s="1" t="n">
        <v>1511</v>
      </c>
      <c r="B1512">
        <f>TEXT(1511, "[$-170000]yyyy-mm-dd")</f>
        <v/>
      </c>
      <c r="C1512">
        <f>TEXT(1511, "[$-060000]yyyy-mm-dd")</f>
        <v/>
      </c>
      <c r="D1512" t="inlineStr">
        <is>
          <t>1321-12-03</t>
        </is>
      </c>
    </row>
    <row r="1513">
      <c r="A1513" s="1" t="n">
        <v>1512</v>
      </c>
      <c r="B1513">
        <f>TEXT(1512, "[$-170000]yyyy-mm-dd")</f>
        <v/>
      </c>
      <c r="C1513">
        <f>TEXT(1512, "[$-060000]yyyy-mm-dd")</f>
        <v/>
      </c>
      <c r="D1513" t="inlineStr">
        <is>
          <t>1321-12-04</t>
        </is>
      </c>
    </row>
    <row r="1514">
      <c r="A1514" s="1" t="n">
        <v>1513</v>
      </c>
      <c r="B1514">
        <f>TEXT(1513, "[$-170000]yyyy-mm-dd")</f>
        <v/>
      </c>
      <c r="C1514">
        <f>TEXT(1513, "[$-060000]yyyy-mm-dd")</f>
        <v/>
      </c>
      <c r="D1514" t="inlineStr">
        <is>
          <t>1321-12-05</t>
        </is>
      </c>
    </row>
    <row r="1515">
      <c r="A1515" s="1" t="n">
        <v>1514</v>
      </c>
      <c r="B1515">
        <f>TEXT(1514, "[$-170000]yyyy-mm-dd")</f>
        <v/>
      </c>
      <c r="C1515">
        <f>TEXT(1514, "[$-060000]yyyy-mm-dd")</f>
        <v/>
      </c>
      <c r="D1515" t="inlineStr">
        <is>
          <t>1321-12-06</t>
        </is>
      </c>
    </row>
    <row r="1516">
      <c r="A1516" s="1" t="n">
        <v>1515</v>
      </c>
      <c r="B1516">
        <f>TEXT(1515, "[$-170000]yyyy-mm-dd")</f>
        <v/>
      </c>
      <c r="C1516">
        <f>TEXT(1515, "[$-060000]yyyy-mm-dd")</f>
        <v/>
      </c>
      <c r="D1516" t="inlineStr">
        <is>
          <t>1321-12-07</t>
        </is>
      </c>
    </row>
    <row r="1517">
      <c r="A1517" s="1" t="n">
        <v>1516</v>
      </c>
      <c r="B1517">
        <f>TEXT(1516, "[$-170000]yyyy-mm-dd")</f>
        <v/>
      </c>
      <c r="C1517">
        <f>TEXT(1516, "[$-060000]yyyy-mm-dd")</f>
        <v/>
      </c>
      <c r="D1517" t="inlineStr">
        <is>
          <t>1321-12-08</t>
        </is>
      </c>
    </row>
    <row r="1518">
      <c r="A1518" s="1" t="n">
        <v>1517</v>
      </c>
      <c r="B1518">
        <f>TEXT(1517, "[$-170000]yyyy-mm-dd")</f>
        <v/>
      </c>
      <c r="C1518">
        <f>TEXT(1517, "[$-060000]yyyy-mm-dd")</f>
        <v/>
      </c>
      <c r="D1518" t="inlineStr">
        <is>
          <t>1321-12-09</t>
        </is>
      </c>
    </row>
    <row r="1519">
      <c r="A1519" s="1" t="n">
        <v>1518</v>
      </c>
      <c r="B1519">
        <f>TEXT(1518, "[$-170000]yyyy-mm-dd")</f>
        <v/>
      </c>
      <c r="C1519">
        <f>TEXT(1518, "[$-060000]yyyy-mm-dd")</f>
        <v/>
      </c>
      <c r="D1519" t="inlineStr">
        <is>
          <t>1321-12-10</t>
        </is>
      </c>
    </row>
    <row r="1520">
      <c r="A1520" s="1" t="n">
        <v>1519</v>
      </c>
      <c r="B1520">
        <f>TEXT(1519, "[$-170000]yyyy-mm-dd")</f>
        <v/>
      </c>
      <c r="C1520">
        <f>TEXT(1519, "[$-060000]yyyy-mm-dd")</f>
        <v/>
      </c>
      <c r="D1520" t="inlineStr">
        <is>
          <t>1321-12-11</t>
        </is>
      </c>
    </row>
    <row r="1521">
      <c r="A1521" s="1" t="n">
        <v>1520</v>
      </c>
      <c r="B1521">
        <f>TEXT(1520, "[$-170000]yyyy-mm-dd")</f>
        <v/>
      </c>
      <c r="C1521">
        <f>TEXT(1520, "[$-060000]yyyy-mm-dd")</f>
        <v/>
      </c>
      <c r="D1521" t="inlineStr">
        <is>
          <t>1321-12-12</t>
        </is>
      </c>
    </row>
    <row r="1522">
      <c r="A1522" s="1" t="n">
        <v>1521</v>
      </c>
      <c r="B1522">
        <f>TEXT(1521, "[$-170000]yyyy-mm-dd")</f>
        <v/>
      </c>
      <c r="C1522">
        <f>TEXT(1521, "[$-060000]yyyy-mm-dd")</f>
        <v/>
      </c>
      <c r="D1522" t="inlineStr">
        <is>
          <t>1321-12-13</t>
        </is>
      </c>
    </row>
    <row r="1523">
      <c r="A1523" s="1" t="n">
        <v>1522</v>
      </c>
      <c r="B1523">
        <f>TEXT(1522, "[$-170000]yyyy-mm-dd")</f>
        <v/>
      </c>
      <c r="C1523">
        <f>TEXT(1522, "[$-060000]yyyy-mm-dd")</f>
        <v/>
      </c>
      <c r="D1523" t="inlineStr">
        <is>
          <t>1321-12-14</t>
        </is>
      </c>
    </row>
    <row r="1524">
      <c r="A1524" s="1" t="n">
        <v>1523</v>
      </c>
      <c r="B1524">
        <f>TEXT(1523, "[$-170000]yyyy-mm-dd")</f>
        <v/>
      </c>
      <c r="C1524">
        <f>TEXT(1523, "[$-060000]yyyy-mm-dd")</f>
        <v/>
      </c>
      <c r="D1524" t="inlineStr">
        <is>
          <t>1321-12-15</t>
        </is>
      </c>
    </row>
    <row r="1525">
      <c r="A1525" s="1" t="n">
        <v>1524</v>
      </c>
      <c r="B1525">
        <f>TEXT(1524, "[$-170000]yyyy-mm-dd")</f>
        <v/>
      </c>
      <c r="C1525">
        <f>TEXT(1524, "[$-060000]yyyy-mm-dd")</f>
        <v/>
      </c>
      <c r="D1525" t="inlineStr">
        <is>
          <t>1321-12-16</t>
        </is>
      </c>
    </row>
    <row r="1526">
      <c r="A1526" s="1" t="n">
        <v>1525</v>
      </c>
      <c r="B1526">
        <f>TEXT(1525, "[$-170000]yyyy-mm-dd")</f>
        <v/>
      </c>
      <c r="C1526">
        <f>TEXT(1525, "[$-060000]yyyy-mm-dd")</f>
        <v/>
      </c>
      <c r="D1526" t="inlineStr">
        <is>
          <t>1321-12-17</t>
        </is>
      </c>
    </row>
    <row r="1527">
      <c r="A1527" s="1" t="n">
        <v>1526</v>
      </c>
      <c r="B1527">
        <f>TEXT(1526, "[$-170000]yyyy-mm-dd")</f>
        <v/>
      </c>
      <c r="C1527">
        <f>TEXT(1526, "[$-060000]yyyy-mm-dd")</f>
        <v/>
      </c>
      <c r="D1527" t="inlineStr">
        <is>
          <t>1321-12-18</t>
        </is>
      </c>
    </row>
    <row r="1528">
      <c r="A1528" s="1" t="n">
        <v>1527</v>
      </c>
      <c r="B1528">
        <f>TEXT(1527, "[$-170000]yyyy-mm-dd")</f>
        <v/>
      </c>
      <c r="C1528">
        <f>TEXT(1527, "[$-060000]yyyy-mm-dd")</f>
        <v/>
      </c>
      <c r="D1528" t="inlineStr">
        <is>
          <t>1321-12-19</t>
        </is>
      </c>
    </row>
    <row r="1529">
      <c r="A1529" s="1" t="n">
        <v>1528</v>
      </c>
      <c r="B1529">
        <f>TEXT(1528, "[$-170000]yyyy-mm-dd")</f>
        <v/>
      </c>
      <c r="C1529">
        <f>TEXT(1528, "[$-060000]yyyy-mm-dd")</f>
        <v/>
      </c>
      <c r="D1529" t="inlineStr">
        <is>
          <t>1321-12-20</t>
        </is>
      </c>
    </row>
    <row r="1530">
      <c r="A1530" s="1" t="n">
        <v>1529</v>
      </c>
      <c r="B1530">
        <f>TEXT(1529, "[$-170000]yyyy-mm-dd")</f>
        <v/>
      </c>
      <c r="C1530">
        <f>TEXT(1529, "[$-060000]yyyy-mm-dd")</f>
        <v/>
      </c>
      <c r="D1530" t="inlineStr">
        <is>
          <t>1321-12-21</t>
        </is>
      </c>
    </row>
    <row r="1531">
      <c r="A1531" s="1" t="n">
        <v>1530</v>
      </c>
      <c r="B1531">
        <f>TEXT(1530, "[$-170000]yyyy-mm-dd")</f>
        <v/>
      </c>
      <c r="C1531">
        <f>TEXT(1530, "[$-060000]yyyy-mm-dd")</f>
        <v/>
      </c>
      <c r="D1531" t="inlineStr">
        <is>
          <t>1321-12-22</t>
        </is>
      </c>
    </row>
    <row r="1532">
      <c r="A1532" s="1" t="n">
        <v>1531</v>
      </c>
      <c r="B1532">
        <f>TEXT(1531, "[$-170000]yyyy-mm-dd")</f>
        <v/>
      </c>
      <c r="C1532">
        <f>TEXT(1531, "[$-060000]yyyy-mm-dd")</f>
        <v/>
      </c>
      <c r="D1532" t="inlineStr">
        <is>
          <t>1321-12-23</t>
        </is>
      </c>
    </row>
    <row r="1533">
      <c r="A1533" s="1" t="n">
        <v>1532</v>
      </c>
      <c r="B1533">
        <f>TEXT(1532, "[$-170000]yyyy-mm-dd")</f>
        <v/>
      </c>
      <c r="C1533">
        <f>TEXT(1532, "[$-060000]yyyy-mm-dd")</f>
        <v/>
      </c>
      <c r="D1533" t="inlineStr">
        <is>
          <t>1321-12-24</t>
        </is>
      </c>
    </row>
    <row r="1534">
      <c r="A1534" s="1" t="n">
        <v>1533</v>
      </c>
      <c r="B1534">
        <f>TEXT(1533, "[$-170000]yyyy-mm-dd")</f>
        <v/>
      </c>
      <c r="C1534">
        <f>TEXT(1533, "[$-060000]yyyy-mm-dd")</f>
        <v/>
      </c>
      <c r="D1534" t="inlineStr">
        <is>
          <t>1321-12-25</t>
        </is>
      </c>
    </row>
    <row r="1535">
      <c r="A1535" s="1" t="n">
        <v>1534</v>
      </c>
      <c r="B1535">
        <f>TEXT(1534, "[$-170000]yyyy-mm-dd")</f>
        <v/>
      </c>
      <c r="C1535">
        <f>TEXT(1534, "[$-060000]yyyy-mm-dd")</f>
        <v/>
      </c>
      <c r="D1535" t="inlineStr">
        <is>
          <t>1321-12-26</t>
        </is>
      </c>
    </row>
    <row r="1536">
      <c r="A1536" s="1" t="n">
        <v>1535</v>
      </c>
      <c r="B1536">
        <f>TEXT(1535, "[$-170000]yyyy-mm-dd")</f>
        <v/>
      </c>
      <c r="C1536">
        <f>TEXT(1535, "[$-060000]yyyy-mm-dd")</f>
        <v/>
      </c>
      <c r="D1536" t="inlineStr">
        <is>
          <t>1321-12-27</t>
        </is>
      </c>
    </row>
    <row r="1537">
      <c r="A1537" s="1" t="n">
        <v>1536</v>
      </c>
      <c r="B1537">
        <f>TEXT(1536, "[$-170000]yyyy-mm-dd")</f>
        <v/>
      </c>
      <c r="C1537">
        <f>TEXT(1536, "[$-060000]yyyy-mm-dd")</f>
        <v/>
      </c>
      <c r="D1537" t="inlineStr">
        <is>
          <t>1321-12-28</t>
        </is>
      </c>
    </row>
    <row r="1538">
      <c r="A1538" s="1" t="n">
        <v>1537</v>
      </c>
      <c r="B1538">
        <f>TEXT(1537, "[$-170000]yyyy-mm-dd")</f>
        <v/>
      </c>
      <c r="C1538">
        <f>TEXT(1537, "[$-060000]yyyy-mm-dd")</f>
        <v/>
      </c>
      <c r="D1538" t="inlineStr">
        <is>
          <t>1321-12-29</t>
        </is>
      </c>
    </row>
    <row r="1539">
      <c r="A1539" s="1" t="n">
        <v>1538</v>
      </c>
      <c r="B1539">
        <f>TEXT(1538, "[$-170000]yyyy-mm-dd")</f>
        <v/>
      </c>
      <c r="C1539">
        <f>TEXT(1538, "[$-060000]yyyy-mm-dd")</f>
        <v/>
      </c>
      <c r="D1539" t="inlineStr">
        <is>
          <t>1322-01-01</t>
        </is>
      </c>
    </row>
    <row r="1540">
      <c r="A1540" s="1" t="n">
        <v>1539</v>
      </c>
      <c r="B1540">
        <f>TEXT(1539, "[$-170000]yyyy-mm-dd")</f>
        <v/>
      </c>
      <c r="C1540">
        <f>TEXT(1539, "[$-060000]yyyy-mm-dd")</f>
        <v/>
      </c>
      <c r="D1540" t="inlineStr">
        <is>
          <t>1322-01-02</t>
        </is>
      </c>
    </row>
    <row r="1541">
      <c r="A1541" s="1" t="n">
        <v>1540</v>
      </c>
      <c r="B1541">
        <f>TEXT(1540, "[$-170000]yyyy-mm-dd")</f>
        <v/>
      </c>
      <c r="C1541">
        <f>TEXT(1540, "[$-060000]yyyy-mm-dd")</f>
        <v/>
      </c>
      <c r="D1541" t="inlineStr">
        <is>
          <t>1322-01-03</t>
        </is>
      </c>
    </row>
    <row r="1542">
      <c r="A1542" s="1" t="n">
        <v>1541</v>
      </c>
      <c r="B1542">
        <f>TEXT(1541, "[$-170000]yyyy-mm-dd")</f>
        <v/>
      </c>
      <c r="C1542">
        <f>TEXT(1541, "[$-060000]yyyy-mm-dd")</f>
        <v/>
      </c>
      <c r="D1542" t="inlineStr">
        <is>
          <t>1322-01-04</t>
        </is>
      </c>
    </row>
    <row r="1543">
      <c r="A1543" s="1" t="n">
        <v>1542</v>
      </c>
      <c r="B1543">
        <f>TEXT(1542, "[$-170000]yyyy-mm-dd")</f>
        <v/>
      </c>
      <c r="C1543">
        <f>TEXT(1542, "[$-060000]yyyy-mm-dd")</f>
        <v/>
      </c>
      <c r="D1543" t="inlineStr">
        <is>
          <t>1322-01-05</t>
        </is>
      </c>
    </row>
    <row r="1544">
      <c r="A1544" s="1" t="n">
        <v>1543</v>
      </c>
      <c r="B1544">
        <f>TEXT(1543, "[$-170000]yyyy-mm-dd")</f>
        <v/>
      </c>
      <c r="C1544">
        <f>TEXT(1543, "[$-060000]yyyy-mm-dd")</f>
        <v/>
      </c>
      <c r="D1544" t="inlineStr">
        <is>
          <t>1322-01-06</t>
        </is>
      </c>
    </row>
    <row r="1545">
      <c r="A1545" s="1" t="n">
        <v>1544</v>
      </c>
      <c r="B1545">
        <f>TEXT(1544, "[$-170000]yyyy-mm-dd")</f>
        <v/>
      </c>
      <c r="C1545">
        <f>TEXT(1544, "[$-060000]yyyy-mm-dd")</f>
        <v/>
      </c>
      <c r="D1545" t="inlineStr">
        <is>
          <t>1322-01-07</t>
        </is>
      </c>
    </row>
    <row r="1546">
      <c r="A1546" s="1" t="n">
        <v>1545</v>
      </c>
      <c r="B1546">
        <f>TEXT(1545, "[$-170000]yyyy-mm-dd")</f>
        <v/>
      </c>
      <c r="C1546">
        <f>TEXT(1545, "[$-060000]yyyy-mm-dd")</f>
        <v/>
      </c>
      <c r="D1546" t="inlineStr">
        <is>
          <t>1322-01-08</t>
        </is>
      </c>
    </row>
    <row r="1547">
      <c r="A1547" s="1" t="n">
        <v>1546</v>
      </c>
      <c r="B1547">
        <f>TEXT(1546, "[$-170000]yyyy-mm-dd")</f>
        <v/>
      </c>
      <c r="C1547">
        <f>TEXT(1546, "[$-060000]yyyy-mm-dd")</f>
        <v/>
      </c>
      <c r="D1547" t="inlineStr">
        <is>
          <t>1322-01-09</t>
        </is>
      </c>
    </row>
    <row r="1548">
      <c r="A1548" s="1" t="n">
        <v>1547</v>
      </c>
      <c r="B1548">
        <f>TEXT(1547, "[$-170000]yyyy-mm-dd")</f>
        <v/>
      </c>
      <c r="C1548">
        <f>TEXT(1547, "[$-060000]yyyy-mm-dd")</f>
        <v/>
      </c>
      <c r="D1548" t="inlineStr">
        <is>
          <t>1322-01-10</t>
        </is>
      </c>
    </row>
    <row r="1549">
      <c r="A1549" s="1" t="n">
        <v>1548</v>
      </c>
      <c r="B1549">
        <f>TEXT(1548, "[$-170000]yyyy-mm-dd")</f>
        <v/>
      </c>
      <c r="C1549">
        <f>TEXT(1548, "[$-060000]yyyy-mm-dd")</f>
        <v/>
      </c>
      <c r="D1549" t="inlineStr">
        <is>
          <t>1322-01-11</t>
        </is>
      </c>
    </row>
    <row r="1550">
      <c r="A1550" s="1" t="n">
        <v>1549</v>
      </c>
      <c r="B1550">
        <f>TEXT(1549, "[$-170000]yyyy-mm-dd")</f>
        <v/>
      </c>
      <c r="C1550">
        <f>TEXT(1549, "[$-060000]yyyy-mm-dd")</f>
        <v/>
      </c>
      <c r="D1550" t="inlineStr">
        <is>
          <t>1322-01-12</t>
        </is>
      </c>
    </row>
    <row r="1551">
      <c r="A1551" s="1" t="n">
        <v>1550</v>
      </c>
      <c r="B1551">
        <f>TEXT(1550, "[$-170000]yyyy-mm-dd")</f>
        <v/>
      </c>
      <c r="C1551">
        <f>TEXT(1550, "[$-060000]yyyy-mm-dd")</f>
        <v/>
      </c>
      <c r="D1551" t="inlineStr">
        <is>
          <t>1322-01-13</t>
        </is>
      </c>
    </row>
    <row r="1552">
      <c r="A1552" s="1" t="n">
        <v>1551</v>
      </c>
      <c r="B1552">
        <f>TEXT(1551, "[$-170000]yyyy-mm-dd")</f>
        <v/>
      </c>
      <c r="C1552">
        <f>TEXT(1551, "[$-060000]yyyy-mm-dd")</f>
        <v/>
      </c>
      <c r="D1552" t="inlineStr">
        <is>
          <t>1322-01-14</t>
        </is>
      </c>
    </row>
    <row r="1553">
      <c r="A1553" s="1" t="n">
        <v>1552</v>
      </c>
      <c r="B1553">
        <f>TEXT(1552, "[$-170000]yyyy-mm-dd")</f>
        <v/>
      </c>
      <c r="C1553">
        <f>TEXT(1552, "[$-060000]yyyy-mm-dd")</f>
        <v/>
      </c>
      <c r="D1553" t="inlineStr">
        <is>
          <t>1322-01-15</t>
        </is>
      </c>
    </row>
    <row r="1554">
      <c r="A1554" s="1" t="n">
        <v>1553</v>
      </c>
      <c r="B1554">
        <f>TEXT(1553, "[$-170000]yyyy-mm-dd")</f>
        <v/>
      </c>
      <c r="C1554">
        <f>TEXT(1553, "[$-060000]yyyy-mm-dd")</f>
        <v/>
      </c>
      <c r="D1554" t="inlineStr">
        <is>
          <t>1322-01-16</t>
        </is>
      </c>
    </row>
    <row r="1555">
      <c r="A1555" s="1" t="n">
        <v>1554</v>
      </c>
      <c r="B1555">
        <f>TEXT(1554, "[$-170000]yyyy-mm-dd")</f>
        <v/>
      </c>
      <c r="C1555">
        <f>TEXT(1554, "[$-060000]yyyy-mm-dd")</f>
        <v/>
      </c>
      <c r="D1555" t="inlineStr">
        <is>
          <t>1322-01-17</t>
        </is>
      </c>
    </row>
    <row r="1556">
      <c r="A1556" s="1" t="n">
        <v>1555</v>
      </c>
      <c r="B1556">
        <f>TEXT(1555, "[$-170000]yyyy-mm-dd")</f>
        <v/>
      </c>
      <c r="C1556">
        <f>TEXT(1555, "[$-060000]yyyy-mm-dd")</f>
        <v/>
      </c>
      <c r="D1556" t="inlineStr">
        <is>
          <t>1322-01-18</t>
        </is>
      </c>
    </row>
    <row r="1557">
      <c r="A1557" s="1" t="n">
        <v>1556</v>
      </c>
      <c r="B1557">
        <f>TEXT(1556, "[$-170000]yyyy-mm-dd")</f>
        <v/>
      </c>
      <c r="C1557">
        <f>TEXT(1556, "[$-060000]yyyy-mm-dd")</f>
        <v/>
      </c>
      <c r="D1557" t="inlineStr">
        <is>
          <t>1322-01-19</t>
        </is>
      </c>
    </row>
    <row r="1558">
      <c r="A1558" s="1" t="n">
        <v>1557</v>
      </c>
      <c r="B1558">
        <f>TEXT(1557, "[$-170000]yyyy-mm-dd")</f>
        <v/>
      </c>
      <c r="C1558">
        <f>TEXT(1557, "[$-060000]yyyy-mm-dd")</f>
        <v/>
      </c>
      <c r="D1558" t="inlineStr">
        <is>
          <t>1322-01-20</t>
        </is>
      </c>
    </row>
    <row r="1559">
      <c r="A1559" s="1" t="n">
        <v>1558</v>
      </c>
      <c r="B1559">
        <f>TEXT(1558, "[$-170000]yyyy-mm-dd")</f>
        <v/>
      </c>
      <c r="C1559">
        <f>TEXT(1558, "[$-060000]yyyy-mm-dd")</f>
        <v/>
      </c>
      <c r="D1559" t="inlineStr">
        <is>
          <t>1322-01-21</t>
        </is>
      </c>
    </row>
    <row r="1560">
      <c r="A1560" s="1" t="n">
        <v>1559</v>
      </c>
      <c r="B1560">
        <f>TEXT(1559, "[$-170000]yyyy-mm-dd")</f>
        <v/>
      </c>
      <c r="C1560">
        <f>TEXT(1559, "[$-060000]yyyy-mm-dd")</f>
        <v/>
      </c>
      <c r="D1560" t="inlineStr">
        <is>
          <t>1322-01-22</t>
        </is>
      </c>
    </row>
    <row r="1561">
      <c r="A1561" s="1" t="n">
        <v>1560</v>
      </c>
      <c r="B1561">
        <f>TEXT(1560, "[$-170000]yyyy-mm-dd")</f>
        <v/>
      </c>
      <c r="C1561">
        <f>TEXT(1560, "[$-060000]yyyy-mm-dd")</f>
        <v/>
      </c>
      <c r="D1561" t="inlineStr">
        <is>
          <t>1322-01-23</t>
        </is>
      </c>
    </row>
    <row r="1562">
      <c r="A1562" s="1" t="n">
        <v>1561</v>
      </c>
      <c r="B1562">
        <f>TEXT(1561, "[$-170000]yyyy-mm-dd")</f>
        <v/>
      </c>
      <c r="C1562">
        <f>TEXT(1561, "[$-060000]yyyy-mm-dd")</f>
        <v/>
      </c>
      <c r="D1562" t="inlineStr">
        <is>
          <t>1322-01-24</t>
        </is>
      </c>
    </row>
    <row r="1563">
      <c r="A1563" s="1" t="n">
        <v>1562</v>
      </c>
      <c r="B1563">
        <f>TEXT(1562, "[$-170000]yyyy-mm-dd")</f>
        <v/>
      </c>
      <c r="C1563">
        <f>TEXT(1562, "[$-060000]yyyy-mm-dd")</f>
        <v/>
      </c>
      <c r="D1563" t="inlineStr">
        <is>
          <t>1322-01-25</t>
        </is>
      </c>
    </row>
    <row r="1564">
      <c r="A1564" s="1" t="n">
        <v>1563</v>
      </c>
      <c r="B1564">
        <f>TEXT(1563, "[$-170000]yyyy-mm-dd")</f>
        <v/>
      </c>
      <c r="C1564">
        <f>TEXT(1563, "[$-060000]yyyy-mm-dd")</f>
        <v/>
      </c>
      <c r="D1564" t="inlineStr">
        <is>
          <t>1322-01-26</t>
        </is>
      </c>
    </row>
    <row r="1565">
      <c r="A1565" s="1" t="n">
        <v>1564</v>
      </c>
      <c r="B1565">
        <f>TEXT(1564, "[$-170000]yyyy-mm-dd")</f>
        <v/>
      </c>
      <c r="C1565">
        <f>TEXT(1564, "[$-060000]yyyy-mm-dd")</f>
        <v/>
      </c>
      <c r="D1565" t="inlineStr">
        <is>
          <t>1322-01-27</t>
        </is>
      </c>
    </row>
    <row r="1566">
      <c r="A1566" s="1" t="n">
        <v>1565</v>
      </c>
      <c r="B1566">
        <f>TEXT(1565, "[$-170000]yyyy-mm-dd")</f>
        <v/>
      </c>
      <c r="C1566">
        <f>TEXT(1565, "[$-060000]yyyy-mm-dd")</f>
        <v/>
      </c>
      <c r="D1566" t="inlineStr">
        <is>
          <t>1322-01-28</t>
        </is>
      </c>
    </row>
    <row r="1567">
      <c r="A1567" s="1" t="n">
        <v>1566</v>
      </c>
      <c r="B1567">
        <f>TEXT(1566, "[$-170000]yyyy-mm-dd")</f>
        <v/>
      </c>
      <c r="C1567">
        <f>TEXT(1566, "[$-060000]yyyy-mm-dd")</f>
        <v/>
      </c>
      <c r="D1567" t="inlineStr">
        <is>
          <t>1322-01-29</t>
        </is>
      </c>
    </row>
    <row r="1568">
      <c r="A1568" s="1" t="n">
        <v>1567</v>
      </c>
      <c r="B1568">
        <f>TEXT(1567, "[$-170000]yyyy-mm-dd")</f>
        <v/>
      </c>
      <c r="C1568">
        <f>TEXT(1567, "[$-060000]yyyy-mm-dd")</f>
        <v/>
      </c>
      <c r="D1568" t="inlineStr">
        <is>
          <t>1322-01-30</t>
        </is>
      </c>
    </row>
    <row r="1569">
      <c r="A1569" s="1" t="n">
        <v>1568</v>
      </c>
      <c r="B1569">
        <f>TEXT(1568, "[$-170000]yyyy-mm-dd")</f>
        <v/>
      </c>
      <c r="C1569">
        <f>TEXT(1568, "[$-060000]yyyy-mm-dd")</f>
        <v/>
      </c>
      <c r="D1569" t="inlineStr">
        <is>
          <t>1322-02-01</t>
        </is>
      </c>
    </row>
    <row r="1570">
      <c r="A1570" s="1" t="n">
        <v>1569</v>
      </c>
      <c r="B1570">
        <f>TEXT(1569, "[$-170000]yyyy-mm-dd")</f>
        <v/>
      </c>
      <c r="C1570">
        <f>TEXT(1569, "[$-060000]yyyy-mm-dd")</f>
        <v/>
      </c>
      <c r="D1570" t="inlineStr">
        <is>
          <t>1322-02-02</t>
        </is>
      </c>
    </row>
    <row r="1571">
      <c r="A1571" s="1" t="n">
        <v>1570</v>
      </c>
      <c r="B1571">
        <f>TEXT(1570, "[$-170000]yyyy-mm-dd")</f>
        <v/>
      </c>
      <c r="C1571">
        <f>TEXT(1570, "[$-060000]yyyy-mm-dd")</f>
        <v/>
      </c>
      <c r="D1571" t="inlineStr">
        <is>
          <t>1322-02-03</t>
        </is>
      </c>
    </row>
    <row r="1572">
      <c r="A1572" s="1" t="n">
        <v>1571</v>
      </c>
      <c r="B1572">
        <f>TEXT(1571, "[$-170000]yyyy-mm-dd")</f>
        <v/>
      </c>
      <c r="C1572">
        <f>TEXT(1571, "[$-060000]yyyy-mm-dd")</f>
        <v/>
      </c>
      <c r="D1572" t="inlineStr">
        <is>
          <t>1322-02-04</t>
        </is>
      </c>
    </row>
    <row r="1573">
      <c r="A1573" s="1" t="n">
        <v>1572</v>
      </c>
      <c r="B1573">
        <f>TEXT(1572, "[$-170000]yyyy-mm-dd")</f>
        <v/>
      </c>
      <c r="C1573">
        <f>TEXT(1572, "[$-060000]yyyy-mm-dd")</f>
        <v/>
      </c>
      <c r="D1573" t="inlineStr">
        <is>
          <t>1322-02-05</t>
        </is>
      </c>
    </row>
    <row r="1574">
      <c r="A1574" s="1" t="n">
        <v>1573</v>
      </c>
      <c r="B1574">
        <f>TEXT(1573, "[$-170000]yyyy-mm-dd")</f>
        <v/>
      </c>
      <c r="C1574">
        <f>TEXT(1573, "[$-060000]yyyy-mm-dd")</f>
        <v/>
      </c>
      <c r="D1574" t="inlineStr">
        <is>
          <t>1322-02-06</t>
        </is>
      </c>
    </row>
    <row r="1575">
      <c r="A1575" s="1" t="n">
        <v>1574</v>
      </c>
      <c r="B1575">
        <f>TEXT(1574, "[$-170000]yyyy-mm-dd")</f>
        <v/>
      </c>
      <c r="C1575">
        <f>TEXT(1574, "[$-060000]yyyy-mm-dd")</f>
        <v/>
      </c>
      <c r="D1575" t="inlineStr">
        <is>
          <t>1322-02-07</t>
        </is>
      </c>
    </row>
    <row r="1576">
      <c r="A1576" s="1" t="n">
        <v>1575</v>
      </c>
      <c r="B1576">
        <f>TEXT(1575, "[$-170000]yyyy-mm-dd")</f>
        <v/>
      </c>
      <c r="C1576">
        <f>TEXT(1575, "[$-060000]yyyy-mm-dd")</f>
        <v/>
      </c>
      <c r="D1576" t="inlineStr">
        <is>
          <t>1322-02-08</t>
        </is>
      </c>
    </row>
    <row r="1577">
      <c r="A1577" s="1" t="n">
        <v>1576</v>
      </c>
      <c r="B1577">
        <f>TEXT(1576, "[$-170000]yyyy-mm-dd")</f>
        <v/>
      </c>
      <c r="C1577">
        <f>TEXT(1576, "[$-060000]yyyy-mm-dd")</f>
        <v/>
      </c>
      <c r="D1577" t="inlineStr">
        <is>
          <t>1322-02-09</t>
        </is>
      </c>
    </row>
    <row r="1578">
      <c r="A1578" s="1" t="n">
        <v>1577</v>
      </c>
      <c r="B1578">
        <f>TEXT(1577, "[$-170000]yyyy-mm-dd")</f>
        <v/>
      </c>
      <c r="C1578">
        <f>TEXT(1577, "[$-060000]yyyy-mm-dd")</f>
        <v/>
      </c>
      <c r="D1578" t="inlineStr">
        <is>
          <t>1322-02-10</t>
        </is>
      </c>
    </row>
    <row r="1579">
      <c r="A1579" s="1" t="n">
        <v>1578</v>
      </c>
      <c r="B1579">
        <f>TEXT(1578, "[$-170000]yyyy-mm-dd")</f>
        <v/>
      </c>
      <c r="C1579">
        <f>TEXT(1578, "[$-060000]yyyy-mm-dd")</f>
        <v/>
      </c>
      <c r="D1579" t="inlineStr">
        <is>
          <t>1322-02-11</t>
        </is>
      </c>
    </row>
    <row r="1580">
      <c r="A1580" s="1" t="n">
        <v>1579</v>
      </c>
      <c r="B1580">
        <f>TEXT(1579, "[$-170000]yyyy-mm-dd")</f>
        <v/>
      </c>
      <c r="C1580">
        <f>TEXT(1579, "[$-060000]yyyy-mm-dd")</f>
        <v/>
      </c>
      <c r="D1580" t="inlineStr">
        <is>
          <t>1322-02-12</t>
        </is>
      </c>
    </row>
    <row r="1581">
      <c r="A1581" s="1" t="n">
        <v>1580</v>
      </c>
      <c r="B1581">
        <f>TEXT(1580, "[$-170000]yyyy-mm-dd")</f>
        <v/>
      </c>
      <c r="C1581">
        <f>TEXT(1580, "[$-060000]yyyy-mm-dd")</f>
        <v/>
      </c>
      <c r="D1581" t="inlineStr">
        <is>
          <t>1322-02-13</t>
        </is>
      </c>
    </row>
    <row r="1582">
      <c r="A1582" s="1" t="n">
        <v>1581</v>
      </c>
      <c r="B1582">
        <f>TEXT(1581, "[$-170000]yyyy-mm-dd")</f>
        <v/>
      </c>
      <c r="C1582">
        <f>TEXT(1581, "[$-060000]yyyy-mm-dd")</f>
        <v/>
      </c>
      <c r="D1582" t="inlineStr">
        <is>
          <t>1322-02-14</t>
        </is>
      </c>
    </row>
    <row r="1583">
      <c r="A1583" s="1" t="n">
        <v>1582</v>
      </c>
      <c r="B1583">
        <f>TEXT(1582, "[$-170000]yyyy-mm-dd")</f>
        <v/>
      </c>
      <c r="C1583">
        <f>TEXT(1582, "[$-060000]yyyy-mm-dd")</f>
        <v/>
      </c>
      <c r="D1583" t="inlineStr">
        <is>
          <t>1322-02-15</t>
        </is>
      </c>
    </row>
    <row r="1584">
      <c r="A1584" s="1" t="n">
        <v>1583</v>
      </c>
      <c r="B1584">
        <f>TEXT(1583, "[$-170000]yyyy-mm-dd")</f>
        <v/>
      </c>
      <c r="C1584">
        <f>TEXT(1583, "[$-060000]yyyy-mm-dd")</f>
        <v/>
      </c>
      <c r="D1584" t="inlineStr">
        <is>
          <t>1322-02-16</t>
        </is>
      </c>
    </row>
    <row r="1585">
      <c r="A1585" s="1" t="n">
        <v>1584</v>
      </c>
      <c r="B1585">
        <f>TEXT(1584, "[$-170000]yyyy-mm-dd")</f>
        <v/>
      </c>
      <c r="C1585">
        <f>TEXT(1584, "[$-060000]yyyy-mm-dd")</f>
        <v/>
      </c>
      <c r="D1585" t="inlineStr">
        <is>
          <t>1322-02-17</t>
        </is>
      </c>
    </row>
    <row r="1586">
      <c r="A1586" s="1" t="n">
        <v>1585</v>
      </c>
      <c r="B1586">
        <f>TEXT(1585, "[$-170000]yyyy-mm-dd")</f>
        <v/>
      </c>
      <c r="C1586">
        <f>TEXT(1585, "[$-060000]yyyy-mm-dd")</f>
        <v/>
      </c>
      <c r="D1586" t="inlineStr">
        <is>
          <t>1322-02-18</t>
        </is>
      </c>
    </row>
    <row r="1587">
      <c r="A1587" s="1" t="n">
        <v>1586</v>
      </c>
      <c r="B1587">
        <f>TEXT(1586, "[$-170000]yyyy-mm-dd")</f>
        <v/>
      </c>
      <c r="C1587">
        <f>TEXT(1586, "[$-060000]yyyy-mm-dd")</f>
        <v/>
      </c>
      <c r="D1587" t="inlineStr">
        <is>
          <t>1322-02-19</t>
        </is>
      </c>
    </row>
    <row r="1588">
      <c r="A1588" s="1" t="n">
        <v>1587</v>
      </c>
      <c r="B1588">
        <f>TEXT(1587, "[$-170000]yyyy-mm-dd")</f>
        <v/>
      </c>
      <c r="C1588">
        <f>TEXT(1587, "[$-060000]yyyy-mm-dd")</f>
        <v/>
      </c>
      <c r="D1588" t="inlineStr">
        <is>
          <t>1322-02-20</t>
        </is>
      </c>
    </row>
    <row r="1589">
      <c r="A1589" s="1" t="n">
        <v>1588</v>
      </c>
      <c r="B1589">
        <f>TEXT(1588, "[$-170000]yyyy-mm-dd")</f>
        <v/>
      </c>
      <c r="C1589">
        <f>TEXT(1588, "[$-060000]yyyy-mm-dd")</f>
        <v/>
      </c>
      <c r="D1589" t="inlineStr">
        <is>
          <t>1322-02-21</t>
        </is>
      </c>
    </row>
    <row r="1590">
      <c r="A1590" s="1" t="n">
        <v>1589</v>
      </c>
      <c r="B1590">
        <f>TEXT(1589, "[$-170000]yyyy-mm-dd")</f>
        <v/>
      </c>
      <c r="C1590">
        <f>TEXT(1589, "[$-060000]yyyy-mm-dd")</f>
        <v/>
      </c>
      <c r="D1590" t="inlineStr">
        <is>
          <t>1322-02-22</t>
        </is>
      </c>
    </row>
    <row r="1591">
      <c r="A1591" s="1" t="n">
        <v>1590</v>
      </c>
      <c r="B1591">
        <f>TEXT(1590, "[$-170000]yyyy-mm-dd")</f>
        <v/>
      </c>
      <c r="C1591">
        <f>TEXT(1590, "[$-060000]yyyy-mm-dd")</f>
        <v/>
      </c>
      <c r="D1591" t="inlineStr">
        <is>
          <t>1322-02-23</t>
        </is>
      </c>
    </row>
    <row r="1592">
      <c r="A1592" s="1" t="n">
        <v>1591</v>
      </c>
      <c r="B1592">
        <f>TEXT(1591, "[$-170000]yyyy-mm-dd")</f>
        <v/>
      </c>
      <c r="C1592">
        <f>TEXT(1591, "[$-060000]yyyy-mm-dd")</f>
        <v/>
      </c>
      <c r="D1592" t="inlineStr">
        <is>
          <t>1322-02-24</t>
        </is>
      </c>
    </row>
    <row r="1593">
      <c r="A1593" s="1" t="n">
        <v>1592</v>
      </c>
      <c r="B1593">
        <f>TEXT(1592, "[$-170000]yyyy-mm-dd")</f>
        <v/>
      </c>
      <c r="C1593">
        <f>TEXT(1592, "[$-060000]yyyy-mm-dd")</f>
        <v/>
      </c>
      <c r="D1593" t="inlineStr">
        <is>
          <t>1322-02-25</t>
        </is>
      </c>
    </row>
    <row r="1594">
      <c r="A1594" s="1" t="n">
        <v>1593</v>
      </c>
      <c r="B1594">
        <f>TEXT(1593, "[$-170000]yyyy-mm-dd")</f>
        <v/>
      </c>
      <c r="C1594">
        <f>TEXT(1593, "[$-060000]yyyy-mm-dd")</f>
        <v/>
      </c>
      <c r="D1594" t="inlineStr">
        <is>
          <t>1322-02-26</t>
        </is>
      </c>
    </row>
    <row r="1595">
      <c r="A1595" s="1" t="n">
        <v>1594</v>
      </c>
      <c r="B1595">
        <f>TEXT(1594, "[$-170000]yyyy-mm-dd")</f>
        <v/>
      </c>
      <c r="C1595">
        <f>TEXT(1594, "[$-060000]yyyy-mm-dd")</f>
        <v/>
      </c>
      <c r="D1595" t="inlineStr">
        <is>
          <t>1322-02-27</t>
        </is>
      </c>
    </row>
    <row r="1596">
      <c r="A1596" s="1" t="n">
        <v>1595</v>
      </c>
      <c r="B1596">
        <f>TEXT(1595, "[$-170000]yyyy-mm-dd")</f>
        <v/>
      </c>
      <c r="C1596">
        <f>TEXT(1595, "[$-060000]yyyy-mm-dd")</f>
        <v/>
      </c>
      <c r="D1596" t="inlineStr">
        <is>
          <t>1322-02-28</t>
        </is>
      </c>
    </row>
    <row r="1597">
      <c r="A1597" s="1" t="n">
        <v>1596</v>
      </c>
      <c r="B1597">
        <f>TEXT(1596, "[$-170000]yyyy-mm-dd")</f>
        <v/>
      </c>
      <c r="C1597">
        <f>TEXT(1596, "[$-060000]yyyy-mm-dd")</f>
        <v/>
      </c>
      <c r="D1597" t="inlineStr">
        <is>
          <t>1322-02-29</t>
        </is>
      </c>
    </row>
    <row r="1598">
      <c r="A1598" s="1" t="n">
        <v>1597</v>
      </c>
      <c r="B1598">
        <f>TEXT(1597, "[$-170000]yyyy-mm-dd")</f>
        <v/>
      </c>
      <c r="C1598">
        <f>TEXT(1597, "[$-060000]yyyy-mm-dd")</f>
        <v/>
      </c>
      <c r="D1598" t="inlineStr">
        <is>
          <t>1322-03-01</t>
        </is>
      </c>
    </row>
    <row r="1599">
      <c r="A1599" s="1" t="n">
        <v>1598</v>
      </c>
      <c r="B1599">
        <f>TEXT(1598, "[$-170000]yyyy-mm-dd")</f>
        <v/>
      </c>
      <c r="C1599">
        <f>TEXT(1598, "[$-060000]yyyy-mm-dd")</f>
        <v/>
      </c>
      <c r="D1599" t="inlineStr">
        <is>
          <t>1322-03-02</t>
        </is>
      </c>
    </row>
    <row r="1600">
      <c r="A1600" s="1" t="n">
        <v>1599</v>
      </c>
      <c r="B1600">
        <f>TEXT(1599, "[$-170000]yyyy-mm-dd")</f>
        <v/>
      </c>
      <c r="C1600">
        <f>TEXT(1599, "[$-060000]yyyy-mm-dd")</f>
        <v/>
      </c>
      <c r="D1600" t="inlineStr">
        <is>
          <t>1322-03-03</t>
        </is>
      </c>
    </row>
    <row r="1601">
      <c r="A1601" s="1" t="n">
        <v>1600</v>
      </c>
      <c r="B1601">
        <f>TEXT(1600, "[$-170000]yyyy-mm-dd")</f>
        <v/>
      </c>
      <c r="C1601">
        <f>TEXT(1600, "[$-060000]yyyy-mm-dd")</f>
        <v/>
      </c>
      <c r="D1601" t="inlineStr">
        <is>
          <t>1322-03-04</t>
        </is>
      </c>
    </row>
    <row r="1602">
      <c r="A1602" s="1" t="n">
        <v>1601</v>
      </c>
      <c r="B1602">
        <f>TEXT(1601, "[$-170000]yyyy-mm-dd")</f>
        <v/>
      </c>
      <c r="C1602">
        <f>TEXT(1601, "[$-060000]yyyy-mm-dd")</f>
        <v/>
      </c>
      <c r="D1602" t="inlineStr">
        <is>
          <t>1322-03-05</t>
        </is>
      </c>
    </row>
    <row r="1603">
      <c r="A1603" s="1" t="n">
        <v>1602</v>
      </c>
      <c r="B1603">
        <f>TEXT(1602, "[$-170000]yyyy-mm-dd")</f>
        <v/>
      </c>
      <c r="C1603">
        <f>TEXT(1602, "[$-060000]yyyy-mm-dd")</f>
        <v/>
      </c>
      <c r="D1603" t="inlineStr">
        <is>
          <t>1322-03-06</t>
        </is>
      </c>
    </row>
    <row r="1604">
      <c r="A1604" s="1" t="n">
        <v>1603</v>
      </c>
      <c r="B1604">
        <f>TEXT(1603, "[$-170000]yyyy-mm-dd")</f>
        <v/>
      </c>
      <c r="C1604">
        <f>TEXT(1603, "[$-060000]yyyy-mm-dd")</f>
        <v/>
      </c>
      <c r="D1604" t="inlineStr">
        <is>
          <t>1322-03-07</t>
        </is>
      </c>
    </row>
    <row r="1605">
      <c r="A1605" s="1" t="n">
        <v>1604</v>
      </c>
      <c r="B1605">
        <f>TEXT(1604, "[$-170000]yyyy-mm-dd")</f>
        <v/>
      </c>
      <c r="C1605">
        <f>TEXT(1604, "[$-060000]yyyy-mm-dd")</f>
        <v/>
      </c>
      <c r="D1605" t="inlineStr">
        <is>
          <t>1322-03-08</t>
        </is>
      </c>
    </row>
    <row r="1606">
      <c r="A1606" s="1" t="n">
        <v>1605</v>
      </c>
      <c r="B1606">
        <f>TEXT(1605, "[$-170000]yyyy-mm-dd")</f>
        <v/>
      </c>
      <c r="C1606">
        <f>TEXT(1605, "[$-060000]yyyy-mm-dd")</f>
        <v/>
      </c>
      <c r="D1606" t="inlineStr">
        <is>
          <t>1322-03-09</t>
        </is>
      </c>
    </row>
    <row r="1607">
      <c r="A1607" s="1" t="n">
        <v>1606</v>
      </c>
      <c r="B1607">
        <f>TEXT(1606, "[$-170000]yyyy-mm-dd")</f>
        <v/>
      </c>
      <c r="C1607">
        <f>TEXT(1606, "[$-060000]yyyy-mm-dd")</f>
        <v/>
      </c>
      <c r="D1607" t="inlineStr">
        <is>
          <t>1322-03-10</t>
        </is>
      </c>
    </row>
    <row r="1608">
      <c r="A1608" s="1" t="n">
        <v>1607</v>
      </c>
      <c r="B1608">
        <f>TEXT(1607, "[$-170000]yyyy-mm-dd")</f>
        <v/>
      </c>
      <c r="C1608">
        <f>TEXT(1607, "[$-060000]yyyy-mm-dd")</f>
        <v/>
      </c>
      <c r="D1608" t="inlineStr">
        <is>
          <t>1322-03-11</t>
        </is>
      </c>
    </row>
    <row r="1609">
      <c r="A1609" s="1" t="n">
        <v>1608</v>
      </c>
      <c r="B1609">
        <f>TEXT(1608, "[$-170000]yyyy-mm-dd")</f>
        <v/>
      </c>
      <c r="C1609">
        <f>TEXT(1608, "[$-060000]yyyy-mm-dd")</f>
        <v/>
      </c>
      <c r="D1609" t="inlineStr">
        <is>
          <t>1322-03-12</t>
        </is>
      </c>
    </row>
    <row r="1610">
      <c r="A1610" s="1" t="n">
        <v>1609</v>
      </c>
      <c r="B1610">
        <f>TEXT(1609, "[$-170000]yyyy-mm-dd")</f>
        <v/>
      </c>
      <c r="C1610">
        <f>TEXT(1609, "[$-060000]yyyy-mm-dd")</f>
        <v/>
      </c>
      <c r="D1610" t="inlineStr">
        <is>
          <t>1322-03-13</t>
        </is>
      </c>
    </row>
    <row r="1611">
      <c r="A1611" s="1" t="n">
        <v>1610</v>
      </c>
      <c r="B1611">
        <f>TEXT(1610, "[$-170000]yyyy-mm-dd")</f>
        <v/>
      </c>
      <c r="C1611">
        <f>TEXT(1610, "[$-060000]yyyy-mm-dd")</f>
        <v/>
      </c>
      <c r="D1611" t="inlineStr">
        <is>
          <t>1322-03-14</t>
        </is>
      </c>
    </row>
    <row r="1612">
      <c r="A1612" s="1" t="n">
        <v>1611</v>
      </c>
      <c r="B1612">
        <f>TEXT(1611, "[$-170000]yyyy-mm-dd")</f>
        <v/>
      </c>
      <c r="C1612">
        <f>TEXT(1611, "[$-060000]yyyy-mm-dd")</f>
        <v/>
      </c>
      <c r="D1612" t="inlineStr">
        <is>
          <t>1322-03-15</t>
        </is>
      </c>
    </row>
    <row r="1613">
      <c r="A1613" s="1" t="n">
        <v>1612</v>
      </c>
      <c r="B1613">
        <f>TEXT(1612, "[$-170000]yyyy-mm-dd")</f>
        <v/>
      </c>
      <c r="C1613">
        <f>TEXT(1612, "[$-060000]yyyy-mm-dd")</f>
        <v/>
      </c>
      <c r="D1613" t="inlineStr">
        <is>
          <t>1322-03-16</t>
        </is>
      </c>
    </row>
    <row r="1614">
      <c r="A1614" s="1" t="n">
        <v>1613</v>
      </c>
      <c r="B1614">
        <f>TEXT(1613, "[$-170000]yyyy-mm-dd")</f>
        <v/>
      </c>
      <c r="C1614">
        <f>TEXT(1613, "[$-060000]yyyy-mm-dd")</f>
        <v/>
      </c>
      <c r="D1614" t="inlineStr">
        <is>
          <t>1322-03-17</t>
        </is>
      </c>
    </row>
    <row r="1615">
      <c r="A1615" s="1" t="n">
        <v>1614</v>
      </c>
      <c r="B1615">
        <f>TEXT(1614, "[$-170000]yyyy-mm-dd")</f>
        <v/>
      </c>
      <c r="C1615">
        <f>TEXT(1614, "[$-060000]yyyy-mm-dd")</f>
        <v/>
      </c>
      <c r="D1615" t="inlineStr">
        <is>
          <t>1322-03-18</t>
        </is>
      </c>
    </row>
    <row r="1616">
      <c r="A1616" s="1" t="n">
        <v>1615</v>
      </c>
      <c r="B1616">
        <f>TEXT(1615, "[$-170000]yyyy-mm-dd")</f>
        <v/>
      </c>
      <c r="C1616">
        <f>TEXT(1615, "[$-060000]yyyy-mm-dd")</f>
        <v/>
      </c>
      <c r="D1616" t="inlineStr">
        <is>
          <t>1322-03-19</t>
        </is>
      </c>
    </row>
    <row r="1617">
      <c r="A1617" s="1" t="n">
        <v>1616</v>
      </c>
      <c r="B1617">
        <f>TEXT(1616, "[$-170000]yyyy-mm-dd")</f>
        <v/>
      </c>
      <c r="C1617">
        <f>TEXT(1616, "[$-060000]yyyy-mm-dd")</f>
        <v/>
      </c>
      <c r="D1617" t="inlineStr">
        <is>
          <t>1322-03-20</t>
        </is>
      </c>
    </row>
    <row r="1618">
      <c r="A1618" s="1" t="n">
        <v>1617</v>
      </c>
      <c r="B1618">
        <f>TEXT(1617, "[$-170000]yyyy-mm-dd")</f>
        <v/>
      </c>
      <c r="C1618">
        <f>TEXT(1617, "[$-060000]yyyy-mm-dd")</f>
        <v/>
      </c>
      <c r="D1618" t="inlineStr">
        <is>
          <t>1322-03-21</t>
        </is>
      </c>
    </row>
    <row r="1619">
      <c r="A1619" s="1" t="n">
        <v>1618</v>
      </c>
      <c r="B1619">
        <f>TEXT(1618, "[$-170000]yyyy-mm-dd")</f>
        <v/>
      </c>
      <c r="C1619">
        <f>TEXT(1618, "[$-060000]yyyy-mm-dd")</f>
        <v/>
      </c>
      <c r="D1619" t="inlineStr">
        <is>
          <t>1322-03-22</t>
        </is>
      </c>
    </row>
    <row r="1620">
      <c r="A1620" s="1" t="n">
        <v>1619</v>
      </c>
      <c r="B1620">
        <f>TEXT(1619, "[$-170000]yyyy-mm-dd")</f>
        <v/>
      </c>
      <c r="C1620">
        <f>TEXT(1619, "[$-060000]yyyy-mm-dd")</f>
        <v/>
      </c>
      <c r="D1620" t="inlineStr">
        <is>
          <t>1322-03-23</t>
        </is>
      </c>
    </row>
    <row r="1621">
      <c r="A1621" s="1" t="n">
        <v>1620</v>
      </c>
      <c r="B1621">
        <f>TEXT(1620, "[$-170000]yyyy-mm-dd")</f>
        <v/>
      </c>
      <c r="C1621">
        <f>TEXT(1620, "[$-060000]yyyy-mm-dd")</f>
        <v/>
      </c>
      <c r="D1621" t="inlineStr">
        <is>
          <t>1322-03-24</t>
        </is>
      </c>
    </row>
    <row r="1622">
      <c r="A1622" s="1" t="n">
        <v>1621</v>
      </c>
      <c r="B1622">
        <f>TEXT(1621, "[$-170000]yyyy-mm-dd")</f>
        <v/>
      </c>
      <c r="C1622">
        <f>TEXT(1621, "[$-060000]yyyy-mm-dd")</f>
        <v/>
      </c>
      <c r="D1622" t="inlineStr">
        <is>
          <t>1322-03-25</t>
        </is>
      </c>
    </row>
    <row r="1623">
      <c r="A1623" s="1" t="n">
        <v>1622</v>
      </c>
      <c r="B1623">
        <f>TEXT(1622, "[$-170000]yyyy-mm-dd")</f>
        <v/>
      </c>
      <c r="C1623">
        <f>TEXT(1622, "[$-060000]yyyy-mm-dd")</f>
        <v/>
      </c>
      <c r="D1623" t="inlineStr">
        <is>
          <t>1322-03-26</t>
        </is>
      </c>
    </row>
    <row r="1624">
      <c r="A1624" s="1" t="n">
        <v>1623</v>
      </c>
      <c r="B1624">
        <f>TEXT(1623, "[$-170000]yyyy-mm-dd")</f>
        <v/>
      </c>
      <c r="C1624">
        <f>TEXT(1623, "[$-060000]yyyy-mm-dd")</f>
        <v/>
      </c>
      <c r="D1624" t="inlineStr">
        <is>
          <t>1322-03-27</t>
        </is>
      </c>
    </row>
    <row r="1625">
      <c r="A1625" s="1" t="n">
        <v>1624</v>
      </c>
      <c r="B1625">
        <f>TEXT(1624, "[$-170000]yyyy-mm-dd")</f>
        <v/>
      </c>
      <c r="C1625">
        <f>TEXT(1624, "[$-060000]yyyy-mm-dd")</f>
        <v/>
      </c>
      <c r="D1625" t="inlineStr">
        <is>
          <t>1322-03-28</t>
        </is>
      </c>
    </row>
    <row r="1626">
      <c r="A1626" s="1" t="n">
        <v>1625</v>
      </c>
      <c r="B1626">
        <f>TEXT(1625, "[$-170000]yyyy-mm-dd")</f>
        <v/>
      </c>
      <c r="C1626">
        <f>TEXT(1625, "[$-060000]yyyy-mm-dd")</f>
        <v/>
      </c>
      <c r="D1626" t="inlineStr">
        <is>
          <t>1322-03-29</t>
        </is>
      </c>
    </row>
    <row r="1627">
      <c r="A1627" s="1" t="n">
        <v>1626</v>
      </c>
      <c r="B1627">
        <f>TEXT(1626, "[$-170000]yyyy-mm-dd")</f>
        <v/>
      </c>
      <c r="C1627">
        <f>TEXT(1626, "[$-060000]yyyy-mm-dd")</f>
        <v/>
      </c>
      <c r="D1627" t="inlineStr">
        <is>
          <t>1322-03-30</t>
        </is>
      </c>
    </row>
    <row r="1628">
      <c r="A1628" s="1" t="n">
        <v>1627</v>
      </c>
      <c r="B1628">
        <f>TEXT(1627, "[$-170000]yyyy-mm-dd")</f>
        <v/>
      </c>
      <c r="C1628">
        <f>TEXT(1627, "[$-060000]yyyy-mm-dd")</f>
        <v/>
      </c>
      <c r="D1628" t="inlineStr">
        <is>
          <t>1322-04-01</t>
        </is>
      </c>
    </row>
    <row r="1629">
      <c r="A1629" s="1" t="n">
        <v>1628</v>
      </c>
      <c r="B1629">
        <f>TEXT(1628, "[$-170000]yyyy-mm-dd")</f>
        <v/>
      </c>
      <c r="C1629">
        <f>TEXT(1628, "[$-060000]yyyy-mm-dd")</f>
        <v/>
      </c>
      <c r="D1629" t="inlineStr">
        <is>
          <t>1322-04-02</t>
        </is>
      </c>
    </row>
    <row r="1630">
      <c r="A1630" s="1" t="n">
        <v>1629</v>
      </c>
      <c r="B1630">
        <f>TEXT(1629, "[$-170000]yyyy-mm-dd")</f>
        <v/>
      </c>
      <c r="C1630">
        <f>TEXT(1629, "[$-060000]yyyy-mm-dd")</f>
        <v/>
      </c>
      <c r="D1630" t="inlineStr">
        <is>
          <t>1322-04-03</t>
        </is>
      </c>
    </row>
    <row r="1631">
      <c r="A1631" s="1" t="n">
        <v>1630</v>
      </c>
      <c r="B1631">
        <f>TEXT(1630, "[$-170000]yyyy-mm-dd")</f>
        <v/>
      </c>
      <c r="C1631">
        <f>TEXT(1630, "[$-060000]yyyy-mm-dd")</f>
        <v/>
      </c>
      <c r="D1631" t="inlineStr">
        <is>
          <t>1322-04-04</t>
        </is>
      </c>
    </row>
    <row r="1632">
      <c r="A1632" s="1" t="n">
        <v>1631</v>
      </c>
      <c r="B1632">
        <f>TEXT(1631, "[$-170000]yyyy-mm-dd")</f>
        <v/>
      </c>
      <c r="C1632">
        <f>TEXT(1631, "[$-060000]yyyy-mm-dd")</f>
        <v/>
      </c>
      <c r="D1632" t="inlineStr">
        <is>
          <t>1322-04-05</t>
        </is>
      </c>
    </row>
    <row r="1633">
      <c r="A1633" s="1" t="n">
        <v>1632</v>
      </c>
      <c r="B1633">
        <f>TEXT(1632, "[$-170000]yyyy-mm-dd")</f>
        <v/>
      </c>
      <c r="C1633">
        <f>TEXT(1632, "[$-060000]yyyy-mm-dd")</f>
        <v/>
      </c>
      <c r="D1633" t="inlineStr">
        <is>
          <t>1322-04-06</t>
        </is>
      </c>
    </row>
    <row r="1634">
      <c r="A1634" s="1" t="n">
        <v>1633</v>
      </c>
      <c r="B1634">
        <f>TEXT(1633, "[$-170000]yyyy-mm-dd")</f>
        <v/>
      </c>
      <c r="C1634">
        <f>TEXT(1633, "[$-060000]yyyy-mm-dd")</f>
        <v/>
      </c>
      <c r="D1634" t="inlineStr">
        <is>
          <t>1322-04-07</t>
        </is>
      </c>
    </row>
    <row r="1635">
      <c r="A1635" s="1" t="n">
        <v>1634</v>
      </c>
      <c r="B1635">
        <f>TEXT(1634, "[$-170000]yyyy-mm-dd")</f>
        <v/>
      </c>
      <c r="C1635">
        <f>TEXT(1634, "[$-060000]yyyy-mm-dd")</f>
        <v/>
      </c>
      <c r="D1635" t="inlineStr">
        <is>
          <t>1322-04-08</t>
        </is>
      </c>
    </row>
    <row r="1636">
      <c r="A1636" s="1" t="n">
        <v>1635</v>
      </c>
      <c r="B1636">
        <f>TEXT(1635, "[$-170000]yyyy-mm-dd")</f>
        <v/>
      </c>
      <c r="C1636">
        <f>TEXT(1635, "[$-060000]yyyy-mm-dd")</f>
        <v/>
      </c>
      <c r="D1636" t="inlineStr">
        <is>
          <t>1322-04-09</t>
        </is>
      </c>
    </row>
    <row r="1637">
      <c r="A1637" s="1" t="n">
        <v>1636</v>
      </c>
      <c r="B1637">
        <f>TEXT(1636, "[$-170000]yyyy-mm-dd")</f>
        <v/>
      </c>
      <c r="C1637">
        <f>TEXT(1636, "[$-060000]yyyy-mm-dd")</f>
        <v/>
      </c>
      <c r="D1637" t="inlineStr">
        <is>
          <t>1322-04-10</t>
        </is>
      </c>
    </row>
    <row r="1638">
      <c r="A1638" s="1" t="n">
        <v>1637</v>
      </c>
      <c r="B1638">
        <f>TEXT(1637, "[$-170000]yyyy-mm-dd")</f>
        <v/>
      </c>
      <c r="C1638">
        <f>TEXT(1637, "[$-060000]yyyy-mm-dd")</f>
        <v/>
      </c>
      <c r="D1638" t="inlineStr">
        <is>
          <t>1322-04-11</t>
        </is>
      </c>
    </row>
    <row r="1639">
      <c r="A1639" s="1" t="n">
        <v>1638</v>
      </c>
      <c r="B1639">
        <f>TEXT(1638, "[$-170000]yyyy-mm-dd")</f>
        <v/>
      </c>
      <c r="C1639">
        <f>TEXT(1638, "[$-060000]yyyy-mm-dd")</f>
        <v/>
      </c>
      <c r="D1639" t="inlineStr">
        <is>
          <t>1322-04-12</t>
        </is>
      </c>
    </row>
    <row r="1640">
      <c r="A1640" s="1" t="n">
        <v>1639</v>
      </c>
      <c r="B1640">
        <f>TEXT(1639, "[$-170000]yyyy-mm-dd")</f>
        <v/>
      </c>
      <c r="C1640">
        <f>TEXT(1639, "[$-060000]yyyy-mm-dd")</f>
        <v/>
      </c>
      <c r="D1640" t="inlineStr">
        <is>
          <t>1322-04-13</t>
        </is>
      </c>
    </row>
    <row r="1641">
      <c r="A1641" s="1" t="n">
        <v>1640</v>
      </c>
      <c r="B1641">
        <f>TEXT(1640, "[$-170000]yyyy-mm-dd")</f>
        <v/>
      </c>
      <c r="C1641">
        <f>TEXT(1640, "[$-060000]yyyy-mm-dd")</f>
        <v/>
      </c>
      <c r="D1641" t="inlineStr">
        <is>
          <t>1322-04-14</t>
        </is>
      </c>
    </row>
    <row r="1642">
      <c r="A1642" s="1" t="n">
        <v>1641</v>
      </c>
      <c r="B1642">
        <f>TEXT(1641, "[$-170000]yyyy-mm-dd")</f>
        <v/>
      </c>
      <c r="C1642">
        <f>TEXT(1641, "[$-060000]yyyy-mm-dd")</f>
        <v/>
      </c>
      <c r="D1642" t="inlineStr">
        <is>
          <t>1322-04-15</t>
        </is>
      </c>
    </row>
    <row r="1643">
      <c r="A1643" s="1" t="n">
        <v>1642</v>
      </c>
      <c r="B1643">
        <f>TEXT(1642, "[$-170000]yyyy-mm-dd")</f>
        <v/>
      </c>
      <c r="C1643">
        <f>TEXT(1642, "[$-060000]yyyy-mm-dd")</f>
        <v/>
      </c>
      <c r="D1643" t="inlineStr">
        <is>
          <t>1322-04-16</t>
        </is>
      </c>
    </row>
    <row r="1644">
      <c r="A1644" s="1" t="n">
        <v>1643</v>
      </c>
      <c r="B1644">
        <f>TEXT(1643, "[$-170000]yyyy-mm-dd")</f>
        <v/>
      </c>
      <c r="C1644">
        <f>TEXT(1643, "[$-060000]yyyy-mm-dd")</f>
        <v/>
      </c>
      <c r="D1644" t="inlineStr">
        <is>
          <t>1322-04-17</t>
        </is>
      </c>
    </row>
    <row r="1645">
      <c r="A1645" s="1" t="n">
        <v>1644</v>
      </c>
      <c r="B1645">
        <f>TEXT(1644, "[$-170000]yyyy-mm-dd")</f>
        <v/>
      </c>
      <c r="C1645">
        <f>TEXT(1644, "[$-060000]yyyy-mm-dd")</f>
        <v/>
      </c>
      <c r="D1645" t="inlineStr">
        <is>
          <t>1322-04-18</t>
        </is>
      </c>
    </row>
    <row r="1646">
      <c r="A1646" s="1" t="n">
        <v>1645</v>
      </c>
      <c r="B1646">
        <f>TEXT(1645, "[$-170000]yyyy-mm-dd")</f>
        <v/>
      </c>
      <c r="C1646">
        <f>TEXT(1645, "[$-060000]yyyy-mm-dd")</f>
        <v/>
      </c>
      <c r="D1646" t="inlineStr">
        <is>
          <t>1322-04-19</t>
        </is>
      </c>
    </row>
    <row r="1647">
      <c r="A1647" s="1" t="n">
        <v>1646</v>
      </c>
      <c r="B1647">
        <f>TEXT(1646, "[$-170000]yyyy-mm-dd")</f>
        <v/>
      </c>
      <c r="C1647">
        <f>TEXT(1646, "[$-060000]yyyy-mm-dd")</f>
        <v/>
      </c>
      <c r="D1647" t="inlineStr">
        <is>
          <t>1322-04-20</t>
        </is>
      </c>
    </row>
    <row r="1648">
      <c r="A1648" s="1" t="n">
        <v>1647</v>
      </c>
      <c r="B1648">
        <f>TEXT(1647, "[$-170000]yyyy-mm-dd")</f>
        <v/>
      </c>
      <c r="C1648">
        <f>TEXT(1647, "[$-060000]yyyy-mm-dd")</f>
        <v/>
      </c>
      <c r="D1648" t="inlineStr">
        <is>
          <t>1322-04-21</t>
        </is>
      </c>
    </row>
    <row r="1649">
      <c r="A1649" s="1" t="n">
        <v>1648</v>
      </c>
      <c r="B1649">
        <f>TEXT(1648, "[$-170000]yyyy-mm-dd")</f>
        <v/>
      </c>
      <c r="C1649">
        <f>TEXT(1648, "[$-060000]yyyy-mm-dd")</f>
        <v/>
      </c>
      <c r="D1649" t="inlineStr">
        <is>
          <t>1322-04-22</t>
        </is>
      </c>
    </row>
    <row r="1650">
      <c r="A1650" s="1" t="n">
        <v>1649</v>
      </c>
      <c r="B1650">
        <f>TEXT(1649, "[$-170000]yyyy-mm-dd")</f>
        <v/>
      </c>
      <c r="C1650">
        <f>TEXT(1649, "[$-060000]yyyy-mm-dd")</f>
        <v/>
      </c>
      <c r="D1650" t="inlineStr">
        <is>
          <t>1322-04-23</t>
        </is>
      </c>
    </row>
    <row r="1651">
      <c r="A1651" s="1" t="n">
        <v>1650</v>
      </c>
      <c r="B1651">
        <f>TEXT(1650, "[$-170000]yyyy-mm-dd")</f>
        <v/>
      </c>
      <c r="C1651">
        <f>TEXT(1650, "[$-060000]yyyy-mm-dd")</f>
        <v/>
      </c>
      <c r="D1651" t="inlineStr">
        <is>
          <t>1322-04-24</t>
        </is>
      </c>
    </row>
    <row r="1652">
      <c r="A1652" s="1" t="n">
        <v>1651</v>
      </c>
      <c r="B1652">
        <f>TEXT(1651, "[$-170000]yyyy-mm-dd")</f>
        <v/>
      </c>
      <c r="C1652">
        <f>TEXT(1651, "[$-060000]yyyy-mm-dd")</f>
        <v/>
      </c>
      <c r="D1652" t="inlineStr">
        <is>
          <t>1322-04-25</t>
        </is>
      </c>
    </row>
    <row r="1653">
      <c r="A1653" s="1" t="n">
        <v>1652</v>
      </c>
      <c r="B1653">
        <f>TEXT(1652, "[$-170000]yyyy-mm-dd")</f>
        <v/>
      </c>
      <c r="C1653">
        <f>TEXT(1652, "[$-060000]yyyy-mm-dd")</f>
        <v/>
      </c>
      <c r="D1653" t="inlineStr">
        <is>
          <t>1322-04-26</t>
        </is>
      </c>
    </row>
    <row r="1654">
      <c r="A1654" s="1" t="n">
        <v>1653</v>
      </c>
      <c r="B1654">
        <f>TEXT(1653, "[$-170000]yyyy-mm-dd")</f>
        <v/>
      </c>
      <c r="C1654">
        <f>TEXT(1653, "[$-060000]yyyy-mm-dd")</f>
        <v/>
      </c>
      <c r="D1654" t="inlineStr">
        <is>
          <t>1322-04-27</t>
        </is>
      </c>
    </row>
    <row r="1655">
      <c r="A1655" s="1" t="n">
        <v>1654</v>
      </c>
      <c r="B1655">
        <f>TEXT(1654, "[$-170000]yyyy-mm-dd")</f>
        <v/>
      </c>
      <c r="C1655">
        <f>TEXT(1654, "[$-060000]yyyy-mm-dd")</f>
        <v/>
      </c>
      <c r="D1655" t="inlineStr">
        <is>
          <t>1322-04-28</t>
        </is>
      </c>
    </row>
    <row r="1656">
      <c r="A1656" s="1" t="n">
        <v>1655</v>
      </c>
      <c r="B1656">
        <f>TEXT(1655, "[$-170000]yyyy-mm-dd")</f>
        <v/>
      </c>
      <c r="C1656">
        <f>TEXT(1655, "[$-060000]yyyy-mm-dd")</f>
        <v/>
      </c>
      <c r="D1656" t="inlineStr">
        <is>
          <t>1322-04-29</t>
        </is>
      </c>
    </row>
    <row r="1657">
      <c r="A1657" s="1" t="n">
        <v>1656</v>
      </c>
      <c r="B1657">
        <f>TEXT(1656, "[$-170000]yyyy-mm-dd")</f>
        <v/>
      </c>
      <c r="C1657">
        <f>TEXT(1656, "[$-060000]yyyy-mm-dd")</f>
        <v/>
      </c>
      <c r="D1657" t="inlineStr">
        <is>
          <t>1322-05-01</t>
        </is>
      </c>
    </row>
    <row r="1658">
      <c r="A1658" s="1" t="n">
        <v>1657</v>
      </c>
      <c r="B1658">
        <f>TEXT(1657, "[$-170000]yyyy-mm-dd")</f>
        <v/>
      </c>
      <c r="C1658">
        <f>TEXT(1657, "[$-060000]yyyy-mm-dd")</f>
        <v/>
      </c>
      <c r="D1658" t="inlineStr">
        <is>
          <t>1322-05-02</t>
        </is>
      </c>
    </row>
    <row r="1659">
      <c r="A1659" s="1" t="n">
        <v>1658</v>
      </c>
      <c r="B1659">
        <f>TEXT(1658, "[$-170000]yyyy-mm-dd")</f>
        <v/>
      </c>
      <c r="C1659">
        <f>TEXT(1658, "[$-060000]yyyy-mm-dd")</f>
        <v/>
      </c>
      <c r="D1659" t="inlineStr">
        <is>
          <t>1322-05-03</t>
        </is>
      </c>
    </row>
    <row r="1660">
      <c r="A1660" s="1" t="n">
        <v>1659</v>
      </c>
      <c r="B1660">
        <f>TEXT(1659, "[$-170000]yyyy-mm-dd")</f>
        <v/>
      </c>
      <c r="C1660">
        <f>TEXT(1659, "[$-060000]yyyy-mm-dd")</f>
        <v/>
      </c>
      <c r="D1660" t="inlineStr">
        <is>
          <t>1322-05-04</t>
        </is>
      </c>
    </row>
    <row r="1661">
      <c r="A1661" s="1" t="n">
        <v>1660</v>
      </c>
      <c r="B1661">
        <f>TEXT(1660, "[$-170000]yyyy-mm-dd")</f>
        <v/>
      </c>
      <c r="C1661">
        <f>TEXT(1660, "[$-060000]yyyy-mm-dd")</f>
        <v/>
      </c>
      <c r="D1661" t="inlineStr">
        <is>
          <t>1322-05-05</t>
        </is>
      </c>
    </row>
    <row r="1662">
      <c r="A1662" s="1" t="n">
        <v>1661</v>
      </c>
      <c r="B1662">
        <f>TEXT(1661, "[$-170000]yyyy-mm-dd")</f>
        <v/>
      </c>
      <c r="C1662">
        <f>TEXT(1661, "[$-060000]yyyy-mm-dd")</f>
        <v/>
      </c>
      <c r="D1662" t="inlineStr">
        <is>
          <t>1322-05-06</t>
        </is>
      </c>
    </row>
    <row r="1663">
      <c r="A1663" s="1" t="n">
        <v>1662</v>
      </c>
      <c r="B1663">
        <f>TEXT(1662, "[$-170000]yyyy-mm-dd")</f>
        <v/>
      </c>
      <c r="C1663">
        <f>TEXT(1662, "[$-060000]yyyy-mm-dd")</f>
        <v/>
      </c>
      <c r="D1663" t="inlineStr">
        <is>
          <t>1322-05-07</t>
        </is>
      </c>
    </row>
    <row r="1664">
      <c r="A1664" s="1" t="n">
        <v>1663</v>
      </c>
      <c r="B1664">
        <f>TEXT(1663, "[$-170000]yyyy-mm-dd")</f>
        <v/>
      </c>
      <c r="C1664">
        <f>TEXT(1663, "[$-060000]yyyy-mm-dd")</f>
        <v/>
      </c>
      <c r="D1664" t="inlineStr">
        <is>
          <t>1322-05-08</t>
        </is>
      </c>
    </row>
    <row r="1665">
      <c r="A1665" s="1" t="n">
        <v>1664</v>
      </c>
      <c r="B1665">
        <f>TEXT(1664, "[$-170000]yyyy-mm-dd")</f>
        <v/>
      </c>
      <c r="C1665">
        <f>TEXT(1664, "[$-060000]yyyy-mm-dd")</f>
        <v/>
      </c>
      <c r="D1665" t="inlineStr">
        <is>
          <t>1322-05-09</t>
        </is>
      </c>
    </row>
    <row r="1666">
      <c r="A1666" s="1" t="n">
        <v>1665</v>
      </c>
      <c r="B1666">
        <f>TEXT(1665, "[$-170000]yyyy-mm-dd")</f>
        <v/>
      </c>
      <c r="C1666">
        <f>TEXT(1665, "[$-060000]yyyy-mm-dd")</f>
        <v/>
      </c>
      <c r="D1666" t="inlineStr">
        <is>
          <t>1322-05-10</t>
        </is>
      </c>
    </row>
    <row r="1667">
      <c r="A1667" s="1" t="n">
        <v>1666</v>
      </c>
      <c r="B1667">
        <f>TEXT(1666, "[$-170000]yyyy-mm-dd")</f>
        <v/>
      </c>
      <c r="C1667">
        <f>TEXT(1666, "[$-060000]yyyy-mm-dd")</f>
        <v/>
      </c>
      <c r="D1667" t="inlineStr">
        <is>
          <t>1322-05-11</t>
        </is>
      </c>
    </row>
    <row r="1668">
      <c r="A1668" s="1" t="n">
        <v>1667</v>
      </c>
      <c r="B1668">
        <f>TEXT(1667, "[$-170000]yyyy-mm-dd")</f>
        <v/>
      </c>
      <c r="C1668">
        <f>TEXT(1667, "[$-060000]yyyy-mm-dd")</f>
        <v/>
      </c>
      <c r="D1668" t="inlineStr">
        <is>
          <t>1322-05-12</t>
        </is>
      </c>
    </row>
    <row r="1669">
      <c r="A1669" s="1" t="n">
        <v>1668</v>
      </c>
      <c r="B1669">
        <f>TEXT(1668, "[$-170000]yyyy-mm-dd")</f>
        <v/>
      </c>
      <c r="C1669">
        <f>TEXT(1668, "[$-060000]yyyy-mm-dd")</f>
        <v/>
      </c>
      <c r="D1669" t="inlineStr">
        <is>
          <t>1322-05-13</t>
        </is>
      </c>
    </row>
    <row r="1670">
      <c r="A1670" s="1" t="n">
        <v>1669</v>
      </c>
      <c r="B1670">
        <f>TEXT(1669, "[$-170000]yyyy-mm-dd")</f>
        <v/>
      </c>
      <c r="C1670">
        <f>TEXT(1669, "[$-060000]yyyy-mm-dd")</f>
        <v/>
      </c>
      <c r="D1670" t="inlineStr">
        <is>
          <t>1322-05-14</t>
        </is>
      </c>
    </row>
    <row r="1671">
      <c r="A1671" s="1" t="n">
        <v>1670</v>
      </c>
      <c r="B1671">
        <f>TEXT(1670, "[$-170000]yyyy-mm-dd")</f>
        <v/>
      </c>
      <c r="C1671">
        <f>TEXT(1670, "[$-060000]yyyy-mm-dd")</f>
        <v/>
      </c>
      <c r="D1671" t="inlineStr">
        <is>
          <t>1322-05-15</t>
        </is>
      </c>
    </row>
    <row r="1672">
      <c r="A1672" s="1" t="n">
        <v>1671</v>
      </c>
      <c r="B1672">
        <f>TEXT(1671, "[$-170000]yyyy-mm-dd")</f>
        <v/>
      </c>
      <c r="C1672">
        <f>TEXT(1671, "[$-060000]yyyy-mm-dd")</f>
        <v/>
      </c>
      <c r="D1672" t="inlineStr">
        <is>
          <t>1322-05-16</t>
        </is>
      </c>
    </row>
    <row r="1673">
      <c r="A1673" s="1" t="n">
        <v>1672</v>
      </c>
      <c r="B1673">
        <f>TEXT(1672, "[$-170000]yyyy-mm-dd")</f>
        <v/>
      </c>
      <c r="C1673">
        <f>TEXT(1672, "[$-060000]yyyy-mm-dd")</f>
        <v/>
      </c>
      <c r="D1673" t="inlineStr">
        <is>
          <t>1322-05-17</t>
        </is>
      </c>
    </row>
    <row r="1674">
      <c r="A1674" s="1" t="n">
        <v>1673</v>
      </c>
      <c r="B1674">
        <f>TEXT(1673, "[$-170000]yyyy-mm-dd")</f>
        <v/>
      </c>
      <c r="C1674">
        <f>TEXT(1673, "[$-060000]yyyy-mm-dd")</f>
        <v/>
      </c>
      <c r="D1674" t="inlineStr">
        <is>
          <t>1322-05-18</t>
        </is>
      </c>
    </row>
    <row r="1675">
      <c r="A1675" s="1" t="n">
        <v>1674</v>
      </c>
      <c r="B1675">
        <f>TEXT(1674, "[$-170000]yyyy-mm-dd")</f>
        <v/>
      </c>
      <c r="C1675">
        <f>TEXT(1674, "[$-060000]yyyy-mm-dd")</f>
        <v/>
      </c>
      <c r="D1675" t="inlineStr">
        <is>
          <t>1322-05-19</t>
        </is>
      </c>
    </row>
    <row r="1676">
      <c r="A1676" s="1" t="n">
        <v>1675</v>
      </c>
      <c r="B1676">
        <f>TEXT(1675, "[$-170000]yyyy-mm-dd")</f>
        <v/>
      </c>
      <c r="C1676">
        <f>TEXT(1675, "[$-060000]yyyy-mm-dd")</f>
        <v/>
      </c>
      <c r="D1676" t="inlineStr">
        <is>
          <t>1322-05-20</t>
        </is>
      </c>
    </row>
    <row r="1677">
      <c r="A1677" s="1" t="n">
        <v>1676</v>
      </c>
      <c r="B1677">
        <f>TEXT(1676, "[$-170000]yyyy-mm-dd")</f>
        <v/>
      </c>
      <c r="C1677">
        <f>TEXT(1676, "[$-060000]yyyy-mm-dd")</f>
        <v/>
      </c>
      <c r="D1677" t="inlineStr">
        <is>
          <t>1322-05-21</t>
        </is>
      </c>
    </row>
    <row r="1678">
      <c r="A1678" s="1" t="n">
        <v>1677</v>
      </c>
      <c r="B1678">
        <f>TEXT(1677, "[$-170000]yyyy-mm-dd")</f>
        <v/>
      </c>
      <c r="C1678">
        <f>TEXT(1677, "[$-060000]yyyy-mm-dd")</f>
        <v/>
      </c>
      <c r="D1678" t="inlineStr">
        <is>
          <t>1322-05-22</t>
        </is>
      </c>
    </row>
    <row r="1679">
      <c r="A1679" s="1" t="n">
        <v>1678</v>
      </c>
      <c r="B1679">
        <f>TEXT(1678, "[$-170000]yyyy-mm-dd")</f>
        <v/>
      </c>
      <c r="C1679">
        <f>TEXT(1678, "[$-060000]yyyy-mm-dd")</f>
        <v/>
      </c>
      <c r="D1679" t="inlineStr">
        <is>
          <t>1322-05-23</t>
        </is>
      </c>
    </row>
    <row r="1680">
      <c r="A1680" s="1" t="n">
        <v>1679</v>
      </c>
      <c r="B1680">
        <f>TEXT(1679, "[$-170000]yyyy-mm-dd")</f>
        <v/>
      </c>
      <c r="C1680">
        <f>TEXT(1679, "[$-060000]yyyy-mm-dd")</f>
        <v/>
      </c>
      <c r="D1680" t="inlineStr">
        <is>
          <t>1322-05-24</t>
        </is>
      </c>
    </row>
    <row r="1681">
      <c r="A1681" s="1" t="n">
        <v>1680</v>
      </c>
      <c r="B1681">
        <f>TEXT(1680, "[$-170000]yyyy-mm-dd")</f>
        <v/>
      </c>
      <c r="C1681">
        <f>TEXT(1680, "[$-060000]yyyy-mm-dd")</f>
        <v/>
      </c>
      <c r="D1681" t="inlineStr">
        <is>
          <t>1322-05-25</t>
        </is>
      </c>
    </row>
    <row r="1682">
      <c r="A1682" s="1" t="n">
        <v>1681</v>
      </c>
      <c r="B1682">
        <f>TEXT(1681, "[$-170000]yyyy-mm-dd")</f>
        <v/>
      </c>
      <c r="C1682">
        <f>TEXT(1681, "[$-060000]yyyy-mm-dd")</f>
        <v/>
      </c>
      <c r="D1682" t="inlineStr">
        <is>
          <t>1322-05-26</t>
        </is>
      </c>
    </row>
    <row r="1683">
      <c r="A1683" s="1" t="n">
        <v>1682</v>
      </c>
      <c r="B1683">
        <f>TEXT(1682, "[$-170000]yyyy-mm-dd")</f>
        <v/>
      </c>
      <c r="C1683">
        <f>TEXT(1682, "[$-060000]yyyy-mm-dd")</f>
        <v/>
      </c>
      <c r="D1683" t="inlineStr">
        <is>
          <t>1322-05-27</t>
        </is>
      </c>
    </row>
    <row r="1684">
      <c r="A1684" s="1" t="n">
        <v>1683</v>
      </c>
      <c r="B1684">
        <f>TEXT(1683, "[$-170000]yyyy-mm-dd")</f>
        <v/>
      </c>
      <c r="C1684">
        <f>TEXT(1683, "[$-060000]yyyy-mm-dd")</f>
        <v/>
      </c>
      <c r="D1684" t="inlineStr">
        <is>
          <t>1322-05-28</t>
        </is>
      </c>
    </row>
    <row r="1685">
      <c r="A1685" s="1" t="n">
        <v>1684</v>
      </c>
      <c r="B1685">
        <f>TEXT(1684, "[$-170000]yyyy-mm-dd")</f>
        <v/>
      </c>
      <c r="C1685">
        <f>TEXT(1684, "[$-060000]yyyy-mm-dd")</f>
        <v/>
      </c>
      <c r="D1685" t="inlineStr">
        <is>
          <t>1322-05-29</t>
        </is>
      </c>
    </row>
    <row r="1686">
      <c r="A1686" s="1" t="n">
        <v>1685</v>
      </c>
      <c r="B1686">
        <f>TEXT(1685, "[$-170000]yyyy-mm-dd")</f>
        <v/>
      </c>
      <c r="C1686">
        <f>TEXT(1685, "[$-060000]yyyy-mm-dd")</f>
        <v/>
      </c>
      <c r="D1686" t="inlineStr">
        <is>
          <t>1322-05-30</t>
        </is>
      </c>
    </row>
    <row r="1687">
      <c r="A1687" s="1" t="n">
        <v>1686</v>
      </c>
      <c r="B1687">
        <f>TEXT(1686, "[$-170000]yyyy-mm-dd")</f>
        <v/>
      </c>
      <c r="C1687">
        <f>TEXT(1686, "[$-060000]yyyy-mm-dd")</f>
        <v/>
      </c>
      <c r="D1687" t="inlineStr">
        <is>
          <t>1322-06-01</t>
        </is>
      </c>
    </row>
    <row r="1688">
      <c r="A1688" s="1" t="n">
        <v>1687</v>
      </c>
      <c r="B1688">
        <f>TEXT(1687, "[$-170000]yyyy-mm-dd")</f>
        <v/>
      </c>
      <c r="C1688">
        <f>TEXT(1687, "[$-060000]yyyy-mm-dd")</f>
        <v/>
      </c>
      <c r="D1688" t="inlineStr">
        <is>
          <t>1322-06-02</t>
        </is>
      </c>
    </row>
    <row r="1689">
      <c r="A1689" s="1" t="n">
        <v>1688</v>
      </c>
      <c r="B1689">
        <f>TEXT(1688, "[$-170000]yyyy-mm-dd")</f>
        <v/>
      </c>
      <c r="C1689">
        <f>TEXT(1688, "[$-060000]yyyy-mm-dd")</f>
        <v/>
      </c>
      <c r="D1689" t="inlineStr">
        <is>
          <t>1322-06-03</t>
        </is>
      </c>
    </row>
    <row r="1690">
      <c r="A1690" s="1" t="n">
        <v>1689</v>
      </c>
      <c r="B1690">
        <f>TEXT(1689, "[$-170000]yyyy-mm-dd")</f>
        <v/>
      </c>
      <c r="C1690">
        <f>TEXT(1689, "[$-060000]yyyy-mm-dd")</f>
        <v/>
      </c>
      <c r="D1690" t="inlineStr">
        <is>
          <t>1322-06-04</t>
        </is>
      </c>
    </row>
    <row r="1691">
      <c r="A1691" s="1" t="n">
        <v>1690</v>
      </c>
      <c r="B1691">
        <f>TEXT(1690, "[$-170000]yyyy-mm-dd")</f>
        <v/>
      </c>
      <c r="C1691">
        <f>TEXT(1690, "[$-060000]yyyy-mm-dd")</f>
        <v/>
      </c>
      <c r="D1691" t="inlineStr">
        <is>
          <t>1322-06-05</t>
        </is>
      </c>
    </row>
    <row r="1692">
      <c r="A1692" s="1" t="n">
        <v>1691</v>
      </c>
      <c r="B1692">
        <f>TEXT(1691, "[$-170000]yyyy-mm-dd")</f>
        <v/>
      </c>
      <c r="C1692">
        <f>TEXT(1691, "[$-060000]yyyy-mm-dd")</f>
        <v/>
      </c>
      <c r="D1692" t="inlineStr">
        <is>
          <t>1322-06-06</t>
        </is>
      </c>
    </row>
    <row r="1693">
      <c r="A1693" s="1" t="n">
        <v>1692</v>
      </c>
      <c r="B1693">
        <f>TEXT(1692, "[$-170000]yyyy-mm-dd")</f>
        <v/>
      </c>
      <c r="C1693">
        <f>TEXT(1692, "[$-060000]yyyy-mm-dd")</f>
        <v/>
      </c>
      <c r="D1693" t="inlineStr">
        <is>
          <t>1322-06-07</t>
        </is>
      </c>
    </row>
    <row r="1694">
      <c r="A1694" s="1" t="n">
        <v>1693</v>
      </c>
      <c r="B1694">
        <f>TEXT(1693, "[$-170000]yyyy-mm-dd")</f>
        <v/>
      </c>
      <c r="C1694">
        <f>TEXT(1693, "[$-060000]yyyy-mm-dd")</f>
        <v/>
      </c>
      <c r="D1694" t="inlineStr">
        <is>
          <t>1322-06-08</t>
        </is>
      </c>
    </row>
    <row r="1695">
      <c r="A1695" s="1" t="n">
        <v>1694</v>
      </c>
      <c r="B1695">
        <f>TEXT(1694, "[$-170000]yyyy-mm-dd")</f>
        <v/>
      </c>
      <c r="C1695">
        <f>TEXT(1694, "[$-060000]yyyy-mm-dd")</f>
        <v/>
      </c>
      <c r="D1695" t="inlineStr">
        <is>
          <t>1322-06-09</t>
        </is>
      </c>
    </row>
    <row r="1696">
      <c r="A1696" s="1" t="n">
        <v>1695</v>
      </c>
      <c r="B1696">
        <f>TEXT(1695, "[$-170000]yyyy-mm-dd")</f>
        <v/>
      </c>
      <c r="C1696">
        <f>TEXT(1695, "[$-060000]yyyy-mm-dd")</f>
        <v/>
      </c>
      <c r="D1696" t="inlineStr">
        <is>
          <t>1322-06-10</t>
        </is>
      </c>
    </row>
    <row r="1697">
      <c r="A1697" s="1" t="n">
        <v>1696</v>
      </c>
      <c r="B1697">
        <f>TEXT(1696, "[$-170000]yyyy-mm-dd")</f>
        <v/>
      </c>
      <c r="C1697">
        <f>TEXT(1696, "[$-060000]yyyy-mm-dd")</f>
        <v/>
      </c>
      <c r="D1697" t="inlineStr">
        <is>
          <t>1322-06-11</t>
        </is>
      </c>
    </row>
    <row r="1698">
      <c r="A1698" s="1" t="n">
        <v>1697</v>
      </c>
      <c r="B1698">
        <f>TEXT(1697, "[$-170000]yyyy-mm-dd")</f>
        <v/>
      </c>
      <c r="C1698">
        <f>TEXT(1697, "[$-060000]yyyy-mm-dd")</f>
        <v/>
      </c>
      <c r="D1698" t="inlineStr">
        <is>
          <t>1322-06-12</t>
        </is>
      </c>
    </row>
    <row r="1699">
      <c r="A1699" s="1" t="n">
        <v>1698</v>
      </c>
      <c r="B1699">
        <f>TEXT(1698, "[$-170000]yyyy-mm-dd")</f>
        <v/>
      </c>
      <c r="C1699">
        <f>TEXT(1698, "[$-060000]yyyy-mm-dd")</f>
        <v/>
      </c>
      <c r="D1699" t="inlineStr">
        <is>
          <t>1322-06-13</t>
        </is>
      </c>
    </row>
    <row r="1700">
      <c r="A1700" s="1" t="n">
        <v>1699</v>
      </c>
      <c r="B1700">
        <f>TEXT(1699, "[$-170000]yyyy-mm-dd")</f>
        <v/>
      </c>
      <c r="C1700">
        <f>TEXT(1699, "[$-060000]yyyy-mm-dd")</f>
        <v/>
      </c>
      <c r="D1700" t="inlineStr">
        <is>
          <t>1322-06-14</t>
        </is>
      </c>
    </row>
    <row r="1701">
      <c r="A1701" s="1" t="n">
        <v>1700</v>
      </c>
      <c r="B1701">
        <f>TEXT(1700, "[$-170000]yyyy-mm-dd")</f>
        <v/>
      </c>
      <c r="C1701">
        <f>TEXT(1700, "[$-060000]yyyy-mm-dd")</f>
        <v/>
      </c>
      <c r="D1701" t="inlineStr">
        <is>
          <t>1322-06-15</t>
        </is>
      </c>
    </row>
    <row r="1702">
      <c r="A1702" s="1" t="n">
        <v>1701</v>
      </c>
      <c r="B1702">
        <f>TEXT(1701, "[$-170000]yyyy-mm-dd")</f>
        <v/>
      </c>
      <c r="C1702">
        <f>TEXT(1701, "[$-060000]yyyy-mm-dd")</f>
        <v/>
      </c>
      <c r="D1702" t="inlineStr">
        <is>
          <t>1322-06-16</t>
        </is>
      </c>
    </row>
    <row r="1703">
      <c r="A1703" s="1" t="n">
        <v>1702</v>
      </c>
      <c r="B1703">
        <f>TEXT(1702, "[$-170000]yyyy-mm-dd")</f>
        <v/>
      </c>
      <c r="C1703">
        <f>TEXT(1702, "[$-060000]yyyy-mm-dd")</f>
        <v/>
      </c>
      <c r="D1703" t="inlineStr">
        <is>
          <t>1322-06-17</t>
        </is>
      </c>
    </row>
    <row r="1704">
      <c r="A1704" s="1" t="n">
        <v>1703</v>
      </c>
      <c r="B1704">
        <f>TEXT(1703, "[$-170000]yyyy-mm-dd")</f>
        <v/>
      </c>
      <c r="C1704">
        <f>TEXT(1703, "[$-060000]yyyy-mm-dd")</f>
        <v/>
      </c>
      <c r="D1704" t="inlineStr">
        <is>
          <t>1322-06-18</t>
        </is>
      </c>
    </row>
    <row r="1705">
      <c r="A1705" s="1" t="n">
        <v>1704</v>
      </c>
      <c r="B1705">
        <f>TEXT(1704, "[$-170000]yyyy-mm-dd")</f>
        <v/>
      </c>
      <c r="C1705">
        <f>TEXT(1704, "[$-060000]yyyy-mm-dd")</f>
        <v/>
      </c>
      <c r="D1705" t="inlineStr">
        <is>
          <t>1322-06-19</t>
        </is>
      </c>
    </row>
    <row r="1706">
      <c r="A1706" s="1" t="n">
        <v>1705</v>
      </c>
      <c r="B1706">
        <f>TEXT(1705, "[$-170000]yyyy-mm-dd")</f>
        <v/>
      </c>
      <c r="C1706">
        <f>TEXT(1705, "[$-060000]yyyy-mm-dd")</f>
        <v/>
      </c>
      <c r="D1706" t="inlineStr">
        <is>
          <t>1322-06-20</t>
        </is>
      </c>
    </row>
    <row r="1707">
      <c r="A1707" s="1" t="n">
        <v>1706</v>
      </c>
      <c r="B1707">
        <f>TEXT(1706, "[$-170000]yyyy-mm-dd")</f>
        <v/>
      </c>
      <c r="C1707">
        <f>TEXT(1706, "[$-060000]yyyy-mm-dd")</f>
        <v/>
      </c>
      <c r="D1707" t="inlineStr">
        <is>
          <t>1322-06-21</t>
        </is>
      </c>
    </row>
    <row r="1708">
      <c r="A1708" s="1" t="n">
        <v>1707</v>
      </c>
      <c r="B1708">
        <f>TEXT(1707, "[$-170000]yyyy-mm-dd")</f>
        <v/>
      </c>
      <c r="C1708">
        <f>TEXT(1707, "[$-060000]yyyy-mm-dd")</f>
        <v/>
      </c>
      <c r="D1708" t="inlineStr">
        <is>
          <t>1322-06-22</t>
        </is>
      </c>
    </row>
    <row r="1709">
      <c r="A1709" s="1" t="n">
        <v>1708</v>
      </c>
      <c r="B1709">
        <f>TEXT(1708, "[$-170000]yyyy-mm-dd")</f>
        <v/>
      </c>
      <c r="C1709">
        <f>TEXT(1708, "[$-060000]yyyy-mm-dd")</f>
        <v/>
      </c>
      <c r="D1709" t="inlineStr">
        <is>
          <t>1322-06-23</t>
        </is>
      </c>
    </row>
    <row r="1710">
      <c r="A1710" s="1" t="n">
        <v>1709</v>
      </c>
      <c r="B1710">
        <f>TEXT(1709, "[$-170000]yyyy-mm-dd")</f>
        <v/>
      </c>
      <c r="C1710">
        <f>TEXT(1709, "[$-060000]yyyy-mm-dd")</f>
        <v/>
      </c>
      <c r="D1710" t="inlineStr">
        <is>
          <t>1322-06-24</t>
        </is>
      </c>
    </row>
    <row r="1711">
      <c r="A1711" s="1" t="n">
        <v>1710</v>
      </c>
      <c r="B1711">
        <f>TEXT(1710, "[$-170000]yyyy-mm-dd")</f>
        <v/>
      </c>
      <c r="C1711">
        <f>TEXT(1710, "[$-060000]yyyy-mm-dd")</f>
        <v/>
      </c>
      <c r="D1711" t="inlineStr">
        <is>
          <t>1322-06-25</t>
        </is>
      </c>
    </row>
    <row r="1712">
      <c r="A1712" s="1" t="n">
        <v>1711</v>
      </c>
      <c r="B1712">
        <f>TEXT(1711, "[$-170000]yyyy-mm-dd")</f>
        <v/>
      </c>
      <c r="C1712">
        <f>TEXT(1711, "[$-060000]yyyy-mm-dd")</f>
        <v/>
      </c>
      <c r="D1712" t="inlineStr">
        <is>
          <t>1322-06-26</t>
        </is>
      </c>
    </row>
    <row r="1713">
      <c r="A1713" s="1" t="n">
        <v>1712</v>
      </c>
      <c r="B1713">
        <f>TEXT(1712, "[$-170000]yyyy-mm-dd")</f>
        <v/>
      </c>
      <c r="C1713">
        <f>TEXT(1712, "[$-060000]yyyy-mm-dd")</f>
        <v/>
      </c>
      <c r="D1713" t="inlineStr">
        <is>
          <t>1322-06-27</t>
        </is>
      </c>
    </row>
    <row r="1714">
      <c r="A1714" s="1" t="n">
        <v>1713</v>
      </c>
      <c r="B1714">
        <f>TEXT(1713, "[$-170000]yyyy-mm-dd")</f>
        <v/>
      </c>
      <c r="C1714">
        <f>TEXT(1713, "[$-060000]yyyy-mm-dd")</f>
        <v/>
      </c>
      <c r="D1714" t="inlineStr">
        <is>
          <t>1322-06-28</t>
        </is>
      </c>
    </row>
    <row r="1715">
      <c r="A1715" s="1" t="n">
        <v>1714</v>
      </c>
      <c r="B1715">
        <f>TEXT(1714, "[$-170000]yyyy-mm-dd")</f>
        <v/>
      </c>
      <c r="C1715">
        <f>TEXT(1714, "[$-060000]yyyy-mm-dd")</f>
        <v/>
      </c>
      <c r="D1715" t="inlineStr">
        <is>
          <t>1322-06-29</t>
        </is>
      </c>
    </row>
    <row r="1716">
      <c r="A1716" s="1" t="n">
        <v>1715</v>
      </c>
      <c r="B1716">
        <f>TEXT(1715, "[$-170000]yyyy-mm-dd")</f>
        <v/>
      </c>
      <c r="C1716">
        <f>TEXT(1715, "[$-060000]yyyy-mm-dd")</f>
        <v/>
      </c>
      <c r="D1716" t="inlineStr">
        <is>
          <t>1322-07-01</t>
        </is>
      </c>
    </row>
    <row r="1717">
      <c r="A1717" s="1" t="n">
        <v>1716</v>
      </c>
      <c r="B1717">
        <f>TEXT(1716, "[$-170000]yyyy-mm-dd")</f>
        <v/>
      </c>
      <c r="C1717">
        <f>TEXT(1716, "[$-060000]yyyy-mm-dd")</f>
        <v/>
      </c>
      <c r="D1717" t="inlineStr">
        <is>
          <t>1322-07-02</t>
        </is>
      </c>
    </row>
    <row r="1718">
      <c r="A1718" s="1" t="n">
        <v>1717</v>
      </c>
      <c r="B1718">
        <f>TEXT(1717, "[$-170000]yyyy-mm-dd")</f>
        <v/>
      </c>
      <c r="C1718">
        <f>TEXT(1717, "[$-060000]yyyy-mm-dd")</f>
        <v/>
      </c>
      <c r="D1718" t="inlineStr">
        <is>
          <t>1322-07-03</t>
        </is>
      </c>
    </row>
    <row r="1719">
      <c r="A1719" s="1" t="n">
        <v>1718</v>
      </c>
      <c r="B1719">
        <f>TEXT(1718, "[$-170000]yyyy-mm-dd")</f>
        <v/>
      </c>
      <c r="C1719">
        <f>TEXT(1718, "[$-060000]yyyy-mm-dd")</f>
        <v/>
      </c>
      <c r="D1719" t="inlineStr">
        <is>
          <t>1322-07-04</t>
        </is>
      </c>
    </row>
    <row r="1720">
      <c r="A1720" s="1" t="n">
        <v>1719</v>
      </c>
      <c r="B1720">
        <f>TEXT(1719, "[$-170000]yyyy-mm-dd")</f>
        <v/>
      </c>
      <c r="C1720">
        <f>TEXT(1719, "[$-060000]yyyy-mm-dd")</f>
        <v/>
      </c>
      <c r="D1720" t="inlineStr">
        <is>
          <t>1322-07-05</t>
        </is>
      </c>
    </row>
    <row r="1721">
      <c r="A1721" s="1" t="n">
        <v>1720</v>
      </c>
      <c r="B1721">
        <f>TEXT(1720, "[$-170000]yyyy-mm-dd")</f>
        <v/>
      </c>
      <c r="C1721">
        <f>TEXT(1720, "[$-060000]yyyy-mm-dd")</f>
        <v/>
      </c>
      <c r="D1721" t="inlineStr">
        <is>
          <t>1322-07-06</t>
        </is>
      </c>
    </row>
    <row r="1722">
      <c r="A1722" s="1" t="n">
        <v>1721</v>
      </c>
      <c r="B1722">
        <f>TEXT(1721, "[$-170000]yyyy-mm-dd")</f>
        <v/>
      </c>
      <c r="C1722">
        <f>TEXT(1721, "[$-060000]yyyy-mm-dd")</f>
        <v/>
      </c>
      <c r="D1722" t="inlineStr">
        <is>
          <t>1322-07-07</t>
        </is>
      </c>
    </row>
    <row r="1723">
      <c r="A1723" s="1" t="n">
        <v>1722</v>
      </c>
      <c r="B1723">
        <f>TEXT(1722, "[$-170000]yyyy-mm-dd")</f>
        <v/>
      </c>
      <c r="C1723">
        <f>TEXT(1722, "[$-060000]yyyy-mm-dd")</f>
        <v/>
      </c>
      <c r="D1723" t="inlineStr">
        <is>
          <t>1322-07-08</t>
        </is>
      </c>
    </row>
    <row r="1724">
      <c r="A1724" s="1" t="n">
        <v>1723</v>
      </c>
      <c r="B1724">
        <f>TEXT(1723, "[$-170000]yyyy-mm-dd")</f>
        <v/>
      </c>
      <c r="C1724">
        <f>TEXT(1723, "[$-060000]yyyy-mm-dd")</f>
        <v/>
      </c>
      <c r="D1724" t="inlineStr">
        <is>
          <t>1322-07-09</t>
        </is>
      </c>
    </row>
    <row r="1725">
      <c r="A1725" s="1" t="n">
        <v>1724</v>
      </c>
      <c r="B1725">
        <f>TEXT(1724, "[$-170000]yyyy-mm-dd")</f>
        <v/>
      </c>
      <c r="C1725">
        <f>TEXT(1724, "[$-060000]yyyy-mm-dd")</f>
        <v/>
      </c>
      <c r="D1725" t="inlineStr">
        <is>
          <t>1322-07-10</t>
        </is>
      </c>
    </row>
    <row r="1726">
      <c r="A1726" s="1" t="n">
        <v>1725</v>
      </c>
      <c r="B1726">
        <f>TEXT(1725, "[$-170000]yyyy-mm-dd")</f>
        <v/>
      </c>
      <c r="C1726">
        <f>TEXT(1725, "[$-060000]yyyy-mm-dd")</f>
        <v/>
      </c>
      <c r="D1726" t="inlineStr">
        <is>
          <t>1322-07-11</t>
        </is>
      </c>
    </row>
    <row r="1727">
      <c r="A1727" s="1" t="n">
        <v>1726</v>
      </c>
      <c r="B1727">
        <f>TEXT(1726, "[$-170000]yyyy-mm-dd")</f>
        <v/>
      </c>
      <c r="C1727">
        <f>TEXT(1726, "[$-060000]yyyy-mm-dd")</f>
        <v/>
      </c>
      <c r="D1727" t="inlineStr">
        <is>
          <t>1322-07-12</t>
        </is>
      </c>
    </row>
    <row r="1728">
      <c r="A1728" s="1" t="n">
        <v>1727</v>
      </c>
      <c r="B1728">
        <f>TEXT(1727, "[$-170000]yyyy-mm-dd")</f>
        <v/>
      </c>
      <c r="C1728">
        <f>TEXT(1727, "[$-060000]yyyy-mm-dd")</f>
        <v/>
      </c>
      <c r="D1728" t="inlineStr">
        <is>
          <t>1322-07-13</t>
        </is>
      </c>
    </row>
    <row r="1729">
      <c r="A1729" s="1" t="n">
        <v>1728</v>
      </c>
      <c r="B1729">
        <f>TEXT(1728, "[$-170000]yyyy-mm-dd")</f>
        <v/>
      </c>
      <c r="C1729">
        <f>TEXT(1728, "[$-060000]yyyy-mm-dd")</f>
        <v/>
      </c>
      <c r="D1729" t="inlineStr">
        <is>
          <t>1322-07-14</t>
        </is>
      </c>
    </row>
    <row r="1730">
      <c r="A1730" s="1" t="n">
        <v>1729</v>
      </c>
      <c r="B1730">
        <f>TEXT(1729, "[$-170000]yyyy-mm-dd")</f>
        <v/>
      </c>
      <c r="C1730">
        <f>TEXT(1729, "[$-060000]yyyy-mm-dd")</f>
        <v/>
      </c>
      <c r="D1730" t="inlineStr">
        <is>
          <t>1322-07-15</t>
        </is>
      </c>
    </row>
    <row r="1731">
      <c r="A1731" s="1" t="n">
        <v>1730</v>
      </c>
      <c r="B1731">
        <f>TEXT(1730, "[$-170000]yyyy-mm-dd")</f>
        <v/>
      </c>
      <c r="C1731">
        <f>TEXT(1730, "[$-060000]yyyy-mm-dd")</f>
        <v/>
      </c>
      <c r="D1731" t="inlineStr">
        <is>
          <t>1322-07-16</t>
        </is>
      </c>
    </row>
    <row r="1732">
      <c r="A1732" s="1" t="n">
        <v>1731</v>
      </c>
      <c r="B1732">
        <f>TEXT(1731, "[$-170000]yyyy-mm-dd")</f>
        <v/>
      </c>
      <c r="C1732">
        <f>TEXT(1731, "[$-060000]yyyy-mm-dd")</f>
        <v/>
      </c>
      <c r="D1732" t="inlineStr">
        <is>
          <t>1322-07-17</t>
        </is>
      </c>
    </row>
    <row r="1733">
      <c r="A1733" s="1" t="n">
        <v>1732</v>
      </c>
      <c r="B1733">
        <f>TEXT(1732, "[$-170000]yyyy-mm-dd")</f>
        <v/>
      </c>
      <c r="C1733">
        <f>TEXT(1732, "[$-060000]yyyy-mm-dd")</f>
        <v/>
      </c>
      <c r="D1733" t="inlineStr">
        <is>
          <t>1322-07-18</t>
        </is>
      </c>
    </row>
    <row r="1734">
      <c r="A1734" s="1" t="n">
        <v>1733</v>
      </c>
      <c r="B1734">
        <f>TEXT(1733, "[$-170000]yyyy-mm-dd")</f>
        <v/>
      </c>
      <c r="C1734">
        <f>TEXT(1733, "[$-060000]yyyy-mm-dd")</f>
        <v/>
      </c>
      <c r="D1734" t="inlineStr">
        <is>
          <t>1322-07-19</t>
        </is>
      </c>
    </row>
    <row r="1735">
      <c r="A1735" s="1" t="n">
        <v>1734</v>
      </c>
      <c r="B1735">
        <f>TEXT(1734, "[$-170000]yyyy-mm-dd")</f>
        <v/>
      </c>
      <c r="C1735">
        <f>TEXT(1734, "[$-060000]yyyy-mm-dd")</f>
        <v/>
      </c>
      <c r="D1735" t="inlineStr">
        <is>
          <t>1322-07-20</t>
        </is>
      </c>
    </row>
    <row r="1736">
      <c r="A1736" s="1" t="n">
        <v>1735</v>
      </c>
      <c r="B1736">
        <f>TEXT(1735, "[$-170000]yyyy-mm-dd")</f>
        <v/>
      </c>
      <c r="C1736">
        <f>TEXT(1735, "[$-060000]yyyy-mm-dd")</f>
        <v/>
      </c>
      <c r="D1736" t="inlineStr">
        <is>
          <t>1322-07-21</t>
        </is>
      </c>
    </row>
    <row r="1737">
      <c r="A1737" s="1" t="n">
        <v>1736</v>
      </c>
      <c r="B1737">
        <f>TEXT(1736, "[$-170000]yyyy-mm-dd")</f>
        <v/>
      </c>
      <c r="C1737">
        <f>TEXT(1736, "[$-060000]yyyy-mm-dd")</f>
        <v/>
      </c>
      <c r="D1737" t="inlineStr">
        <is>
          <t>1322-07-22</t>
        </is>
      </c>
    </row>
    <row r="1738">
      <c r="A1738" s="1" t="n">
        <v>1737</v>
      </c>
      <c r="B1738">
        <f>TEXT(1737, "[$-170000]yyyy-mm-dd")</f>
        <v/>
      </c>
      <c r="C1738">
        <f>TEXT(1737, "[$-060000]yyyy-mm-dd")</f>
        <v/>
      </c>
      <c r="D1738" t="inlineStr">
        <is>
          <t>1322-07-23</t>
        </is>
      </c>
    </row>
    <row r="1739">
      <c r="A1739" s="1" t="n">
        <v>1738</v>
      </c>
      <c r="B1739">
        <f>TEXT(1738, "[$-170000]yyyy-mm-dd")</f>
        <v/>
      </c>
      <c r="C1739">
        <f>TEXT(1738, "[$-060000]yyyy-mm-dd")</f>
        <v/>
      </c>
      <c r="D1739" t="inlineStr">
        <is>
          <t>1322-07-24</t>
        </is>
      </c>
    </row>
    <row r="1740">
      <c r="A1740" s="1" t="n">
        <v>1739</v>
      </c>
      <c r="B1740">
        <f>TEXT(1739, "[$-170000]yyyy-mm-dd")</f>
        <v/>
      </c>
      <c r="C1740">
        <f>TEXT(1739, "[$-060000]yyyy-mm-dd")</f>
        <v/>
      </c>
      <c r="D1740" t="inlineStr">
        <is>
          <t>1322-07-25</t>
        </is>
      </c>
    </row>
    <row r="1741">
      <c r="A1741" s="1" t="n">
        <v>1740</v>
      </c>
      <c r="B1741">
        <f>TEXT(1740, "[$-170000]yyyy-mm-dd")</f>
        <v/>
      </c>
      <c r="C1741">
        <f>TEXT(1740, "[$-060000]yyyy-mm-dd")</f>
        <v/>
      </c>
      <c r="D1741" t="inlineStr">
        <is>
          <t>1322-07-26</t>
        </is>
      </c>
    </row>
    <row r="1742">
      <c r="A1742" s="1" t="n">
        <v>1741</v>
      </c>
      <c r="B1742">
        <f>TEXT(1741, "[$-170000]yyyy-mm-dd")</f>
        <v/>
      </c>
      <c r="C1742">
        <f>TEXT(1741, "[$-060000]yyyy-mm-dd")</f>
        <v/>
      </c>
      <c r="D1742" t="inlineStr">
        <is>
          <t>1322-07-27</t>
        </is>
      </c>
    </row>
    <row r="1743">
      <c r="A1743" s="1" t="n">
        <v>1742</v>
      </c>
      <c r="B1743">
        <f>TEXT(1742, "[$-170000]yyyy-mm-dd")</f>
        <v/>
      </c>
      <c r="C1743">
        <f>TEXT(1742, "[$-060000]yyyy-mm-dd")</f>
        <v/>
      </c>
      <c r="D1743" t="inlineStr">
        <is>
          <t>1322-07-28</t>
        </is>
      </c>
    </row>
    <row r="1744">
      <c r="A1744" s="1" t="n">
        <v>1743</v>
      </c>
      <c r="B1744">
        <f>TEXT(1743, "[$-170000]yyyy-mm-dd")</f>
        <v/>
      </c>
      <c r="C1744">
        <f>TEXT(1743, "[$-060000]yyyy-mm-dd")</f>
        <v/>
      </c>
      <c r="D1744" t="inlineStr">
        <is>
          <t>1322-07-29</t>
        </is>
      </c>
    </row>
    <row r="1745">
      <c r="A1745" s="1" t="n">
        <v>1744</v>
      </c>
      <c r="B1745">
        <f>TEXT(1744, "[$-170000]yyyy-mm-dd")</f>
        <v/>
      </c>
      <c r="C1745">
        <f>TEXT(1744, "[$-060000]yyyy-mm-dd")</f>
        <v/>
      </c>
      <c r="D1745" t="inlineStr">
        <is>
          <t>1322-07-30</t>
        </is>
      </c>
    </row>
    <row r="1746">
      <c r="A1746" s="1" t="n">
        <v>1745</v>
      </c>
      <c r="B1746">
        <f>TEXT(1745, "[$-170000]yyyy-mm-dd")</f>
        <v/>
      </c>
      <c r="C1746">
        <f>TEXT(1745, "[$-060000]yyyy-mm-dd")</f>
        <v/>
      </c>
      <c r="D1746" t="inlineStr">
        <is>
          <t>1322-08-01</t>
        </is>
      </c>
    </row>
    <row r="1747">
      <c r="A1747" s="1" t="n">
        <v>1746</v>
      </c>
      <c r="B1747">
        <f>TEXT(1746, "[$-170000]yyyy-mm-dd")</f>
        <v/>
      </c>
      <c r="C1747">
        <f>TEXT(1746, "[$-060000]yyyy-mm-dd")</f>
        <v/>
      </c>
      <c r="D1747" t="inlineStr">
        <is>
          <t>1322-08-02</t>
        </is>
      </c>
    </row>
    <row r="1748">
      <c r="A1748" s="1" t="n">
        <v>1747</v>
      </c>
      <c r="B1748">
        <f>TEXT(1747, "[$-170000]yyyy-mm-dd")</f>
        <v/>
      </c>
      <c r="C1748">
        <f>TEXT(1747, "[$-060000]yyyy-mm-dd")</f>
        <v/>
      </c>
      <c r="D1748" t="inlineStr">
        <is>
          <t>1322-08-03</t>
        </is>
      </c>
    </row>
    <row r="1749">
      <c r="A1749" s="1" t="n">
        <v>1748</v>
      </c>
      <c r="B1749">
        <f>TEXT(1748, "[$-170000]yyyy-mm-dd")</f>
        <v/>
      </c>
      <c r="C1749">
        <f>TEXT(1748, "[$-060000]yyyy-mm-dd")</f>
        <v/>
      </c>
      <c r="D1749" t="inlineStr">
        <is>
          <t>1322-08-04</t>
        </is>
      </c>
    </row>
    <row r="1750">
      <c r="A1750" s="1" t="n">
        <v>1749</v>
      </c>
      <c r="B1750">
        <f>TEXT(1749, "[$-170000]yyyy-mm-dd")</f>
        <v/>
      </c>
      <c r="C1750">
        <f>TEXT(1749, "[$-060000]yyyy-mm-dd")</f>
        <v/>
      </c>
      <c r="D1750" t="inlineStr">
        <is>
          <t>1322-08-05</t>
        </is>
      </c>
    </row>
    <row r="1751">
      <c r="A1751" s="1" t="n">
        <v>1750</v>
      </c>
      <c r="B1751">
        <f>TEXT(1750, "[$-170000]yyyy-mm-dd")</f>
        <v/>
      </c>
      <c r="C1751">
        <f>TEXT(1750, "[$-060000]yyyy-mm-dd")</f>
        <v/>
      </c>
      <c r="D1751" t="inlineStr">
        <is>
          <t>1322-08-06</t>
        </is>
      </c>
    </row>
    <row r="1752">
      <c r="A1752" s="1" t="n">
        <v>1751</v>
      </c>
      <c r="B1752">
        <f>TEXT(1751, "[$-170000]yyyy-mm-dd")</f>
        <v/>
      </c>
      <c r="C1752">
        <f>TEXT(1751, "[$-060000]yyyy-mm-dd")</f>
        <v/>
      </c>
      <c r="D1752" t="inlineStr">
        <is>
          <t>1322-08-07</t>
        </is>
      </c>
    </row>
    <row r="1753">
      <c r="A1753" s="1" t="n">
        <v>1752</v>
      </c>
      <c r="B1753">
        <f>TEXT(1752, "[$-170000]yyyy-mm-dd")</f>
        <v/>
      </c>
      <c r="C1753">
        <f>TEXT(1752, "[$-060000]yyyy-mm-dd")</f>
        <v/>
      </c>
      <c r="D1753" t="inlineStr">
        <is>
          <t>1322-08-08</t>
        </is>
      </c>
    </row>
    <row r="1754">
      <c r="A1754" s="1" t="n">
        <v>1753</v>
      </c>
      <c r="B1754">
        <f>TEXT(1753, "[$-170000]yyyy-mm-dd")</f>
        <v/>
      </c>
      <c r="C1754">
        <f>TEXT(1753, "[$-060000]yyyy-mm-dd")</f>
        <v/>
      </c>
      <c r="D1754" t="inlineStr">
        <is>
          <t>1322-08-09</t>
        </is>
      </c>
    </row>
    <row r="1755">
      <c r="A1755" s="1" t="n">
        <v>1754</v>
      </c>
      <c r="B1755">
        <f>TEXT(1754, "[$-170000]yyyy-mm-dd")</f>
        <v/>
      </c>
      <c r="C1755">
        <f>TEXT(1754, "[$-060000]yyyy-mm-dd")</f>
        <v/>
      </c>
      <c r="D1755" t="inlineStr">
        <is>
          <t>1322-08-10</t>
        </is>
      </c>
    </row>
    <row r="1756">
      <c r="A1756" s="1" t="n">
        <v>1755</v>
      </c>
      <c r="B1756">
        <f>TEXT(1755, "[$-170000]yyyy-mm-dd")</f>
        <v/>
      </c>
      <c r="C1756">
        <f>TEXT(1755, "[$-060000]yyyy-mm-dd")</f>
        <v/>
      </c>
      <c r="D1756" t="inlineStr">
        <is>
          <t>1322-08-11</t>
        </is>
      </c>
    </row>
    <row r="1757">
      <c r="A1757" s="1" t="n">
        <v>1756</v>
      </c>
      <c r="B1757">
        <f>TEXT(1756, "[$-170000]yyyy-mm-dd")</f>
        <v/>
      </c>
      <c r="C1757">
        <f>TEXT(1756, "[$-060000]yyyy-mm-dd")</f>
        <v/>
      </c>
      <c r="D1757" t="inlineStr">
        <is>
          <t>1322-08-12</t>
        </is>
      </c>
    </row>
    <row r="1758">
      <c r="A1758" s="1" t="n">
        <v>1757</v>
      </c>
      <c r="B1758">
        <f>TEXT(1757, "[$-170000]yyyy-mm-dd")</f>
        <v/>
      </c>
      <c r="C1758">
        <f>TEXT(1757, "[$-060000]yyyy-mm-dd")</f>
        <v/>
      </c>
      <c r="D1758" t="inlineStr">
        <is>
          <t>1322-08-13</t>
        </is>
      </c>
    </row>
    <row r="1759">
      <c r="A1759" s="1" t="n">
        <v>1758</v>
      </c>
      <c r="B1759">
        <f>TEXT(1758, "[$-170000]yyyy-mm-dd")</f>
        <v/>
      </c>
      <c r="C1759">
        <f>TEXT(1758, "[$-060000]yyyy-mm-dd")</f>
        <v/>
      </c>
      <c r="D1759" t="inlineStr">
        <is>
          <t>1322-08-14</t>
        </is>
      </c>
    </row>
    <row r="1760">
      <c r="A1760" s="1" t="n">
        <v>1759</v>
      </c>
      <c r="B1760">
        <f>TEXT(1759, "[$-170000]yyyy-mm-dd")</f>
        <v/>
      </c>
      <c r="C1760">
        <f>TEXT(1759, "[$-060000]yyyy-mm-dd")</f>
        <v/>
      </c>
      <c r="D1760" t="inlineStr">
        <is>
          <t>1322-08-15</t>
        </is>
      </c>
    </row>
    <row r="1761">
      <c r="A1761" s="1" t="n">
        <v>1760</v>
      </c>
      <c r="B1761">
        <f>TEXT(1760, "[$-170000]yyyy-mm-dd")</f>
        <v/>
      </c>
      <c r="C1761">
        <f>TEXT(1760, "[$-060000]yyyy-mm-dd")</f>
        <v/>
      </c>
      <c r="D1761" t="inlineStr">
        <is>
          <t>1322-08-16</t>
        </is>
      </c>
    </row>
    <row r="1762">
      <c r="A1762" s="1" t="n">
        <v>1761</v>
      </c>
      <c r="B1762">
        <f>TEXT(1761, "[$-170000]yyyy-mm-dd")</f>
        <v/>
      </c>
      <c r="C1762">
        <f>TEXT(1761, "[$-060000]yyyy-mm-dd")</f>
        <v/>
      </c>
      <c r="D1762" t="inlineStr">
        <is>
          <t>1322-08-17</t>
        </is>
      </c>
    </row>
    <row r="1763">
      <c r="A1763" s="1" t="n">
        <v>1762</v>
      </c>
      <c r="B1763">
        <f>TEXT(1762, "[$-170000]yyyy-mm-dd")</f>
        <v/>
      </c>
      <c r="C1763">
        <f>TEXT(1762, "[$-060000]yyyy-mm-dd")</f>
        <v/>
      </c>
      <c r="D1763" t="inlineStr">
        <is>
          <t>1322-08-18</t>
        </is>
      </c>
    </row>
    <row r="1764">
      <c r="A1764" s="1" t="n">
        <v>1763</v>
      </c>
      <c r="B1764">
        <f>TEXT(1763, "[$-170000]yyyy-mm-dd")</f>
        <v/>
      </c>
      <c r="C1764">
        <f>TEXT(1763, "[$-060000]yyyy-mm-dd")</f>
        <v/>
      </c>
      <c r="D1764" t="inlineStr">
        <is>
          <t>1322-08-19</t>
        </is>
      </c>
    </row>
    <row r="1765">
      <c r="A1765" s="1" t="n">
        <v>1764</v>
      </c>
      <c r="B1765">
        <f>TEXT(1764, "[$-170000]yyyy-mm-dd")</f>
        <v/>
      </c>
      <c r="C1765">
        <f>TEXT(1764, "[$-060000]yyyy-mm-dd")</f>
        <v/>
      </c>
      <c r="D1765" t="inlineStr">
        <is>
          <t>1322-08-20</t>
        </is>
      </c>
    </row>
    <row r="1766">
      <c r="A1766" s="1" t="n">
        <v>1765</v>
      </c>
      <c r="B1766">
        <f>TEXT(1765, "[$-170000]yyyy-mm-dd")</f>
        <v/>
      </c>
      <c r="C1766">
        <f>TEXT(1765, "[$-060000]yyyy-mm-dd")</f>
        <v/>
      </c>
      <c r="D1766" t="inlineStr">
        <is>
          <t>1322-08-21</t>
        </is>
      </c>
    </row>
    <row r="1767">
      <c r="A1767" s="1" t="n">
        <v>1766</v>
      </c>
      <c r="B1767">
        <f>TEXT(1766, "[$-170000]yyyy-mm-dd")</f>
        <v/>
      </c>
      <c r="C1767">
        <f>TEXT(1766, "[$-060000]yyyy-mm-dd")</f>
        <v/>
      </c>
      <c r="D1767" t="inlineStr">
        <is>
          <t>1322-08-22</t>
        </is>
      </c>
    </row>
    <row r="1768">
      <c r="A1768" s="1" t="n">
        <v>1767</v>
      </c>
      <c r="B1768">
        <f>TEXT(1767, "[$-170000]yyyy-mm-dd")</f>
        <v/>
      </c>
      <c r="C1768">
        <f>TEXT(1767, "[$-060000]yyyy-mm-dd")</f>
        <v/>
      </c>
      <c r="D1768" t="inlineStr">
        <is>
          <t>1322-08-23</t>
        </is>
      </c>
    </row>
    <row r="1769">
      <c r="A1769" s="1" t="n">
        <v>1768</v>
      </c>
      <c r="B1769">
        <f>TEXT(1768, "[$-170000]yyyy-mm-dd")</f>
        <v/>
      </c>
      <c r="C1769">
        <f>TEXT(1768, "[$-060000]yyyy-mm-dd")</f>
        <v/>
      </c>
      <c r="D1769" t="inlineStr">
        <is>
          <t>1322-08-24</t>
        </is>
      </c>
    </row>
    <row r="1770">
      <c r="A1770" s="1" t="n">
        <v>1769</v>
      </c>
      <c r="B1770">
        <f>TEXT(1769, "[$-170000]yyyy-mm-dd")</f>
        <v/>
      </c>
      <c r="C1770">
        <f>TEXT(1769, "[$-060000]yyyy-mm-dd")</f>
        <v/>
      </c>
      <c r="D1770" t="inlineStr">
        <is>
          <t>1322-08-25</t>
        </is>
      </c>
    </row>
    <row r="1771">
      <c r="A1771" s="1" t="n">
        <v>1770</v>
      </c>
      <c r="B1771">
        <f>TEXT(1770, "[$-170000]yyyy-mm-dd")</f>
        <v/>
      </c>
      <c r="C1771">
        <f>TEXT(1770, "[$-060000]yyyy-mm-dd")</f>
        <v/>
      </c>
      <c r="D1771" t="inlineStr">
        <is>
          <t>1322-08-26</t>
        </is>
      </c>
    </row>
    <row r="1772">
      <c r="A1772" s="1" t="n">
        <v>1771</v>
      </c>
      <c r="B1772">
        <f>TEXT(1771, "[$-170000]yyyy-mm-dd")</f>
        <v/>
      </c>
      <c r="C1772">
        <f>TEXT(1771, "[$-060000]yyyy-mm-dd")</f>
        <v/>
      </c>
      <c r="D1772" t="inlineStr">
        <is>
          <t>1322-08-27</t>
        </is>
      </c>
    </row>
    <row r="1773">
      <c r="A1773" s="1" t="n">
        <v>1772</v>
      </c>
      <c r="B1773">
        <f>TEXT(1772, "[$-170000]yyyy-mm-dd")</f>
        <v/>
      </c>
      <c r="C1773">
        <f>TEXT(1772, "[$-060000]yyyy-mm-dd")</f>
        <v/>
      </c>
      <c r="D1773" t="inlineStr">
        <is>
          <t>1322-08-28</t>
        </is>
      </c>
    </row>
    <row r="1774">
      <c r="A1774" s="1" t="n">
        <v>1773</v>
      </c>
      <c r="B1774">
        <f>TEXT(1773, "[$-170000]yyyy-mm-dd")</f>
        <v/>
      </c>
      <c r="C1774">
        <f>TEXT(1773, "[$-060000]yyyy-mm-dd")</f>
        <v/>
      </c>
      <c r="D1774" t="inlineStr">
        <is>
          <t>1322-08-29</t>
        </is>
      </c>
    </row>
    <row r="1775">
      <c r="A1775" s="1" t="n">
        <v>1774</v>
      </c>
      <c r="B1775">
        <f>TEXT(1774, "[$-170000]yyyy-mm-dd")</f>
        <v/>
      </c>
      <c r="C1775">
        <f>TEXT(1774, "[$-060000]yyyy-mm-dd")</f>
        <v/>
      </c>
      <c r="D1775" t="inlineStr">
        <is>
          <t>1322-09-01</t>
        </is>
      </c>
    </row>
    <row r="1776">
      <c r="A1776" s="1" t="n">
        <v>1775</v>
      </c>
      <c r="B1776">
        <f>TEXT(1775, "[$-170000]yyyy-mm-dd")</f>
        <v/>
      </c>
      <c r="C1776">
        <f>TEXT(1775, "[$-060000]yyyy-mm-dd")</f>
        <v/>
      </c>
      <c r="D1776" t="inlineStr">
        <is>
          <t>1322-09-02</t>
        </is>
      </c>
    </row>
    <row r="1777">
      <c r="A1777" s="1" t="n">
        <v>1776</v>
      </c>
      <c r="B1777">
        <f>TEXT(1776, "[$-170000]yyyy-mm-dd")</f>
        <v/>
      </c>
      <c r="C1777">
        <f>TEXT(1776, "[$-060000]yyyy-mm-dd")</f>
        <v/>
      </c>
      <c r="D1777" t="inlineStr">
        <is>
          <t>1322-09-03</t>
        </is>
      </c>
    </row>
    <row r="1778">
      <c r="A1778" s="1" t="n">
        <v>1777</v>
      </c>
      <c r="B1778">
        <f>TEXT(1777, "[$-170000]yyyy-mm-dd")</f>
        <v/>
      </c>
      <c r="C1778">
        <f>TEXT(1777, "[$-060000]yyyy-mm-dd")</f>
        <v/>
      </c>
      <c r="D1778" t="inlineStr">
        <is>
          <t>1322-09-04</t>
        </is>
      </c>
    </row>
    <row r="1779">
      <c r="A1779" s="1" t="n">
        <v>1778</v>
      </c>
      <c r="B1779">
        <f>TEXT(1778, "[$-170000]yyyy-mm-dd")</f>
        <v/>
      </c>
      <c r="C1779">
        <f>TEXT(1778, "[$-060000]yyyy-mm-dd")</f>
        <v/>
      </c>
      <c r="D1779" t="inlineStr">
        <is>
          <t>1322-09-05</t>
        </is>
      </c>
    </row>
    <row r="1780">
      <c r="A1780" s="1" t="n">
        <v>1779</v>
      </c>
      <c r="B1780">
        <f>TEXT(1779, "[$-170000]yyyy-mm-dd")</f>
        <v/>
      </c>
      <c r="C1780">
        <f>TEXT(1779, "[$-060000]yyyy-mm-dd")</f>
        <v/>
      </c>
      <c r="D1780" t="inlineStr">
        <is>
          <t>1322-09-06</t>
        </is>
      </c>
    </row>
    <row r="1781">
      <c r="A1781" s="1" t="n">
        <v>1780</v>
      </c>
      <c r="B1781">
        <f>TEXT(1780, "[$-170000]yyyy-mm-dd")</f>
        <v/>
      </c>
      <c r="C1781">
        <f>TEXT(1780, "[$-060000]yyyy-mm-dd")</f>
        <v/>
      </c>
      <c r="D1781" t="inlineStr">
        <is>
          <t>1322-09-07</t>
        </is>
      </c>
    </row>
    <row r="1782">
      <c r="A1782" s="1" t="n">
        <v>1781</v>
      </c>
      <c r="B1782">
        <f>TEXT(1781, "[$-170000]yyyy-mm-dd")</f>
        <v/>
      </c>
      <c r="C1782">
        <f>TEXT(1781, "[$-060000]yyyy-mm-dd")</f>
        <v/>
      </c>
      <c r="D1782" t="inlineStr">
        <is>
          <t>1322-09-08</t>
        </is>
      </c>
    </row>
    <row r="1783">
      <c r="A1783" s="1" t="n">
        <v>1782</v>
      </c>
      <c r="B1783">
        <f>TEXT(1782, "[$-170000]yyyy-mm-dd")</f>
        <v/>
      </c>
      <c r="C1783">
        <f>TEXT(1782, "[$-060000]yyyy-mm-dd")</f>
        <v/>
      </c>
      <c r="D1783" t="inlineStr">
        <is>
          <t>1322-09-09</t>
        </is>
      </c>
    </row>
    <row r="1784">
      <c r="A1784" s="1" t="n">
        <v>1783</v>
      </c>
      <c r="B1784">
        <f>TEXT(1783, "[$-170000]yyyy-mm-dd")</f>
        <v/>
      </c>
      <c r="C1784">
        <f>TEXT(1783, "[$-060000]yyyy-mm-dd")</f>
        <v/>
      </c>
      <c r="D1784" t="inlineStr">
        <is>
          <t>1322-09-10</t>
        </is>
      </c>
    </row>
    <row r="1785">
      <c r="A1785" s="1" t="n">
        <v>1784</v>
      </c>
      <c r="B1785">
        <f>TEXT(1784, "[$-170000]yyyy-mm-dd")</f>
        <v/>
      </c>
      <c r="C1785">
        <f>TEXT(1784, "[$-060000]yyyy-mm-dd")</f>
        <v/>
      </c>
      <c r="D1785" t="inlineStr">
        <is>
          <t>1322-09-11</t>
        </is>
      </c>
    </row>
    <row r="1786">
      <c r="A1786" s="1" t="n">
        <v>1785</v>
      </c>
      <c r="B1786">
        <f>TEXT(1785, "[$-170000]yyyy-mm-dd")</f>
        <v/>
      </c>
      <c r="C1786">
        <f>TEXT(1785, "[$-060000]yyyy-mm-dd")</f>
        <v/>
      </c>
      <c r="D1786" t="inlineStr">
        <is>
          <t>1322-09-12</t>
        </is>
      </c>
    </row>
    <row r="1787">
      <c r="A1787" s="1" t="n">
        <v>1786</v>
      </c>
      <c r="B1787">
        <f>TEXT(1786, "[$-170000]yyyy-mm-dd")</f>
        <v/>
      </c>
      <c r="C1787">
        <f>TEXT(1786, "[$-060000]yyyy-mm-dd")</f>
        <v/>
      </c>
      <c r="D1787" t="inlineStr">
        <is>
          <t>1322-09-13</t>
        </is>
      </c>
    </row>
    <row r="1788">
      <c r="A1788" s="1" t="n">
        <v>1787</v>
      </c>
      <c r="B1788">
        <f>TEXT(1787, "[$-170000]yyyy-mm-dd")</f>
        <v/>
      </c>
      <c r="C1788">
        <f>TEXT(1787, "[$-060000]yyyy-mm-dd")</f>
        <v/>
      </c>
      <c r="D1788" t="inlineStr">
        <is>
          <t>1322-09-14</t>
        </is>
      </c>
    </row>
    <row r="1789">
      <c r="A1789" s="1" t="n">
        <v>1788</v>
      </c>
      <c r="B1789">
        <f>TEXT(1788, "[$-170000]yyyy-mm-dd")</f>
        <v/>
      </c>
      <c r="C1789">
        <f>TEXT(1788, "[$-060000]yyyy-mm-dd")</f>
        <v/>
      </c>
      <c r="D1789" t="inlineStr">
        <is>
          <t>1322-09-15</t>
        </is>
      </c>
    </row>
    <row r="1790">
      <c r="A1790" s="1" t="n">
        <v>1789</v>
      </c>
      <c r="B1790">
        <f>TEXT(1789, "[$-170000]yyyy-mm-dd")</f>
        <v/>
      </c>
      <c r="C1790">
        <f>TEXT(1789, "[$-060000]yyyy-mm-dd")</f>
        <v/>
      </c>
      <c r="D1790" t="inlineStr">
        <is>
          <t>1322-09-16</t>
        </is>
      </c>
    </row>
    <row r="1791">
      <c r="A1791" s="1" t="n">
        <v>1790</v>
      </c>
      <c r="B1791">
        <f>TEXT(1790, "[$-170000]yyyy-mm-dd")</f>
        <v/>
      </c>
      <c r="C1791">
        <f>TEXT(1790, "[$-060000]yyyy-mm-dd")</f>
        <v/>
      </c>
      <c r="D1791" t="inlineStr">
        <is>
          <t>1322-09-17</t>
        </is>
      </c>
    </row>
    <row r="1792">
      <c r="A1792" s="1" t="n">
        <v>1791</v>
      </c>
      <c r="B1792">
        <f>TEXT(1791, "[$-170000]yyyy-mm-dd")</f>
        <v/>
      </c>
      <c r="C1792">
        <f>TEXT(1791, "[$-060000]yyyy-mm-dd")</f>
        <v/>
      </c>
      <c r="D1792" t="inlineStr">
        <is>
          <t>1322-09-18</t>
        </is>
      </c>
    </row>
    <row r="1793">
      <c r="A1793" s="1" t="n">
        <v>1792</v>
      </c>
      <c r="B1793">
        <f>TEXT(1792, "[$-170000]yyyy-mm-dd")</f>
        <v/>
      </c>
      <c r="C1793">
        <f>TEXT(1792, "[$-060000]yyyy-mm-dd")</f>
        <v/>
      </c>
      <c r="D1793" t="inlineStr">
        <is>
          <t>1322-09-19</t>
        </is>
      </c>
    </row>
    <row r="1794">
      <c r="A1794" s="1" t="n">
        <v>1793</v>
      </c>
      <c r="B1794">
        <f>TEXT(1793, "[$-170000]yyyy-mm-dd")</f>
        <v/>
      </c>
      <c r="C1794">
        <f>TEXT(1793, "[$-060000]yyyy-mm-dd")</f>
        <v/>
      </c>
      <c r="D1794" t="inlineStr">
        <is>
          <t>1322-09-20</t>
        </is>
      </c>
    </row>
    <row r="1795">
      <c r="A1795" s="1" t="n">
        <v>1794</v>
      </c>
      <c r="B1795">
        <f>TEXT(1794, "[$-170000]yyyy-mm-dd")</f>
        <v/>
      </c>
      <c r="C1795">
        <f>TEXT(1794, "[$-060000]yyyy-mm-dd")</f>
        <v/>
      </c>
      <c r="D1795" t="inlineStr">
        <is>
          <t>1322-09-21</t>
        </is>
      </c>
    </row>
    <row r="1796">
      <c r="A1796" s="1" t="n">
        <v>1795</v>
      </c>
      <c r="B1796">
        <f>TEXT(1795, "[$-170000]yyyy-mm-dd")</f>
        <v/>
      </c>
      <c r="C1796">
        <f>TEXT(1795, "[$-060000]yyyy-mm-dd")</f>
        <v/>
      </c>
      <c r="D1796" t="inlineStr">
        <is>
          <t>1322-09-22</t>
        </is>
      </c>
    </row>
    <row r="1797">
      <c r="A1797" s="1" t="n">
        <v>1796</v>
      </c>
      <c r="B1797">
        <f>TEXT(1796, "[$-170000]yyyy-mm-dd")</f>
        <v/>
      </c>
      <c r="C1797">
        <f>TEXT(1796, "[$-060000]yyyy-mm-dd")</f>
        <v/>
      </c>
      <c r="D1797" t="inlineStr">
        <is>
          <t>1322-09-23</t>
        </is>
      </c>
    </row>
    <row r="1798">
      <c r="A1798" s="1" t="n">
        <v>1797</v>
      </c>
      <c r="B1798">
        <f>TEXT(1797, "[$-170000]yyyy-mm-dd")</f>
        <v/>
      </c>
      <c r="C1798">
        <f>TEXT(1797, "[$-060000]yyyy-mm-dd")</f>
        <v/>
      </c>
      <c r="D1798" t="inlineStr">
        <is>
          <t>1322-09-24</t>
        </is>
      </c>
    </row>
    <row r="1799">
      <c r="A1799" s="1" t="n">
        <v>1798</v>
      </c>
      <c r="B1799">
        <f>TEXT(1798, "[$-170000]yyyy-mm-dd")</f>
        <v/>
      </c>
      <c r="C1799">
        <f>TEXT(1798, "[$-060000]yyyy-mm-dd")</f>
        <v/>
      </c>
      <c r="D1799" t="inlineStr">
        <is>
          <t>1322-09-25</t>
        </is>
      </c>
    </row>
    <row r="1800">
      <c r="A1800" s="1" t="n">
        <v>1799</v>
      </c>
      <c r="B1800">
        <f>TEXT(1799, "[$-170000]yyyy-mm-dd")</f>
        <v/>
      </c>
      <c r="C1800">
        <f>TEXT(1799, "[$-060000]yyyy-mm-dd")</f>
        <v/>
      </c>
      <c r="D1800" t="inlineStr">
        <is>
          <t>1322-09-26</t>
        </is>
      </c>
    </row>
    <row r="1801">
      <c r="A1801" s="1" t="n">
        <v>1800</v>
      </c>
      <c r="B1801">
        <f>TEXT(1800, "[$-170000]yyyy-mm-dd")</f>
        <v/>
      </c>
      <c r="C1801">
        <f>TEXT(1800, "[$-060000]yyyy-mm-dd")</f>
        <v/>
      </c>
      <c r="D1801" t="inlineStr">
        <is>
          <t>1322-09-27</t>
        </is>
      </c>
    </row>
    <row r="1802">
      <c r="A1802" s="1" t="n">
        <v>1801</v>
      </c>
      <c r="B1802">
        <f>TEXT(1801, "[$-170000]yyyy-mm-dd")</f>
        <v/>
      </c>
      <c r="C1802">
        <f>TEXT(1801, "[$-060000]yyyy-mm-dd")</f>
        <v/>
      </c>
      <c r="D1802" t="inlineStr">
        <is>
          <t>1322-09-28</t>
        </is>
      </c>
    </row>
    <row r="1803">
      <c r="A1803" s="1" t="n">
        <v>1802</v>
      </c>
      <c r="B1803">
        <f>TEXT(1802, "[$-170000]yyyy-mm-dd")</f>
        <v/>
      </c>
      <c r="C1803">
        <f>TEXT(1802, "[$-060000]yyyy-mm-dd")</f>
        <v/>
      </c>
      <c r="D1803" t="inlineStr">
        <is>
          <t>1322-09-29</t>
        </is>
      </c>
    </row>
    <row r="1804">
      <c r="A1804" s="1" t="n">
        <v>1803</v>
      </c>
      <c r="B1804">
        <f>TEXT(1803, "[$-170000]yyyy-mm-dd")</f>
        <v/>
      </c>
      <c r="C1804">
        <f>TEXT(1803, "[$-060000]yyyy-mm-dd")</f>
        <v/>
      </c>
      <c r="D1804" t="inlineStr">
        <is>
          <t>1322-09-30</t>
        </is>
      </c>
    </row>
    <row r="1805">
      <c r="A1805" s="1" t="n">
        <v>1804</v>
      </c>
      <c r="B1805">
        <f>TEXT(1804, "[$-170000]yyyy-mm-dd")</f>
        <v/>
      </c>
      <c r="C1805">
        <f>TEXT(1804, "[$-060000]yyyy-mm-dd")</f>
        <v/>
      </c>
      <c r="D1805" t="inlineStr">
        <is>
          <t>1322-10-01</t>
        </is>
      </c>
    </row>
    <row r="1806">
      <c r="A1806" s="1" t="n">
        <v>1805</v>
      </c>
      <c r="B1806">
        <f>TEXT(1805, "[$-170000]yyyy-mm-dd")</f>
        <v/>
      </c>
      <c r="C1806">
        <f>TEXT(1805, "[$-060000]yyyy-mm-dd")</f>
        <v/>
      </c>
      <c r="D1806" t="inlineStr">
        <is>
          <t>1322-10-02</t>
        </is>
      </c>
    </row>
    <row r="1807">
      <c r="A1807" s="1" t="n">
        <v>1806</v>
      </c>
      <c r="B1807">
        <f>TEXT(1806, "[$-170000]yyyy-mm-dd")</f>
        <v/>
      </c>
      <c r="C1807">
        <f>TEXT(1806, "[$-060000]yyyy-mm-dd")</f>
        <v/>
      </c>
      <c r="D1807" t="inlineStr">
        <is>
          <t>1322-10-03</t>
        </is>
      </c>
    </row>
    <row r="1808">
      <c r="A1808" s="1" t="n">
        <v>1807</v>
      </c>
      <c r="B1808">
        <f>TEXT(1807, "[$-170000]yyyy-mm-dd")</f>
        <v/>
      </c>
      <c r="C1808">
        <f>TEXT(1807, "[$-060000]yyyy-mm-dd")</f>
        <v/>
      </c>
      <c r="D1808" t="inlineStr">
        <is>
          <t>1322-10-04</t>
        </is>
      </c>
    </row>
    <row r="1809">
      <c r="A1809" s="1" t="n">
        <v>1808</v>
      </c>
      <c r="B1809">
        <f>TEXT(1808, "[$-170000]yyyy-mm-dd")</f>
        <v/>
      </c>
      <c r="C1809">
        <f>TEXT(1808, "[$-060000]yyyy-mm-dd")</f>
        <v/>
      </c>
      <c r="D1809" t="inlineStr">
        <is>
          <t>1322-10-05</t>
        </is>
      </c>
    </row>
    <row r="1810">
      <c r="A1810" s="1" t="n">
        <v>1809</v>
      </c>
      <c r="B1810">
        <f>TEXT(1809, "[$-170000]yyyy-mm-dd")</f>
        <v/>
      </c>
      <c r="C1810">
        <f>TEXT(1809, "[$-060000]yyyy-mm-dd")</f>
        <v/>
      </c>
      <c r="D1810" t="inlineStr">
        <is>
          <t>1322-10-06</t>
        </is>
      </c>
    </row>
    <row r="1811">
      <c r="A1811" s="1" t="n">
        <v>1810</v>
      </c>
      <c r="B1811">
        <f>TEXT(1810, "[$-170000]yyyy-mm-dd")</f>
        <v/>
      </c>
      <c r="C1811">
        <f>TEXT(1810, "[$-060000]yyyy-mm-dd")</f>
        <v/>
      </c>
      <c r="D1811" t="inlineStr">
        <is>
          <t>1322-10-07</t>
        </is>
      </c>
    </row>
    <row r="1812">
      <c r="A1812" s="1" t="n">
        <v>1811</v>
      </c>
      <c r="B1812">
        <f>TEXT(1811, "[$-170000]yyyy-mm-dd")</f>
        <v/>
      </c>
      <c r="C1812">
        <f>TEXT(1811, "[$-060000]yyyy-mm-dd")</f>
        <v/>
      </c>
      <c r="D1812" t="inlineStr">
        <is>
          <t>1322-10-08</t>
        </is>
      </c>
    </row>
    <row r="1813">
      <c r="A1813" s="1" t="n">
        <v>1812</v>
      </c>
      <c r="B1813">
        <f>TEXT(1812, "[$-170000]yyyy-mm-dd")</f>
        <v/>
      </c>
      <c r="C1813">
        <f>TEXT(1812, "[$-060000]yyyy-mm-dd")</f>
        <v/>
      </c>
      <c r="D1813" t="inlineStr">
        <is>
          <t>1322-10-09</t>
        </is>
      </c>
    </row>
    <row r="1814">
      <c r="A1814" s="1" t="n">
        <v>1813</v>
      </c>
      <c r="B1814">
        <f>TEXT(1813, "[$-170000]yyyy-mm-dd")</f>
        <v/>
      </c>
      <c r="C1814">
        <f>TEXT(1813, "[$-060000]yyyy-mm-dd")</f>
        <v/>
      </c>
      <c r="D1814" t="inlineStr">
        <is>
          <t>1322-10-10</t>
        </is>
      </c>
    </row>
    <row r="1815">
      <c r="A1815" s="1" t="n">
        <v>1814</v>
      </c>
      <c r="B1815">
        <f>TEXT(1814, "[$-170000]yyyy-mm-dd")</f>
        <v/>
      </c>
      <c r="C1815">
        <f>TEXT(1814, "[$-060000]yyyy-mm-dd")</f>
        <v/>
      </c>
      <c r="D1815" t="inlineStr">
        <is>
          <t>1322-10-11</t>
        </is>
      </c>
    </row>
    <row r="1816">
      <c r="A1816" s="1" t="n">
        <v>1815</v>
      </c>
      <c r="B1816">
        <f>TEXT(1815, "[$-170000]yyyy-mm-dd")</f>
        <v/>
      </c>
      <c r="C1816">
        <f>TEXT(1815, "[$-060000]yyyy-mm-dd")</f>
        <v/>
      </c>
      <c r="D1816" t="inlineStr">
        <is>
          <t>1322-10-12</t>
        </is>
      </c>
    </row>
    <row r="1817">
      <c r="A1817" s="1" t="n">
        <v>1816</v>
      </c>
      <c r="B1817">
        <f>TEXT(1816, "[$-170000]yyyy-mm-dd")</f>
        <v/>
      </c>
      <c r="C1817">
        <f>TEXT(1816, "[$-060000]yyyy-mm-dd")</f>
        <v/>
      </c>
      <c r="D1817" t="inlineStr">
        <is>
          <t>1322-10-13</t>
        </is>
      </c>
    </row>
    <row r="1818">
      <c r="A1818" s="1" t="n">
        <v>1817</v>
      </c>
      <c r="B1818">
        <f>TEXT(1817, "[$-170000]yyyy-mm-dd")</f>
        <v/>
      </c>
      <c r="C1818">
        <f>TEXT(1817, "[$-060000]yyyy-mm-dd")</f>
        <v/>
      </c>
      <c r="D1818" t="inlineStr">
        <is>
          <t>1322-10-14</t>
        </is>
      </c>
    </row>
    <row r="1819">
      <c r="A1819" s="1" t="n">
        <v>1818</v>
      </c>
      <c r="B1819">
        <f>TEXT(1818, "[$-170000]yyyy-mm-dd")</f>
        <v/>
      </c>
      <c r="C1819">
        <f>TEXT(1818, "[$-060000]yyyy-mm-dd")</f>
        <v/>
      </c>
      <c r="D1819" t="inlineStr">
        <is>
          <t>1322-10-15</t>
        </is>
      </c>
    </row>
    <row r="1820">
      <c r="A1820" s="1" t="n">
        <v>1819</v>
      </c>
      <c r="B1820">
        <f>TEXT(1819, "[$-170000]yyyy-mm-dd")</f>
        <v/>
      </c>
      <c r="C1820">
        <f>TEXT(1819, "[$-060000]yyyy-mm-dd")</f>
        <v/>
      </c>
      <c r="D1820" t="inlineStr">
        <is>
          <t>1322-10-16</t>
        </is>
      </c>
    </row>
    <row r="1821">
      <c r="A1821" s="1" t="n">
        <v>1820</v>
      </c>
      <c r="B1821">
        <f>TEXT(1820, "[$-170000]yyyy-mm-dd")</f>
        <v/>
      </c>
      <c r="C1821">
        <f>TEXT(1820, "[$-060000]yyyy-mm-dd")</f>
        <v/>
      </c>
      <c r="D1821" t="inlineStr">
        <is>
          <t>1322-10-17</t>
        </is>
      </c>
    </row>
    <row r="1822">
      <c r="A1822" s="1" t="n">
        <v>1821</v>
      </c>
      <c r="B1822">
        <f>TEXT(1821, "[$-170000]yyyy-mm-dd")</f>
        <v/>
      </c>
      <c r="C1822">
        <f>TEXT(1821, "[$-060000]yyyy-mm-dd")</f>
        <v/>
      </c>
      <c r="D1822" t="inlineStr">
        <is>
          <t>1322-10-18</t>
        </is>
      </c>
    </row>
    <row r="1823">
      <c r="A1823" s="1" t="n">
        <v>1822</v>
      </c>
      <c r="B1823">
        <f>TEXT(1822, "[$-170000]yyyy-mm-dd")</f>
        <v/>
      </c>
      <c r="C1823">
        <f>TEXT(1822, "[$-060000]yyyy-mm-dd")</f>
        <v/>
      </c>
      <c r="D1823" t="inlineStr">
        <is>
          <t>1322-10-19</t>
        </is>
      </c>
    </row>
    <row r="1824">
      <c r="A1824" s="1" t="n">
        <v>1823</v>
      </c>
      <c r="B1824">
        <f>TEXT(1823, "[$-170000]yyyy-mm-dd")</f>
        <v/>
      </c>
      <c r="C1824">
        <f>TEXT(1823, "[$-060000]yyyy-mm-dd")</f>
        <v/>
      </c>
      <c r="D1824" t="inlineStr">
        <is>
          <t>1322-10-20</t>
        </is>
      </c>
    </row>
    <row r="1825">
      <c r="A1825" s="1" t="n">
        <v>1824</v>
      </c>
      <c r="B1825">
        <f>TEXT(1824, "[$-170000]yyyy-mm-dd")</f>
        <v/>
      </c>
      <c r="C1825">
        <f>TEXT(1824, "[$-060000]yyyy-mm-dd")</f>
        <v/>
      </c>
      <c r="D1825" t="inlineStr">
        <is>
          <t>1322-10-21</t>
        </is>
      </c>
    </row>
    <row r="1826">
      <c r="A1826" s="1" t="n">
        <v>1825</v>
      </c>
      <c r="B1826">
        <f>TEXT(1825, "[$-170000]yyyy-mm-dd")</f>
        <v/>
      </c>
      <c r="C1826">
        <f>TEXT(1825, "[$-060000]yyyy-mm-dd")</f>
        <v/>
      </c>
      <c r="D1826" t="inlineStr">
        <is>
          <t>1322-10-22</t>
        </is>
      </c>
    </row>
    <row r="1827">
      <c r="A1827" s="1" t="n">
        <v>1826</v>
      </c>
      <c r="B1827">
        <f>TEXT(1826, "[$-170000]yyyy-mm-dd")</f>
        <v/>
      </c>
      <c r="C1827">
        <f>TEXT(1826, "[$-060000]yyyy-mm-dd")</f>
        <v/>
      </c>
      <c r="D1827" t="inlineStr">
        <is>
          <t>1322-10-23</t>
        </is>
      </c>
    </row>
    <row r="1828">
      <c r="A1828" s="1" t="n">
        <v>1827</v>
      </c>
      <c r="B1828">
        <f>TEXT(1827, "[$-170000]yyyy-mm-dd")</f>
        <v/>
      </c>
      <c r="C1828">
        <f>TEXT(1827, "[$-060000]yyyy-mm-dd")</f>
        <v/>
      </c>
      <c r="D1828" t="inlineStr">
        <is>
          <t>1322-10-24</t>
        </is>
      </c>
    </row>
    <row r="1829">
      <c r="A1829" s="1" t="n">
        <v>1828</v>
      </c>
      <c r="B1829">
        <f>TEXT(1828, "[$-170000]yyyy-mm-dd")</f>
        <v/>
      </c>
      <c r="C1829">
        <f>TEXT(1828, "[$-060000]yyyy-mm-dd")</f>
        <v/>
      </c>
      <c r="D1829" t="inlineStr">
        <is>
          <t>1322-10-25</t>
        </is>
      </c>
    </row>
    <row r="1830">
      <c r="A1830" s="1" t="n">
        <v>1829</v>
      </c>
      <c r="B1830">
        <f>TEXT(1829, "[$-170000]yyyy-mm-dd")</f>
        <v/>
      </c>
      <c r="C1830">
        <f>TEXT(1829, "[$-060000]yyyy-mm-dd")</f>
        <v/>
      </c>
      <c r="D1830" t="inlineStr">
        <is>
          <t>1322-10-26</t>
        </is>
      </c>
    </row>
    <row r="1831">
      <c r="A1831" s="1" t="n">
        <v>1830</v>
      </c>
      <c r="B1831">
        <f>TEXT(1830, "[$-170000]yyyy-mm-dd")</f>
        <v/>
      </c>
      <c r="C1831">
        <f>TEXT(1830, "[$-060000]yyyy-mm-dd")</f>
        <v/>
      </c>
      <c r="D1831" t="inlineStr">
        <is>
          <t>1322-10-27</t>
        </is>
      </c>
    </row>
    <row r="1832">
      <c r="A1832" s="1" t="n">
        <v>1831</v>
      </c>
      <c r="B1832">
        <f>TEXT(1831, "[$-170000]yyyy-mm-dd")</f>
        <v/>
      </c>
      <c r="C1832">
        <f>TEXT(1831, "[$-060000]yyyy-mm-dd")</f>
        <v/>
      </c>
      <c r="D1832" t="inlineStr">
        <is>
          <t>1322-10-28</t>
        </is>
      </c>
    </row>
    <row r="1833">
      <c r="A1833" s="1" t="n">
        <v>1832</v>
      </c>
      <c r="B1833">
        <f>TEXT(1832, "[$-170000]yyyy-mm-dd")</f>
        <v/>
      </c>
      <c r="C1833">
        <f>TEXT(1832, "[$-060000]yyyy-mm-dd")</f>
        <v/>
      </c>
      <c r="D1833" t="inlineStr">
        <is>
          <t>1322-10-29</t>
        </is>
      </c>
    </row>
    <row r="1834">
      <c r="A1834" s="1" t="n">
        <v>1833</v>
      </c>
      <c r="B1834">
        <f>TEXT(1833, "[$-170000]yyyy-mm-dd")</f>
        <v/>
      </c>
      <c r="C1834">
        <f>TEXT(1833, "[$-060000]yyyy-mm-dd")</f>
        <v/>
      </c>
      <c r="D1834" t="inlineStr">
        <is>
          <t>1322-11-01</t>
        </is>
      </c>
    </row>
    <row r="1835">
      <c r="A1835" s="1" t="n">
        <v>1834</v>
      </c>
      <c r="B1835">
        <f>TEXT(1834, "[$-170000]yyyy-mm-dd")</f>
        <v/>
      </c>
      <c r="C1835">
        <f>TEXT(1834, "[$-060000]yyyy-mm-dd")</f>
        <v/>
      </c>
      <c r="D1835" t="inlineStr">
        <is>
          <t>1322-11-02</t>
        </is>
      </c>
    </row>
    <row r="1836">
      <c r="A1836" s="1" t="n">
        <v>1835</v>
      </c>
      <c r="B1836">
        <f>TEXT(1835, "[$-170000]yyyy-mm-dd")</f>
        <v/>
      </c>
      <c r="C1836">
        <f>TEXT(1835, "[$-060000]yyyy-mm-dd")</f>
        <v/>
      </c>
      <c r="D1836" t="inlineStr">
        <is>
          <t>1322-11-03</t>
        </is>
      </c>
    </row>
    <row r="1837">
      <c r="A1837" s="1" t="n">
        <v>1836</v>
      </c>
      <c r="B1837">
        <f>TEXT(1836, "[$-170000]yyyy-mm-dd")</f>
        <v/>
      </c>
      <c r="C1837">
        <f>TEXT(1836, "[$-060000]yyyy-mm-dd")</f>
        <v/>
      </c>
      <c r="D1837" t="inlineStr">
        <is>
          <t>1322-11-04</t>
        </is>
      </c>
    </row>
    <row r="1838">
      <c r="A1838" s="1" t="n">
        <v>1837</v>
      </c>
      <c r="B1838">
        <f>TEXT(1837, "[$-170000]yyyy-mm-dd")</f>
        <v/>
      </c>
      <c r="C1838">
        <f>TEXT(1837, "[$-060000]yyyy-mm-dd")</f>
        <v/>
      </c>
      <c r="D1838" t="inlineStr">
        <is>
          <t>1322-11-05</t>
        </is>
      </c>
    </row>
    <row r="1839">
      <c r="A1839" s="1" t="n">
        <v>1838</v>
      </c>
      <c r="B1839">
        <f>TEXT(1838, "[$-170000]yyyy-mm-dd")</f>
        <v/>
      </c>
      <c r="C1839">
        <f>TEXT(1838, "[$-060000]yyyy-mm-dd")</f>
        <v/>
      </c>
      <c r="D1839" t="inlineStr">
        <is>
          <t>1322-11-06</t>
        </is>
      </c>
    </row>
    <row r="1840">
      <c r="A1840" s="1" t="n">
        <v>1839</v>
      </c>
      <c r="B1840">
        <f>TEXT(1839, "[$-170000]yyyy-mm-dd")</f>
        <v/>
      </c>
      <c r="C1840">
        <f>TEXT(1839, "[$-060000]yyyy-mm-dd")</f>
        <v/>
      </c>
      <c r="D1840" t="inlineStr">
        <is>
          <t>1322-11-07</t>
        </is>
      </c>
    </row>
    <row r="1841">
      <c r="A1841" s="1" t="n">
        <v>1840</v>
      </c>
      <c r="B1841">
        <f>TEXT(1840, "[$-170000]yyyy-mm-dd")</f>
        <v/>
      </c>
      <c r="C1841">
        <f>TEXT(1840, "[$-060000]yyyy-mm-dd")</f>
        <v/>
      </c>
      <c r="D1841" t="inlineStr">
        <is>
          <t>1322-11-08</t>
        </is>
      </c>
    </row>
    <row r="1842">
      <c r="A1842" s="1" t="n">
        <v>1841</v>
      </c>
      <c r="B1842">
        <f>TEXT(1841, "[$-170000]yyyy-mm-dd")</f>
        <v/>
      </c>
      <c r="C1842">
        <f>TEXT(1841, "[$-060000]yyyy-mm-dd")</f>
        <v/>
      </c>
      <c r="D1842" t="inlineStr">
        <is>
          <t>1322-11-09</t>
        </is>
      </c>
    </row>
    <row r="1843">
      <c r="A1843" s="1" t="n">
        <v>1842</v>
      </c>
      <c r="B1843">
        <f>TEXT(1842, "[$-170000]yyyy-mm-dd")</f>
        <v/>
      </c>
      <c r="C1843">
        <f>TEXT(1842, "[$-060000]yyyy-mm-dd")</f>
        <v/>
      </c>
      <c r="D1843" t="inlineStr">
        <is>
          <t>1322-11-10</t>
        </is>
      </c>
    </row>
    <row r="1844">
      <c r="A1844" s="1" t="n">
        <v>1843</v>
      </c>
      <c r="B1844">
        <f>TEXT(1843, "[$-170000]yyyy-mm-dd")</f>
        <v/>
      </c>
      <c r="C1844">
        <f>TEXT(1843, "[$-060000]yyyy-mm-dd")</f>
        <v/>
      </c>
      <c r="D1844" t="inlineStr">
        <is>
          <t>1322-11-11</t>
        </is>
      </c>
    </row>
    <row r="1845">
      <c r="A1845" s="1" t="n">
        <v>1844</v>
      </c>
      <c r="B1845">
        <f>TEXT(1844, "[$-170000]yyyy-mm-dd")</f>
        <v/>
      </c>
      <c r="C1845">
        <f>TEXT(1844, "[$-060000]yyyy-mm-dd")</f>
        <v/>
      </c>
      <c r="D1845" t="inlineStr">
        <is>
          <t>1322-11-12</t>
        </is>
      </c>
    </row>
    <row r="1846">
      <c r="A1846" s="1" t="n">
        <v>1845</v>
      </c>
      <c r="B1846">
        <f>TEXT(1845, "[$-170000]yyyy-mm-dd")</f>
        <v/>
      </c>
      <c r="C1846">
        <f>TEXT(1845, "[$-060000]yyyy-mm-dd")</f>
        <v/>
      </c>
      <c r="D1846" t="inlineStr">
        <is>
          <t>1322-11-13</t>
        </is>
      </c>
    </row>
    <row r="1847">
      <c r="A1847" s="1" t="n">
        <v>1846</v>
      </c>
      <c r="B1847">
        <f>TEXT(1846, "[$-170000]yyyy-mm-dd")</f>
        <v/>
      </c>
      <c r="C1847">
        <f>TEXT(1846, "[$-060000]yyyy-mm-dd")</f>
        <v/>
      </c>
      <c r="D1847" t="inlineStr">
        <is>
          <t>1322-11-14</t>
        </is>
      </c>
    </row>
    <row r="1848">
      <c r="A1848" s="1" t="n">
        <v>1847</v>
      </c>
      <c r="B1848">
        <f>TEXT(1847, "[$-170000]yyyy-mm-dd")</f>
        <v/>
      </c>
      <c r="C1848">
        <f>TEXT(1847, "[$-060000]yyyy-mm-dd")</f>
        <v/>
      </c>
      <c r="D1848" t="inlineStr">
        <is>
          <t>1322-11-15</t>
        </is>
      </c>
    </row>
    <row r="1849">
      <c r="A1849" s="1" t="n">
        <v>1848</v>
      </c>
      <c r="B1849">
        <f>TEXT(1848, "[$-170000]yyyy-mm-dd")</f>
        <v/>
      </c>
      <c r="C1849">
        <f>TEXT(1848, "[$-060000]yyyy-mm-dd")</f>
        <v/>
      </c>
      <c r="D1849" t="inlineStr">
        <is>
          <t>1322-11-16</t>
        </is>
      </c>
    </row>
    <row r="1850">
      <c r="A1850" s="1" t="n">
        <v>1849</v>
      </c>
      <c r="B1850">
        <f>TEXT(1849, "[$-170000]yyyy-mm-dd")</f>
        <v/>
      </c>
      <c r="C1850">
        <f>TEXT(1849, "[$-060000]yyyy-mm-dd")</f>
        <v/>
      </c>
      <c r="D1850" t="inlineStr">
        <is>
          <t>1322-11-17</t>
        </is>
      </c>
    </row>
    <row r="1851">
      <c r="A1851" s="1" t="n">
        <v>1850</v>
      </c>
      <c r="B1851">
        <f>TEXT(1850, "[$-170000]yyyy-mm-dd")</f>
        <v/>
      </c>
      <c r="C1851">
        <f>TEXT(1850, "[$-060000]yyyy-mm-dd")</f>
        <v/>
      </c>
      <c r="D1851" t="inlineStr">
        <is>
          <t>1322-11-18</t>
        </is>
      </c>
    </row>
    <row r="1852">
      <c r="A1852" s="1" t="n">
        <v>1851</v>
      </c>
      <c r="B1852">
        <f>TEXT(1851, "[$-170000]yyyy-mm-dd")</f>
        <v/>
      </c>
      <c r="C1852">
        <f>TEXT(1851, "[$-060000]yyyy-mm-dd")</f>
        <v/>
      </c>
      <c r="D1852" t="inlineStr">
        <is>
          <t>1322-11-19</t>
        </is>
      </c>
    </row>
    <row r="1853">
      <c r="A1853" s="1" t="n">
        <v>1852</v>
      </c>
      <c r="B1853">
        <f>TEXT(1852, "[$-170000]yyyy-mm-dd")</f>
        <v/>
      </c>
      <c r="C1853">
        <f>TEXT(1852, "[$-060000]yyyy-mm-dd")</f>
        <v/>
      </c>
      <c r="D1853" t="inlineStr">
        <is>
          <t>1322-11-20</t>
        </is>
      </c>
    </row>
    <row r="1854">
      <c r="A1854" s="1" t="n">
        <v>1853</v>
      </c>
      <c r="B1854">
        <f>TEXT(1853, "[$-170000]yyyy-mm-dd")</f>
        <v/>
      </c>
      <c r="C1854">
        <f>TEXT(1853, "[$-060000]yyyy-mm-dd")</f>
        <v/>
      </c>
      <c r="D1854" t="inlineStr">
        <is>
          <t>1322-11-21</t>
        </is>
      </c>
    </row>
    <row r="1855">
      <c r="A1855" s="1" t="n">
        <v>1854</v>
      </c>
      <c r="B1855">
        <f>TEXT(1854, "[$-170000]yyyy-mm-dd")</f>
        <v/>
      </c>
      <c r="C1855">
        <f>TEXT(1854, "[$-060000]yyyy-mm-dd")</f>
        <v/>
      </c>
      <c r="D1855" t="inlineStr">
        <is>
          <t>1322-11-22</t>
        </is>
      </c>
    </row>
    <row r="1856">
      <c r="A1856" s="1" t="n">
        <v>1855</v>
      </c>
      <c r="B1856">
        <f>TEXT(1855, "[$-170000]yyyy-mm-dd")</f>
        <v/>
      </c>
      <c r="C1856">
        <f>TEXT(1855, "[$-060000]yyyy-mm-dd")</f>
        <v/>
      </c>
      <c r="D1856" t="inlineStr">
        <is>
          <t>1322-11-23</t>
        </is>
      </c>
    </row>
    <row r="1857">
      <c r="A1857" s="1" t="n">
        <v>1856</v>
      </c>
      <c r="B1857">
        <f>TEXT(1856, "[$-170000]yyyy-mm-dd")</f>
        <v/>
      </c>
      <c r="C1857">
        <f>TEXT(1856, "[$-060000]yyyy-mm-dd")</f>
        <v/>
      </c>
      <c r="D1857" t="inlineStr">
        <is>
          <t>1322-11-24</t>
        </is>
      </c>
    </row>
    <row r="1858">
      <c r="A1858" s="1" t="n">
        <v>1857</v>
      </c>
      <c r="B1858">
        <f>TEXT(1857, "[$-170000]yyyy-mm-dd")</f>
        <v/>
      </c>
      <c r="C1858">
        <f>TEXT(1857, "[$-060000]yyyy-mm-dd")</f>
        <v/>
      </c>
      <c r="D1858" t="inlineStr">
        <is>
          <t>1322-11-25</t>
        </is>
      </c>
    </row>
    <row r="1859">
      <c r="A1859" s="1" t="n">
        <v>1858</v>
      </c>
      <c r="B1859">
        <f>TEXT(1858, "[$-170000]yyyy-mm-dd")</f>
        <v/>
      </c>
      <c r="C1859">
        <f>TEXT(1858, "[$-060000]yyyy-mm-dd")</f>
        <v/>
      </c>
      <c r="D1859" t="inlineStr">
        <is>
          <t>1322-11-26</t>
        </is>
      </c>
    </row>
    <row r="1860">
      <c r="A1860" s="1" t="n">
        <v>1859</v>
      </c>
      <c r="B1860">
        <f>TEXT(1859, "[$-170000]yyyy-mm-dd")</f>
        <v/>
      </c>
      <c r="C1860">
        <f>TEXT(1859, "[$-060000]yyyy-mm-dd")</f>
        <v/>
      </c>
      <c r="D1860" t="inlineStr">
        <is>
          <t>1322-11-27</t>
        </is>
      </c>
    </row>
    <row r="1861">
      <c r="A1861" s="1" t="n">
        <v>1860</v>
      </c>
      <c r="B1861">
        <f>TEXT(1860, "[$-170000]yyyy-mm-dd")</f>
        <v/>
      </c>
      <c r="C1861">
        <f>TEXT(1860, "[$-060000]yyyy-mm-dd")</f>
        <v/>
      </c>
      <c r="D1861" t="inlineStr">
        <is>
          <t>1322-11-28</t>
        </is>
      </c>
    </row>
    <row r="1862">
      <c r="A1862" s="1" t="n">
        <v>1861</v>
      </c>
      <c r="B1862">
        <f>TEXT(1861, "[$-170000]yyyy-mm-dd")</f>
        <v/>
      </c>
      <c r="C1862">
        <f>TEXT(1861, "[$-060000]yyyy-mm-dd")</f>
        <v/>
      </c>
      <c r="D1862" t="inlineStr">
        <is>
          <t>1322-11-29</t>
        </is>
      </c>
    </row>
    <row r="1863">
      <c r="A1863" s="1" t="n">
        <v>1862</v>
      </c>
      <c r="B1863">
        <f>TEXT(1862, "[$-170000]yyyy-mm-dd")</f>
        <v/>
      </c>
      <c r="C1863">
        <f>TEXT(1862, "[$-060000]yyyy-mm-dd")</f>
        <v/>
      </c>
      <c r="D1863" t="inlineStr">
        <is>
          <t>1322-11-30</t>
        </is>
      </c>
    </row>
    <row r="1864">
      <c r="A1864" s="1" t="n">
        <v>1863</v>
      </c>
      <c r="B1864">
        <f>TEXT(1863, "[$-170000]yyyy-mm-dd")</f>
        <v/>
      </c>
      <c r="C1864">
        <f>TEXT(1863, "[$-060000]yyyy-mm-dd")</f>
        <v/>
      </c>
      <c r="D1864" t="inlineStr">
        <is>
          <t>1322-12-01</t>
        </is>
      </c>
    </row>
    <row r="1865">
      <c r="A1865" s="1" t="n">
        <v>1864</v>
      </c>
      <c r="B1865">
        <f>TEXT(1864, "[$-170000]yyyy-mm-dd")</f>
        <v/>
      </c>
      <c r="C1865">
        <f>TEXT(1864, "[$-060000]yyyy-mm-dd")</f>
        <v/>
      </c>
      <c r="D1865" t="inlineStr">
        <is>
          <t>1322-12-02</t>
        </is>
      </c>
    </row>
    <row r="1866">
      <c r="A1866" s="1" t="n">
        <v>1865</v>
      </c>
      <c r="B1866">
        <f>TEXT(1865, "[$-170000]yyyy-mm-dd")</f>
        <v/>
      </c>
      <c r="C1866">
        <f>TEXT(1865, "[$-060000]yyyy-mm-dd")</f>
        <v/>
      </c>
      <c r="D1866" t="inlineStr">
        <is>
          <t>1322-12-03</t>
        </is>
      </c>
    </row>
    <row r="1867">
      <c r="A1867" s="1" t="n">
        <v>1866</v>
      </c>
      <c r="B1867">
        <f>TEXT(1866, "[$-170000]yyyy-mm-dd")</f>
        <v/>
      </c>
      <c r="C1867">
        <f>TEXT(1866, "[$-060000]yyyy-mm-dd")</f>
        <v/>
      </c>
      <c r="D1867" t="inlineStr">
        <is>
          <t>1322-12-04</t>
        </is>
      </c>
    </row>
    <row r="1868">
      <c r="A1868" s="1" t="n">
        <v>1867</v>
      </c>
      <c r="B1868">
        <f>TEXT(1867, "[$-170000]yyyy-mm-dd")</f>
        <v/>
      </c>
      <c r="C1868">
        <f>TEXT(1867, "[$-060000]yyyy-mm-dd")</f>
        <v/>
      </c>
      <c r="D1868" t="inlineStr">
        <is>
          <t>1322-12-05</t>
        </is>
      </c>
    </row>
    <row r="1869">
      <c r="A1869" s="1" t="n">
        <v>1868</v>
      </c>
      <c r="B1869">
        <f>TEXT(1868, "[$-170000]yyyy-mm-dd")</f>
        <v/>
      </c>
      <c r="C1869">
        <f>TEXT(1868, "[$-060000]yyyy-mm-dd")</f>
        <v/>
      </c>
      <c r="D1869" t="inlineStr">
        <is>
          <t>1322-12-06</t>
        </is>
      </c>
    </row>
    <row r="1870">
      <c r="A1870" s="1" t="n">
        <v>1869</v>
      </c>
      <c r="B1870">
        <f>TEXT(1869, "[$-170000]yyyy-mm-dd")</f>
        <v/>
      </c>
      <c r="C1870">
        <f>TEXT(1869, "[$-060000]yyyy-mm-dd")</f>
        <v/>
      </c>
      <c r="D1870" t="inlineStr">
        <is>
          <t>1322-12-07</t>
        </is>
      </c>
    </row>
    <row r="1871">
      <c r="A1871" s="1" t="n">
        <v>1870</v>
      </c>
      <c r="B1871">
        <f>TEXT(1870, "[$-170000]yyyy-mm-dd")</f>
        <v/>
      </c>
      <c r="C1871">
        <f>TEXT(1870, "[$-060000]yyyy-mm-dd")</f>
        <v/>
      </c>
      <c r="D1871" t="inlineStr">
        <is>
          <t>1322-12-08</t>
        </is>
      </c>
    </row>
    <row r="1872">
      <c r="A1872" s="1" t="n">
        <v>1871</v>
      </c>
      <c r="B1872">
        <f>TEXT(1871, "[$-170000]yyyy-mm-dd")</f>
        <v/>
      </c>
      <c r="C1872">
        <f>TEXT(1871, "[$-060000]yyyy-mm-dd")</f>
        <v/>
      </c>
      <c r="D1872" t="inlineStr">
        <is>
          <t>1322-12-09</t>
        </is>
      </c>
    </row>
    <row r="1873">
      <c r="A1873" s="1" t="n">
        <v>1872</v>
      </c>
      <c r="B1873">
        <f>TEXT(1872, "[$-170000]yyyy-mm-dd")</f>
        <v/>
      </c>
      <c r="C1873">
        <f>TEXT(1872, "[$-060000]yyyy-mm-dd")</f>
        <v/>
      </c>
      <c r="D1873" t="inlineStr">
        <is>
          <t>1322-12-10</t>
        </is>
      </c>
    </row>
    <row r="1874">
      <c r="A1874" s="1" t="n">
        <v>1873</v>
      </c>
      <c r="B1874">
        <f>TEXT(1873, "[$-170000]yyyy-mm-dd")</f>
        <v/>
      </c>
      <c r="C1874">
        <f>TEXT(1873, "[$-060000]yyyy-mm-dd")</f>
        <v/>
      </c>
      <c r="D1874" t="inlineStr">
        <is>
          <t>1322-12-11</t>
        </is>
      </c>
    </row>
    <row r="1875">
      <c r="A1875" s="1" t="n">
        <v>1874</v>
      </c>
      <c r="B1875">
        <f>TEXT(1874, "[$-170000]yyyy-mm-dd")</f>
        <v/>
      </c>
      <c r="C1875">
        <f>TEXT(1874, "[$-060000]yyyy-mm-dd")</f>
        <v/>
      </c>
      <c r="D1875" t="inlineStr">
        <is>
          <t>1322-12-12</t>
        </is>
      </c>
    </row>
    <row r="1876">
      <c r="A1876" s="1" t="n">
        <v>1875</v>
      </c>
      <c r="B1876">
        <f>TEXT(1875, "[$-170000]yyyy-mm-dd")</f>
        <v/>
      </c>
      <c r="C1876">
        <f>TEXT(1875, "[$-060000]yyyy-mm-dd")</f>
        <v/>
      </c>
      <c r="D1876" t="inlineStr">
        <is>
          <t>1322-12-13</t>
        </is>
      </c>
    </row>
    <row r="1877">
      <c r="A1877" s="1" t="n">
        <v>1876</v>
      </c>
      <c r="B1877">
        <f>TEXT(1876, "[$-170000]yyyy-mm-dd")</f>
        <v/>
      </c>
      <c r="C1877">
        <f>TEXT(1876, "[$-060000]yyyy-mm-dd")</f>
        <v/>
      </c>
      <c r="D1877" t="inlineStr">
        <is>
          <t>1322-12-14</t>
        </is>
      </c>
    </row>
    <row r="1878">
      <c r="A1878" s="1" t="n">
        <v>1877</v>
      </c>
      <c r="B1878">
        <f>TEXT(1877, "[$-170000]yyyy-mm-dd")</f>
        <v/>
      </c>
      <c r="C1878">
        <f>TEXT(1877, "[$-060000]yyyy-mm-dd")</f>
        <v/>
      </c>
      <c r="D1878" t="inlineStr">
        <is>
          <t>1322-12-15</t>
        </is>
      </c>
    </row>
    <row r="1879">
      <c r="A1879" s="1" t="n">
        <v>1878</v>
      </c>
      <c r="B1879">
        <f>TEXT(1878, "[$-170000]yyyy-mm-dd")</f>
        <v/>
      </c>
      <c r="C1879">
        <f>TEXT(1878, "[$-060000]yyyy-mm-dd")</f>
        <v/>
      </c>
      <c r="D1879" t="inlineStr">
        <is>
          <t>1322-12-16</t>
        </is>
      </c>
    </row>
    <row r="1880">
      <c r="A1880" s="1" t="n">
        <v>1879</v>
      </c>
      <c r="B1880">
        <f>TEXT(1879, "[$-170000]yyyy-mm-dd")</f>
        <v/>
      </c>
      <c r="C1880">
        <f>TEXT(1879, "[$-060000]yyyy-mm-dd")</f>
        <v/>
      </c>
      <c r="D1880" t="inlineStr">
        <is>
          <t>1322-12-17</t>
        </is>
      </c>
    </row>
    <row r="1881">
      <c r="A1881" s="1" t="n">
        <v>1880</v>
      </c>
      <c r="B1881">
        <f>TEXT(1880, "[$-170000]yyyy-mm-dd")</f>
        <v/>
      </c>
      <c r="C1881">
        <f>TEXT(1880, "[$-060000]yyyy-mm-dd")</f>
        <v/>
      </c>
      <c r="D1881" t="inlineStr">
        <is>
          <t>1322-12-18</t>
        </is>
      </c>
    </row>
    <row r="1882">
      <c r="A1882" s="1" t="n">
        <v>1881</v>
      </c>
      <c r="B1882">
        <f>TEXT(1881, "[$-170000]yyyy-mm-dd")</f>
        <v/>
      </c>
      <c r="C1882">
        <f>TEXT(1881, "[$-060000]yyyy-mm-dd")</f>
        <v/>
      </c>
      <c r="D1882" t="inlineStr">
        <is>
          <t>1322-12-19</t>
        </is>
      </c>
    </row>
    <row r="1883">
      <c r="A1883" s="1" t="n">
        <v>1882</v>
      </c>
      <c r="B1883">
        <f>TEXT(1882, "[$-170000]yyyy-mm-dd")</f>
        <v/>
      </c>
      <c r="C1883">
        <f>TEXT(1882, "[$-060000]yyyy-mm-dd")</f>
        <v/>
      </c>
      <c r="D1883" t="inlineStr">
        <is>
          <t>1322-12-20</t>
        </is>
      </c>
    </row>
    <row r="1884">
      <c r="A1884" s="1" t="n">
        <v>1883</v>
      </c>
      <c r="B1884">
        <f>TEXT(1883, "[$-170000]yyyy-mm-dd")</f>
        <v/>
      </c>
      <c r="C1884">
        <f>TEXT(1883, "[$-060000]yyyy-mm-dd")</f>
        <v/>
      </c>
      <c r="D1884" t="inlineStr">
        <is>
          <t>1322-12-21</t>
        </is>
      </c>
    </row>
    <row r="1885">
      <c r="A1885" s="1" t="n">
        <v>1884</v>
      </c>
      <c r="B1885">
        <f>TEXT(1884, "[$-170000]yyyy-mm-dd")</f>
        <v/>
      </c>
      <c r="C1885">
        <f>TEXT(1884, "[$-060000]yyyy-mm-dd")</f>
        <v/>
      </c>
      <c r="D1885" t="inlineStr">
        <is>
          <t>1322-12-22</t>
        </is>
      </c>
    </row>
    <row r="1886">
      <c r="A1886" s="1" t="n">
        <v>1885</v>
      </c>
      <c r="B1886">
        <f>TEXT(1885, "[$-170000]yyyy-mm-dd")</f>
        <v/>
      </c>
      <c r="C1886">
        <f>TEXT(1885, "[$-060000]yyyy-mm-dd")</f>
        <v/>
      </c>
      <c r="D1886" t="inlineStr">
        <is>
          <t>1322-12-23</t>
        </is>
      </c>
    </row>
    <row r="1887">
      <c r="A1887" s="1" t="n">
        <v>1886</v>
      </c>
      <c r="B1887">
        <f>TEXT(1886, "[$-170000]yyyy-mm-dd")</f>
        <v/>
      </c>
      <c r="C1887">
        <f>TEXT(1886, "[$-060000]yyyy-mm-dd")</f>
        <v/>
      </c>
      <c r="D1887" t="inlineStr">
        <is>
          <t>1322-12-24</t>
        </is>
      </c>
    </row>
    <row r="1888">
      <c r="A1888" s="1" t="n">
        <v>1887</v>
      </c>
      <c r="B1888">
        <f>TEXT(1887, "[$-170000]yyyy-mm-dd")</f>
        <v/>
      </c>
      <c r="C1888">
        <f>TEXT(1887, "[$-060000]yyyy-mm-dd")</f>
        <v/>
      </c>
      <c r="D1888" t="inlineStr">
        <is>
          <t>1322-12-25</t>
        </is>
      </c>
    </row>
    <row r="1889">
      <c r="A1889" s="1" t="n">
        <v>1888</v>
      </c>
      <c r="B1889">
        <f>TEXT(1888, "[$-170000]yyyy-mm-dd")</f>
        <v/>
      </c>
      <c r="C1889">
        <f>TEXT(1888, "[$-060000]yyyy-mm-dd")</f>
        <v/>
      </c>
      <c r="D1889" t="inlineStr">
        <is>
          <t>1322-12-26</t>
        </is>
      </c>
    </row>
    <row r="1890">
      <c r="A1890" s="1" t="n">
        <v>1889</v>
      </c>
      <c r="B1890">
        <f>TEXT(1889, "[$-170000]yyyy-mm-dd")</f>
        <v/>
      </c>
      <c r="C1890">
        <f>TEXT(1889, "[$-060000]yyyy-mm-dd")</f>
        <v/>
      </c>
      <c r="D1890" t="inlineStr">
        <is>
          <t>1322-12-27</t>
        </is>
      </c>
    </row>
    <row r="1891">
      <c r="A1891" s="1" t="n">
        <v>1890</v>
      </c>
      <c r="B1891">
        <f>TEXT(1890, "[$-170000]yyyy-mm-dd")</f>
        <v/>
      </c>
      <c r="C1891">
        <f>TEXT(1890, "[$-060000]yyyy-mm-dd")</f>
        <v/>
      </c>
      <c r="D1891" t="inlineStr">
        <is>
          <t>1322-12-28</t>
        </is>
      </c>
    </row>
    <row r="1892">
      <c r="A1892" s="1" t="n">
        <v>1891</v>
      </c>
      <c r="B1892">
        <f>TEXT(1891, "[$-170000]yyyy-mm-dd")</f>
        <v/>
      </c>
      <c r="C1892">
        <f>TEXT(1891, "[$-060000]yyyy-mm-dd")</f>
        <v/>
      </c>
      <c r="D1892" t="inlineStr">
        <is>
          <t>1322-12-29</t>
        </is>
      </c>
    </row>
    <row r="1893">
      <c r="A1893" s="1" t="n">
        <v>1892</v>
      </c>
      <c r="B1893">
        <f>TEXT(1892, "[$-170000]yyyy-mm-dd")</f>
        <v/>
      </c>
      <c r="C1893">
        <f>TEXT(1892, "[$-060000]yyyy-mm-dd")</f>
        <v/>
      </c>
      <c r="D1893" t="inlineStr">
        <is>
          <t>1322-12-30</t>
        </is>
      </c>
    </row>
    <row r="1894">
      <c r="A1894" s="1" t="n">
        <v>1893</v>
      </c>
      <c r="B1894">
        <f>TEXT(1893, "[$-170000]yyyy-mm-dd")</f>
        <v/>
      </c>
      <c r="C1894">
        <f>TEXT(1893, "[$-060000]yyyy-mm-dd")</f>
        <v/>
      </c>
      <c r="D1894" t="inlineStr">
        <is>
          <t>1323-01-01</t>
        </is>
      </c>
    </row>
    <row r="1895">
      <c r="A1895" s="1" t="n">
        <v>1894</v>
      </c>
      <c r="B1895">
        <f>TEXT(1894, "[$-170000]yyyy-mm-dd")</f>
        <v/>
      </c>
      <c r="C1895">
        <f>TEXT(1894, "[$-060000]yyyy-mm-dd")</f>
        <v/>
      </c>
      <c r="D1895" t="inlineStr">
        <is>
          <t>1323-01-02</t>
        </is>
      </c>
    </row>
    <row r="1896">
      <c r="A1896" s="1" t="n">
        <v>1895</v>
      </c>
      <c r="B1896">
        <f>TEXT(1895, "[$-170000]yyyy-mm-dd")</f>
        <v/>
      </c>
      <c r="C1896">
        <f>TEXT(1895, "[$-060000]yyyy-mm-dd")</f>
        <v/>
      </c>
      <c r="D1896" t="inlineStr">
        <is>
          <t>1323-01-03</t>
        </is>
      </c>
    </row>
    <row r="1897">
      <c r="A1897" s="1" t="n">
        <v>1896</v>
      </c>
      <c r="B1897">
        <f>TEXT(1896, "[$-170000]yyyy-mm-dd")</f>
        <v/>
      </c>
      <c r="C1897">
        <f>TEXT(1896, "[$-060000]yyyy-mm-dd")</f>
        <v/>
      </c>
      <c r="D1897" t="inlineStr">
        <is>
          <t>1323-01-04</t>
        </is>
      </c>
    </row>
    <row r="1898">
      <c r="A1898" s="1" t="n">
        <v>1897</v>
      </c>
      <c r="B1898">
        <f>TEXT(1897, "[$-170000]yyyy-mm-dd")</f>
        <v/>
      </c>
      <c r="C1898">
        <f>TEXT(1897, "[$-060000]yyyy-mm-dd")</f>
        <v/>
      </c>
      <c r="D1898" t="inlineStr">
        <is>
          <t>1323-01-05</t>
        </is>
      </c>
    </row>
    <row r="1899">
      <c r="A1899" s="1" t="n">
        <v>1898</v>
      </c>
      <c r="B1899">
        <f>TEXT(1898, "[$-170000]yyyy-mm-dd")</f>
        <v/>
      </c>
      <c r="C1899">
        <f>TEXT(1898, "[$-060000]yyyy-mm-dd")</f>
        <v/>
      </c>
      <c r="D1899" t="inlineStr">
        <is>
          <t>1323-01-06</t>
        </is>
      </c>
    </row>
    <row r="1900">
      <c r="A1900" s="1" t="n">
        <v>1899</v>
      </c>
      <c r="B1900">
        <f>TEXT(1899, "[$-170000]yyyy-mm-dd")</f>
        <v/>
      </c>
      <c r="C1900">
        <f>TEXT(1899, "[$-060000]yyyy-mm-dd")</f>
        <v/>
      </c>
      <c r="D1900" t="inlineStr">
        <is>
          <t>1323-01-07</t>
        </is>
      </c>
    </row>
    <row r="1901">
      <c r="A1901" s="1" t="n">
        <v>1900</v>
      </c>
      <c r="B1901">
        <f>TEXT(1900, "[$-170000]yyyy-mm-dd")</f>
        <v/>
      </c>
      <c r="C1901">
        <f>TEXT(1900, "[$-060000]yyyy-mm-dd")</f>
        <v/>
      </c>
      <c r="D1901" t="inlineStr">
        <is>
          <t>1323-01-08</t>
        </is>
      </c>
    </row>
    <row r="1902">
      <c r="A1902" s="1" t="n">
        <v>1901</v>
      </c>
      <c r="B1902">
        <f>TEXT(1901, "[$-170000]yyyy-mm-dd")</f>
        <v/>
      </c>
      <c r="C1902">
        <f>TEXT(1901, "[$-060000]yyyy-mm-dd")</f>
        <v/>
      </c>
      <c r="D1902" t="inlineStr">
        <is>
          <t>1323-01-09</t>
        </is>
      </c>
    </row>
    <row r="1903">
      <c r="A1903" s="1" t="n">
        <v>1902</v>
      </c>
      <c r="B1903">
        <f>TEXT(1902, "[$-170000]yyyy-mm-dd")</f>
        <v/>
      </c>
      <c r="C1903">
        <f>TEXT(1902, "[$-060000]yyyy-mm-dd")</f>
        <v/>
      </c>
      <c r="D1903" t="inlineStr">
        <is>
          <t>1323-01-10</t>
        </is>
      </c>
    </row>
    <row r="1904">
      <c r="A1904" s="1" t="n">
        <v>1903</v>
      </c>
      <c r="B1904">
        <f>TEXT(1903, "[$-170000]yyyy-mm-dd")</f>
        <v/>
      </c>
      <c r="C1904">
        <f>TEXT(1903, "[$-060000]yyyy-mm-dd")</f>
        <v/>
      </c>
      <c r="D1904" t="inlineStr">
        <is>
          <t>1323-01-11</t>
        </is>
      </c>
    </row>
    <row r="1905">
      <c r="A1905" s="1" t="n">
        <v>1904</v>
      </c>
      <c r="B1905">
        <f>TEXT(1904, "[$-170000]yyyy-mm-dd")</f>
        <v/>
      </c>
      <c r="C1905">
        <f>TEXT(1904, "[$-060000]yyyy-mm-dd")</f>
        <v/>
      </c>
      <c r="D1905" t="inlineStr">
        <is>
          <t>1323-01-12</t>
        </is>
      </c>
    </row>
    <row r="1906">
      <c r="A1906" s="1" t="n">
        <v>1905</v>
      </c>
      <c r="B1906">
        <f>TEXT(1905, "[$-170000]yyyy-mm-dd")</f>
        <v/>
      </c>
      <c r="C1906">
        <f>TEXT(1905, "[$-060000]yyyy-mm-dd")</f>
        <v/>
      </c>
      <c r="D1906" t="inlineStr">
        <is>
          <t>1323-01-13</t>
        </is>
      </c>
    </row>
    <row r="1907">
      <c r="A1907" s="1" t="n">
        <v>1906</v>
      </c>
      <c r="B1907">
        <f>TEXT(1906, "[$-170000]yyyy-mm-dd")</f>
        <v/>
      </c>
      <c r="C1907">
        <f>TEXT(1906, "[$-060000]yyyy-mm-dd")</f>
        <v/>
      </c>
      <c r="D1907" t="inlineStr">
        <is>
          <t>1323-01-14</t>
        </is>
      </c>
    </row>
    <row r="1908">
      <c r="A1908" s="1" t="n">
        <v>1907</v>
      </c>
      <c r="B1908">
        <f>TEXT(1907, "[$-170000]yyyy-mm-dd")</f>
        <v/>
      </c>
      <c r="C1908">
        <f>TEXT(1907, "[$-060000]yyyy-mm-dd")</f>
        <v/>
      </c>
      <c r="D1908" t="inlineStr">
        <is>
          <t>1323-01-15</t>
        </is>
      </c>
    </row>
    <row r="1909">
      <c r="A1909" s="1" t="n">
        <v>1908</v>
      </c>
      <c r="B1909">
        <f>TEXT(1908, "[$-170000]yyyy-mm-dd")</f>
        <v/>
      </c>
      <c r="C1909">
        <f>TEXT(1908, "[$-060000]yyyy-mm-dd")</f>
        <v/>
      </c>
      <c r="D1909" t="inlineStr">
        <is>
          <t>1323-01-16</t>
        </is>
      </c>
    </row>
    <row r="1910">
      <c r="A1910" s="1" t="n">
        <v>1909</v>
      </c>
      <c r="B1910">
        <f>TEXT(1909, "[$-170000]yyyy-mm-dd")</f>
        <v/>
      </c>
      <c r="C1910">
        <f>TEXT(1909, "[$-060000]yyyy-mm-dd")</f>
        <v/>
      </c>
      <c r="D1910" t="inlineStr">
        <is>
          <t>1323-01-17</t>
        </is>
      </c>
    </row>
    <row r="1911">
      <c r="A1911" s="1" t="n">
        <v>1910</v>
      </c>
      <c r="B1911">
        <f>TEXT(1910, "[$-170000]yyyy-mm-dd")</f>
        <v/>
      </c>
      <c r="C1911">
        <f>TEXT(1910, "[$-060000]yyyy-mm-dd")</f>
        <v/>
      </c>
      <c r="D1911" t="inlineStr">
        <is>
          <t>1323-01-18</t>
        </is>
      </c>
    </row>
    <row r="1912">
      <c r="A1912" s="1" t="n">
        <v>1911</v>
      </c>
      <c r="B1912">
        <f>TEXT(1911, "[$-170000]yyyy-mm-dd")</f>
        <v/>
      </c>
      <c r="C1912">
        <f>TEXT(1911, "[$-060000]yyyy-mm-dd")</f>
        <v/>
      </c>
      <c r="D1912" t="inlineStr">
        <is>
          <t>1323-01-19</t>
        </is>
      </c>
    </row>
    <row r="1913">
      <c r="A1913" s="1" t="n">
        <v>1912</v>
      </c>
      <c r="B1913">
        <f>TEXT(1912, "[$-170000]yyyy-mm-dd")</f>
        <v/>
      </c>
      <c r="C1913">
        <f>TEXT(1912, "[$-060000]yyyy-mm-dd")</f>
        <v/>
      </c>
      <c r="D1913" t="inlineStr">
        <is>
          <t>1323-01-20</t>
        </is>
      </c>
    </row>
    <row r="1914">
      <c r="A1914" s="1" t="n">
        <v>1913</v>
      </c>
      <c r="B1914">
        <f>TEXT(1913, "[$-170000]yyyy-mm-dd")</f>
        <v/>
      </c>
      <c r="C1914">
        <f>TEXT(1913, "[$-060000]yyyy-mm-dd")</f>
        <v/>
      </c>
      <c r="D1914" t="inlineStr">
        <is>
          <t>1323-01-21</t>
        </is>
      </c>
    </row>
    <row r="1915">
      <c r="A1915" s="1" t="n">
        <v>1914</v>
      </c>
      <c r="B1915">
        <f>TEXT(1914, "[$-170000]yyyy-mm-dd")</f>
        <v/>
      </c>
      <c r="C1915">
        <f>TEXT(1914, "[$-060000]yyyy-mm-dd")</f>
        <v/>
      </c>
      <c r="D1915" t="inlineStr">
        <is>
          <t>1323-01-22</t>
        </is>
      </c>
    </row>
    <row r="1916">
      <c r="A1916" s="1" t="n">
        <v>1915</v>
      </c>
      <c r="B1916">
        <f>TEXT(1915, "[$-170000]yyyy-mm-dd")</f>
        <v/>
      </c>
      <c r="C1916">
        <f>TEXT(1915, "[$-060000]yyyy-mm-dd")</f>
        <v/>
      </c>
      <c r="D1916" t="inlineStr">
        <is>
          <t>1323-01-23</t>
        </is>
      </c>
    </row>
    <row r="1917">
      <c r="A1917" s="1" t="n">
        <v>1916</v>
      </c>
      <c r="B1917">
        <f>TEXT(1916, "[$-170000]yyyy-mm-dd")</f>
        <v/>
      </c>
      <c r="C1917">
        <f>TEXT(1916, "[$-060000]yyyy-mm-dd")</f>
        <v/>
      </c>
      <c r="D1917" t="inlineStr">
        <is>
          <t>1323-01-24</t>
        </is>
      </c>
    </row>
    <row r="1918">
      <c r="A1918" s="1" t="n">
        <v>1917</v>
      </c>
      <c r="B1918">
        <f>TEXT(1917, "[$-170000]yyyy-mm-dd")</f>
        <v/>
      </c>
      <c r="C1918">
        <f>TEXT(1917, "[$-060000]yyyy-mm-dd")</f>
        <v/>
      </c>
      <c r="D1918" t="inlineStr">
        <is>
          <t>1323-01-25</t>
        </is>
      </c>
    </row>
    <row r="1919">
      <c r="A1919" s="1" t="n">
        <v>1918</v>
      </c>
      <c r="B1919">
        <f>TEXT(1918, "[$-170000]yyyy-mm-dd")</f>
        <v/>
      </c>
      <c r="C1919">
        <f>TEXT(1918, "[$-060000]yyyy-mm-dd")</f>
        <v/>
      </c>
      <c r="D1919" t="inlineStr">
        <is>
          <t>1323-01-26</t>
        </is>
      </c>
    </row>
    <row r="1920">
      <c r="A1920" s="1" t="n">
        <v>1919</v>
      </c>
      <c r="B1920">
        <f>TEXT(1919, "[$-170000]yyyy-mm-dd")</f>
        <v/>
      </c>
      <c r="C1920">
        <f>TEXT(1919, "[$-060000]yyyy-mm-dd")</f>
        <v/>
      </c>
      <c r="D1920" t="inlineStr">
        <is>
          <t>1323-01-27</t>
        </is>
      </c>
    </row>
    <row r="1921">
      <c r="A1921" s="1" t="n">
        <v>1920</v>
      </c>
      <c r="B1921">
        <f>TEXT(1920, "[$-170000]yyyy-mm-dd")</f>
        <v/>
      </c>
      <c r="C1921">
        <f>TEXT(1920, "[$-060000]yyyy-mm-dd")</f>
        <v/>
      </c>
      <c r="D1921" t="inlineStr">
        <is>
          <t>1323-01-28</t>
        </is>
      </c>
    </row>
    <row r="1922">
      <c r="A1922" s="1" t="n">
        <v>1921</v>
      </c>
      <c r="B1922">
        <f>TEXT(1921, "[$-170000]yyyy-mm-dd")</f>
        <v/>
      </c>
      <c r="C1922">
        <f>TEXT(1921, "[$-060000]yyyy-mm-dd")</f>
        <v/>
      </c>
      <c r="D1922" t="inlineStr">
        <is>
          <t>1323-01-29</t>
        </is>
      </c>
    </row>
    <row r="1923">
      <c r="A1923" s="1" t="n">
        <v>1922</v>
      </c>
      <c r="B1923">
        <f>TEXT(1922, "[$-170000]yyyy-mm-dd")</f>
        <v/>
      </c>
      <c r="C1923">
        <f>TEXT(1922, "[$-060000]yyyy-mm-dd")</f>
        <v/>
      </c>
      <c r="D1923" t="inlineStr">
        <is>
          <t>1323-01-30</t>
        </is>
      </c>
    </row>
    <row r="1924">
      <c r="A1924" s="1" t="n">
        <v>1923</v>
      </c>
      <c r="B1924">
        <f>TEXT(1923, "[$-170000]yyyy-mm-dd")</f>
        <v/>
      </c>
      <c r="C1924">
        <f>TEXT(1923, "[$-060000]yyyy-mm-dd")</f>
        <v/>
      </c>
      <c r="D1924" t="inlineStr">
        <is>
          <t>1323-02-01</t>
        </is>
      </c>
    </row>
    <row r="1925">
      <c r="A1925" s="1" t="n">
        <v>1924</v>
      </c>
      <c r="B1925">
        <f>TEXT(1924, "[$-170000]yyyy-mm-dd")</f>
        <v/>
      </c>
      <c r="C1925">
        <f>TEXT(1924, "[$-060000]yyyy-mm-dd")</f>
        <v/>
      </c>
      <c r="D1925" t="inlineStr">
        <is>
          <t>1323-02-02</t>
        </is>
      </c>
    </row>
    <row r="1926">
      <c r="A1926" s="1" t="n">
        <v>1925</v>
      </c>
      <c r="B1926">
        <f>TEXT(1925, "[$-170000]yyyy-mm-dd")</f>
        <v/>
      </c>
      <c r="C1926">
        <f>TEXT(1925, "[$-060000]yyyy-mm-dd")</f>
        <v/>
      </c>
      <c r="D1926" t="inlineStr">
        <is>
          <t>1323-02-03</t>
        </is>
      </c>
    </row>
    <row r="1927">
      <c r="A1927" s="1" t="n">
        <v>1926</v>
      </c>
      <c r="B1927">
        <f>TEXT(1926, "[$-170000]yyyy-mm-dd")</f>
        <v/>
      </c>
      <c r="C1927">
        <f>TEXT(1926, "[$-060000]yyyy-mm-dd")</f>
        <v/>
      </c>
      <c r="D1927" t="inlineStr">
        <is>
          <t>1323-02-04</t>
        </is>
      </c>
    </row>
    <row r="1928">
      <c r="A1928" s="1" t="n">
        <v>1927</v>
      </c>
      <c r="B1928">
        <f>TEXT(1927, "[$-170000]yyyy-mm-dd")</f>
        <v/>
      </c>
      <c r="C1928">
        <f>TEXT(1927, "[$-060000]yyyy-mm-dd")</f>
        <v/>
      </c>
      <c r="D1928" t="inlineStr">
        <is>
          <t>1323-02-05</t>
        </is>
      </c>
    </row>
    <row r="1929">
      <c r="A1929" s="1" t="n">
        <v>1928</v>
      </c>
      <c r="B1929">
        <f>TEXT(1928, "[$-170000]yyyy-mm-dd")</f>
        <v/>
      </c>
      <c r="C1929">
        <f>TEXT(1928, "[$-060000]yyyy-mm-dd")</f>
        <v/>
      </c>
      <c r="D1929" t="inlineStr">
        <is>
          <t>1323-02-06</t>
        </is>
      </c>
    </row>
    <row r="1930">
      <c r="A1930" s="1" t="n">
        <v>1929</v>
      </c>
      <c r="B1930">
        <f>TEXT(1929, "[$-170000]yyyy-mm-dd")</f>
        <v/>
      </c>
      <c r="C1930">
        <f>TEXT(1929, "[$-060000]yyyy-mm-dd")</f>
        <v/>
      </c>
      <c r="D1930" t="inlineStr">
        <is>
          <t>1323-02-07</t>
        </is>
      </c>
    </row>
    <row r="1931">
      <c r="A1931" s="1" t="n">
        <v>1930</v>
      </c>
      <c r="B1931">
        <f>TEXT(1930, "[$-170000]yyyy-mm-dd")</f>
        <v/>
      </c>
      <c r="C1931">
        <f>TEXT(1930, "[$-060000]yyyy-mm-dd")</f>
        <v/>
      </c>
      <c r="D1931" t="inlineStr">
        <is>
          <t>1323-02-08</t>
        </is>
      </c>
    </row>
    <row r="1932">
      <c r="A1932" s="1" t="n">
        <v>1931</v>
      </c>
      <c r="B1932">
        <f>TEXT(1931, "[$-170000]yyyy-mm-dd")</f>
        <v/>
      </c>
      <c r="C1932">
        <f>TEXT(1931, "[$-060000]yyyy-mm-dd")</f>
        <v/>
      </c>
      <c r="D1932" t="inlineStr">
        <is>
          <t>1323-02-09</t>
        </is>
      </c>
    </row>
    <row r="1933">
      <c r="A1933" s="1" t="n">
        <v>1932</v>
      </c>
      <c r="B1933">
        <f>TEXT(1932, "[$-170000]yyyy-mm-dd")</f>
        <v/>
      </c>
      <c r="C1933">
        <f>TEXT(1932, "[$-060000]yyyy-mm-dd")</f>
        <v/>
      </c>
      <c r="D1933" t="inlineStr">
        <is>
          <t>1323-02-10</t>
        </is>
      </c>
    </row>
    <row r="1934">
      <c r="A1934" s="1" t="n">
        <v>1933</v>
      </c>
      <c r="B1934">
        <f>TEXT(1933, "[$-170000]yyyy-mm-dd")</f>
        <v/>
      </c>
      <c r="C1934">
        <f>TEXT(1933, "[$-060000]yyyy-mm-dd")</f>
        <v/>
      </c>
      <c r="D1934" t="inlineStr">
        <is>
          <t>1323-02-11</t>
        </is>
      </c>
    </row>
    <row r="1935">
      <c r="A1935" s="1" t="n">
        <v>1934</v>
      </c>
      <c r="B1935">
        <f>TEXT(1934, "[$-170000]yyyy-mm-dd")</f>
        <v/>
      </c>
      <c r="C1935">
        <f>TEXT(1934, "[$-060000]yyyy-mm-dd")</f>
        <v/>
      </c>
      <c r="D1935" t="inlineStr">
        <is>
          <t>1323-02-12</t>
        </is>
      </c>
    </row>
    <row r="1936">
      <c r="A1936" s="1" t="n">
        <v>1935</v>
      </c>
      <c r="B1936">
        <f>TEXT(1935, "[$-170000]yyyy-mm-dd")</f>
        <v/>
      </c>
      <c r="C1936">
        <f>TEXT(1935, "[$-060000]yyyy-mm-dd")</f>
        <v/>
      </c>
      <c r="D1936" t="inlineStr">
        <is>
          <t>1323-02-13</t>
        </is>
      </c>
    </row>
    <row r="1937">
      <c r="A1937" s="1" t="n">
        <v>1936</v>
      </c>
      <c r="B1937">
        <f>TEXT(1936, "[$-170000]yyyy-mm-dd")</f>
        <v/>
      </c>
      <c r="C1937">
        <f>TEXT(1936, "[$-060000]yyyy-mm-dd")</f>
        <v/>
      </c>
      <c r="D1937" t="inlineStr">
        <is>
          <t>1323-02-14</t>
        </is>
      </c>
    </row>
    <row r="1938">
      <c r="A1938" s="1" t="n">
        <v>1937</v>
      </c>
      <c r="B1938">
        <f>TEXT(1937, "[$-170000]yyyy-mm-dd")</f>
        <v/>
      </c>
      <c r="C1938">
        <f>TEXT(1937, "[$-060000]yyyy-mm-dd")</f>
        <v/>
      </c>
      <c r="D1938" t="inlineStr">
        <is>
          <t>1323-02-15</t>
        </is>
      </c>
    </row>
    <row r="1939">
      <c r="A1939" s="1" t="n">
        <v>1938</v>
      </c>
      <c r="B1939">
        <f>TEXT(1938, "[$-170000]yyyy-mm-dd")</f>
        <v/>
      </c>
      <c r="C1939">
        <f>TEXT(1938, "[$-060000]yyyy-mm-dd")</f>
        <v/>
      </c>
      <c r="D1939" t="inlineStr">
        <is>
          <t>1323-02-16</t>
        </is>
      </c>
    </row>
    <row r="1940">
      <c r="A1940" s="1" t="n">
        <v>1939</v>
      </c>
      <c r="B1940">
        <f>TEXT(1939, "[$-170000]yyyy-mm-dd")</f>
        <v/>
      </c>
      <c r="C1940">
        <f>TEXT(1939, "[$-060000]yyyy-mm-dd")</f>
        <v/>
      </c>
      <c r="D1940" t="inlineStr">
        <is>
          <t>1323-02-17</t>
        </is>
      </c>
    </row>
    <row r="1941">
      <c r="A1941" s="1" t="n">
        <v>1940</v>
      </c>
      <c r="B1941">
        <f>TEXT(1940, "[$-170000]yyyy-mm-dd")</f>
        <v/>
      </c>
      <c r="C1941">
        <f>TEXT(1940, "[$-060000]yyyy-mm-dd")</f>
        <v/>
      </c>
      <c r="D1941" t="inlineStr">
        <is>
          <t>1323-02-18</t>
        </is>
      </c>
    </row>
    <row r="1942">
      <c r="A1942" s="1" t="n">
        <v>1941</v>
      </c>
      <c r="B1942">
        <f>TEXT(1941, "[$-170000]yyyy-mm-dd")</f>
        <v/>
      </c>
      <c r="C1942">
        <f>TEXT(1941, "[$-060000]yyyy-mm-dd")</f>
        <v/>
      </c>
      <c r="D1942" t="inlineStr">
        <is>
          <t>1323-02-19</t>
        </is>
      </c>
    </row>
    <row r="1943">
      <c r="A1943" s="1" t="n">
        <v>1942</v>
      </c>
      <c r="B1943">
        <f>TEXT(1942, "[$-170000]yyyy-mm-dd")</f>
        <v/>
      </c>
      <c r="C1943">
        <f>TEXT(1942, "[$-060000]yyyy-mm-dd")</f>
        <v/>
      </c>
      <c r="D1943" t="inlineStr">
        <is>
          <t>1323-02-20</t>
        </is>
      </c>
    </row>
    <row r="1944">
      <c r="A1944" s="1" t="n">
        <v>1943</v>
      </c>
      <c r="B1944">
        <f>TEXT(1943, "[$-170000]yyyy-mm-dd")</f>
        <v/>
      </c>
      <c r="C1944">
        <f>TEXT(1943, "[$-060000]yyyy-mm-dd")</f>
        <v/>
      </c>
      <c r="D1944" t="inlineStr">
        <is>
          <t>1323-02-21</t>
        </is>
      </c>
    </row>
    <row r="1945">
      <c r="A1945" s="1" t="n">
        <v>1944</v>
      </c>
      <c r="B1945">
        <f>TEXT(1944, "[$-170000]yyyy-mm-dd")</f>
        <v/>
      </c>
      <c r="C1945">
        <f>TEXT(1944, "[$-060000]yyyy-mm-dd")</f>
        <v/>
      </c>
      <c r="D1945" t="inlineStr">
        <is>
          <t>1323-02-22</t>
        </is>
      </c>
    </row>
    <row r="1946">
      <c r="A1946" s="1" t="n">
        <v>1945</v>
      </c>
      <c r="B1946">
        <f>TEXT(1945, "[$-170000]yyyy-mm-dd")</f>
        <v/>
      </c>
      <c r="C1946">
        <f>TEXT(1945, "[$-060000]yyyy-mm-dd")</f>
        <v/>
      </c>
      <c r="D1946" t="inlineStr">
        <is>
          <t>1323-02-23</t>
        </is>
      </c>
    </row>
    <row r="1947">
      <c r="A1947" s="1" t="n">
        <v>1946</v>
      </c>
      <c r="B1947">
        <f>TEXT(1946, "[$-170000]yyyy-mm-dd")</f>
        <v/>
      </c>
      <c r="C1947">
        <f>TEXT(1946, "[$-060000]yyyy-mm-dd")</f>
        <v/>
      </c>
      <c r="D1947" t="inlineStr">
        <is>
          <t>1323-02-24</t>
        </is>
      </c>
    </row>
    <row r="1948">
      <c r="A1948" s="1" t="n">
        <v>1947</v>
      </c>
      <c r="B1948">
        <f>TEXT(1947, "[$-170000]yyyy-mm-dd")</f>
        <v/>
      </c>
      <c r="C1948">
        <f>TEXT(1947, "[$-060000]yyyy-mm-dd")</f>
        <v/>
      </c>
      <c r="D1948" t="inlineStr">
        <is>
          <t>1323-02-25</t>
        </is>
      </c>
    </row>
    <row r="1949">
      <c r="A1949" s="1" t="n">
        <v>1948</v>
      </c>
      <c r="B1949">
        <f>TEXT(1948, "[$-170000]yyyy-mm-dd")</f>
        <v/>
      </c>
      <c r="C1949">
        <f>TEXT(1948, "[$-060000]yyyy-mm-dd")</f>
        <v/>
      </c>
      <c r="D1949" t="inlineStr">
        <is>
          <t>1323-02-26</t>
        </is>
      </c>
    </row>
    <row r="1950">
      <c r="A1950" s="1" t="n">
        <v>1949</v>
      </c>
      <c r="B1950">
        <f>TEXT(1949, "[$-170000]yyyy-mm-dd")</f>
        <v/>
      </c>
      <c r="C1950">
        <f>TEXT(1949, "[$-060000]yyyy-mm-dd")</f>
        <v/>
      </c>
      <c r="D1950" t="inlineStr">
        <is>
          <t>1323-02-27</t>
        </is>
      </c>
    </row>
    <row r="1951">
      <c r="A1951" s="1" t="n">
        <v>1950</v>
      </c>
      <c r="B1951">
        <f>TEXT(1950, "[$-170000]yyyy-mm-dd")</f>
        <v/>
      </c>
      <c r="C1951">
        <f>TEXT(1950, "[$-060000]yyyy-mm-dd")</f>
        <v/>
      </c>
      <c r="D1951" t="inlineStr">
        <is>
          <t>1323-02-28</t>
        </is>
      </c>
    </row>
    <row r="1952">
      <c r="A1952" s="1" t="n">
        <v>1951</v>
      </c>
      <c r="B1952">
        <f>TEXT(1951, "[$-170000]yyyy-mm-dd")</f>
        <v/>
      </c>
      <c r="C1952">
        <f>TEXT(1951, "[$-060000]yyyy-mm-dd")</f>
        <v/>
      </c>
      <c r="D1952" t="inlineStr">
        <is>
          <t>1323-02-29</t>
        </is>
      </c>
    </row>
    <row r="1953">
      <c r="A1953" s="1" t="n">
        <v>1952</v>
      </c>
      <c r="B1953">
        <f>TEXT(1952, "[$-170000]yyyy-mm-dd")</f>
        <v/>
      </c>
      <c r="C1953">
        <f>TEXT(1952, "[$-060000]yyyy-mm-dd")</f>
        <v/>
      </c>
      <c r="D1953" t="inlineStr">
        <is>
          <t>1323-03-01</t>
        </is>
      </c>
    </row>
    <row r="1954">
      <c r="A1954" s="1" t="n">
        <v>1953</v>
      </c>
      <c r="B1954">
        <f>TEXT(1953, "[$-170000]yyyy-mm-dd")</f>
        <v/>
      </c>
      <c r="C1954">
        <f>TEXT(1953, "[$-060000]yyyy-mm-dd")</f>
        <v/>
      </c>
      <c r="D1954" t="inlineStr">
        <is>
          <t>1323-03-02</t>
        </is>
      </c>
    </row>
    <row r="1955">
      <c r="A1955" s="1" t="n">
        <v>1954</v>
      </c>
      <c r="B1955">
        <f>TEXT(1954, "[$-170000]yyyy-mm-dd")</f>
        <v/>
      </c>
      <c r="C1955">
        <f>TEXT(1954, "[$-060000]yyyy-mm-dd")</f>
        <v/>
      </c>
      <c r="D1955" t="inlineStr">
        <is>
          <t>1323-03-03</t>
        </is>
      </c>
    </row>
    <row r="1956">
      <c r="A1956" s="1" t="n">
        <v>1955</v>
      </c>
      <c r="B1956">
        <f>TEXT(1955, "[$-170000]yyyy-mm-dd")</f>
        <v/>
      </c>
      <c r="C1956">
        <f>TEXT(1955, "[$-060000]yyyy-mm-dd")</f>
        <v/>
      </c>
      <c r="D1956" t="inlineStr">
        <is>
          <t>1323-03-04</t>
        </is>
      </c>
    </row>
    <row r="1957">
      <c r="A1957" s="1" t="n">
        <v>1956</v>
      </c>
      <c r="B1957">
        <f>TEXT(1956, "[$-170000]yyyy-mm-dd")</f>
        <v/>
      </c>
      <c r="C1957">
        <f>TEXT(1956, "[$-060000]yyyy-mm-dd")</f>
        <v/>
      </c>
      <c r="D1957" t="inlineStr">
        <is>
          <t>1323-03-05</t>
        </is>
      </c>
    </row>
    <row r="1958">
      <c r="A1958" s="1" t="n">
        <v>1957</v>
      </c>
      <c r="B1958">
        <f>TEXT(1957, "[$-170000]yyyy-mm-dd")</f>
        <v/>
      </c>
      <c r="C1958">
        <f>TEXT(1957, "[$-060000]yyyy-mm-dd")</f>
        <v/>
      </c>
      <c r="D1958" t="inlineStr">
        <is>
          <t>1323-03-06</t>
        </is>
      </c>
    </row>
    <row r="1959">
      <c r="A1959" s="1" t="n">
        <v>1958</v>
      </c>
      <c r="B1959">
        <f>TEXT(1958, "[$-170000]yyyy-mm-dd")</f>
        <v/>
      </c>
      <c r="C1959">
        <f>TEXT(1958, "[$-060000]yyyy-mm-dd")</f>
        <v/>
      </c>
      <c r="D1959" t="inlineStr">
        <is>
          <t>1323-03-07</t>
        </is>
      </c>
    </row>
    <row r="1960">
      <c r="A1960" s="1" t="n">
        <v>1959</v>
      </c>
      <c r="B1960">
        <f>TEXT(1959, "[$-170000]yyyy-mm-dd")</f>
        <v/>
      </c>
      <c r="C1960">
        <f>TEXT(1959, "[$-060000]yyyy-mm-dd")</f>
        <v/>
      </c>
      <c r="D1960" t="inlineStr">
        <is>
          <t>1323-03-08</t>
        </is>
      </c>
    </row>
    <row r="1961">
      <c r="A1961" s="1" t="n">
        <v>1960</v>
      </c>
      <c r="B1961">
        <f>TEXT(1960, "[$-170000]yyyy-mm-dd")</f>
        <v/>
      </c>
      <c r="C1961">
        <f>TEXT(1960, "[$-060000]yyyy-mm-dd")</f>
        <v/>
      </c>
      <c r="D1961" t="inlineStr">
        <is>
          <t>1323-03-09</t>
        </is>
      </c>
    </row>
    <row r="1962">
      <c r="A1962" s="1" t="n">
        <v>1961</v>
      </c>
      <c r="B1962">
        <f>TEXT(1961, "[$-170000]yyyy-mm-dd")</f>
        <v/>
      </c>
      <c r="C1962">
        <f>TEXT(1961, "[$-060000]yyyy-mm-dd")</f>
        <v/>
      </c>
      <c r="D1962" t="inlineStr">
        <is>
          <t>1323-03-10</t>
        </is>
      </c>
    </row>
    <row r="1963">
      <c r="A1963" s="1" t="n">
        <v>1962</v>
      </c>
      <c r="B1963">
        <f>TEXT(1962, "[$-170000]yyyy-mm-dd")</f>
        <v/>
      </c>
      <c r="C1963">
        <f>TEXT(1962, "[$-060000]yyyy-mm-dd")</f>
        <v/>
      </c>
      <c r="D1963" t="inlineStr">
        <is>
          <t>1323-03-11</t>
        </is>
      </c>
    </row>
    <row r="1964">
      <c r="A1964" s="1" t="n">
        <v>1963</v>
      </c>
      <c r="B1964">
        <f>TEXT(1963, "[$-170000]yyyy-mm-dd")</f>
        <v/>
      </c>
      <c r="C1964">
        <f>TEXT(1963, "[$-060000]yyyy-mm-dd")</f>
        <v/>
      </c>
      <c r="D1964" t="inlineStr">
        <is>
          <t>1323-03-12</t>
        </is>
      </c>
    </row>
    <row r="1965">
      <c r="A1965" s="1" t="n">
        <v>1964</v>
      </c>
      <c r="B1965">
        <f>TEXT(1964, "[$-170000]yyyy-mm-dd")</f>
        <v/>
      </c>
      <c r="C1965">
        <f>TEXT(1964, "[$-060000]yyyy-mm-dd")</f>
        <v/>
      </c>
      <c r="D1965" t="inlineStr">
        <is>
          <t>1323-03-13</t>
        </is>
      </c>
    </row>
    <row r="1966">
      <c r="A1966" s="1" t="n">
        <v>1965</v>
      </c>
      <c r="B1966">
        <f>TEXT(1965, "[$-170000]yyyy-mm-dd")</f>
        <v/>
      </c>
      <c r="C1966">
        <f>TEXT(1965, "[$-060000]yyyy-mm-dd")</f>
        <v/>
      </c>
      <c r="D1966" t="inlineStr">
        <is>
          <t>1323-03-14</t>
        </is>
      </c>
    </row>
    <row r="1967">
      <c r="A1967" s="1" t="n">
        <v>1966</v>
      </c>
      <c r="B1967">
        <f>TEXT(1966, "[$-170000]yyyy-mm-dd")</f>
        <v/>
      </c>
      <c r="C1967">
        <f>TEXT(1966, "[$-060000]yyyy-mm-dd")</f>
        <v/>
      </c>
      <c r="D1967" t="inlineStr">
        <is>
          <t>1323-03-15</t>
        </is>
      </c>
    </row>
    <row r="1968">
      <c r="A1968" s="1" t="n">
        <v>1967</v>
      </c>
      <c r="B1968">
        <f>TEXT(1967, "[$-170000]yyyy-mm-dd")</f>
        <v/>
      </c>
      <c r="C1968">
        <f>TEXT(1967, "[$-060000]yyyy-mm-dd")</f>
        <v/>
      </c>
      <c r="D1968" t="inlineStr">
        <is>
          <t>1323-03-16</t>
        </is>
      </c>
    </row>
    <row r="1969">
      <c r="A1969" s="1" t="n">
        <v>1968</v>
      </c>
      <c r="B1969">
        <f>TEXT(1968, "[$-170000]yyyy-mm-dd")</f>
        <v/>
      </c>
      <c r="C1969">
        <f>TEXT(1968, "[$-060000]yyyy-mm-dd")</f>
        <v/>
      </c>
      <c r="D1969" t="inlineStr">
        <is>
          <t>1323-03-17</t>
        </is>
      </c>
    </row>
    <row r="1970">
      <c r="A1970" s="1" t="n">
        <v>1969</v>
      </c>
      <c r="B1970">
        <f>TEXT(1969, "[$-170000]yyyy-mm-dd")</f>
        <v/>
      </c>
      <c r="C1970">
        <f>TEXT(1969, "[$-060000]yyyy-mm-dd")</f>
        <v/>
      </c>
      <c r="D1970" t="inlineStr">
        <is>
          <t>1323-03-18</t>
        </is>
      </c>
    </row>
    <row r="1971">
      <c r="A1971" s="1" t="n">
        <v>1970</v>
      </c>
      <c r="B1971">
        <f>TEXT(1970, "[$-170000]yyyy-mm-dd")</f>
        <v/>
      </c>
      <c r="C1971">
        <f>TEXT(1970, "[$-060000]yyyy-mm-dd")</f>
        <v/>
      </c>
      <c r="D1971" t="inlineStr">
        <is>
          <t>1323-03-19</t>
        </is>
      </c>
    </row>
    <row r="1972">
      <c r="A1972" s="1" t="n">
        <v>1971</v>
      </c>
      <c r="B1972">
        <f>TEXT(1971, "[$-170000]yyyy-mm-dd")</f>
        <v/>
      </c>
      <c r="C1972">
        <f>TEXT(1971, "[$-060000]yyyy-mm-dd")</f>
        <v/>
      </c>
      <c r="D1972" t="inlineStr">
        <is>
          <t>1323-03-20</t>
        </is>
      </c>
    </row>
    <row r="1973">
      <c r="A1973" s="1" t="n">
        <v>1972</v>
      </c>
      <c r="B1973">
        <f>TEXT(1972, "[$-170000]yyyy-mm-dd")</f>
        <v/>
      </c>
      <c r="C1973">
        <f>TEXT(1972, "[$-060000]yyyy-mm-dd")</f>
        <v/>
      </c>
      <c r="D1973" t="inlineStr">
        <is>
          <t>1323-03-21</t>
        </is>
      </c>
    </row>
    <row r="1974">
      <c r="A1974" s="1" t="n">
        <v>1973</v>
      </c>
      <c r="B1974">
        <f>TEXT(1973, "[$-170000]yyyy-mm-dd")</f>
        <v/>
      </c>
      <c r="C1974">
        <f>TEXT(1973, "[$-060000]yyyy-mm-dd")</f>
        <v/>
      </c>
      <c r="D1974" t="inlineStr">
        <is>
          <t>1323-03-22</t>
        </is>
      </c>
    </row>
    <row r="1975">
      <c r="A1975" s="1" t="n">
        <v>1974</v>
      </c>
      <c r="B1975">
        <f>TEXT(1974, "[$-170000]yyyy-mm-dd")</f>
        <v/>
      </c>
      <c r="C1975">
        <f>TEXT(1974, "[$-060000]yyyy-mm-dd")</f>
        <v/>
      </c>
      <c r="D1975" t="inlineStr">
        <is>
          <t>1323-03-23</t>
        </is>
      </c>
    </row>
    <row r="1976">
      <c r="A1976" s="1" t="n">
        <v>1975</v>
      </c>
      <c r="B1976">
        <f>TEXT(1975, "[$-170000]yyyy-mm-dd")</f>
        <v/>
      </c>
      <c r="C1976">
        <f>TEXT(1975, "[$-060000]yyyy-mm-dd")</f>
        <v/>
      </c>
      <c r="D1976" t="inlineStr">
        <is>
          <t>1323-03-24</t>
        </is>
      </c>
    </row>
    <row r="1977">
      <c r="A1977" s="1" t="n">
        <v>1976</v>
      </c>
      <c r="B1977">
        <f>TEXT(1976, "[$-170000]yyyy-mm-dd")</f>
        <v/>
      </c>
      <c r="C1977">
        <f>TEXT(1976, "[$-060000]yyyy-mm-dd")</f>
        <v/>
      </c>
      <c r="D1977" t="inlineStr">
        <is>
          <t>1323-03-25</t>
        </is>
      </c>
    </row>
    <row r="1978">
      <c r="A1978" s="1" t="n">
        <v>1977</v>
      </c>
      <c r="B1978">
        <f>TEXT(1977, "[$-170000]yyyy-mm-dd")</f>
        <v/>
      </c>
      <c r="C1978">
        <f>TEXT(1977, "[$-060000]yyyy-mm-dd")</f>
        <v/>
      </c>
      <c r="D1978" t="inlineStr">
        <is>
          <t>1323-03-26</t>
        </is>
      </c>
    </row>
    <row r="1979">
      <c r="A1979" s="1" t="n">
        <v>1978</v>
      </c>
      <c r="B1979">
        <f>TEXT(1978, "[$-170000]yyyy-mm-dd")</f>
        <v/>
      </c>
      <c r="C1979">
        <f>TEXT(1978, "[$-060000]yyyy-mm-dd")</f>
        <v/>
      </c>
      <c r="D1979" t="inlineStr">
        <is>
          <t>1323-03-27</t>
        </is>
      </c>
    </row>
    <row r="1980">
      <c r="A1980" s="1" t="n">
        <v>1979</v>
      </c>
      <c r="B1980">
        <f>TEXT(1979, "[$-170000]yyyy-mm-dd")</f>
        <v/>
      </c>
      <c r="C1980">
        <f>TEXT(1979, "[$-060000]yyyy-mm-dd")</f>
        <v/>
      </c>
      <c r="D1980" t="inlineStr">
        <is>
          <t>1323-03-28</t>
        </is>
      </c>
    </row>
    <row r="1981">
      <c r="A1981" s="1" t="n">
        <v>1980</v>
      </c>
      <c r="B1981">
        <f>TEXT(1980, "[$-170000]yyyy-mm-dd")</f>
        <v/>
      </c>
      <c r="C1981">
        <f>TEXT(1980, "[$-060000]yyyy-mm-dd")</f>
        <v/>
      </c>
      <c r="D1981" t="inlineStr">
        <is>
          <t>1323-03-29</t>
        </is>
      </c>
    </row>
    <row r="1982">
      <c r="A1982" s="1" t="n">
        <v>1981</v>
      </c>
      <c r="B1982">
        <f>TEXT(1981, "[$-170000]yyyy-mm-dd")</f>
        <v/>
      </c>
      <c r="C1982">
        <f>TEXT(1981, "[$-060000]yyyy-mm-dd")</f>
        <v/>
      </c>
      <c r="D1982" t="inlineStr">
        <is>
          <t>1323-03-30</t>
        </is>
      </c>
    </row>
    <row r="1983">
      <c r="A1983" s="1" t="n">
        <v>1982</v>
      </c>
      <c r="B1983">
        <f>TEXT(1982, "[$-170000]yyyy-mm-dd")</f>
        <v/>
      </c>
      <c r="C1983">
        <f>TEXT(1982, "[$-060000]yyyy-mm-dd")</f>
        <v/>
      </c>
      <c r="D1983" t="inlineStr">
        <is>
          <t>1323-04-01</t>
        </is>
      </c>
    </row>
    <row r="1984">
      <c r="A1984" s="1" t="n">
        <v>1983</v>
      </c>
      <c r="B1984">
        <f>TEXT(1983, "[$-170000]yyyy-mm-dd")</f>
        <v/>
      </c>
      <c r="C1984">
        <f>TEXT(1983, "[$-060000]yyyy-mm-dd")</f>
        <v/>
      </c>
      <c r="D1984" t="inlineStr">
        <is>
          <t>1323-04-02</t>
        </is>
      </c>
    </row>
    <row r="1985">
      <c r="A1985" s="1" t="n">
        <v>1984</v>
      </c>
      <c r="B1985">
        <f>TEXT(1984, "[$-170000]yyyy-mm-dd")</f>
        <v/>
      </c>
      <c r="C1985">
        <f>TEXT(1984, "[$-060000]yyyy-mm-dd")</f>
        <v/>
      </c>
      <c r="D1985" t="inlineStr">
        <is>
          <t>1323-04-03</t>
        </is>
      </c>
    </row>
    <row r="1986">
      <c r="A1986" s="1" t="n">
        <v>1985</v>
      </c>
      <c r="B1986">
        <f>TEXT(1985, "[$-170000]yyyy-mm-dd")</f>
        <v/>
      </c>
      <c r="C1986">
        <f>TEXT(1985, "[$-060000]yyyy-mm-dd")</f>
        <v/>
      </c>
      <c r="D1986" t="inlineStr">
        <is>
          <t>1323-04-04</t>
        </is>
      </c>
    </row>
    <row r="1987">
      <c r="A1987" s="1" t="n">
        <v>1986</v>
      </c>
      <c r="B1987">
        <f>TEXT(1986, "[$-170000]yyyy-mm-dd")</f>
        <v/>
      </c>
      <c r="C1987">
        <f>TEXT(1986, "[$-060000]yyyy-mm-dd")</f>
        <v/>
      </c>
      <c r="D1987" t="inlineStr">
        <is>
          <t>1323-04-05</t>
        </is>
      </c>
    </row>
    <row r="1988">
      <c r="A1988" s="1" t="n">
        <v>1987</v>
      </c>
      <c r="B1988">
        <f>TEXT(1987, "[$-170000]yyyy-mm-dd")</f>
        <v/>
      </c>
      <c r="C1988">
        <f>TEXT(1987, "[$-060000]yyyy-mm-dd")</f>
        <v/>
      </c>
      <c r="D1988" t="inlineStr">
        <is>
          <t>1323-04-06</t>
        </is>
      </c>
    </row>
    <row r="1989">
      <c r="A1989" s="1" t="n">
        <v>1988</v>
      </c>
      <c r="B1989">
        <f>TEXT(1988, "[$-170000]yyyy-mm-dd")</f>
        <v/>
      </c>
      <c r="C1989">
        <f>TEXT(1988, "[$-060000]yyyy-mm-dd")</f>
        <v/>
      </c>
      <c r="D1989" t="inlineStr">
        <is>
          <t>1323-04-07</t>
        </is>
      </c>
    </row>
    <row r="1990">
      <c r="A1990" s="1" t="n">
        <v>1989</v>
      </c>
      <c r="B1990">
        <f>TEXT(1989, "[$-170000]yyyy-mm-dd")</f>
        <v/>
      </c>
      <c r="C1990">
        <f>TEXT(1989, "[$-060000]yyyy-mm-dd")</f>
        <v/>
      </c>
      <c r="D1990" t="inlineStr">
        <is>
          <t>1323-04-08</t>
        </is>
      </c>
    </row>
    <row r="1991">
      <c r="A1991" s="1" t="n">
        <v>1990</v>
      </c>
      <c r="B1991">
        <f>TEXT(1990, "[$-170000]yyyy-mm-dd")</f>
        <v/>
      </c>
      <c r="C1991">
        <f>TEXT(1990, "[$-060000]yyyy-mm-dd")</f>
        <v/>
      </c>
      <c r="D1991" t="inlineStr">
        <is>
          <t>1323-04-09</t>
        </is>
      </c>
    </row>
    <row r="1992">
      <c r="A1992" s="1" t="n">
        <v>1991</v>
      </c>
      <c r="B1992">
        <f>TEXT(1991, "[$-170000]yyyy-mm-dd")</f>
        <v/>
      </c>
      <c r="C1992">
        <f>TEXT(1991, "[$-060000]yyyy-mm-dd")</f>
        <v/>
      </c>
      <c r="D1992" t="inlineStr">
        <is>
          <t>1323-04-10</t>
        </is>
      </c>
    </row>
    <row r="1993">
      <c r="A1993" s="1" t="n">
        <v>1992</v>
      </c>
      <c r="B1993">
        <f>TEXT(1992, "[$-170000]yyyy-mm-dd")</f>
        <v/>
      </c>
      <c r="C1993">
        <f>TEXT(1992, "[$-060000]yyyy-mm-dd")</f>
        <v/>
      </c>
      <c r="D1993" t="inlineStr">
        <is>
          <t>1323-04-11</t>
        </is>
      </c>
    </row>
    <row r="1994">
      <c r="A1994" s="1" t="n">
        <v>1993</v>
      </c>
      <c r="B1994">
        <f>TEXT(1993, "[$-170000]yyyy-mm-dd")</f>
        <v/>
      </c>
      <c r="C1994">
        <f>TEXT(1993, "[$-060000]yyyy-mm-dd")</f>
        <v/>
      </c>
      <c r="D1994" t="inlineStr">
        <is>
          <t>1323-04-12</t>
        </is>
      </c>
    </row>
    <row r="1995">
      <c r="A1995" s="1" t="n">
        <v>1994</v>
      </c>
      <c r="B1995">
        <f>TEXT(1994, "[$-170000]yyyy-mm-dd")</f>
        <v/>
      </c>
      <c r="C1995">
        <f>TEXT(1994, "[$-060000]yyyy-mm-dd")</f>
        <v/>
      </c>
      <c r="D1995" t="inlineStr">
        <is>
          <t>1323-04-13</t>
        </is>
      </c>
    </row>
    <row r="1996">
      <c r="A1996" s="1" t="n">
        <v>1995</v>
      </c>
      <c r="B1996">
        <f>TEXT(1995, "[$-170000]yyyy-mm-dd")</f>
        <v/>
      </c>
      <c r="C1996">
        <f>TEXT(1995, "[$-060000]yyyy-mm-dd")</f>
        <v/>
      </c>
      <c r="D1996" t="inlineStr">
        <is>
          <t>1323-04-14</t>
        </is>
      </c>
    </row>
    <row r="1997">
      <c r="A1997" s="1" t="n">
        <v>1996</v>
      </c>
      <c r="B1997">
        <f>TEXT(1996, "[$-170000]yyyy-mm-dd")</f>
        <v/>
      </c>
      <c r="C1997">
        <f>TEXT(1996, "[$-060000]yyyy-mm-dd")</f>
        <v/>
      </c>
      <c r="D1997" t="inlineStr">
        <is>
          <t>1323-04-15</t>
        </is>
      </c>
    </row>
    <row r="1998">
      <c r="A1998" s="1" t="n">
        <v>1997</v>
      </c>
      <c r="B1998">
        <f>TEXT(1997, "[$-170000]yyyy-mm-dd")</f>
        <v/>
      </c>
      <c r="C1998">
        <f>TEXT(1997, "[$-060000]yyyy-mm-dd")</f>
        <v/>
      </c>
      <c r="D1998" t="inlineStr">
        <is>
          <t>1323-04-16</t>
        </is>
      </c>
    </row>
    <row r="1999">
      <c r="A1999" s="1" t="n">
        <v>1998</v>
      </c>
      <c r="B1999">
        <f>TEXT(1998, "[$-170000]yyyy-mm-dd")</f>
        <v/>
      </c>
      <c r="C1999">
        <f>TEXT(1998, "[$-060000]yyyy-mm-dd")</f>
        <v/>
      </c>
      <c r="D1999" t="inlineStr">
        <is>
          <t>1323-04-17</t>
        </is>
      </c>
    </row>
    <row r="2000">
      <c r="A2000" s="1" t="n">
        <v>1999</v>
      </c>
      <c r="B2000">
        <f>TEXT(1999, "[$-170000]yyyy-mm-dd")</f>
        <v/>
      </c>
      <c r="C2000">
        <f>TEXT(1999, "[$-060000]yyyy-mm-dd")</f>
        <v/>
      </c>
      <c r="D2000" t="inlineStr">
        <is>
          <t>1323-04-18</t>
        </is>
      </c>
    </row>
    <row r="2001">
      <c r="A2001" s="1" t="n">
        <v>2000</v>
      </c>
      <c r="B2001">
        <f>TEXT(2000, "[$-170000]yyyy-mm-dd")</f>
        <v/>
      </c>
      <c r="C2001">
        <f>TEXT(2000, "[$-060000]yyyy-mm-dd")</f>
        <v/>
      </c>
      <c r="D2001" t="inlineStr">
        <is>
          <t>1323-04-19</t>
        </is>
      </c>
    </row>
    <row r="2002">
      <c r="A2002" s="1" t="n">
        <v>2001</v>
      </c>
      <c r="B2002">
        <f>TEXT(2001, "[$-170000]yyyy-mm-dd")</f>
        <v/>
      </c>
      <c r="C2002">
        <f>TEXT(2001, "[$-060000]yyyy-mm-dd")</f>
        <v/>
      </c>
      <c r="D2002" t="inlineStr">
        <is>
          <t>1323-04-20</t>
        </is>
      </c>
    </row>
    <row r="2003">
      <c r="A2003" s="1" t="n">
        <v>2002</v>
      </c>
      <c r="B2003">
        <f>TEXT(2002, "[$-170000]yyyy-mm-dd")</f>
        <v/>
      </c>
      <c r="C2003">
        <f>TEXT(2002, "[$-060000]yyyy-mm-dd")</f>
        <v/>
      </c>
      <c r="D2003" t="inlineStr">
        <is>
          <t>1323-04-21</t>
        </is>
      </c>
    </row>
    <row r="2004">
      <c r="A2004" s="1" t="n">
        <v>2003</v>
      </c>
      <c r="B2004">
        <f>TEXT(2003, "[$-170000]yyyy-mm-dd")</f>
        <v/>
      </c>
      <c r="C2004">
        <f>TEXT(2003, "[$-060000]yyyy-mm-dd")</f>
        <v/>
      </c>
      <c r="D2004" t="inlineStr">
        <is>
          <t>1323-04-22</t>
        </is>
      </c>
    </row>
    <row r="2005">
      <c r="A2005" s="1" t="n">
        <v>2004</v>
      </c>
      <c r="B2005">
        <f>TEXT(2004, "[$-170000]yyyy-mm-dd")</f>
        <v/>
      </c>
      <c r="C2005">
        <f>TEXT(2004, "[$-060000]yyyy-mm-dd")</f>
        <v/>
      </c>
      <c r="D2005" t="inlineStr">
        <is>
          <t>1323-04-23</t>
        </is>
      </c>
    </row>
    <row r="2006">
      <c r="A2006" s="1" t="n">
        <v>2005</v>
      </c>
      <c r="B2006">
        <f>TEXT(2005, "[$-170000]yyyy-mm-dd")</f>
        <v/>
      </c>
      <c r="C2006">
        <f>TEXT(2005, "[$-060000]yyyy-mm-dd")</f>
        <v/>
      </c>
      <c r="D2006" t="inlineStr">
        <is>
          <t>1323-04-24</t>
        </is>
      </c>
    </row>
    <row r="2007">
      <c r="A2007" s="1" t="n">
        <v>2006</v>
      </c>
      <c r="B2007">
        <f>TEXT(2006, "[$-170000]yyyy-mm-dd")</f>
        <v/>
      </c>
      <c r="C2007">
        <f>TEXT(2006, "[$-060000]yyyy-mm-dd")</f>
        <v/>
      </c>
      <c r="D2007" t="inlineStr">
        <is>
          <t>1323-04-25</t>
        </is>
      </c>
    </row>
    <row r="2008">
      <c r="A2008" s="1" t="n">
        <v>2007</v>
      </c>
      <c r="B2008">
        <f>TEXT(2007, "[$-170000]yyyy-mm-dd")</f>
        <v/>
      </c>
      <c r="C2008">
        <f>TEXT(2007, "[$-060000]yyyy-mm-dd")</f>
        <v/>
      </c>
      <c r="D2008" t="inlineStr">
        <is>
          <t>1323-04-26</t>
        </is>
      </c>
    </row>
    <row r="2009">
      <c r="A2009" s="1" t="n">
        <v>2008</v>
      </c>
      <c r="B2009">
        <f>TEXT(2008, "[$-170000]yyyy-mm-dd")</f>
        <v/>
      </c>
      <c r="C2009">
        <f>TEXT(2008, "[$-060000]yyyy-mm-dd")</f>
        <v/>
      </c>
      <c r="D2009" t="inlineStr">
        <is>
          <t>1323-04-27</t>
        </is>
      </c>
    </row>
    <row r="2010">
      <c r="A2010" s="1" t="n">
        <v>2009</v>
      </c>
      <c r="B2010">
        <f>TEXT(2009, "[$-170000]yyyy-mm-dd")</f>
        <v/>
      </c>
      <c r="C2010">
        <f>TEXT(2009, "[$-060000]yyyy-mm-dd")</f>
        <v/>
      </c>
      <c r="D2010" t="inlineStr">
        <is>
          <t>1323-04-28</t>
        </is>
      </c>
    </row>
    <row r="2011">
      <c r="A2011" s="1" t="n">
        <v>2010</v>
      </c>
      <c r="B2011">
        <f>TEXT(2010, "[$-170000]yyyy-mm-dd")</f>
        <v/>
      </c>
      <c r="C2011">
        <f>TEXT(2010, "[$-060000]yyyy-mm-dd")</f>
        <v/>
      </c>
      <c r="D2011" t="inlineStr">
        <is>
          <t>1323-04-29</t>
        </is>
      </c>
    </row>
    <row r="2012">
      <c r="A2012" s="1" t="n">
        <v>2011</v>
      </c>
      <c r="B2012">
        <f>TEXT(2011, "[$-170000]yyyy-mm-dd")</f>
        <v/>
      </c>
      <c r="C2012">
        <f>TEXT(2011, "[$-060000]yyyy-mm-dd")</f>
        <v/>
      </c>
      <c r="D2012" t="inlineStr">
        <is>
          <t>1323-05-01</t>
        </is>
      </c>
    </row>
    <row r="2013">
      <c r="A2013" s="1" t="n">
        <v>2012</v>
      </c>
      <c r="B2013">
        <f>TEXT(2012, "[$-170000]yyyy-mm-dd")</f>
        <v/>
      </c>
      <c r="C2013">
        <f>TEXT(2012, "[$-060000]yyyy-mm-dd")</f>
        <v/>
      </c>
      <c r="D2013" t="inlineStr">
        <is>
          <t>1323-05-02</t>
        </is>
      </c>
    </row>
    <row r="2014">
      <c r="A2014" s="1" t="n">
        <v>2013</v>
      </c>
      <c r="B2014">
        <f>TEXT(2013, "[$-170000]yyyy-mm-dd")</f>
        <v/>
      </c>
      <c r="C2014">
        <f>TEXT(2013, "[$-060000]yyyy-mm-dd")</f>
        <v/>
      </c>
      <c r="D2014" t="inlineStr">
        <is>
          <t>1323-05-03</t>
        </is>
      </c>
    </row>
    <row r="2015">
      <c r="A2015" s="1" t="n">
        <v>2014</v>
      </c>
      <c r="B2015">
        <f>TEXT(2014, "[$-170000]yyyy-mm-dd")</f>
        <v/>
      </c>
      <c r="C2015">
        <f>TEXT(2014, "[$-060000]yyyy-mm-dd")</f>
        <v/>
      </c>
      <c r="D2015" t="inlineStr">
        <is>
          <t>1323-05-04</t>
        </is>
      </c>
    </row>
    <row r="2016">
      <c r="A2016" s="1" t="n">
        <v>2015</v>
      </c>
      <c r="B2016">
        <f>TEXT(2015, "[$-170000]yyyy-mm-dd")</f>
        <v/>
      </c>
      <c r="C2016">
        <f>TEXT(2015, "[$-060000]yyyy-mm-dd")</f>
        <v/>
      </c>
      <c r="D2016" t="inlineStr">
        <is>
          <t>1323-05-05</t>
        </is>
      </c>
    </row>
    <row r="2017">
      <c r="A2017" s="1" t="n">
        <v>2016</v>
      </c>
      <c r="B2017">
        <f>TEXT(2016, "[$-170000]yyyy-mm-dd")</f>
        <v/>
      </c>
      <c r="C2017">
        <f>TEXT(2016, "[$-060000]yyyy-mm-dd")</f>
        <v/>
      </c>
      <c r="D2017" t="inlineStr">
        <is>
          <t>1323-05-06</t>
        </is>
      </c>
    </row>
    <row r="2018">
      <c r="A2018" s="1" t="n">
        <v>2017</v>
      </c>
      <c r="B2018">
        <f>TEXT(2017, "[$-170000]yyyy-mm-dd")</f>
        <v/>
      </c>
      <c r="C2018">
        <f>TEXT(2017, "[$-060000]yyyy-mm-dd")</f>
        <v/>
      </c>
      <c r="D2018" t="inlineStr">
        <is>
          <t>1323-05-07</t>
        </is>
      </c>
    </row>
    <row r="2019">
      <c r="A2019" s="1" t="n">
        <v>2018</v>
      </c>
      <c r="B2019">
        <f>TEXT(2018, "[$-170000]yyyy-mm-dd")</f>
        <v/>
      </c>
      <c r="C2019">
        <f>TEXT(2018, "[$-060000]yyyy-mm-dd")</f>
        <v/>
      </c>
      <c r="D2019" t="inlineStr">
        <is>
          <t>1323-05-08</t>
        </is>
      </c>
    </row>
    <row r="2020">
      <c r="A2020" s="1" t="n">
        <v>2019</v>
      </c>
      <c r="B2020">
        <f>TEXT(2019, "[$-170000]yyyy-mm-dd")</f>
        <v/>
      </c>
      <c r="C2020">
        <f>TEXT(2019, "[$-060000]yyyy-mm-dd")</f>
        <v/>
      </c>
      <c r="D2020" t="inlineStr">
        <is>
          <t>1323-05-09</t>
        </is>
      </c>
    </row>
    <row r="2021">
      <c r="A2021" s="1" t="n">
        <v>2020</v>
      </c>
      <c r="B2021">
        <f>TEXT(2020, "[$-170000]yyyy-mm-dd")</f>
        <v/>
      </c>
      <c r="C2021">
        <f>TEXT(2020, "[$-060000]yyyy-mm-dd")</f>
        <v/>
      </c>
      <c r="D2021" t="inlineStr">
        <is>
          <t>1323-05-10</t>
        </is>
      </c>
    </row>
    <row r="2022">
      <c r="A2022" s="1" t="n">
        <v>2021</v>
      </c>
      <c r="B2022">
        <f>TEXT(2021, "[$-170000]yyyy-mm-dd")</f>
        <v/>
      </c>
      <c r="C2022">
        <f>TEXT(2021, "[$-060000]yyyy-mm-dd")</f>
        <v/>
      </c>
      <c r="D2022" t="inlineStr">
        <is>
          <t>1323-05-11</t>
        </is>
      </c>
    </row>
    <row r="2023">
      <c r="A2023" s="1" t="n">
        <v>2022</v>
      </c>
      <c r="B2023">
        <f>TEXT(2022, "[$-170000]yyyy-mm-dd")</f>
        <v/>
      </c>
      <c r="C2023">
        <f>TEXT(2022, "[$-060000]yyyy-mm-dd")</f>
        <v/>
      </c>
      <c r="D2023" t="inlineStr">
        <is>
          <t>1323-05-12</t>
        </is>
      </c>
    </row>
    <row r="2024">
      <c r="A2024" s="1" t="n">
        <v>2023</v>
      </c>
      <c r="B2024">
        <f>TEXT(2023, "[$-170000]yyyy-mm-dd")</f>
        <v/>
      </c>
      <c r="C2024">
        <f>TEXT(2023, "[$-060000]yyyy-mm-dd")</f>
        <v/>
      </c>
      <c r="D2024" t="inlineStr">
        <is>
          <t>1323-05-13</t>
        </is>
      </c>
    </row>
    <row r="2025">
      <c r="A2025" s="1" t="n">
        <v>2024</v>
      </c>
      <c r="B2025">
        <f>TEXT(2024, "[$-170000]yyyy-mm-dd")</f>
        <v/>
      </c>
      <c r="C2025">
        <f>TEXT(2024, "[$-060000]yyyy-mm-dd")</f>
        <v/>
      </c>
      <c r="D2025" t="inlineStr">
        <is>
          <t>1323-05-14</t>
        </is>
      </c>
    </row>
    <row r="2026">
      <c r="A2026" s="1" t="n">
        <v>2025</v>
      </c>
      <c r="B2026">
        <f>TEXT(2025, "[$-170000]yyyy-mm-dd")</f>
        <v/>
      </c>
      <c r="C2026">
        <f>TEXT(2025, "[$-060000]yyyy-mm-dd")</f>
        <v/>
      </c>
      <c r="D2026" t="inlineStr">
        <is>
          <t>1323-05-15</t>
        </is>
      </c>
    </row>
    <row r="2027">
      <c r="A2027" s="1" t="n">
        <v>2026</v>
      </c>
      <c r="B2027">
        <f>TEXT(2026, "[$-170000]yyyy-mm-dd")</f>
        <v/>
      </c>
      <c r="C2027">
        <f>TEXT(2026, "[$-060000]yyyy-mm-dd")</f>
        <v/>
      </c>
      <c r="D2027" t="inlineStr">
        <is>
          <t>1323-05-16</t>
        </is>
      </c>
    </row>
    <row r="2028">
      <c r="A2028" s="1" t="n">
        <v>2027</v>
      </c>
      <c r="B2028">
        <f>TEXT(2027, "[$-170000]yyyy-mm-dd")</f>
        <v/>
      </c>
      <c r="C2028">
        <f>TEXT(2027, "[$-060000]yyyy-mm-dd")</f>
        <v/>
      </c>
      <c r="D2028" t="inlineStr">
        <is>
          <t>1323-05-17</t>
        </is>
      </c>
    </row>
    <row r="2029">
      <c r="A2029" s="1" t="n">
        <v>2028</v>
      </c>
      <c r="B2029">
        <f>TEXT(2028, "[$-170000]yyyy-mm-dd")</f>
        <v/>
      </c>
      <c r="C2029">
        <f>TEXT(2028, "[$-060000]yyyy-mm-dd")</f>
        <v/>
      </c>
      <c r="D2029" t="inlineStr">
        <is>
          <t>1323-05-18</t>
        </is>
      </c>
    </row>
    <row r="2030">
      <c r="A2030" s="1" t="n">
        <v>2029</v>
      </c>
      <c r="B2030">
        <f>TEXT(2029, "[$-170000]yyyy-mm-dd")</f>
        <v/>
      </c>
      <c r="C2030">
        <f>TEXT(2029, "[$-060000]yyyy-mm-dd")</f>
        <v/>
      </c>
      <c r="D2030" t="inlineStr">
        <is>
          <t>1323-05-19</t>
        </is>
      </c>
    </row>
    <row r="2031">
      <c r="A2031" s="1" t="n">
        <v>2030</v>
      </c>
      <c r="B2031">
        <f>TEXT(2030, "[$-170000]yyyy-mm-dd")</f>
        <v/>
      </c>
      <c r="C2031">
        <f>TEXT(2030, "[$-060000]yyyy-mm-dd")</f>
        <v/>
      </c>
      <c r="D2031" t="inlineStr">
        <is>
          <t>1323-05-20</t>
        </is>
      </c>
    </row>
    <row r="2032">
      <c r="A2032" s="1" t="n">
        <v>2031</v>
      </c>
      <c r="B2032">
        <f>TEXT(2031, "[$-170000]yyyy-mm-dd")</f>
        <v/>
      </c>
      <c r="C2032">
        <f>TEXT(2031, "[$-060000]yyyy-mm-dd")</f>
        <v/>
      </c>
      <c r="D2032" t="inlineStr">
        <is>
          <t>1323-05-21</t>
        </is>
      </c>
    </row>
    <row r="2033">
      <c r="A2033" s="1" t="n">
        <v>2032</v>
      </c>
      <c r="B2033">
        <f>TEXT(2032, "[$-170000]yyyy-mm-dd")</f>
        <v/>
      </c>
      <c r="C2033">
        <f>TEXT(2032, "[$-060000]yyyy-mm-dd")</f>
        <v/>
      </c>
      <c r="D2033" t="inlineStr">
        <is>
          <t>1323-05-22</t>
        </is>
      </c>
    </row>
    <row r="2034">
      <c r="A2034" s="1" t="n">
        <v>2033</v>
      </c>
      <c r="B2034">
        <f>TEXT(2033, "[$-170000]yyyy-mm-dd")</f>
        <v/>
      </c>
      <c r="C2034">
        <f>TEXT(2033, "[$-060000]yyyy-mm-dd")</f>
        <v/>
      </c>
      <c r="D2034" t="inlineStr">
        <is>
          <t>1323-05-23</t>
        </is>
      </c>
    </row>
    <row r="2035">
      <c r="A2035" s="1" t="n">
        <v>2034</v>
      </c>
      <c r="B2035">
        <f>TEXT(2034, "[$-170000]yyyy-mm-dd")</f>
        <v/>
      </c>
      <c r="C2035">
        <f>TEXT(2034, "[$-060000]yyyy-mm-dd")</f>
        <v/>
      </c>
      <c r="D2035" t="inlineStr">
        <is>
          <t>1323-05-24</t>
        </is>
      </c>
    </row>
    <row r="2036">
      <c r="A2036" s="1" t="n">
        <v>2035</v>
      </c>
      <c r="B2036">
        <f>TEXT(2035, "[$-170000]yyyy-mm-dd")</f>
        <v/>
      </c>
      <c r="C2036">
        <f>TEXT(2035, "[$-060000]yyyy-mm-dd")</f>
        <v/>
      </c>
      <c r="D2036" t="inlineStr">
        <is>
          <t>1323-05-25</t>
        </is>
      </c>
    </row>
    <row r="2037">
      <c r="A2037" s="1" t="n">
        <v>2036</v>
      </c>
      <c r="B2037">
        <f>TEXT(2036, "[$-170000]yyyy-mm-dd")</f>
        <v/>
      </c>
      <c r="C2037">
        <f>TEXT(2036, "[$-060000]yyyy-mm-dd")</f>
        <v/>
      </c>
      <c r="D2037" t="inlineStr">
        <is>
          <t>1323-05-26</t>
        </is>
      </c>
    </row>
    <row r="2038">
      <c r="A2038" s="1" t="n">
        <v>2037</v>
      </c>
      <c r="B2038">
        <f>TEXT(2037, "[$-170000]yyyy-mm-dd")</f>
        <v/>
      </c>
      <c r="C2038">
        <f>TEXT(2037, "[$-060000]yyyy-mm-dd")</f>
        <v/>
      </c>
      <c r="D2038" t="inlineStr">
        <is>
          <t>1323-05-27</t>
        </is>
      </c>
    </row>
    <row r="2039">
      <c r="A2039" s="1" t="n">
        <v>2038</v>
      </c>
      <c r="B2039">
        <f>TEXT(2038, "[$-170000]yyyy-mm-dd")</f>
        <v/>
      </c>
      <c r="C2039">
        <f>TEXT(2038, "[$-060000]yyyy-mm-dd")</f>
        <v/>
      </c>
      <c r="D2039" t="inlineStr">
        <is>
          <t>1323-05-28</t>
        </is>
      </c>
    </row>
    <row r="2040">
      <c r="A2040" s="1" t="n">
        <v>2039</v>
      </c>
      <c r="B2040">
        <f>TEXT(2039, "[$-170000]yyyy-mm-dd")</f>
        <v/>
      </c>
      <c r="C2040">
        <f>TEXT(2039, "[$-060000]yyyy-mm-dd")</f>
        <v/>
      </c>
      <c r="D2040" t="inlineStr">
        <is>
          <t>1323-05-29</t>
        </is>
      </c>
    </row>
    <row r="2041">
      <c r="A2041" s="1" t="n">
        <v>2040</v>
      </c>
      <c r="B2041">
        <f>TEXT(2040, "[$-170000]yyyy-mm-dd")</f>
        <v/>
      </c>
      <c r="C2041">
        <f>TEXT(2040, "[$-060000]yyyy-mm-dd")</f>
        <v/>
      </c>
      <c r="D2041" t="inlineStr">
        <is>
          <t>1323-05-30</t>
        </is>
      </c>
    </row>
    <row r="2042">
      <c r="A2042" s="1" t="n">
        <v>2041</v>
      </c>
      <c r="B2042">
        <f>TEXT(2041, "[$-170000]yyyy-mm-dd")</f>
        <v/>
      </c>
      <c r="C2042">
        <f>TEXT(2041, "[$-060000]yyyy-mm-dd")</f>
        <v/>
      </c>
      <c r="D2042" t="inlineStr">
        <is>
          <t>1323-06-01</t>
        </is>
      </c>
    </row>
    <row r="2043">
      <c r="A2043" s="1" t="n">
        <v>2042</v>
      </c>
      <c r="B2043">
        <f>TEXT(2042, "[$-170000]yyyy-mm-dd")</f>
        <v/>
      </c>
      <c r="C2043">
        <f>TEXT(2042, "[$-060000]yyyy-mm-dd")</f>
        <v/>
      </c>
      <c r="D2043" t="inlineStr">
        <is>
          <t>1323-06-02</t>
        </is>
      </c>
    </row>
    <row r="2044">
      <c r="A2044" s="1" t="n">
        <v>2043</v>
      </c>
      <c r="B2044">
        <f>TEXT(2043, "[$-170000]yyyy-mm-dd")</f>
        <v/>
      </c>
      <c r="C2044">
        <f>TEXT(2043, "[$-060000]yyyy-mm-dd")</f>
        <v/>
      </c>
      <c r="D2044" t="inlineStr">
        <is>
          <t>1323-06-03</t>
        </is>
      </c>
    </row>
    <row r="2045">
      <c r="A2045" s="1" t="n">
        <v>2044</v>
      </c>
      <c r="B2045">
        <f>TEXT(2044, "[$-170000]yyyy-mm-dd")</f>
        <v/>
      </c>
      <c r="C2045">
        <f>TEXT(2044, "[$-060000]yyyy-mm-dd")</f>
        <v/>
      </c>
      <c r="D2045" t="inlineStr">
        <is>
          <t>1323-06-04</t>
        </is>
      </c>
    </row>
    <row r="2046">
      <c r="A2046" s="1" t="n">
        <v>2045</v>
      </c>
      <c r="B2046">
        <f>TEXT(2045, "[$-170000]yyyy-mm-dd")</f>
        <v/>
      </c>
      <c r="C2046">
        <f>TEXT(2045, "[$-060000]yyyy-mm-dd")</f>
        <v/>
      </c>
      <c r="D2046" t="inlineStr">
        <is>
          <t>1323-06-05</t>
        </is>
      </c>
    </row>
    <row r="2047">
      <c r="A2047" s="1" t="n">
        <v>2046</v>
      </c>
      <c r="B2047">
        <f>TEXT(2046, "[$-170000]yyyy-mm-dd")</f>
        <v/>
      </c>
      <c r="C2047">
        <f>TEXT(2046, "[$-060000]yyyy-mm-dd")</f>
        <v/>
      </c>
      <c r="D2047" t="inlineStr">
        <is>
          <t>1323-06-06</t>
        </is>
      </c>
    </row>
    <row r="2048">
      <c r="A2048" s="1" t="n">
        <v>2047</v>
      </c>
      <c r="B2048">
        <f>TEXT(2047, "[$-170000]yyyy-mm-dd")</f>
        <v/>
      </c>
      <c r="C2048">
        <f>TEXT(2047, "[$-060000]yyyy-mm-dd")</f>
        <v/>
      </c>
      <c r="D2048" t="inlineStr">
        <is>
          <t>1323-06-07</t>
        </is>
      </c>
    </row>
    <row r="2049">
      <c r="A2049" s="1" t="n">
        <v>2048</v>
      </c>
      <c r="B2049">
        <f>TEXT(2048, "[$-170000]yyyy-mm-dd")</f>
        <v/>
      </c>
      <c r="C2049">
        <f>TEXT(2048, "[$-060000]yyyy-mm-dd")</f>
        <v/>
      </c>
      <c r="D2049" t="inlineStr">
        <is>
          <t>1323-06-08</t>
        </is>
      </c>
    </row>
    <row r="2050">
      <c r="A2050" s="1" t="n">
        <v>2049</v>
      </c>
      <c r="B2050">
        <f>TEXT(2049, "[$-170000]yyyy-mm-dd")</f>
        <v/>
      </c>
      <c r="C2050">
        <f>TEXT(2049, "[$-060000]yyyy-mm-dd")</f>
        <v/>
      </c>
      <c r="D2050" t="inlineStr">
        <is>
          <t>1323-06-09</t>
        </is>
      </c>
    </row>
    <row r="2051">
      <c r="A2051" s="1" t="n">
        <v>2050</v>
      </c>
      <c r="B2051">
        <f>TEXT(2050, "[$-170000]yyyy-mm-dd")</f>
        <v/>
      </c>
      <c r="C2051">
        <f>TEXT(2050, "[$-060000]yyyy-mm-dd")</f>
        <v/>
      </c>
      <c r="D2051" t="inlineStr">
        <is>
          <t>1323-06-10</t>
        </is>
      </c>
    </row>
    <row r="2052">
      <c r="A2052" s="1" t="n">
        <v>2051</v>
      </c>
      <c r="B2052">
        <f>TEXT(2051, "[$-170000]yyyy-mm-dd")</f>
        <v/>
      </c>
      <c r="C2052">
        <f>TEXT(2051, "[$-060000]yyyy-mm-dd")</f>
        <v/>
      </c>
      <c r="D2052" t="inlineStr">
        <is>
          <t>1323-06-11</t>
        </is>
      </c>
    </row>
    <row r="2053">
      <c r="A2053" s="1" t="n">
        <v>2052</v>
      </c>
      <c r="B2053">
        <f>TEXT(2052, "[$-170000]yyyy-mm-dd")</f>
        <v/>
      </c>
      <c r="C2053">
        <f>TEXT(2052, "[$-060000]yyyy-mm-dd")</f>
        <v/>
      </c>
      <c r="D2053" t="inlineStr">
        <is>
          <t>1323-06-12</t>
        </is>
      </c>
    </row>
    <row r="2054">
      <c r="A2054" s="1" t="n">
        <v>2053</v>
      </c>
      <c r="B2054">
        <f>TEXT(2053, "[$-170000]yyyy-mm-dd")</f>
        <v/>
      </c>
      <c r="C2054">
        <f>TEXT(2053, "[$-060000]yyyy-mm-dd")</f>
        <v/>
      </c>
      <c r="D2054" t="inlineStr">
        <is>
          <t>1323-06-13</t>
        </is>
      </c>
    </row>
    <row r="2055">
      <c r="A2055" s="1" t="n">
        <v>2054</v>
      </c>
      <c r="B2055">
        <f>TEXT(2054, "[$-170000]yyyy-mm-dd")</f>
        <v/>
      </c>
      <c r="C2055">
        <f>TEXT(2054, "[$-060000]yyyy-mm-dd")</f>
        <v/>
      </c>
      <c r="D2055" t="inlineStr">
        <is>
          <t>1323-06-14</t>
        </is>
      </c>
    </row>
    <row r="2056">
      <c r="A2056" s="1" t="n">
        <v>2055</v>
      </c>
      <c r="B2056">
        <f>TEXT(2055, "[$-170000]yyyy-mm-dd")</f>
        <v/>
      </c>
      <c r="C2056">
        <f>TEXT(2055, "[$-060000]yyyy-mm-dd")</f>
        <v/>
      </c>
      <c r="D2056" t="inlineStr">
        <is>
          <t>1323-06-15</t>
        </is>
      </c>
    </row>
    <row r="2057">
      <c r="A2057" s="1" t="n">
        <v>2056</v>
      </c>
      <c r="B2057">
        <f>TEXT(2056, "[$-170000]yyyy-mm-dd")</f>
        <v/>
      </c>
      <c r="C2057">
        <f>TEXT(2056, "[$-060000]yyyy-mm-dd")</f>
        <v/>
      </c>
      <c r="D2057" t="inlineStr">
        <is>
          <t>1323-06-16</t>
        </is>
      </c>
    </row>
    <row r="2058">
      <c r="A2058" s="1" t="n">
        <v>2057</v>
      </c>
      <c r="B2058">
        <f>TEXT(2057, "[$-170000]yyyy-mm-dd")</f>
        <v/>
      </c>
      <c r="C2058">
        <f>TEXT(2057, "[$-060000]yyyy-mm-dd")</f>
        <v/>
      </c>
      <c r="D2058" t="inlineStr">
        <is>
          <t>1323-06-17</t>
        </is>
      </c>
    </row>
    <row r="2059">
      <c r="A2059" s="1" t="n">
        <v>2058</v>
      </c>
      <c r="B2059">
        <f>TEXT(2058, "[$-170000]yyyy-mm-dd")</f>
        <v/>
      </c>
      <c r="C2059">
        <f>TEXT(2058, "[$-060000]yyyy-mm-dd")</f>
        <v/>
      </c>
      <c r="D2059" t="inlineStr">
        <is>
          <t>1323-06-18</t>
        </is>
      </c>
    </row>
    <row r="2060">
      <c r="A2060" s="1" t="n">
        <v>2059</v>
      </c>
      <c r="B2060">
        <f>TEXT(2059, "[$-170000]yyyy-mm-dd")</f>
        <v/>
      </c>
      <c r="C2060">
        <f>TEXT(2059, "[$-060000]yyyy-mm-dd")</f>
        <v/>
      </c>
      <c r="D2060" t="inlineStr">
        <is>
          <t>1323-06-19</t>
        </is>
      </c>
    </row>
    <row r="2061">
      <c r="A2061" s="1" t="n">
        <v>2060</v>
      </c>
      <c r="B2061">
        <f>TEXT(2060, "[$-170000]yyyy-mm-dd")</f>
        <v/>
      </c>
      <c r="C2061">
        <f>TEXT(2060, "[$-060000]yyyy-mm-dd")</f>
        <v/>
      </c>
      <c r="D2061" t="inlineStr">
        <is>
          <t>1323-06-20</t>
        </is>
      </c>
    </row>
    <row r="2062">
      <c r="A2062" s="1" t="n">
        <v>2061</v>
      </c>
      <c r="B2062">
        <f>TEXT(2061, "[$-170000]yyyy-mm-dd")</f>
        <v/>
      </c>
      <c r="C2062">
        <f>TEXT(2061, "[$-060000]yyyy-mm-dd")</f>
        <v/>
      </c>
      <c r="D2062" t="inlineStr">
        <is>
          <t>1323-06-21</t>
        </is>
      </c>
    </row>
    <row r="2063">
      <c r="A2063" s="1" t="n">
        <v>2062</v>
      </c>
      <c r="B2063">
        <f>TEXT(2062, "[$-170000]yyyy-mm-dd")</f>
        <v/>
      </c>
      <c r="C2063">
        <f>TEXT(2062, "[$-060000]yyyy-mm-dd")</f>
        <v/>
      </c>
      <c r="D2063" t="inlineStr">
        <is>
          <t>1323-06-22</t>
        </is>
      </c>
    </row>
    <row r="2064">
      <c r="A2064" s="1" t="n">
        <v>2063</v>
      </c>
      <c r="B2064">
        <f>TEXT(2063, "[$-170000]yyyy-mm-dd")</f>
        <v/>
      </c>
      <c r="C2064">
        <f>TEXT(2063, "[$-060000]yyyy-mm-dd")</f>
        <v/>
      </c>
      <c r="D2064" t="inlineStr">
        <is>
          <t>1323-06-23</t>
        </is>
      </c>
    </row>
    <row r="2065">
      <c r="A2065" s="1" t="n">
        <v>2064</v>
      </c>
      <c r="B2065">
        <f>TEXT(2064, "[$-170000]yyyy-mm-dd")</f>
        <v/>
      </c>
      <c r="C2065">
        <f>TEXT(2064, "[$-060000]yyyy-mm-dd")</f>
        <v/>
      </c>
      <c r="D2065" t="inlineStr">
        <is>
          <t>1323-06-24</t>
        </is>
      </c>
    </row>
    <row r="2066">
      <c r="A2066" s="1" t="n">
        <v>2065</v>
      </c>
      <c r="B2066">
        <f>TEXT(2065, "[$-170000]yyyy-mm-dd")</f>
        <v/>
      </c>
      <c r="C2066">
        <f>TEXT(2065, "[$-060000]yyyy-mm-dd")</f>
        <v/>
      </c>
      <c r="D2066" t="inlineStr">
        <is>
          <t>1323-06-25</t>
        </is>
      </c>
    </row>
    <row r="2067">
      <c r="A2067" s="1" t="n">
        <v>2066</v>
      </c>
      <c r="B2067">
        <f>TEXT(2066, "[$-170000]yyyy-mm-dd")</f>
        <v/>
      </c>
      <c r="C2067">
        <f>TEXT(2066, "[$-060000]yyyy-mm-dd")</f>
        <v/>
      </c>
      <c r="D2067" t="inlineStr">
        <is>
          <t>1323-06-26</t>
        </is>
      </c>
    </row>
    <row r="2068">
      <c r="A2068" s="1" t="n">
        <v>2067</v>
      </c>
      <c r="B2068">
        <f>TEXT(2067, "[$-170000]yyyy-mm-dd")</f>
        <v/>
      </c>
      <c r="C2068">
        <f>TEXT(2067, "[$-060000]yyyy-mm-dd")</f>
        <v/>
      </c>
      <c r="D2068" t="inlineStr">
        <is>
          <t>1323-06-27</t>
        </is>
      </c>
    </row>
    <row r="2069">
      <c r="A2069" s="1" t="n">
        <v>2068</v>
      </c>
      <c r="B2069">
        <f>TEXT(2068, "[$-170000]yyyy-mm-dd")</f>
        <v/>
      </c>
      <c r="C2069">
        <f>TEXT(2068, "[$-060000]yyyy-mm-dd")</f>
        <v/>
      </c>
      <c r="D2069" t="inlineStr">
        <is>
          <t>1323-06-28</t>
        </is>
      </c>
    </row>
    <row r="2070">
      <c r="A2070" s="1" t="n">
        <v>2069</v>
      </c>
      <c r="B2070">
        <f>TEXT(2069, "[$-170000]yyyy-mm-dd")</f>
        <v/>
      </c>
      <c r="C2070">
        <f>TEXT(2069, "[$-060000]yyyy-mm-dd")</f>
        <v/>
      </c>
      <c r="D2070" t="inlineStr">
        <is>
          <t>1323-06-29</t>
        </is>
      </c>
    </row>
    <row r="2071">
      <c r="A2071" s="1" t="n">
        <v>2070</v>
      </c>
      <c r="B2071">
        <f>TEXT(2070, "[$-170000]yyyy-mm-dd")</f>
        <v/>
      </c>
      <c r="C2071">
        <f>TEXT(2070, "[$-060000]yyyy-mm-dd")</f>
        <v/>
      </c>
      <c r="D2071" t="inlineStr">
        <is>
          <t>1323-07-01</t>
        </is>
      </c>
    </row>
    <row r="2072">
      <c r="A2072" s="1" t="n">
        <v>2071</v>
      </c>
      <c r="B2072">
        <f>TEXT(2071, "[$-170000]yyyy-mm-dd")</f>
        <v/>
      </c>
      <c r="C2072">
        <f>TEXT(2071, "[$-060000]yyyy-mm-dd")</f>
        <v/>
      </c>
      <c r="D2072" t="inlineStr">
        <is>
          <t>1323-07-02</t>
        </is>
      </c>
    </row>
    <row r="2073">
      <c r="A2073" s="1" t="n">
        <v>2072</v>
      </c>
      <c r="B2073">
        <f>TEXT(2072, "[$-170000]yyyy-mm-dd")</f>
        <v/>
      </c>
      <c r="C2073">
        <f>TEXT(2072, "[$-060000]yyyy-mm-dd")</f>
        <v/>
      </c>
      <c r="D2073" t="inlineStr">
        <is>
          <t>1323-07-03</t>
        </is>
      </c>
    </row>
    <row r="2074">
      <c r="A2074" s="1" t="n">
        <v>2073</v>
      </c>
      <c r="B2074">
        <f>TEXT(2073, "[$-170000]yyyy-mm-dd")</f>
        <v/>
      </c>
      <c r="C2074">
        <f>TEXT(2073, "[$-060000]yyyy-mm-dd")</f>
        <v/>
      </c>
      <c r="D2074" t="inlineStr">
        <is>
          <t>1323-07-04</t>
        </is>
      </c>
    </row>
    <row r="2075">
      <c r="A2075" s="1" t="n">
        <v>2074</v>
      </c>
      <c r="B2075">
        <f>TEXT(2074, "[$-170000]yyyy-mm-dd")</f>
        <v/>
      </c>
      <c r="C2075">
        <f>TEXT(2074, "[$-060000]yyyy-mm-dd")</f>
        <v/>
      </c>
      <c r="D2075" t="inlineStr">
        <is>
          <t>1323-07-05</t>
        </is>
      </c>
    </row>
    <row r="2076">
      <c r="A2076" s="1" t="n">
        <v>2075</v>
      </c>
      <c r="B2076">
        <f>TEXT(2075, "[$-170000]yyyy-mm-dd")</f>
        <v/>
      </c>
      <c r="C2076">
        <f>TEXT(2075, "[$-060000]yyyy-mm-dd")</f>
        <v/>
      </c>
      <c r="D2076" t="inlineStr">
        <is>
          <t>1323-07-06</t>
        </is>
      </c>
    </row>
    <row r="2077">
      <c r="A2077" s="1" t="n">
        <v>2076</v>
      </c>
      <c r="B2077">
        <f>TEXT(2076, "[$-170000]yyyy-mm-dd")</f>
        <v/>
      </c>
      <c r="C2077">
        <f>TEXT(2076, "[$-060000]yyyy-mm-dd")</f>
        <v/>
      </c>
      <c r="D2077" t="inlineStr">
        <is>
          <t>1323-07-07</t>
        </is>
      </c>
    </row>
    <row r="2078">
      <c r="A2078" s="1" t="n">
        <v>2077</v>
      </c>
      <c r="B2078">
        <f>TEXT(2077, "[$-170000]yyyy-mm-dd")</f>
        <v/>
      </c>
      <c r="C2078">
        <f>TEXT(2077, "[$-060000]yyyy-mm-dd")</f>
        <v/>
      </c>
      <c r="D2078" t="inlineStr">
        <is>
          <t>1323-07-08</t>
        </is>
      </c>
    </row>
    <row r="2079">
      <c r="A2079" s="1" t="n">
        <v>2078</v>
      </c>
      <c r="B2079">
        <f>TEXT(2078, "[$-170000]yyyy-mm-dd")</f>
        <v/>
      </c>
      <c r="C2079">
        <f>TEXT(2078, "[$-060000]yyyy-mm-dd")</f>
        <v/>
      </c>
      <c r="D2079" t="inlineStr">
        <is>
          <t>1323-07-09</t>
        </is>
      </c>
    </row>
    <row r="2080">
      <c r="A2080" s="1" t="n">
        <v>2079</v>
      </c>
      <c r="B2080">
        <f>TEXT(2079, "[$-170000]yyyy-mm-dd")</f>
        <v/>
      </c>
      <c r="C2080">
        <f>TEXT(2079, "[$-060000]yyyy-mm-dd")</f>
        <v/>
      </c>
      <c r="D2080" t="inlineStr">
        <is>
          <t>1323-07-10</t>
        </is>
      </c>
    </row>
    <row r="2081">
      <c r="A2081" s="1" t="n">
        <v>2080</v>
      </c>
      <c r="B2081">
        <f>TEXT(2080, "[$-170000]yyyy-mm-dd")</f>
        <v/>
      </c>
      <c r="C2081">
        <f>TEXT(2080, "[$-060000]yyyy-mm-dd")</f>
        <v/>
      </c>
      <c r="D2081" t="inlineStr">
        <is>
          <t>1323-07-11</t>
        </is>
      </c>
    </row>
    <row r="2082">
      <c r="A2082" s="1" t="n">
        <v>2081</v>
      </c>
      <c r="B2082">
        <f>TEXT(2081, "[$-170000]yyyy-mm-dd")</f>
        <v/>
      </c>
      <c r="C2082">
        <f>TEXT(2081, "[$-060000]yyyy-mm-dd")</f>
        <v/>
      </c>
      <c r="D2082" t="inlineStr">
        <is>
          <t>1323-07-12</t>
        </is>
      </c>
    </row>
    <row r="2083">
      <c r="A2083" s="1" t="n">
        <v>2082</v>
      </c>
      <c r="B2083">
        <f>TEXT(2082, "[$-170000]yyyy-mm-dd")</f>
        <v/>
      </c>
      <c r="C2083">
        <f>TEXT(2082, "[$-060000]yyyy-mm-dd")</f>
        <v/>
      </c>
      <c r="D2083" t="inlineStr">
        <is>
          <t>1323-07-13</t>
        </is>
      </c>
    </row>
    <row r="2084">
      <c r="A2084" s="1" t="n">
        <v>2083</v>
      </c>
      <c r="B2084">
        <f>TEXT(2083, "[$-170000]yyyy-mm-dd")</f>
        <v/>
      </c>
      <c r="C2084">
        <f>TEXT(2083, "[$-060000]yyyy-mm-dd")</f>
        <v/>
      </c>
      <c r="D2084" t="inlineStr">
        <is>
          <t>1323-07-14</t>
        </is>
      </c>
    </row>
    <row r="2085">
      <c r="A2085" s="1" t="n">
        <v>2084</v>
      </c>
      <c r="B2085">
        <f>TEXT(2084, "[$-170000]yyyy-mm-dd")</f>
        <v/>
      </c>
      <c r="C2085">
        <f>TEXT(2084, "[$-060000]yyyy-mm-dd")</f>
        <v/>
      </c>
      <c r="D2085" t="inlineStr">
        <is>
          <t>1323-07-15</t>
        </is>
      </c>
    </row>
    <row r="2086">
      <c r="A2086" s="1" t="n">
        <v>2085</v>
      </c>
      <c r="B2086">
        <f>TEXT(2085, "[$-170000]yyyy-mm-dd")</f>
        <v/>
      </c>
      <c r="C2086">
        <f>TEXT(2085, "[$-060000]yyyy-mm-dd")</f>
        <v/>
      </c>
      <c r="D2086" t="inlineStr">
        <is>
          <t>1323-07-16</t>
        </is>
      </c>
    </row>
    <row r="2087">
      <c r="A2087" s="1" t="n">
        <v>2086</v>
      </c>
      <c r="B2087">
        <f>TEXT(2086, "[$-170000]yyyy-mm-dd")</f>
        <v/>
      </c>
      <c r="C2087">
        <f>TEXT(2086, "[$-060000]yyyy-mm-dd")</f>
        <v/>
      </c>
      <c r="D2087" t="inlineStr">
        <is>
          <t>1323-07-17</t>
        </is>
      </c>
    </row>
    <row r="2088">
      <c r="A2088" s="1" t="n">
        <v>2087</v>
      </c>
      <c r="B2088">
        <f>TEXT(2087, "[$-170000]yyyy-mm-dd")</f>
        <v/>
      </c>
      <c r="C2088">
        <f>TEXT(2087, "[$-060000]yyyy-mm-dd")</f>
        <v/>
      </c>
      <c r="D2088" t="inlineStr">
        <is>
          <t>1323-07-18</t>
        </is>
      </c>
    </row>
    <row r="2089">
      <c r="A2089" s="1" t="n">
        <v>2088</v>
      </c>
      <c r="B2089">
        <f>TEXT(2088, "[$-170000]yyyy-mm-dd")</f>
        <v/>
      </c>
      <c r="C2089">
        <f>TEXT(2088, "[$-060000]yyyy-mm-dd")</f>
        <v/>
      </c>
      <c r="D2089" t="inlineStr">
        <is>
          <t>1323-07-19</t>
        </is>
      </c>
    </row>
    <row r="2090">
      <c r="A2090" s="1" t="n">
        <v>2089</v>
      </c>
      <c r="B2090">
        <f>TEXT(2089, "[$-170000]yyyy-mm-dd")</f>
        <v/>
      </c>
      <c r="C2090">
        <f>TEXT(2089, "[$-060000]yyyy-mm-dd")</f>
        <v/>
      </c>
      <c r="D2090" t="inlineStr">
        <is>
          <t>1323-07-20</t>
        </is>
      </c>
    </row>
    <row r="2091">
      <c r="A2091" s="1" t="n">
        <v>2090</v>
      </c>
      <c r="B2091">
        <f>TEXT(2090, "[$-170000]yyyy-mm-dd")</f>
        <v/>
      </c>
      <c r="C2091">
        <f>TEXT(2090, "[$-060000]yyyy-mm-dd")</f>
        <v/>
      </c>
      <c r="D2091" t="inlineStr">
        <is>
          <t>1323-07-21</t>
        </is>
      </c>
    </row>
    <row r="2092">
      <c r="A2092" s="1" t="n">
        <v>2091</v>
      </c>
      <c r="B2092">
        <f>TEXT(2091, "[$-170000]yyyy-mm-dd")</f>
        <v/>
      </c>
      <c r="C2092">
        <f>TEXT(2091, "[$-060000]yyyy-mm-dd")</f>
        <v/>
      </c>
      <c r="D2092" t="inlineStr">
        <is>
          <t>1323-07-22</t>
        </is>
      </c>
    </row>
    <row r="2093">
      <c r="A2093" s="1" t="n">
        <v>2092</v>
      </c>
      <c r="B2093">
        <f>TEXT(2092, "[$-170000]yyyy-mm-dd")</f>
        <v/>
      </c>
      <c r="C2093">
        <f>TEXT(2092, "[$-060000]yyyy-mm-dd")</f>
        <v/>
      </c>
      <c r="D2093" t="inlineStr">
        <is>
          <t>1323-07-23</t>
        </is>
      </c>
    </row>
    <row r="2094">
      <c r="A2094" s="1" t="n">
        <v>2093</v>
      </c>
      <c r="B2094">
        <f>TEXT(2093, "[$-170000]yyyy-mm-dd")</f>
        <v/>
      </c>
      <c r="C2094">
        <f>TEXT(2093, "[$-060000]yyyy-mm-dd")</f>
        <v/>
      </c>
      <c r="D2094" t="inlineStr">
        <is>
          <t>1323-07-24</t>
        </is>
      </c>
    </row>
    <row r="2095">
      <c r="A2095" s="1" t="n">
        <v>2094</v>
      </c>
      <c r="B2095">
        <f>TEXT(2094, "[$-170000]yyyy-mm-dd")</f>
        <v/>
      </c>
      <c r="C2095">
        <f>TEXT(2094, "[$-060000]yyyy-mm-dd")</f>
        <v/>
      </c>
      <c r="D2095" t="inlineStr">
        <is>
          <t>1323-07-25</t>
        </is>
      </c>
    </row>
    <row r="2096">
      <c r="A2096" s="1" t="n">
        <v>2095</v>
      </c>
      <c r="B2096">
        <f>TEXT(2095, "[$-170000]yyyy-mm-dd")</f>
        <v/>
      </c>
      <c r="C2096">
        <f>TEXT(2095, "[$-060000]yyyy-mm-dd")</f>
        <v/>
      </c>
      <c r="D2096" t="inlineStr">
        <is>
          <t>1323-07-26</t>
        </is>
      </c>
    </row>
    <row r="2097">
      <c r="A2097" s="1" t="n">
        <v>2096</v>
      </c>
      <c r="B2097">
        <f>TEXT(2096, "[$-170000]yyyy-mm-dd")</f>
        <v/>
      </c>
      <c r="C2097">
        <f>TEXT(2096, "[$-060000]yyyy-mm-dd")</f>
        <v/>
      </c>
      <c r="D2097" t="inlineStr">
        <is>
          <t>1323-07-27</t>
        </is>
      </c>
    </row>
    <row r="2098">
      <c r="A2098" s="1" t="n">
        <v>2097</v>
      </c>
      <c r="B2098">
        <f>TEXT(2097, "[$-170000]yyyy-mm-dd")</f>
        <v/>
      </c>
      <c r="C2098">
        <f>TEXT(2097, "[$-060000]yyyy-mm-dd")</f>
        <v/>
      </c>
      <c r="D2098" t="inlineStr">
        <is>
          <t>1323-07-28</t>
        </is>
      </c>
    </row>
    <row r="2099">
      <c r="A2099" s="1" t="n">
        <v>2098</v>
      </c>
      <c r="B2099">
        <f>TEXT(2098, "[$-170000]yyyy-mm-dd")</f>
        <v/>
      </c>
      <c r="C2099">
        <f>TEXT(2098, "[$-060000]yyyy-mm-dd")</f>
        <v/>
      </c>
      <c r="D2099" t="inlineStr">
        <is>
          <t>1323-07-29</t>
        </is>
      </c>
    </row>
    <row r="2100">
      <c r="A2100" s="1" t="n">
        <v>2099</v>
      </c>
      <c r="B2100">
        <f>TEXT(2099, "[$-170000]yyyy-mm-dd")</f>
        <v/>
      </c>
      <c r="C2100">
        <f>TEXT(2099, "[$-060000]yyyy-mm-dd")</f>
        <v/>
      </c>
      <c r="D2100" t="inlineStr">
        <is>
          <t>1323-07-30</t>
        </is>
      </c>
    </row>
    <row r="2101">
      <c r="A2101" s="1" t="n">
        <v>2100</v>
      </c>
      <c r="B2101">
        <f>TEXT(2100, "[$-170000]yyyy-mm-dd")</f>
        <v/>
      </c>
      <c r="C2101">
        <f>TEXT(2100, "[$-060000]yyyy-mm-dd")</f>
        <v/>
      </c>
      <c r="D2101" t="inlineStr">
        <is>
          <t>1323-08-01</t>
        </is>
      </c>
    </row>
    <row r="2102">
      <c r="A2102" s="1" t="n">
        <v>2101</v>
      </c>
      <c r="B2102">
        <f>TEXT(2101, "[$-170000]yyyy-mm-dd")</f>
        <v/>
      </c>
      <c r="C2102">
        <f>TEXT(2101, "[$-060000]yyyy-mm-dd")</f>
        <v/>
      </c>
      <c r="D2102" t="inlineStr">
        <is>
          <t>1323-08-02</t>
        </is>
      </c>
    </row>
    <row r="2103">
      <c r="A2103" s="1" t="n">
        <v>2102</v>
      </c>
      <c r="B2103">
        <f>TEXT(2102, "[$-170000]yyyy-mm-dd")</f>
        <v/>
      </c>
      <c r="C2103">
        <f>TEXT(2102, "[$-060000]yyyy-mm-dd")</f>
        <v/>
      </c>
      <c r="D2103" t="inlineStr">
        <is>
          <t>1323-08-03</t>
        </is>
      </c>
    </row>
    <row r="2104">
      <c r="A2104" s="1" t="n">
        <v>2103</v>
      </c>
      <c r="B2104">
        <f>TEXT(2103, "[$-170000]yyyy-mm-dd")</f>
        <v/>
      </c>
      <c r="C2104">
        <f>TEXT(2103, "[$-060000]yyyy-mm-dd")</f>
        <v/>
      </c>
      <c r="D2104" t="inlineStr">
        <is>
          <t>1323-08-04</t>
        </is>
      </c>
    </row>
    <row r="2105">
      <c r="A2105" s="1" t="n">
        <v>2104</v>
      </c>
      <c r="B2105">
        <f>TEXT(2104, "[$-170000]yyyy-mm-dd")</f>
        <v/>
      </c>
      <c r="C2105">
        <f>TEXT(2104, "[$-060000]yyyy-mm-dd")</f>
        <v/>
      </c>
      <c r="D2105" t="inlineStr">
        <is>
          <t>1323-08-05</t>
        </is>
      </c>
    </row>
    <row r="2106">
      <c r="A2106" s="1" t="n">
        <v>2105</v>
      </c>
      <c r="B2106">
        <f>TEXT(2105, "[$-170000]yyyy-mm-dd")</f>
        <v/>
      </c>
      <c r="C2106">
        <f>TEXT(2105, "[$-060000]yyyy-mm-dd")</f>
        <v/>
      </c>
      <c r="D2106" t="inlineStr">
        <is>
          <t>1323-08-06</t>
        </is>
      </c>
    </row>
    <row r="2107">
      <c r="A2107" s="1" t="n">
        <v>2106</v>
      </c>
      <c r="B2107">
        <f>TEXT(2106, "[$-170000]yyyy-mm-dd")</f>
        <v/>
      </c>
      <c r="C2107">
        <f>TEXT(2106, "[$-060000]yyyy-mm-dd")</f>
        <v/>
      </c>
      <c r="D2107" t="inlineStr">
        <is>
          <t>1323-08-07</t>
        </is>
      </c>
    </row>
    <row r="2108">
      <c r="A2108" s="1" t="n">
        <v>2107</v>
      </c>
      <c r="B2108">
        <f>TEXT(2107, "[$-170000]yyyy-mm-dd")</f>
        <v/>
      </c>
      <c r="C2108">
        <f>TEXT(2107, "[$-060000]yyyy-mm-dd")</f>
        <v/>
      </c>
      <c r="D2108" t="inlineStr">
        <is>
          <t>1323-08-08</t>
        </is>
      </c>
    </row>
    <row r="2109">
      <c r="A2109" s="1" t="n">
        <v>2108</v>
      </c>
      <c r="B2109">
        <f>TEXT(2108, "[$-170000]yyyy-mm-dd")</f>
        <v/>
      </c>
      <c r="C2109">
        <f>TEXT(2108, "[$-060000]yyyy-mm-dd")</f>
        <v/>
      </c>
      <c r="D2109" t="inlineStr">
        <is>
          <t>1323-08-09</t>
        </is>
      </c>
    </row>
    <row r="2110">
      <c r="A2110" s="1" t="n">
        <v>2109</v>
      </c>
      <c r="B2110">
        <f>TEXT(2109, "[$-170000]yyyy-mm-dd")</f>
        <v/>
      </c>
      <c r="C2110">
        <f>TEXT(2109, "[$-060000]yyyy-mm-dd")</f>
        <v/>
      </c>
      <c r="D2110" t="inlineStr">
        <is>
          <t>1323-08-10</t>
        </is>
      </c>
    </row>
    <row r="2111">
      <c r="A2111" s="1" t="n">
        <v>2110</v>
      </c>
      <c r="B2111">
        <f>TEXT(2110, "[$-170000]yyyy-mm-dd")</f>
        <v/>
      </c>
      <c r="C2111">
        <f>TEXT(2110, "[$-060000]yyyy-mm-dd")</f>
        <v/>
      </c>
      <c r="D2111" t="inlineStr">
        <is>
          <t>1323-08-11</t>
        </is>
      </c>
    </row>
    <row r="2112">
      <c r="A2112" s="1" t="n">
        <v>2111</v>
      </c>
      <c r="B2112">
        <f>TEXT(2111, "[$-170000]yyyy-mm-dd")</f>
        <v/>
      </c>
      <c r="C2112">
        <f>TEXT(2111, "[$-060000]yyyy-mm-dd")</f>
        <v/>
      </c>
      <c r="D2112" t="inlineStr">
        <is>
          <t>1323-08-12</t>
        </is>
      </c>
    </row>
    <row r="2113">
      <c r="A2113" s="1" t="n">
        <v>2112</v>
      </c>
      <c r="B2113">
        <f>TEXT(2112, "[$-170000]yyyy-mm-dd")</f>
        <v/>
      </c>
      <c r="C2113">
        <f>TEXT(2112, "[$-060000]yyyy-mm-dd")</f>
        <v/>
      </c>
      <c r="D2113" t="inlineStr">
        <is>
          <t>1323-08-13</t>
        </is>
      </c>
    </row>
    <row r="2114">
      <c r="A2114" s="1" t="n">
        <v>2113</v>
      </c>
      <c r="B2114">
        <f>TEXT(2113, "[$-170000]yyyy-mm-dd")</f>
        <v/>
      </c>
      <c r="C2114">
        <f>TEXT(2113, "[$-060000]yyyy-mm-dd")</f>
        <v/>
      </c>
      <c r="D2114" t="inlineStr">
        <is>
          <t>1323-08-14</t>
        </is>
      </c>
    </row>
    <row r="2115">
      <c r="A2115" s="1" t="n">
        <v>2114</v>
      </c>
      <c r="B2115">
        <f>TEXT(2114, "[$-170000]yyyy-mm-dd")</f>
        <v/>
      </c>
      <c r="C2115">
        <f>TEXT(2114, "[$-060000]yyyy-mm-dd")</f>
        <v/>
      </c>
      <c r="D2115" t="inlineStr">
        <is>
          <t>1323-08-15</t>
        </is>
      </c>
    </row>
    <row r="2116">
      <c r="A2116" s="1" t="n">
        <v>2115</v>
      </c>
      <c r="B2116">
        <f>TEXT(2115, "[$-170000]yyyy-mm-dd")</f>
        <v/>
      </c>
      <c r="C2116">
        <f>TEXT(2115, "[$-060000]yyyy-mm-dd")</f>
        <v/>
      </c>
      <c r="D2116" t="inlineStr">
        <is>
          <t>1323-08-16</t>
        </is>
      </c>
    </row>
    <row r="2117">
      <c r="A2117" s="1" t="n">
        <v>2116</v>
      </c>
      <c r="B2117">
        <f>TEXT(2116, "[$-170000]yyyy-mm-dd")</f>
        <v/>
      </c>
      <c r="C2117">
        <f>TEXT(2116, "[$-060000]yyyy-mm-dd")</f>
        <v/>
      </c>
      <c r="D2117" t="inlineStr">
        <is>
          <t>1323-08-17</t>
        </is>
      </c>
    </row>
    <row r="2118">
      <c r="A2118" s="1" t="n">
        <v>2117</v>
      </c>
      <c r="B2118">
        <f>TEXT(2117, "[$-170000]yyyy-mm-dd")</f>
        <v/>
      </c>
      <c r="C2118">
        <f>TEXT(2117, "[$-060000]yyyy-mm-dd")</f>
        <v/>
      </c>
      <c r="D2118" t="inlineStr">
        <is>
          <t>1323-08-18</t>
        </is>
      </c>
    </row>
    <row r="2119">
      <c r="A2119" s="1" t="n">
        <v>2118</v>
      </c>
      <c r="B2119">
        <f>TEXT(2118, "[$-170000]yyyy-mm-dd")</f>
        <v/>
      </c>
      <c r="C2119">
        <f>TEXT(2118, "[$-060000]yyyy-mm-dd")</f>
        <v/>
      </c>
      <c r="D2119" t="inlineStr">
        <is>
          <t>1323-08-19</t>
        </is>
      </c>
    </row>
    <row r="2120">
      <c r="A2120" s="1" t="n">
        <v>2119</v>
      </c>
      <c r="B2120">
        <f>TEXT(2119, "[$-170000]yyyy-mm-dd")</f>
        <v/>
      </c>
      <c r="C2120">
        <f>TEXT(2119, "[$-060000]yyyy-mm-dd")</f>
        <v/>
      </c>
      <c r="D2120" t="inlineStr">
        <is>
          <t>1323-08-20</t>
        </is>
      </c>
    </row>
    <row r="2121">
      <c r="A2121" s="1" t="n">
        <v>2120</v>
      </c>
      <c r="B2121">
        <f>TEXT(2120, "[$-170000]yyyy-mm-dd")</f>
        <v/>
      </c>
      <c r="C2121">
        <f>TEXT(2120, "[$-060000]yyyy-mm-dd")</f>
        <v/>
      </c>
      <c r="D2121" t="inlineStr">
        <is>
          <t>1323-08-21</t>
        </is>
      </c>
    </row>
    <row r="2122">
      <c r="A2122" s="1" t="n">
        <v>2121</v>
      </c>
      <c r="B2122">
        <f>TEXT(2121, "[$-170000]yyyy-mm-dd")</f>
        <v/>
      </c>
      <c r="C2122">
        <f>TEXT(2121, "[$-060000]yyyy-mm-dd")</f>
        <v/>
      </c>
      <c r="D2122" t="inlineStr">
        <is>
          <t>1323-08-22</t>
        </is>
      </c>
    </row>
    <row r="2123">
      <c r="A2123" s="1" t="n">
        <v>2122</v>
      </c>
      <c r="B2123">
        <f>TEXT(2122, "[$-170000]yyyy-mm-dd")</f>
        <v/>
      </c>
      <c r="C2123">
        <f>TEXT(2122, "[$-060000]yyyy-mm-dd")</f>
        <v/>
      </c>
      <c r="D2123" t="inlineStr">
        <is>
          <t>1323-08-23</t>
        </is>
      </c>
    </row>
    <row r="2124">
      <c r="A2124" s="1" t="n">
        <v>2123</v>
      </c>
      <c r="B2124">
        <f>TEXT(2123, "[$-170000]yyyy-mm-dd")</f>
        <v/>
      </c>
      <c r="C2124">
        <f>TEXT(2123, "[$-060000]yyyy-mm-dd")</f>
        <v/>
      </c>
      <c r="D2124" t="inlineStr">
        <is>
          <t>1323-08-24</t>
        </is>
      </c>
    </row>
    <row r="2125">
      <c r="A2125" s="1" t="n">
        <v>2124</v>
      </c>
      <c r="B2125">
        <f>TEXT(2124, "[$-170000]yyyy-mm-dd")</f>
        <v/>
      </c>
      <c r="C2125">
        <f>TEXT(2124, "[$-060000]yyyy-mm-dd")</f>
        <v/>
      </c>
      <c r="D2125" t="inlineStr">
        <is>
          <t>1323-08-25</t>
        </is>
      </c>
    </row>
    <row r="2126">
      <c r="A2126" s="1" t="n">
        <v>2125</v>
      </c>
      <c r="B2126">
        <f>TEXT(2125, "[$-170000]yyyy-mm-dd")</f>
        <v/>
      </c>
      <c r="C2126">
        <f>TEXT(2125, "[$-060000]yyyy-mm-dd")</f>
        <v/>
      </c>
      <c r="D2126" t="inlineStr">
        <is>
          <t>1323-08-26</t>
        </is>
      </c>
    </row>
    <row r="2127">
      <c r="A2127" s="1" t="n">
        <v>2126</v>
      </c>
      <c r="B2127">
        <f>TEXT(2126, "[$-170000]yyyy-mm-dd")</f>
        <v/>
      </c>
      <c r="C2127">
        <f>TEXT(2126, "[$-060000]yyyy-mm-dd")</f>
        <v/>
      </c>
      <c r="D2127" t="inlineStr">
        <is>
          <t>1323-08-27</t>
        </is>
      </c>
    </row>
    <row r="2128">
      <c r="A2128" s="1" t="n">
        <v>2127</v>
      </c>
      <c r="B2128">
        <f>TEXT(2127, "[$-170000]yyyy-mm-dd")</f>
        <v/>
      </c>
      <c r="C2128">
        <f>TEXT(2127, "[$-060000]yyyy-mm-dd")</f>
        <v/>
      </c>
      <c r="D2128" t="inlineStr">
        <is>
          <t>1323-08-28</t>
        </is>
      </c>
    </row>
    <row r="2129">
      <c r="A2129" s="1" t="n">
        <v>2128</v>
      </c>
      <c r="B2129">
        <f>TEXT(2128, "[$-170000]yyyy-mm-dd")</f>
        <v/>
      </c>
      <c r="C2129">
        <f>TEXT(2128, "[$-060000]yyyy-mm-dd")</f>
        <v/>
      </c>
      <c r="D2129" t="inlineStr">
        <is>
          <t>1323-08-29</t>
        </is>
      </c>
    </row>
    <row r="2130">
      <c r="A2130" s="1" t="n">
        <v>2129</v>
      </c>
      <c r="B2130">
        <f>TEXT(2129, "[$-170000]yyyy-mm-dd")</f>
        <v/>
      </c>
      <c r="C2130">
        <f>TEXT(2129, "[$-060000]yyyy-mm-dd")</f>
        <v/>
      </c>
      <c r="D2130" t="inlineStr">
        <is>
          <t>1323-09-01</t>
        </is>
      </c>
    </row>
    <row r="2131">
      <c r="A2131" s="1" t="n">
        <v>2130</v>
      </c>
      <c r="B2131">
        <f>TEXT(2130, "[$-170000]yyyy-mm-dd")</f>
        <v/>
      </c>
      <c r="C2131">
        <f>TEXT(2130, "[$-060000]yyyy-mm-dd")</f>
        <v/>
      </c>
      <c r="D2131" t="inlineStr">
        <is>
          <t>1323-09-02</t>
        </is>
      </c>
    </row>
    <row r="2132">
      <c r="A2132" s="1" t="n">
        <v>2131</v>
      </c>
      <c r="B2132">
        <f>TEXT(2131, "[$-170000]yyyy-mm-dd")</f>
        <v/>
      </c>
      <c r="C2132">
        <f>TEXT(2131, "[$-060000]yyyy-mm-dd")</f>
        <v/>
      </c>
      <c r="D2132" t="inlineStr">
        <is>
          <t>1323-09-03</t>
        </is>
      </c>
    </row>
    <row r="2133">
      <c r="A2133" s="1" t="n">
        <v>2132</v>
      </c>
      <c r="B2133">
        <f>TEXT(2132, "[$-170000]yyyy-mm-dd")</f>
        <v/>
      </c>
      <c r="C2133">
        <f>TEXT(2132, "[$-060000]yyyy-mm-dd")</f>
        <v/>
      </c>
      <c r="D2133" t="inlineStr">
        <is>
          <t>1323-09-04</t>
        </is>
      </c>
    </row>
    <row r="2134">
      <c r="A2134" s="1" t="n">
        <v>2133</v>
      </c>
      <c r="B2134">
        <f>TEXT(2133, "[$-170000]yyyy-mm-dd")</f>
        <v/>
      </c>
      <c r="C2134">
        <f>TEXT(2133, "[$-060000]yyyy-mm-dd")</f>
        <v/>
      </c>
      <c r="D2134" t="inlineStr">
        <is>
          <t>1323-09-05</t>
        </is>
      </c>
    </row>
    <row r="2135">
      <c r="A2135" s="1" t="n">
        <v>2134</v>
      </c>
      <c r="B2135">
        <f>TEXT(2134, "[$-170000]yyyy-mm-dd")</f>
        <v/>
      </c>
      <c r="C2135">
        <f>TEXT(2134, "[$-060000]yyyy-mm-dd")</f>
        <v/>
      </c>
      <c r="D2135" t="inlineStr">
        <is>
          <t>1323-09-06</t>
        </is>
      </c>
    </row>
    <row r="2136">
      <c r="A2136" s="1" t="n">
        <v>2135</v>
      </c>
      <c r="B2136">
        <f>TEXT(2135, "[$-170000]yyyy-mm-dd")</f>
        <v/>
      </c>
      <c r="C2136">
        <f>TEXT(2135, "[$-060000]yyyy-mm-dd")</f>
        <v/>
      </c>
      <c r="D2136" t="inlineStr">
        <is>
          <t>1323-09-07</t>
        </is>
      </c>
    </row>
    <row r="2137">
      <c r="A2137" s="1" t="n">
        <v>2136</v>
      </c>
      <c r="B2137">
        <f>TEXT(2136, "[$-170000]yyyy-mm-dd")</f>
        <v/>
      </c>
      <c r="C2137">
        <f>TEXT(2136, "[$-060000]yyyy-mm-dd")</f>
        <v/>
      </c>
      <c r="D2137" t="inlineStr">
        <is>
          <t>1323-09-08</t>
        </is>
      </c>
    </row>
    <row r="2138">
      <c r="A2138" s="1" t="n">
        <v>2137</v>
      </c>
      <c r="B2138">
        <f>TEXT(2137, "[$-170000]yyyy-mm-dd")</f>
        <v/>
      </c>
      <c r="C2138">
        <f>TEXT(2137, "[$-060000]yyyy-mm-dd")</f>
        <v/>
      </c>
      <c r="D2138" t="inlineStr">
        <is>
          <t>1323-09-09</t>
        </is>
      </c>
    </row>
    <row r="2139">
      <c r="A2139" s="1" t="n">
        <v>2138</v>
      </c>
      <c r="B2139">
        <f>TEXT(2138, "[$-170000]yyyy-mm-dd")</f>
        <v/>
      </c>
      <c r="C2139">
        <f>TEXT(2138, "[$-060000]yyyy-mm-dd")</f>
        <v/>
      </c>
      <c r="D2139" t="inlineStr">
        <is>
          <t>1323-09-10</t>
        </is>
      </c>
    </row>
    <row r="2140">
      <c r="A2140" s="1" t="n">
        <v>2139</v>
      </c>
      <c r="B2140">
        <f>TEXT(2139, "[$-170000]yyyy-mm-dd")</f>
        <v/>
      </c>
      <c r="C2140">
        <f>TEXT(2139, "[$-060000]yyyy-mm-dd")</f>
        <v/>
      </c>
      <c r="D2140" t="inlineStr">
        <is>
          <t>1323-09-11</t>
        </is>
      </c>
    </row>
    <row r="2141">
      <c r="A2141" s="1" t="n">
        <v>2140</v>
      </c>
      <c r="B2141">
        <f>TEXT(2140, "[$-170000]yyyy-mm-dd")</f>
        <v/>
      </c>
      <c r="C2141">
        <f>TEXT(2140, "[$-060000]yyyy-mm-dd")</f>
        <v/>
      </c>
      <c r="D2141" t="inlineStr">
        <is>
          <t>1323-09-12</t>
        </is>
      </c>
    </row>
    <row r="2142">
      <c r="A2142" s="1" t="n">
        <v>2141</v>
      </c>
      <c r="B2142">
        <f>TEXT(2141, "[$-170000]yyyy-mm-dd")</f>
        <v/>
      </c>
      <c r="C2142">
        <f>TEXT(2141, "[$-060000]yyyy-mm-dd")</f>
        <v/>
      </c>
      <c r="D2142" t="inlineStr">
        <is>
          <t>1323-09-13</t>
        </is>
      </c>
    </row>
    <row r="2143">
      <c r="A2143" s="1" t="n">
        <v>2142</v>
      </c>
      <c r="B2143">
        <f>TEXT(2142, "[$-170000]yyyy-mm-dd")</f>
        <v/>
      </c>
      <c r="C2143">
        <f>TEXT(2142, "[$-060000]yyyy-mm-dd")</f>
        <v/>
      </c>
      <c r="D2143" t="inlineStr">
        <is>
          <t>1323-09-14</t>
        </is>
      </c>
    </row>
    <row r="2144">
      <c r="A2144" s="1" t="n">
        <v>2143</v>
      </c>
      <c r="B2144">
        <f>TEXT(2143, "[$-170000]yyyy-mm-dd")</f>
        <v/>
      </c>
      <c r="C2144">
        <f>TEXT(2143, "[$-060000]yyyy-mm-dd")</f>
        <v/>
      </c>
      <c r="D2144" t="inlineStr">
        <is>
          <t>1323-09-15</t>
        </is>
      </c>
    </row>
    <row r="2145">
      <c r="A2145" s="1" t="n">
        <v>2144</v>
      </c>
      <c r="B2145">
        <f>TEXT(2144, "[$-170000]yyyy-mm-dd")</f>
        <v/>
      </c>
      <c r="C2145">
        <f>TEXT(2144, "[$-060000]yyyy-mm-dd")</f>
        <v/>
      </c>
      <c r="D2145" t="inlineStr">
        <is>
          <t>1323-09-16</t>
        </is>
      </c>
    </row>
    <row r="2146">
      <c r="A2146" s="1" t="n">
        <v>2145</v>
      </c>
      <c r="B2146">
        <f>TEXT(2145, "[$-170000]yyyy-mm-dd")</f>
        <v/>
      </c>
      <c r="C2146">
        <f>TEXT(2145, "[$-060000]yyyy-mm-dd")</f>
        <v/>
      </c>
      <c r="D2146" t="inlineStr">
        <is>
          <t>1323-09-17</t>
        </is>
      </c>
    </row>
    <row r="2147">
      <c r="A2147" s="1" t="n">
        <v>2146</v>
      </c>
      <c r="B2147">
        <f>TEXT(2146, "[$-170000]yyyy-mm-dd")</f>
        <v/>
      </c>
      <c r="C2147">
        <f>TEXT(2146, "[$-060000]yyyy-mm-dd")</f>
        <v/>
      </c>
      <c r="D2147" t="inlineStr">
        <is>
          <t>1323-09-18</t>
        </is>
      </c>
    </row>
    <row r="2148">
      <c r="A2148" s="1" t="n">
        <v>2147</v>
      </c>
      <c r="B2148">
        <f>TEXT(2147, "[$-170000]yyyy-mm-dd")</f>
        <v/>
      </c>
      <c r="C2148">
        <f>TEXT(2147, "[$-060000]yyyy-mm-dd")</f>
        <v/>
      </c>
      <c r="D2148" t="inlineStr">
        <is>
          <t>1323-09-19</t>
        </is>
      </c>
    </row>
    <row r="2149">
      <c r="A2149" s="1" t="n">
        <v>2148</v>
      </c>
      <c r="B2149">
        <f>TEXT(2148, "[$-170000]yyyy-mm-dd")</f>
        <v/>
      </c>
      <c r="C2149">
        <f>TEXT(2148, "[$-060000]yyyy-mm-dd")</f>
        <v/>
      </c>
      <c r="D2149" t="inlineStr">
        <is>
          <t>1323-09-20</t>
        </is>
      </c>
    </row>
    <row r="2150">
      <c r="A2150" s="1" t="n">
        <v>2149</v>
      </c>
      <c r="B2150">
        <f>TEXT(2149, "[$-170000]yyyy-mm-dd")</f>
        <v/>
      </c>
      <c r="C2150">
        <f>TEXT(2149, "[$-060000]yyyy-mm-dd")</f>
        <v/>
      </c>
      <c r="D2150" t="inlineStr">
        <is>
          <t>1323-09-21</t>
        </is>
      </c>
    </row>
    <row r="2151">
      <c r="A2151" s="1" t="n">
        <v>2150</v>
      </c>
      <c r="B2151">
        <f>TEXT(2150, "[$-170000]yyyy-mm-dd")</f>
        <v/>
      </c>
      <c r="C2151">
        <f>TEXT(2150, "[$-060000]yyyy-mm-dd")</f>
        <v/>
      </c>
      <c r="D2151" t="inlineStr">
        <is>
          <t>1323-09-22</t>
        </is>
      </c>
    </row>
    <row r="2152">
      <c r="A2152" s="1" t="n">
        <v>2151</v>
      </c>
      <c r="B2152">
        <f>TEXT(2151, "[$-170000]yyyy-mm-dd")</f>
        <v/>
      </c>
      <c r="C2152">
        <f>TEXT(2151, "[$-060000]yyyy-mm-dd")</f>
        <v/>
      </c>
      <c r="D2152" t="inlineStr">
        <is>
          <t>1323-09-23</t>
        </is>
      </c>
    </row>
    <row r="2153">
      <c r="A2153" s="1" t="n">
        <v>2152</v>
      </c>
      <c r="B2153">
        <f>TEXT(2152, "[$-170000]yyyy-mm-dd")</f>
        <v/>
      </c>
      <c r="C2153">
        <f>TEXT(2152, "[$-060000]yyyy-mm-dd")</f>
        <v/>
      </c>
      <c r="D2153" t="inlineStr">
        <is>
          <t>1323-09-24</t>
        </is>
      </c>
    </row>
    <row r="2154">
      <c r="A2154" s="1" t="n">
        <v>2153</v>
      </c>
      <c r="B2154">
        <f>TEXT(2153, "[$-170000]yyyy-mm-dd")</f>
        <v/>
      </c>
      <c r="C2154">
        <f>TEXT(2153, "[$-060000]yyyy-mm-dd")</f>
        <v/>
      </c>
      <c r="D2154" t="inlineStr">
        <is>
          <t>1323-09-25</t>
        </is>
      </c>
    </row>
    <row r="2155">
      <c r="A2155" s="1" t="n">
        <v>2154</v>
      </c>
      <c r="B2155">
        <f>TEXT(2154, "[$-170000]yyyy-mm-dd")</f>
        <v/>
      </c>
      <c r="C2155">
        <f>TEXT(2154, "[$-060000]yyyy-mm-dd")</f>
        <v/>
      </c>
      <c r="D2155" t="inlineStr">
        <is>
          <t>1323-09-26</t>
        </is>
      </c>
    </row>
    <row r="2156">
      <c r="A2156" s="1" t="n">
        <v>2155</v>
      </c>
      <c r="B2156">
        <f>TEXT(2155, "[$-170000]yyyy-mm-dd")</f>
        <v/>
      </c>
      <c r="C2156">
        <f>TEXT(2155, "[$-060000]yyyy-mm-dd")</f>
        <v/>
      </c>
      <c r="D2156" t="inlineStr">
        <is>
          <t>1323-09-27</t>
        </is>
      </c>
    </row>
    <row r="2157">
      <c r="A2157" s="1" t="n">
        <v>2156</v>
      </c>
      <c r="B2157">
        <f>TEXT(2156, "[$-170000]yyyy-mm-dd")</f>
        <v/>
      </c>
      <c r="C2157">
        <f>TEXT(2156, "[$-060000]yyyy-mm-dd")</f>
        <v/>
      </c>
      <c r="D2157" t="inlineStr">
        <is>
          <t>1323-09-28</t>
        </is>
      </c>
    </row>
    <row r="2158">
      <c r="A2158" s="1" t="n">
        <v>2157</v>
      </c>
      <c r="B2158">
        <f>TEXT(2157, "[$-170000]yyyy-mm-dd")</f>
        <v/>
      </c>
      <c r="C2158">
        <f>TEXT(2157, "[$-060000]yyyy-mm-dd")</f>
        <v/>
      </c>
      <c r="D2158" t="inlineStr">
        <is>
          <t>1323-09-29</t>
        </is>
      </c>
    </row>
    <row r="2159">
      <c r="A2159" s="1" t="n">
        <v>2158</v>
      </c>
      <c r="B2159">
        <f>TEXT(2158, "[$-170000]yyyy-mm-dd")</f>
        <v/>
      </c>
      <c r="C2159">
        <f>TEXT(2158, "[$-060000]yyyy-mm-dd")</f>
        <v/>
      </c>
      <c r="D2159" t="inlineStr">
        <is>
          <t>1323-09-30</t>
        </is>
      </c>
    </row>
    <row r="2160">
      <c r="A2160" s="1" t="n">
        <v>2159</v>
      </c>
      <c r="B2160">
        <f>TEXT(2159, "[$-170000]yyyy-mm-dd")</f>
        <v/>
      </c>
      <c r="C2160">
        <f>TEXT(2159, "[$-060000]yyyy-mm-dd")</f>
        <v/>
      </c>
      <c r="D2160" t="inlineStr">
        <is>
          <t>1323-10-01</t>
        </is>
      </c>
    </row>
    <row r="2161">
      <c r="A2161" s="1" t="n">
        <v>2160</v>
      </c>
      <c r="B2161">
        <f>TEXT(2160, "[$-170000]yyyy-mm-dd")</f>
        <v/>
      </c>
      <c r="C2161">
        <f>TEXT(2160, "[$-060000]yyyy-mm-dd")</f>
        <v/>
      </c>
      <c r="D2161" t="inlineStr">
        <is>
          <t>1323-10-02</t>
        </is>
      </c>
    </row>
    <row r="2162">
      <c r="A2162" s="1" t="n">
        <v>2161</v>
      </c>
      <c r="B2162">
        <f>TEXT(2161, "[$-170000]yyyy-mm-dd")</f>
        <v/>
      </c>
      <c r="C2162">
        <f>TEXT(2161, "[$-060000]yyyy-mm-dd")</f>
        <v/>
      </c>
      <c r="D2162" t="inlineStr">
        <is>
          <t>1323-10-03</t>
        </is>
      </c>
    </row>
    <row r="2163">
      <c r="A2163" s="1" t="n">
        <v>2162</v>
      </c>
      <c r="B2163">
        <f>TEXT(2162, "[$-170000]yyyy-mm-dd")</f>
        <v/>
      </c>
      <c r="C2163">
        <f>TEXT(2162, "[$-060000]yyyy-mm-dd")</f>
        <v/>
      </c>
      <c r="D2163" t="inlineStr">
        <is>
          <t>1323-10-04</t>
        </is>
      </c>
    </row>
    <row r="2164">
      <c r="A2164" s="1" t="n">
        <v>2163</v>
      </c>
      <c r="B2164">
        <f>TEXT(2163, "[$-170000]yyyy-mm-dd")</f>
        <v/>
      </c>
      <c r="C2164">
        <f>TEXT(2163, "[$-060000]yyyy-mm-dd")</f>
        <v/>
      </c>
      <c r="D2164" t="inlineStr">
        <is>
          <t>1323-10-05</t>
        </is>
      </c>
    </row>
    <row r="2165">
      <c r="A2165" s="1" t="n">
        <v>2164</v>
      </c>
      <c r="B2165">
        <f>TEXT(2164, "[$-170000]yyyy-mm-dd")</f>
        <v/>
      </c>
      <c r="C2165">
        <f>TEXT(2164, "[$-060000]yyyy-mm-dd")</f>
        <v/>
      </c>
      <c r="D2165" t="inlineStr">
        <is>
          <t>1323-10-06</t>
        </is>
      </c>
    </row>
    <row r="2166">
      <c r="A2166" s="1" t="n">
        <v>2165</v>
      </c>
      <c r="B2166">
        <f>TEXT(2165, "[$-170000]yyyy-mm-dd")</f>
        <v/>
      </c>
      <c r="C2166">
        <f>TEXT(2165, "[$-060000]yyyy-mm-dd")</f>
        <v/>
      </c>
      <c r="D2166" t="inlineStr">
        <is>
          <t>1323-10-07</t>
        </is>
      </c>
    </row>
    <row r="2167">
      <c r="A2167" s="1" t="n">
        <v>2166</v>
      </c>
      <c r="B2167">
        <f>TEXT(2166, "[$-170000]yyyy-mm-dd")</f>
        <v/>
      </c>
      <c r="C2167">
        <f>TEXT(2166, "[$-060000]yyyy-mm-dd")</f>
        <v/>
      </c>
      <c r="D2167" t="inlineStr">
        <is>
          <t>1323-10-08</t>
        </is>
      </c>
    </row>
    <row r="2168">
      <c r="A2168" s="1" t="n">
        <v>2167</v>
      </c>
      <c r="B2168">
        <f>TEXT(2167, "[$-170000]yyyy-mm-dd")</f>
        <v/>
      </c>
      <c r="C2168">
        <f>TEXT(2167, "[$-060000]yyyy-mm-dd")</f>
        <v/>
      </c>
      <c r="D2168" t="inlineStr">
        <is>
          <t>1323-10-09</t>
        </is>
      </c>
    </row>
    <row r="2169">
      <c r="A2169" s="1" t="n">
        <v>2168</v>
      </c>
      <c r="B2169">
        <f>TEXT(2168, "[$-170000]yyyy-mm-dd")</f>
        <v/>
      </c>
      <c r="C2169">
        <f>TEXT(2168, "[$-060000]yyyy-mm-dd")</f>
        <v/>
      </c>
      <c r="D2169" t="inlineStr">
        <is>
          <t>1323-10-10</t>
        </is>
      </c>
    </row>
    <row r="2170">
      <c r="A2170" s="1" t="n">
        <v>2169</v>
      </c>
      <c r="B2170">
        <f>TEXT(2169, "[$-170000]yyyy-mm-dd")</f>
        <v/>
      </c>
      <c r="C2170">
        <f>TEXT(2169, "[$-060000]yyyy-mm-dd")</f>
        <v/>
      </c>
      <c r="D2170" t="inlineStr">
        <is>
          <t>1323-10-11</t>
        </is>
      </c>
    </row>
    <row r="2171">
      <c r="A2171" s="1" t="n">
        <v>2170</v>
      </c>
      <c r="B2171">
        <f>TEXT(2170, "[$-170000]yyyy-mm-dd")</f>
        <v/>
      </c>
      <c r="C2171">
        <f>TEXT(2170, "[$-060000]yyyy-mm-dd")</f>
        <v/>
      </c>
      <c r="D2171" t="inlineStr">
        <is>
          <t>1323-10-12</t>
        </is>
      </c>
    </row>
    <row r="2172">
      <c r="A2172" s="1" t="n">
        <v>2171</v>
      </c>
      <c r="B2172">
        <f>TEXT(2171, "[$-170000]yyyy-mm-dd")</f>
        <v/>
      </c>
      <c r="C2172">
        <f>TEXT(2171, "[$-060000]yyyy-mm-dd")</f>
        <v/>
      </c>
      <c r="D2172" t="inlineStr">
        <is>
          <t>1323-10-13</t>
        </is>
      </c>
    </row>
    <row r="2173">
      <c r="A2173" s="1" t="n">
        <v>2172</v>
      </c>
      <c r="B2173">
        <f>TEXT(2172, "[$-170000]yyyy-mm-dd")</f>
        <v/>
      </c>
      <c r="C2173">
        <f>TEXT(2172, "[$-060000]yyyy-mm-dd")</f>
        <v/>
      </c>
      <c r="D2173" t="inlineStr">
        <is>
          <t>1323-10-14</t>
        </is>
      </c>
    </row>
    <row r="2174">
      <c r="A2174" s="1" t="n">
        <v>2173</v>
      </c>
      <c r="B2174">
        <f>TEXT(2173, "[$-170000]yyyy-mm-dd")</f>
        <v/>
      </c>
      <c r="C2174">
        <f>TEXT(2173, "[$-060000]yyyy-mm-dd")</f>
        <v/>
      </c>
      <c r="D2174" t="inlineStr">
        <is>
          <t>1323-10-15</t>
        </is>
      </c>
    </row>
    <row r="2175">
      <c r="A2175" s="1" t="n">
        <v>2174</v>
      </c>
      <c r="B2175">
        <f>TEXT(2174, "[$-170000]yyyy-mm-dd")</f>
        <v/>
      </c>
      <c r="C2175">
        <f>TEXT(2174, "[$-060000]yyyy-mm-dd")</f>
        <v/>
      </c>
      <c r="D2175" t="inlineStr">
        <is>
          <t>1323-10-16</t>
        </is>
      </c>
    </row>
    <row r="2176">
      <c r="A2176" s="1" t="n">
        <v>2175</v>
      </c>
      <c r="B2176">
        <f>TEXT(2175, "[$-170000]yyyy-mm-dd")</f>
        <v/>
      </c>
      <c r="C2176">
        <f>TEXT(2175, "[$-060000]yyyy-mm-dd")</f>
        <v/>
      </c>
      <c r="D2176" t="inlineStr">
        <is>
          <t>1323-10-17</t>
        </is>
      </c>
    </row>
    <row r="2177">
      <c r="A2177" s="1" t="n">
        <v>2176</v>
      </c>
      <c r="B2177">
        <f>TEXT(2176, "[$-170000]yyyy-mm-dd")</f>
        <v/>
      </c>
      <c r="C2177">
        <f>TEXT(2176, "[$-060000]yyyy-mm-dd")</f>
        <v/>
      </c>
      <c r="D2177" t="inlineStr">
        <is>
          <t>1323-10-18</t>
        </is>
      </c>
    </row>
    <row r="2178">
      <c r="A2178" s="1" t="n">
        <v>2177</v>
      </c>
      <c r="B2178">
        <f>TEXT(2177, "[$-170000]yyyy-mm-dd")</f>
        <v/>
      </c>
      <c r="C2178">
        <f>TEXT(2177, "[$-060000]yyyy-mm-dd")</f>
        <v/>
      </c>
      <c r="D2178" t="inlineStr">
        <is>
          <t>1323-10-19</t>
        </is>
      </c>
    </row>
    <row r="2179">
      <c r="A2179" s="1" t="n">
        <v>2178</v>
      </c>
      <c r="B2179">
        <f>TEXT(2178, "[$-170000]yyyy-mm-dd")</f>
        <v/>
      </c>
      <c r="C2179">
        <f>TEXT(2178, "[$-060000]yyyy-mm-dd")</f>
        <v/>
      </c>
      <c r="D2179" t="inlineStr">
        <is>
          <t>1323-10-20</t>
        </is>
      </c>
    </row>
    <row r="2180">
      <c r="A2180" s="1" t="n">
        <v>2179</v>
      </c>
      <c r="B2180">
        <f>TEXT(2179, "[$-170000]yyyy-mm-dd")</f>
        <v/>
      </c>
      <c r="C2180">
        <f>TEXT(2179, "[$-060000]yyyy-mm-dd")</f>
        <v/>
      </c>
      <c r="D2180" t="inlineStr">
        <is>
          <t>1323-10-21</t>
        </is>
      </c>
    </row>
    <row r="2181">
      <c r="A2181" s="1" t="n">
        <v>2180</v>
      </c>
      <c r="B2181">
        <f>TEXT(2180, "[$-170000]yyyy-mm-dd")</f>
        <v/>
      </c>
      <c r="C2181">
        <f>TEXT(2180, "[$-060000]yyyy-mm-dd")</f>
        <v/>
      </c>
      <c r="D2181" t="inlineStr">
        <is>
          <t>1323-10-22</t>
        </is>
      </c>
    </row>
    <row r="2182">
      <c r="A2182" s="1" t="n">
        <v>2181</v>
      </c>
      <c r="B2182">
        <f>TEXT(2181, "[$-170000]yyyy-mm-dd")</f>
        <v/>
      </c>
      <c r="C2182">
        <f>TEXT(2181, "[$-060000]yyyy-mm-dd")</f>
        <v/>
      </c>
      <c r="D2182" t="inlineStr">
        <is>
          <t>1323-10-23</t>
        </is>
      </c>
    </row>
    <row r="2183">
      <c r="A2183" s="1" t="n">
        <v>2182</v>
      </c>
      <c r="B2183">
        <f>TEXT(2182, "[$-170000]yyyy-mm-dd")</f>
        <v/>
      </c>
      <c r="C2183">
        <f>TEXT(2182, "[$-060000]yyyy-mm-dd")</f>
        <v/>
      </c>
      <c r="D2183" t="inlineStr">
        <is>
          <t>1323-10-24</t>
        </is>
      </c>
    </row>
    <row r="2184">
      <c r="A2184" s="1" t="n">
        <v>2183</v>
      </c>
      <c r="B2184">
        <f>TEXT(2183, "[$-170000]yyyy-mm-dd")</f>
        <v/>
      </c>
      <c r="C2184">
        <f>TEXT(2183, "[$-060000]yyyy-mm-dd")</f>
        <v/>
      </c>
      <c r="D2184" t="inlineStr">
        <is>
          <t>1323-10-25</t>
        </is>
      </c>
    </row>
    <row r="2185">
      <c r="A2185" s="1" t="n">
        <v>2184</v>
      </c>
      <c r="B2185">
        <f>TEXT(2184, "[$-170000]yyyy-mm-dd")</f>
        <v/>
      </c>
      <c r="C2185">
        <f>TEXT(2184, "[$-060000]yyyy-mm-dd")</f>
        <v/>
      </c>
      <c r="D2185" t="inlineStr">
        <is>
          <t>1323-10-26</t>
        </is>
      </c>
    </row>
    <row r="2186">
      <c r="A2186" s="1" t="n">
        <v>2185</v>
      </c>
      <c r="B2186">
        <f>TEXT(2185, "[$-170000]yyyy-mm-dd")</f>
        <v/>
      </c>
      <c r="C2186">
        <f>TEXT(2185, "[$-060000]yyyy-mm-dd")</f>
        <v/>
      </c>
      <c r="D2186" t="inlineStr">
        <is>
          <t>1323-10-27</t>
        </is>
      </c>
    </row>
    <row r="2187">
      <c r="A2187" s="1" t="n">
        <v>2186</v>
      </c>
      <c r="B2187">
        <f>TEXT(2186, "[$-170000]yyyy-mm-dd")</f>
        <v/>
      </c>
      <c r="C2187">
        <f>TEXT(2186, "[$-060000]yyyy-mm-dd")</f>
        <v/>
      </c>
      <c r="D2187" t="inlineStr">
        <is>
          <t>1323-10-28</t>
        </is>
      </c>
    </row>
    <row r="2188">
      <c r="A2188" s="1" t="n">
        <v>2187</v>
      </c>
      <c r="B2188">
        <f>TEXT(2187, "[$-170000]yyyy-mm-dd")</f>
        <v/>
      </c>
      <c r="C2188">
        <f>TEXT(2187, "[$-060000]yyyy-mm-dd")</f>
        <v/>
      </c>
      <c r="D2188" t="inlineStr">
        <is>
          <t>1323-10-29</t>
        </is>
      </c>
    </row>
    <row r="2189">
      <c r="A2189" s="1" t="n">
        <v>2188</v>
      </c>
      <c r="B2189">
        <f>TEXT(2188, "[$-170000]yyyy-mm-dd")</f>
        <v/>
      </c>
      <c r="C2189">
        <f>TEXT(2188, "[$-060000]yyyy-mm-dd")</f>
        <v/>
      </c>
      <c r="D2189" t="inlineStr">
        <is>
          <t>1323-11-01</t>
        </is>
      </c>
    </row>
    <row r="2190">
      <c r="A2190" s="1" t="n">
        <v>2189</v>
      </c>
      <c r="B2190">
        <f>TEXT(2189, "[$-170000]yyyy-mm-dd")</f>
        <v/>
      </c>
      <c r="C2190">
        <f>TEXT(2189, "[$-060000]yyyy-mm-dd")</f>
        <v/>
      </c>
      <c r="D2190" t="inlineStr">
        <is>
          <t>1323-11-02</t>
        </is>
      </c>
    </row>
    <row r="2191">
      <c r="A2191" s="1" t="n">
        <v>2190</v>
      </c>
      <c r="B2191">
        <f>TEXT(2190, "[$-170000]yyyy-mm-dd")</f>
        <v/>
      </c>
      <c r="C2191">
        <f>TEXT(2190, "[$-060000]yyyy-mm-dd")</f>
        <v/>
      </c>
      <c r="D2191" t="inlineStr">
        <is>
          <t>1323-11-03</t>
        </is>
      </c>
    </row>
    <row r="2192">
      <c r="A2192" s="1" t="n">
        <v>2191</v>
      </c>
      <c r="B2192">
        <f>TEXT(2191, "[$-170000]yyyy-mm-dd")</f>
        <v/>
      </c>
      <c r="C2192">
        <f>TEXT(2191, "[$-060000]yyyy-mm-dd")</f>
        <v/>
      </c>
      <c r="D2192" t="inlineStr">
        <is>
          <t>1323-11-04</t>
        </is>
      </c>
    </row>
    <row r="2193">
      <c r="A2193" s="1" t="n">
        <v>2192</v>
      </c>
      <c r="B2193">
        <f>TEXT(2192, "[$-170000]yyyy-mm-dd")</f>
        <v/>
      </c>
      <c r="C2193">
        <f>TEXT(2192, "[$-060000]yyyy-mm-dd")</f>
        <v/>
      </c>
      <c r="D2193" t="inlineStr">
        <is>
          <t>1323-11-05</t>
        </is>
      </c>
    </row>
    <row r="2194">
      <c r="A2194" s="1" t="n">
        <v>2193</v>
      </c>
      <c r="B2194">
        <f>TEXT(2193, "[$-170000]yyyy-mm-dd")</f>
        <v/>
      </c>
      <c r="C2194">
        <f>TEXT(2193, "[$-060000]yyyy-mm-dd")</f>
        <v/>
      </c>
      <c r="D2194" t="inlineStr">
        <is>
          <t>1323-11-06</t>
        </is>
      </c>
    </row>
    <row r="2195">
      <c r="A2195" s="1" t="n">
        <v>2194</v>
      </c>
      <c r="B2195">
        <f>TEXT(2194, "[$-170000]yyyy-mm-dd")</f>
        <v/>
      </c>
      <c r="C2195">
        <f>TEXT(2194, "[$-060000]yyyy-mm-dd")</f>
        <v/>
      </c>
      <c r="D2195" t="inlineStr">
        <is>
          <t>1323-11-07</t>
        </is>
      </c>
    </row>
    <row r="2196">
      <c r="A2196" s="1" t="n">
        <v>2195</v>
      </c>
      <c r="B2196">
        <f>TEXT(2195, "[$-170000]yyyy-mm-dd")</f>
        <v/>
      </c>
      <c r="C2196">
        <f>TEXT(2195, "[$-060000]yyyy-mm-dd")</f>
        <v/>
      </c>
      <c r="D2196" t="inlineStr">
        <is>
          <t>1323-11-08</t>
        </is>
      </c>
    </row>
    <row r="2197">
      <c r="A2197" s="1" t="n">
        <v>2196</v>
      </c>
      <c r="B2197">
        <f>TEXT(2196, "[$-170000]yyyy-mm-dd")</f>
        <v/>
      </c>
      <c r="C2197">
        <f>TEXT(2196, "[$-060000]yyyy-mm-dd")</f>
        <v/>
      </c>
      <c r="D2197" t="inlineStr">
        <is>
          <t>1323-11-09</t>
        </is>
      </c>
    </row>
    <row r="2198">
      <c r="A2198" s="1" t="n">
        <v>2197</v>
      </c>
      <c r="B2198">
        <f>TEXT(2197, "[$-170000]yyyy-mm-dd")</f>
        <v/>
      </c>
      <c r="C2198">
        <f>TEXT(2197, "[$-060000]yyyy-mm-dd")</f>
        <v/>
      </c>
      <c r="D2198" t="inlineStr">
        <is>
          <t>1323-11-10</t>
        </is>
      </c>
    </row>
    <row r="2199">
      <c r="A2199" s="1" t="n">
        <v>2198</v>
      </c>
      <c r="B2199">
        <f>TEXT(2198, "[$-170000]yyyy-mm-dd")</f>
        <v/>
      </c>
      <c r="C2199">
        <f>TEXT(2198, "[$-060000]yyyy-mm-dd")</f>
        <v/>
      </c>
      <c r="D2199" t="inlineStr">
        <is>
          <t>1323-11-11</t>
        </is>
      </c>
    </row>
    <row r="2200">
      <c r="A2200" s="1" t="n">
        <v>2199</v>
      </c>
      <c r="B2200">
        <f>TEXT(2199, "[$-170000]yyyy-mm-dd")</f>
        <v/>
      </c>
      <c r="C2200">
        <f>TEXT(2199, "[$-060000]yyyy-mm-dd")</f>
        <v/>
      </c>
      <c r="D2200" t="inlineStr">
        <is>
          <t>1323-11-12</t>
        </is>
      </c>
    </row>
    <row r="2201">
      <c r="A2201" s="1" t="n">
        <v>2200</v>
      </c>
      <c r="B2201">
        <f>TEXT(2200, "[$-170000]yyyy-mm-dd")</f>
        <v/>
      </c>
      <c r="C2201">
        <f>TEXT(2200, "[$-060000]yyyy-mm-dd")</f>
        <v/>
      </c>
      <c r="D2201" t="inlineStr">
        <is>
          <t>1323-11-13</t>
        </is>
      </c>
    </row>
    <row r="2202">
      <c r="A2202" s="1" t="n">
        <v>2201</v>
      </c>
      <c r="B2202">
        <f>TEXT(2201, "[$-170000]yyyy-mm-dd")</f>
        <v/>
      </c>
      <c r="C2202">
        <f>TEXT(2201, "[$-060000]yyyy-mm-dd")</f>
        <v/>
      </c>
      <c r="D2202" t="inlineStr">
        <is>
          <t>1323-11-14</t>
        </is>
      </c>
    </row>
    <row r="2203">
      <c r="A2203" s="1" t="n">
        <v>2202</v>
      </c>
      <c r="B2203">
        <f>TEXT(2202, "[$-170000]yyyy-mm-dd")</f>
        <v/>
      </c>
      <c r="C2203">
        <f>TEXT(2202, "[$-060000]yyyy-mm-dd")</f>
        <v/>
      </c>
      <c r="D2203" t="inlineStr">
        <is>
          <t>1323-11-15</t>
        </is>
      </c>
    </row>
    <row r="2204">
      <c r="A2204" s="1" t="n">
        <v>2203</v>
      </c>
      <c r="B2204">
        <f>TEXT(2203, "[$-170000]yyyy-mm-dd")</f>
        <v/>
      </c>
      <c r="C2204">
        <f>TEXT(2203, "[$-060000]yyyy-mm-dd")</f>
        <v/>
      </c>
      <c r="D2204" t="inlineStr">
        <is>
          <t>1323-11-16</t>
        </is>
      </c>
    </row>
    <row r="2205">
      <c r="A2205" s="1" t="n">
        <v>2204</v>
      </c>
      <c r="B2205">
        <f>TEXT(2204, "[$-170000]yyyy-mm-dd")</f>
        <v/>
      </c>
      <c r="C2205">
        <f>TEXT(2204, "[$-060000]yyyy-mm-dd")</f>
        <v/>
      </c>
      <c r="D2205" t="inlineStr">
        <is>
          <t>1323-11-17</t>
        </is>
      </c>
    </row>
    <row r="2206">
      <c r="A2206" s="1" t="n">
        <v>2205</v>
      </c>
      <c r="B2206">
        <f>TEXT(2205, "[$-170000]yyyy-mm-dd")</f>
        <v/>
      </c>
      <c r="C2206">
        <f>TEXT(2205, "[$-060000]yyyy-mm-dd")</f>
        <v/>
      </c>
      <c r="D2206" t="inlineStr">
        <is>
          <t>1323-11-18</t>
        </is>
      </c>
    </row>
    <row r="2207">
      <c r="A2207" s="1" t="n">
        <v>2206</v>
      </c>
      <c r="B2207">
        <f>TEXT(2206, "[$-170000]yyyy-mm-dd")</f>
        <v/>
      </c>
      <c r="C2207">
        <f>TEXT(2206, "[$-060000]yyyy-mm-dd")</f>
        <v/>
      </c>
      <c r="D2207" t="inlineStr">
        <is>
          <t>1323-11-19</t>
        </is>
      </c>
    </row>
    <row r="2208">
      <c r="A2208" s="1" t="n">
        <v>2207</v>
      </c>
      <c r="B2208">
        <f>TEXT(2207, "[$-170000]yyyy-mm-dd")</f>
        <v/>
      </c>
      <c r="C2208">
        <f>TEXT(2207, "[$-060000]yyyy-mm-dd")</f>
        <v/>
      </c>
      <c r="D2208" t="inlineStr">
        <is>
          <t>1323-11-20</t>
        </is>
      </c>
    </row>
    <row r="2209">
      <c r="A2209" s="1" t="n">
        <v>2208</v>
      </c>
      <c r="B2209">
        <f>TEXT(2208, "[$-170000]yyyy-mm-dd")</f>
        <v/>
      </c>
      <c r="C2209">
        <f>TEXT(2208, "[$-060000]yyyy-mm-dd")</f>
        <v/>
      </c>
      <c r="D2209" t="inlineStr">
        <is>
          <t>1323-11-21</t>
        </is>
      </c>
    </row>
    <row r="2210">
      <c r="A2210" s="1" t="n">
        <v>2209</v>
      </c>
      <c r="B2210">
        <f>TEXT(2209, "[$-170000]yyyy-mm-dd")</f>
        <v/>
      </c>
      <c r="C2210">
        <f>TEXT(2209, "[$-060000]yyyy-mm-dd")</f>
        <v/>
      </c>
      <c r="D2210" t="inlineStr">
        <is>
          <t>1323-11-22</t>
        </is>
      </c>
    </row>
    <row r="2211">
      <c r="A2211" s="1" t="n">
        <v>2210</v>
      </c>
      <c r="B2211">
        <f>TEXT(2210, "[$-170000]yyyy-mm-dd")</f>
        <v/>
      </c>
      <c r="C2211">
        <f>TEXT(2210, "[$-060000]yyyy-mm-dd")</f>
        <v/>
      </c>
      <c r="D2211" t="inlineStr">
        <is>
          <t>1323-11-23</t>
        </is>
      </c>
    </row>
    <row r="2212">
      <c r="A2212" s="1" t="n">
        <v>2211</v>
      </c>
      <c r="B2212">
        <f>TEXT(2211, "[$-170000]yyyy-mm-dd")</f>
        <v/>
      </c>
      <c r="C2212">
        <f>TEXT(2211, "[$-060000]yyyy-mm-dd")</f>
        <v/>
      </c>
      <c r="D2212" t="inlineStr">
        <is>
          <t>1323-11-24</t>
        </is>
      </c>
    </row>
    <row r="2213">
      <c r="A2213" s="1" t="n">
        <v>2212</v>
      </c>
      <c r="B2213">
        <f>TEXT(2212, "[$-170000]yyyy-mm-dd")</f>
        <v/>
      </c>
      <c r="C2213">
        <f>TEXT(2212, "[$-060000]yyyy-mm-dd")</f>
        <v/>
      </c>
      <c r="D2213" t="inlineStr">
        <is>
          <t>1323-11-25</t>
        </is>
      </c>
    </row>
    <row r="2214">
      <c r="A2214" s="1" t="n">
        <v>2213</v>
      </c>
      <c r="B2214">
        <f>TEXT(2213, "[$-170000]yyyy-mm-dd")</f>
        <v/>
      </c>
      <c r="C2214">
        <f>TEXT(2213, "[$-060000]yyyy-mm-dd")</f>
        <v/>
      </c>
      <c r="D2214" t="inlineStr">
        <is>
          <t>1323-11-26</t>
        </is>
      </c>
    </row>
    <row r="2215">
      <c r="A2215" s="1" t="n">
        <v>2214</v>
      </c>
      <c r="B2215">
        <f>TEXT(2214, "[$-170000]yyyy-mm-dd")</f>
        <v/>
      </c>
      <c r="C2215">
        <f>TEXT(2214, "[$-060000]yyyy-mm-dd")</f>
        <v/>
      </c>
      <c r="D2215" t="inlineStr">
        <is>
          <t>1323-11-27</t>
        </is>
      </c>
    </row>
    <row r="2216">
      <c r="A2216" s="1" t="n">
        <v>2215</v>
      </c>
      <c r="B2216">
        <f>TEXT(2215, "[$-170000]yyyy-mm-dd")</f>
        <v/>
      </c>
      <c r="C2216">
        <f>TEXT(2215, "[$-060000]yyyy-mm-dd")</f>
        <v/>
      </c>
      <c r="D2216" t="inlineStr">
        <is>
          <t>1323-11-28</t>
        </is>
      </c>
    </row>
    <row r="2217">
      <c r="A2217" s="1" t="n">
        <v>2216</v>
      </c>
      <c r="B2217">
        <f>TEXT(2216, "[$-170000]yyyy-mm-dd")</f>
        <v/>
      </c>
      <c r="C2217">
        <f>TEXT(2216, "[$-060000]yyyy-mm-dd")</f>
        <v/>
      </c>
      <c r="D2217" t="inlineStr">
        <is>
          <t>1323-11-29</t>
        </is>
      </c>
    </row>
    <row r="2218">
      <c r="A2218" s="1" t="n">
        <v>2217</v>
      </c>
      <c r="B2218">
        <f>TEXT(2217, "[$-170000]yyyy-mm-dd")</f>
        <v/>
      </c>
      <c r="C2218">
        <f>TEXT(2217, "[$-060000]yyyy-mm-dd")</f>
        <v/>
      </c>
      <c r="D2218" t="inlineStr">
        <is>
          <t>1323-11-30</t>
        </is>
      </c>
    </row>
    <row r="2219">
      <c r="A2219" s="1" t="n">
        <v>2218</v>
      </c>
      <c r="B2219">
        <f>TEXT(2218, "[$-170000]yyyy-mm-dd")</f>
        <v/>
      </c>
      <c r="C2219">
        <f>TEXT(2218, "[$-060000]yyyy-mm-dd")</f>
        <v/>
      </c>
      <c r="D2219" t="inlineStr">
        <is>
          <t>1323-12-01</t>
        </is>
      </c>
    </row>
    <row r="2220">
      <c r="A2220" s="1" t="n">
        <v>2219</v>
      </c>
      <c r="B2220">
        <f>TEXT(2219, "[$-170000]yyyy-mm-dd")</f>
        <v/>
      </c>
      <c r="C2220">
        <f>TEXT(2219, "[$-060000]yyyy-mm-dd")</f>
        <v/>
      </c>
      <c r="D2220" t="inlineStr">
        <is>
          <t>1323-12-02</t>
        </is>
      </c>
    </row>
    <row r="2221">
      <c r="A2221" s="1" t="n">
        <v>2220</v>
      </c>
      <c r="B2221">
        <f>TEXT(2220, "[$-170000]yyyy-mm-dd")</f>
        <v/>
      </c>
      <c r="C2221">
        <f>TEXT(2220, "[$-060000]yyyy-mm-dd")</f>
        <v/>
      </c>
      <c r="D2221" t="inlineStr">
        <is>
          <t>1323-12-03</t>
        </is>
      </c>
    </row>
    <row r="2222">
      <c r="A2222" s="1" t="n">
        <v>2221</v>
      </c>
      <c r="B2222">
        <f>TEXT(2221, "[$-170000]yyyy-mm-dd")</f>
        <v/>
      </c>
      <c r="C2222">
        <f>TEXT(2221, "[$-060000]yyyy-mm-dd")</f>
        <v/>
      </c>
      <c r="D2222" t="inlineStr">
        <is>
          <t>1323-12-04</t>
        </is>
      </c>
    </row>
    <row r="2223">
      <c r="A2223" s="1" t="n">
        <v>2222</v>
      </c>
      <c r="B2223">
        <f>TEXT(2222, "[$-170000]yyyy-mm-dd")</f>
        <v/>
      </c>
      <c r="C2223">
        <f>TEXT(2222, "[$-060000]yyyy-mm-dd")</f>
        <v/>
      </c>
      <c r="D2223" t="inlineStr">
        <is>
          <t>1323-12-05</t>
        </is>
      </c>
    </row>
    <row r="2224">
      <c r="A2224" s="1" t="n">
        <v>2223</v>
      </c>
      <c r="B2224">
        <f>TEXT(2223, "[$-170000]yyyy-mm-dd")</f>
        <v/>
      </c>
      <c r="C2224">
        <f>TEXT(2223, "[$-060000]yyyy-mm-dd")</f>
        <v/>
      </c>
      <c r="D2224" t="inlineStr">
        <is>
          <t>1323-12-06</t>
        </is>
      </c>
    </row>
    <row r="2225">
      <c r="A2225" s="1" t="n">
        <v>2224</v>
      </c>
      <c r="B2225">
        <f>TEXT(2224, "[$-170000]yyyy-mm-dd")</f>
        <v/>
      </c>
      <c r="C2225">
        <f>TEXT(2224, "[$-060000]yyyy-mm-dd")</f>
        <v/>
      </c>
      <c r="D2225" t="inlineStr">
        <is>
          <t>1323-12-07</t>
        </is>
      </c>
    </row>
    <row r="2226">
      <c r="A2226" s="1" t="n">
        <v>2225</v>
      </c>
      <c r="B2226">
        <f>TEXT(2225, "[$-170000]yyyy-mm-dd")</f>
        <v/>
      </c>
      <c r="C2226">
        <f>TEXT(2225, "[$-060000]yyyy-mm-dd")</f>
        <v/>
      </c>
      <c r="D2226" t="inlineStr">
        <is>
          <t>1323-12-08</t>
        </is>
      </c>
    </row>
    <row r="2227">
      <c r="A2227" s="1" t="n">
        <v>2226</v>
      </c>
      <c r="B2227">
        <f>TEXT(2226, "[$-170000]yyyy-mm-dd")</f>
        <v/>
      </c>
      <c r="C2227">
        <f>TEXT(2226, "[$-060000]yyyy-mm-dd")</f>
        <v/>
      </c>
      <c r="D2227" t="inlineStr">
        <is>
          <t>1323-12-09</t>
        </is>
      </c>
    </row>
    <row r="2228">
      <c r="A2228" s="1" t="n">
        <v>2227</v>
      </c>
      <c r="B2228">
        <f>TEXT(2227, "[$-170000]yyyy-mm-dd")</f>
        <v/>
      </c>
      <c r="C2228">
        <f>TEXT(2227, "[$-060000]yyyy-mm-dd")</f>
        <v/>
      </c>
      <c r="D2228" t="inlineStr">
        <is>
          <t>1323-12-10</t>
        </is>
      </c>
    </row>
    <row r="2229">
      <c r="A2229" s="1" t="n">
        <v>2228</v>
      </c>
      <c r="B2229">
        <f>TEXT(2228, "[$-170000]yyyy-mm-dd")</f>
        <v/>
      </c>
      <c r="C2229">
        <f>TEXT(2228, "[$-060000]yyyy-mm-dd")</f>
        <v/>
      </c>
      <c r="D2229" t="inlineStr">
        <is>
          <t>1323-12-11</t>
        </is>
      </c>
    </row>
    <row r="2230">
      <c r="A2230" s="1" t="n">
        <v>2229</v>
      </c>
      <c r="B2230">
        <f>TEXT(2229, "[$-170000]yyyy-mm-dd")</f>
        <v/>
      </c>
      <c r="C2230">
        <f>TEXT(2229, "[$-060000]yyyy-mm-dd")</f>
        <v/>
      </c>
      <c r="D2230" t="inlineStr">
        <is>
          <t>1323-12-12</t>
        </is>
      </c>
    </row>
    <row r="2231">
      <c r="A2231" s="1" t="n">
        <v>2230</v>
      </c>
      <c r="B2231">
        <f>TEXT(2230, "[$-170000]yyyy-mm-dd")</f>
        <v/>
      </c>
      <c r="C2231">
        <f>TEXT(2230, "[$-060000]yyyy-mm-dd")</f>
        <v/>
      </c>
      <c r="D2231" t="inlineStr">
        <is>
          <t>1323-12-13</t>
        </is>
      </c>
    </row>
    <row r="2232">
      <c r="A2232" s="1" t="n">
        <v>2231</v>
      </c>
      <c r="B2232">
        <f>TEXT(2231, "[$-170000]yyyy-mm-dd")</f>
        <v/>
      </c>
      <c r="C2232">
        <f>TEXT(2231, "[$-060000]yyyy-mm-dd")</f>
        <v/>
      </c>
      <c r="D2232" t="inlineStr">
        <is>
          <t>1323-12-14</t>
        </is>
      </c>
    </row>
    <row r="2233">
      <c r="A2233" s="1" t="n">
        <v>2232</v>
      </c>
      <c r="B2233">
        <f>TEXT(2232, "[$-170000]yyyy-mm-dd")</f>
        <v/>
      </c>
      <c r="C2233">
        <f>TEXT(2232, "[$-060000]yyyy-mm-dd")</f>
        <v/>
      </c>
      <c r="D2233" t="inlineStr">
        <is>
          <t>1323-12-15</t>
        </is>
      </c>
    </row>
    <row r="2234">
      <c r="A2234" s="1" t="n">
        <v>2233</v>
      </c>
      <c r="B2234">
        <f>TEXT(2233, "[$-170000]yyyy-mm-dd")</f>
        <v/>
      </c>
      <c r="C2234">
        <f>TEXT(2233, "[$-060000]yyyy-mm-dd")</f>
        <v/>
      </c>
      <c r="D2234" t="inlineStr">
        <is>
          <t>1323-12-16</t>
        </is>
      </c>
    </row>
    <row r="2235">
      <c r="A2235" s="1" t="n">
        <v>2234</v>
      </c>
      <c r="B2235">
        <f>TEXT(2234, "[$-170000]yyyy-mm-dd")</f>
        <v/>
      </c>
      <c r="C2235">
        <f>TEXT(2234, "[$-060000]yyyy-mm-dd")</f>
        <v/>
      </c>
      <c r="D2235" t="inlineStr">
        <is>
          <t>1323-12-17</t>
        </is>
      </c>
    </row>
    <row r="2236">
      <c r="A2236" s="1" t="n">
        <v>2235</v>
      </c>
      <c r="B2236">
        <f>TEXT(2235, "[$-170000]yyyy-mm-dd")</f>
        <v/>
      </c>
      <c r="C2236">
        <f>TEXT(2235, "[$-060000]yyyy-mm-dd")</f>
        <v/>
      </c>
      <c r="D2236" t="inlineStr">
        <is>
          <t>1323-12-18</t>
        </is>
      </c>
    </row>
    <row r="2237">
      <c r="A2237" s="1" t="n">
        <v>2236</v>
      </c>
      <c r="B2237">
        <f>TEXT(2236, "[$-170000]yyyy-mm-dd")</f>
        <v/>
      </c>
      <c r="C2237">
        <f>TEXT(2236, "[$-060000]yyyy-mm-dd")</f>
        <v/>
      </c>
      <c r="D2237" t="inlineStr">
        <is>
          <t>1323-12-19</t>
        </is>
      </c>
    </row>
    <row r="2238">
      <c r="A2238" s="1" t="n">
        <v>2237</v>
      </c>
      <c r="B2238">
        <f>TEXT(2237, "[$-170000]yyyy-mm-dd")</f>
        <v/>
      </c>
      <c r="C2238">
        <f>TEXT(2237, "[$-060000]yyyy-mm-dd")</f>
        <v/>
      </c>
      <c r="D2238" t="inlineStr">
        <is>
          <t>1323-12-20</t>
        </is>
      </c>
    </row>
    <row r="2239">
      <c r="A2239" s="1" t="n">
        <v>2238</v>
      </c>
      <c r="B2239">
        <f>TEXT(2238, "[$-170000]yyyy-mm-dd")</f>
        <v/>
      </c>
      <c r="C2239">
        <f>TEXT(2238, "[$-060000]yyyy-mm-dd")</f>
        <v/>
      </c>
      <c r="D2239" t="inlineStr">
        <is>
          <t>1323-12-21</t>
        </is>
      </c>
    </row>
    <row r="2240">
      <c r="A2240" s="1" t="n">
        <v>2239</v>
      </c>
      <c r="B2240">
        <f>TEXT(2239, "[$-170000]yyyy-mm-dd")</f>
        <v/>
      </c>
      <c r="C2240">
        <f>TEXT(2239, "[$-060000]yyyy-mm-dd")</f>
        <v/>
      </c>
      <c r="D2240" t="inlineStr">
        <is>
          <t>1323-12-22</t>
        </is>
      </c>
    </row>
    <row r="2241">
      <c r="A2241" s="1" t="n">
        <v>2240</v>
      </c>
      <c r="B2241">
        <f>TEXT(2240, "[$-170000]yyyy-mm-dd")</f>
        <v/>
      </c>
      <c r="C2241">
        <f>TEXT(2240, "[$-060000]yyyy-mm-dd")</f>
        <v/>
      </c>
      <c r="D2241" t="inlineStr">
        <is>
          <t>1323-12-23</t>
        </is>
      </c>
    </row>
    <row r="2242">
      <c r="A2242" s="1" t="n">
        <v>2241</v>
      </c>
      <c r="B2242">
        <f>TEXT(2241, "[$-170000]yyyy-mm-dd")</f>
        <v/>
      </c>
      <c r="C2242">
        <f>TEXT(2241, "[$-060000]yyyy-mm-dd")</f>
        <v/>
      </c>
      <c r="D2242" t="inlineStr">
        <is>
          <t>1323-12-24</t>
        </is>
      </c>
    </row>
    <row r="2243">
      <c r="A2243" s="1" t="n">
        <v>2242</v>
      </c>
      <c r="B2243">
        <f>TEXT(2242, "[$-170000]yyyy-mm-dd")</f>
        <v/>
      </c>
      <c r="C2243">
        <f>TEXT(2242, "[$-060000]yyyy-mm-dd")</f>
        <v/>
      </c>
      <c r="D2243" t="inlineStr">
        <is>
          <t>1323-12-25</t>
        </is>
      </c>
    </row>
    <row r="2244">
      <c r="A2244" s="1" t="n">
        <v>2243</v>
      </c>
      <c r="B2244">
        <f>TEXT(2243, "[$-170000]yyyy-mm-dd")</f>
        <v/>
      </c>
      <c r="C2244">
        <f>TEXT(2243, "[$-060000]yyyy-mm-dd")</f>
        <v/>
      </c>
      <c r="D2244" t="inlineStr">
        <is>
          <t>1323-12-26</t>
        </is>
      </c>
    </row>
    <row r="2245">
      <c r="A2245" s="1" t="n">
        <v>2244</v>
      </c>
      <c r="B2245">
        <f>TEXT(2244, "[$-170000]yyyy-mm-dd")</f>
        <v/>
      </c>
      <c r="C2245">
        <f>TEXT(2244, "[$-060000]yyyy-mm-dd")</f>
        <v/>
      </c>
      <c r="D2245" t="inlineStr">
        <is>
          <t>1323-12-27</t>
        </is>
      </c>
    </row>
    <row r="2246">
      <c r="A2246" s="1" t="n">
        <v>2245</v>
      </c>
      <c r="B2246">
        <f>TEXT(2245, "[$-170000]yyyy-mm-dd")</f>
        <v/>
      </c>
      <c r="C2246">
        <f>TEXT(2245, "[$-060000]yyyy-mm-dd")</f>
        <v/>
      </c>
      <c r="D2246" t="inlineStr">
        <is>
          <t>1323-12-28</t>
        </is>
      </c>
    </row>
    <row r="2247">
      <c r="A2247" s="1" t="n">
        <v>2246</v>
      </c>
      <c r="B2247">
        <f>TEXT(2246, "[$-170000]yyyy-mm-dd")</f>
        <v/>
      </c>
      <c r="C2247">
        <f>TEXT(2246, "[$-060000]yyyy-mm-dd")</f>
        <v/>
      </c>
      <c r="D2247" t="inlineStr">
        <is>
          <t>1323-12-29</t>
        </is>
      </c>
    </row>
    <row r="2248">
      <c r="A2248" s="1" t="n">
        <v>2247</v>
      </c>
      <c r="B2248">
        <f>TEXT(2247, "[$-170000]yyyy-mm-dd")</f>
        <v/>
      </c>
      <c r="C2248">
        <f>TEXT(2247, "[$-060000]yyyy-mm-dd")</f>
        <v/>
      </c>
      <c r="D2248" t="inlineStr">
        <is>
          <t>1324-01-01</t>
        </is>
      </c>
    </row>
    <row r="2249">
      <c r="A2249" s="1" t="n">
        <v>2248</v>
      </c>
      <c r="B2249">
        <f>TEXT(2248, "[$-170000]yyyy-mm-dd")</f>
        <v/>
      </c>
      <c r="C2249">
        <f>TEXT(2248, "[$-060000]yyyy-mm-dd")</f>
        <v/>
      </c>
      <c r="D2249" t="inlineStr">
        <is>
          <t>1324-01-02</t>
        </is>
      </c>
    </row>
    <row r="2250">
      <c r="A2250" s="1" t="n">
        <v>2249</v>
      </c>
      <c r="B2250">
        <f>TEXT(2249, "[$-170000]yyyy-mm-dd")</f>
        <v/>
      </c>
      <c r="C2250">
        <f>TEXT(2249, "[$-060000]yyyy-mm-dd")</f>
        <v/>
      </c>
      <c r="D2250" t="inlineStr">
        <is>
          <t>1324-01-03</t>
        </is>
      </c>
    </row>
    <row r="2251">
      <c r="A2251" s="1" t="n">
        <v>2250</v>
      </c>
      <c r="B2251">
        <f>TEXT(2250, "[$-170000]yyyy-mm-dd")</f>
        <v/>
      </c>
      <c r="C2251">
        <f>TEXT(2250, "[$-060000]yyyy-mm-dd")</f>
        <v/>
      </c>
      <c r="D2251" t="inlineStr">
        <is>
          <t>1324-01-04</t>
        </is>
      </c>
    </row>
    <row r="2252">
      <c r="A2252" s="1" t="n">
        <v>2251</v>
      </c>
      <c r="B2252">
        <f>TEXT(2251, "[$-170000]yyyy-mm-dd")</f>
        <v/>
      </c>
      <c r="C2252">
        <f>TEXT(2251, "[$-060000]yyyy-mm-dd")</f>
        <v/>
      </c>
      <c r="D2252" t="inlineStr">
        <is>
          <t>1324-01-05</t>
        </is>
      </c>
    </row>
    <row r="2253">
      <c r="A2253" s="1" t="n">
        <v>2252</v>
      </c>
      <c r="B2253">
        <f>TEXT(2252, "[$-170000]yyyy-mm-dd")</f>
        <v/>
      </c>
      <c r="C2253">
        <f>TEXT(2252, "[$-060000]yyyy-mm-dd")</f>
        <v/>
      </c>
      <c r="D2253" t="inlineStr">
        <is>
          <t>1324-01-06</t>
        </is>
      </c>
    </row>
    <row r="2254">
      <c r="A2254" s="1" t="n">
        <v>2253</v>
      </c>
      <c r="B2254">
        <f>TEXT(2253, "[$-170000]yyyy-mm-dd")</f>
        <v/>
      </c>
      <c r="C2254">
        <f>TEXT(2253, "[$-060000]yyyy-mm-dd")</f>
        <v/>
      </c>
      <c r="D2254" t="inlineStr">
        <is>
          <t>1324-01-07</t>
        </is>
      </c>
    </row>
    <row r="2255">
      <c r="A2255" s="1" t="n">
        <v>2254</v>
      </c>
      <c r="B2255">
        <f>TEXT(2254, "[$-170000]yyyy-mm-dd")</f>
        <v/>
      </c>
      <c r="C2255">
        <f>TEXT(2254, "[$-060000]yyyy-mm-dd")</f>
        <v/>
      </c>
      <c r="D2255" t="inlineStr">
        <is>
          <t>1324-01-08</t>
        </is>
      </c>
    </row>
    <row r="2256">
      <c r="A2256" s="1" t="n">
        <v>2255</v>
      </c>
      <c r="B2256">
        <f>TEXT(2255, "[$-170000]yyyy-mm-dd")</f>
        <v/>
      </c>
      <c r="C2256">
        <f>TEXT(2255, "[$-060000]yyyy-mm-dd")</f>
        <v/>
      </c>
      <c r="D2256" t="inlineStr">
        <is>
          <t>1324-01-09</t>
        </is>
      </c>
    </row>
    <row r="2257">
      <c r="A2257" s="1" t="n">
        <v>2256</v>
      </c>
      <c r="B2257">
        <f>TEXT(2256, "[$-170000]yyyy-mm-dd")</f>
        <v/>
      </c>
      <c r="C2257">
        <f>TEXT(2256, "[$-060000]yyyy-mm-dd")</f>
        <v/>
      </c>
      <c r="D2257" t="inlineStr">
        <is>
          <t>1324-01-10</t>
        </is>
      </c>
    </row>
    <row r="2258">
      <c r="A2258" s="1" t="n">
        <v>2257</v>
      </c>
      <c r="B2258">
        <f>TEXT(2257, "[$-170000]yyyy-mm-dd")</f>
        <v/>
      </c>
      <c r="C2258">
        <f>TEXT(2257, "[$-060000]yyyy-mm-dd")</f>
        <v/>
      </c>
      <c r="D2258" t="inlineStr">
        <is>
          <t>1324-01-11</t>
        </is>
      </c>
    </row>
    <row r="2259">
      <c r="A2259" s="1" t="n">
        <v>2258</v>
      </c>
      <c r="B2259">
        <f>TEXT(2258, "[$-170000]yyyy-mm-dd")</f>
        <v/>
      </c>
      <c r="C2259">
        <f>TEXT(2258, "[$-060000]yyyy-mm-dd")</f>
        <v/>
      </c>
      <c r="D2259" t="inlineStr">
        <is>
          <t>1324-01-12</t>
        </is>
      </c>
    </row>
    <row r="2260">
      <c r="A2260" s="1" t="n">
        <v>2259</v>
      </c>
      <c r="B2260">
        <f>TEXT(2259, "[$-170000]yyyy-mm-dd")</f>
        <v/>
      </c>
      <c r="C2260">
        <f>TEXT(2259, "[$-060000]yyyy-mm-dd")</f>
        <v/>
      </c>
      <c r="D2260" t="inlineStr">
        <is>
          <t>1324-01-13</t>
        </is>
      </c>
    </row>
    <row r="2261">
      <c r="A2261" s="1" t="n">
        <v>2260</v>
      </c>
      <c r="B2261">
        <f>TEXT(2260, "[$-170000]yyyy-mm-dd")</f>
        <v/>
      </c>
      <c r="C2261">
        <f>TEXT(2260, "[$-060000]yyyy-mm-dd")</f>
        <v/>
      </c>
      <c r="D2261" t="inlineStr">
        <is>
          <t>1324-01-14</t>
        </is>
      </c>
    </row>
    <row r="2262">
      <c r="A2262" s="1" t="n">
        <v>2261</v>
      </c>
      <c r="B2262">
        <f>TEXT(2261, "[$-170000]yyyy-mm-dd")</f>
        <v/>
      </c>
      <c r="C2262">
        <f>TEXT(2261, "[$-060000]yyyy-mm-dd")</f>
        <v/>
      </c>
      <c r="D2262" t="inlineStr">
        <is>
          <t>1324-01-15</t>
        </is>
      </c>
    </row>
    <row r="2263">
      <c r="A2263" s="1" t="n">
        <v>2262</v>
      </c>
      <c r="B2263">
        <f>TEXT(2262, "[$-170000]yyyy-mm-dd")</f>
        <v/>
      </c>
      <c r="C2263">
        <f>TEXT(2262, "[$-060000]yyyy-mm-dd")</f>
        <v/>
      </c>
      <c r="D2263" t="inlineStr">
        <is>
          <t>1324-01-16</t>
        </is>
      </c>
    </row>
    <row r="2264">
      <c r="A2264" s="1" t="n">
        <v>2263</v>
      </c>
      <c r="B2264">
        <f>TEXT(2263, "[$-170000]yyyy-mm-dd")</f>
        <v/>
      </c>
      <c r="C2264">
        <f>TEXT(2263, "[$-060000]yyyy-mm-dd")</f>
        <v/>
      </c>
      <c r="D2264" t="inlineStr">
        <is>
          <t>1324-01-17</t>
        </is>
      </c>
    </row>
    <row r="2265">
      <c r="A2265" s="1" t="n">
        <v>2264</v>
      </c>
      <c r="B2265">
        <f>TEXT(2264, "[$-170000]yyyy-mm-dd")</f>
        <v/>
      </c>
      <c r="C2265">
        <f>TEXT(2264, "[$-060000]yyyy-mm-dd")</f>
        <v/>
      </c>
      <c r="D2265" t="inlineStr">
        <is>
          <t>1324-01-18</t>
        </is>
      </c>
    </row>
    <row r="2266">
      <c r="A2266" s="1" t="n">
        <v>2265</v>
      </c>
      <c r="B2266">
        <f>TEXT(2265, "[$-170000]yyyy-mm-dd")</f>
        <v/>
      </c>
      <c r="C2266">
        <f>TEXT(2265, "[$-060000]yyyy-mm-dd")</f>
        <v/>
      </c>
      <c r="D2266" t="inlineStr">
        <is>
          <t>1324-01-19</t>
        </is>
      </c>
    </row>
    <row r="2267">
      <c r="A2267" s="1" t="n">
        <v>2266</v>
      </c>
      <c r="B2267">
        <f>TEXT(2266, "[$-170000]yyyy-mm-dd")</f>
        <v/>
      </c>
      <c r="C2267">
        <f>TEXT(2266, "[$-060000]yyyy-mm-dd")</f>
        <v/>
      </c>
      <c r="D2267" t="inlineStr">
        <is>
          <t>1324-01-20</t>
        </is>
      </c>
    </row>
    <row r="2268">
      <c r="A2268" s="1" t="n">
        <v>2267</v>
      </c>
      <c r="B2268">
        <f>TEXT(2267, "[$-170000]yyyy-mm-dd")</f>
        <v/>
      </c>
      <c r="C2268">
        <f>TEXT(2267, "[$-060000]yyyy-mm-dd")</f>
        <v/>
      </c>
      <c r="D2268" t="inlineStr">
        <is>
          <t>1324-01-21</t>
        </is>
      </c>
    </row>
    <row r="2269">
      <c r="A2269" s="1" t="n">
        <v>2268</v>
      </c>
      <c r="B2269">
        <f>TEXT(2268, "[$-170000]yyyy-mm-dd")</f>
        <v/>
      </c>
      <c r="C2269">
        <f>TEXT(2268, "[$-060000]yyyy-mm-dd")</f>
        <v/>
      </c>
      <c r="D2269" t="inlineStr">
        <is>
          <t>1324-01-22</t>
        </is>
      </c>
    </row>
    <row r="2270">
      <c r="A2270" s="1" t="n">
        <v>2269</v>
      </c>
      <c r="B2270">
        <f>TEXT(2269, "[$-170000]yyyy-mm-dd")</f>
        <v/>
      </c>
      <c r="C2270">
        <f>TEXT(2269, "[$-060000]yyyy-mm-dd")</f>
        <v/>
      </c>
      <c r="D2270" t="inlineStr">
        <is>
          <t>1324-01-23</t>
        </is>
      </c>
    </row>
    <row r="2271">
      <c r="A2271" s="1" t="n">
        <v>2270</v>
      </c>
      <c r="B2271">
        <f>TEXT(2270, "[$-170000]yyyy-mm-dd")</f>
        <v/>
      </c>
      <c r="C2271">
        <f>TEXT(2270, "[$-060000]yyyy-mm-dd")</f>
        <v/>
      </c>
      <c r="D2271" t="inlineStr">
        <is>
          <t>1324-01-24</t>
        </is>
      </c>
    </row>
    <row r="2272">
      <c r="A2272" s="1" t="n">
        <v>2271</v>
      </c>
      <c r="B2272">
        <f>TEXT(2271, "[$-170000]yyyy-mm-dd")</f>
        <v/>
      </c>
      <c r="C2272">
        <f>TEXT(2271, "[$-060000]yyyy-mm-dd")</f>
        <v/>
      </c>
      <c r="D2272" t="inlineStr">
        <is>
          <t>1324-01-25</t>
        </is>
      </c>
    </row>
    <row r="2273">
      <c r="A2273" s="1" t="n">
        <v>2272</v>
      </c>
      <c r="B2273">
        <f>TEXT(2272, "[$-170000]yyyy-mm-dd")</f>
        <v/>
      </c>
      <c r="C2273">
        <f>TEXT(2272, "[$-060000]yyyy-mm-dd")</f>
        <v/>
      </c>
      <c r="D2273" t="inlineStr">
        <is>
          <t>1324-01-26</t>
        </is>
      </c>
    </row>
    <row r="2274">
      <c r="A2274" s="1" t="n">
        <v>2273</v>
      </c>
      <c r="B2274">
        <f>TEXT(2273, "[$-170000]yyyy-mm-dd")</f>
        <v/>
      </c>
      <c r="C2274">
        <f>TEXT(2273, "[$-060000]yyyy-mm-dd")</f>
        <v/>
      </c>
      <c r="D2274" t="inlineStr">
        <is>
          <t>1324-01-27</t>
        </is>
      </c>
    </row>
    <row r="2275">
      <c r="A2275" s="1" t="n">
        <v>2274</v>
      </c>
      <c r="B2275">
        <f>TEXT(2274, "[$-170000]yyyy-mm-dd")</f>
        <v/>
      </c>
      <c r="C2275">
        <f>TEXT(2274, "[$-060000]yyyy-mm-dd")</f>
        <v/>
      </c>
      <c r="D2275" t="inlineStr">
        <is>
          <t>1324-01-28</t>
        </is>
      </c>
    </row>
    <row r="2276">
      <c r="A2276" s="1" t="n">
        <v>2275</v>
      </c>
      <c r="B2276">
        <f>TEXT(2275, "[$-170000]yyyy-mm-dd")</f>
        <v/>
      </c>
      <c r="C2276">
        <f>TEXT(2275, "[$-060000]yyyy-mm-dd")</f>
        <v/>
      </c>
      <c r="D2276" t="inlineStr">
        <is>
          <t>1324-01-29</t>
        </is>
      </c>
    </row>
    <row r="2277">
      <c r="A2277" s="1" t="n">
        <v>2276</v>
      </c>
      <c r="B2277">
        <f>TEXT(2276, "[$-170000]yyyy-mm-dd")</f>
        <v/>
      </c>
      <c r="C2277">
        <f>TEXT(2276, "[$-060000]yyyy-mm-dd")</f>
        <v/>
      </c>
      <c r="D2277" t="inlineStr">
        <is>
          <t>1324-01-30</t>
        </is>
      </c>
    </row>
    <row r="2278">
      <c r="A2278" s="1" t="n">
        <v>2277</v>
      </c>
      <c r="B2278">
        <f>TEXT(2277, "[$-170000]yyyy-mm-dd")</f>
        <v/>
      </c>
      <c r="C2278">
        <f>TEXT(2277, "[$-060000]yyyy-mm-dd")</f>
        <v/>
      </c>
      <c r="D2278" t="inlineStr">
        <is>
          <t>1324-02-01</t>
        </is>
      </c>
    </row>
    <row r="2279">
      <c r="A2279" s="1" t="n">
        <v>2278</v>
      </c>
      <c r="B2279">
        <f>TEXT(2278, "[$-170000]yyyy-mm-dd")</f>
        <v/>
      </c>
      <c r="C2279">
        <f>TEXT(2278, "[$-060000]yyyy-mm-dd")</f>
        <v/>
      </c>
      <c r="D2279" t="inlineStr">
        <is>
          <t>1324-02-02</t>
        </is>
      </c>
    </row>
    <row r="2280">
      <c r="A2280" s="1" t="n">
        <v>2279</v>
      </c>
      <c r="B2280">
        <f>TEXT(2279, "[$-170000]yyyy-mm-dd")</f>
        <v/>
      </c>
      <c r="C2280">
        <f>TEXT(2279, "[$-060000]yyyy-mm-dd")</f>
        <v/>
      </c>
      <c r="D2280" t="inlineStr">
        <is>
          <t>1324-02-03</t>
        </is>
      </c>
    </row>
    <row r="2281">
      <c r="A2281" s="1" t="n">
        <v>2280</v>
      </c>
      <c r="B2281">
        <f>TEXT(2280, "[$-170000]yyyy-mm-dd")</f>
        <v/>
      </c>
      <c r="C2281">
        <f>TEXT(2280, "[$-060000]yyyy-mm-dd")</f>
        <v/>
      </c>
      <c r="D2281" t="inlineStr">
        <is>
          <t>1324-02-04</t>
        </is>
      </c>
    </row>
    <row r="2282">
      <c r="A2282" s="1" t="n">
        <v>2281</v>
      </c>
      <c r="B2282">
        <f>TEXT(2281, "[$-170000]yyyy-mm-dd")</f>
        <v/>
      </c>
      <c r="C2282">
        <f>TEXT(2281, "[$-060000]yyyy-mm-dd")</f>
        <v/>
      </c>
      <c r="D2282" t="inlineStr">
        <is>
          <t>1324-02-05</t>
        </is>
      </c>
    </row>
    <row r="2283">
      <c r="A2283" s="1" t="n">
        <v>2282</v>
      </c>
      <c r="B2283">
        <f>TEXT(2282, "[$-170000]yyyy-mm-dd")</f>
        <v/>
      </c>
      <c r="C2283">
        <f>TEXT(2282, "[$-060000]yyyy-mm-dd")</f>
        <v/>
      </c>
      <c r="D2283" t="inlineStr">
        <is>
          <t>1324-02-06</t>
        </is>
      </c>
    </row>
    <row r="2284">
      <c r="A2284" s="1" t="n">
        <v>2283</v>
      </c>
      <c r="B2284">
        <f>TEXT(2283, "[$-170000]yyyy-mm-dd")</f>
        <v/>
      </c>
      <c r="C2284">
        <f>TEXT(2283, "[$-060000]yyyy-mm-dd")</f>
        <v/>
      </c>
      <c r="D2284" t="inlineStr">
        <is>
          <t>1324-02-07</t>
        </is>
      </c>
    </row>
    <row r="2285">
      <c r="A2285" s="1" t="n">
        <v>2284</v>
      </c>
      <c r="B2285">
        <f>TEXT(2284, "[$-170000]yyyy-mm-dd")</f>
        <v/>
      </c>
      <c r="C2285">
        <f>TEXT(2284, "[$-060000]yyyy-mm-dd")</f>
        <v/>
      </c>
      <c r="D2285" t="inlineStr">
        <is>
          <t>1324-02-08</t>
        </is>
      </c>
    </row>
    <row r="2286">
      <c r="A2286" s="1" t="n">
        <v>2285</v>
      </c>
      <c r="B2286">
        <f>TEXT(2285, "[$-170000]yyyy-mm-dd")</f>
        <v/>
      </c>
      <c r="C2286">
        <f>TEXT(2285, "[$-060000]yyyy-mm-dd")</f>
        <v/>
      </c>
      <c r="D2286" t="inlineStr">
        <is>
          <t>1324-02-09</t>
        </is>
      </c>
    </row>
    <row r="2287">
      <c r="A2287" s="1" t="n">
        <v>2286</v>
      </c>
      <c r="B2287">
        <f>TEXT(2286, "[$-170000]yyyy-mm-dd")</f>
        <v/>
      </c>
      <c r="C2287">
        <f>TEXT(2286, "[$-060000]yyyy-mm-dd")</f>
        <v/>
      </c>
      <c r="D2287" t="inlineStr">
        <is>
          <t>1324-02-10</t>
        </is>
      </c>
    </row>
    <row r="2288">
      <c r="A2288" s="1" t="n">
        <v>2287</v>
      </c>
      <c r="B2288">
        <f>TEXT(2287, "[$-170000]yyyy-mm-dd")</f>
        <v/>
      </c>
      <c r="C2288">
        <f>TEXT(2287, "[$-060000]yyyy-mm-dd")</f>
        <v/>
      </c>
      <c r="D2288" t="inlineStr">
        <is>
          <t>1324-02-11</t>
        </is>
      </c>
    </row>
    <row r="2289">
      <c r="A2289" s="1" t="n">
        <v>2288</v>
      </c>
      <c r="B2289">
        <f>TEXT(2288, "[$-170000]yyyy-mm-dd")</f>
        <v/>
      </c>
      <c r="C2289">
        <f>TEXT(2288, "[$-060000]yyyy-mm-dd")</f>
        <v/>
      </c>
      <c r="D2289" t="inlineStr">
        <is>
          <t>1324-02-12</t>
        </is>
      </c>
    </row>
    <row r="2290">
      <c r="A2290" s="1" t="n">
        <v>2289</v>
      </c>
      <c r="B2290">
        <f>TEXT(2289, "[$-170000]yyyy-mm-dd")</f>
        <v/>
      </c>
      <c r="C2290">
        <f>TEXT(2289, "[$-060000]yyyy-mm-dd")</f>
        <v/>
      </c>
      <c r="D2290" t="inlineStr">
        <is>
          <t>1324-02-13</t>
        </is>
      </c>
    </row>
    <row r="2291">
      <c r="A2291" s="1" t="n">
        <v>2290</v>
      </c>
      <c r="B2291">
        <f>TEXT(2290, "[$-170000]yyyy-mm-dd")</f>
        <v/>
      </c>
      <c r="C2291">
        <f>TEXT(2290, "[$-060000]yyyy-mm-dd")</f>
        <v/>
      </c>
      <c r="D2291" t="inlineStr">
        <is>
          <t>1324-02-14</t>
        </is>
      </c>
    </row>
    <row r="2292">
      <c r="A2292" s="1" t="n">
        <v>2291</v>
      </c>
      <c r="B2292">
        <f>TEXT(2291, "[$-170000]yyyy-mm-dd")</f>
        <v/>
      </c>
      <c r="C2292">
        <f>TEXT(2291, "[$-060000]yyyy-mm-dd")</f>
        <v/>
      </c>
      <c r="D2292" t="inlineStr">
        <is>
          <t>1324-02-15</t>
        </is>
      </c>
    </row>
    <row r="2293">
      <c r="A2293" s="1" t="n">
        <v>2292</v>
      </c>
      <c r="B2293">
        <f>TEXT(2292, "[$-170000]yyyy-mm-dd")</f>
        <v/>
      </c>
      <c r="C2293">
        <f>TEXT(2292, "[$-060000]yyyy-mm-dd")</f>
        <v/>
      </c>
      <c r="D2293" t="inlineStr">
        <is>
          <t>1324-02-16</t>
        </is>
      </c>
    </row>
    <row r="2294">
      <c r="A2294" s="1" t="n">
        <v>2293</v>
      </c>
      <c r="B2294">
        <f>TEXT(2293, "[$-170000]yyyy-mm-dd")</f>
        <v/>
      </c>
      <c r="C2294">
        <f>TEXT(2293, "[$-060000]yyyy-mm-dd")</f>
        <v/>
      </c>
      <c r="D2294" t="inlineStr">
        <is>
          <t>1324-02-17</t>
        </is>
      </c>
    </row>
    <row r="2295">
      <c r="A2295" s="1" t="n">
        <v>2294</v>
      </c>
      <c r="B2295">
        <f>TEXT(2294, "[$-170000]yyyy-mm-dd")</f>
        <v/>
      </c>
      <c r="C2295">
        <f>TEXT(2294, "[$-060000]yyyy-mm-dd")</f>
        <v/>
      </c>
      <c r="D2295" t="inlineStr">
        <is>
          <t>1324-02-18</t>
        </is>
      </c>
    </row>
    <row r="2296">
      <c r="A2296" s="1" t="n">
        <v>2295</v>
      </c>
      <c r="B2296">
        <f>TEXT(2295, "[$-170000]yyyy-mm-dd")</f>
        <v/>
      </c>
      <c r="C2296">
        <f>TEXT(2295, "[$-060000]yyyy-mm-dd")</f>
        <v/>
      </c>
      <c r="D2296" t="inlineStr">
        <is>
          <t>1324-02-19</t>
        </is>
      </c>
    </row>
    <row r="2297">
      <c r="A2297" s="1" t="n">
        <v>2296</v>
      </c>
      <c r="B2297">
        <f>TEXT(2296, "[$-170000]yyyy-mm-dd")</f>
        <v/>
      </c>
      <c r="C2297">
        <f>TEXT(2296, "[$-060000]yyyy-mm-dd")</f>
        <v/>
      </c>
      <c r="D2297" t="inlineStr">
        <is>
          <t>1324-02-20</t>
        </is>
      </c>
    </row>
    <row r="2298">
      <c r="A2298" s="1" t="n">
        <v>2297</v>
      </c>
      <c r="B2298">
        <f>TEXT(2297, "[$-170000]yyyy-mm-dd")</f>
        <v/>
      </c>
      <c r="C2298">
        <f>TEXT(2297, "[$-060000]yyyy-mm-dd")</f>
        <v/>
      </c>
      <c r="D2298" t="inlineStr">
        <is>
          <t>1324-02-21</t>
        </is>
      </c>
    </row>
    <row r="2299">
      <c r="A2299" s="1" t="n">
        <v>2298</v>
      </c>
      <c r="B2299">
        <f>TEXT(2298, "[$-170000]yyyy-mm-dd")</f>
        <v/>
      </c>
      <c r="C2299">
        <f>TEXT(2298, "[$-060000]yyyy-mm-dd")</f>
        <v/>
      </c>
      <c r="D2299" t="inlineStr">
        <is>
          <t>1324-02-22</t>
        </is>
      </c>
    </row>
    <row r="2300">
      <c r="A2300" s="1" t="n">
        <v>2299</v>
      </c>
      <c r="B2300">
        <f>TEXT(2299, "[$-170000]yyyy-mm-dd")</f>
        <v/>
      </c>
      <c r="C2300">
        <f>TEXT(2299, "[$-060000]yyyy-mm-dd")</f>
        <v/>
      </c>
      <c r="D2300" t="inlineStr">
        <is>
          <t>1324-02-23</t>
        </is>
      </c>
    </row>
    <row r="2301">
      <c r="A2301" s="1" t="n">
        <v>2300</v>
      </c>
      <c r="B2301">
        <f>TEXT(2300, "[$-170000]yyyy-mm-dd")</f>
        <v/>
      </c>
      <c r="C2301">
        <f>TEXT(2300, "[$-060000]yyyy-mm-dd")</f>
        <v/>
      </c>
      <c r="D2301" t="inlineStr">
        <is>
          <t>1324-02-24</t>
        </is>
      </c>
    </row>
    <row r="2302">
      <c r="A2302" s="1" t="n">
        <v>2301</v>
      </c>
      <c r="B2302">
        <f>TEXT(2301, "[$-170000]yyyy-mm-dd")</f>
        <v/>
      </c>
      <c r="C2302">
        <f>TEXT(2301, "[$-060000]yyyy-mm-dd")</f>
        <v/>
      </c>
      <c r="D2302" t="inlineStr">
        <is>
          <t>1324-02-25</t>
        </is>
      </c>
    </row>
    <row r="2303">
      <c r="A2303" s="1" t="n">
        <v>2302</v>
      </c>
      <c r="B2303">
        <f>TEXT(2302, "[$-170000]yyyy-mm-dd")</f>
        <v/>
      </c>
      <c r="C2303">
        <f>TEXT(2302, "[$-060000]yyyy-mm-dd")</f>
        <v/>
      </c>
      <c r="D2303" t="inlineStr">
        <is>
          <t>1324-02-26</t>
        </is>
      </c>
    </row>
    <row r="2304">
      <c r="A2304" s="1" t="n">
        <v>2303</v>
      </c>
      <c r="B2304">
        <f>TEXT(2303, "[$-170000]yyyy-mm-dd")</f>
        <v/>
      </c>
      <c r="C2304">
        <f>TEXT(2303, "[$-060000]yyyy-mm-dd")</f>
        <v/>
      </c>
      <c r="D2304" t="inlineStr">
        <is>
          <t>1324-02-27</t>
        </is>
      </c>
    </row>
    <row r="2305">
      <c r="A2305" s="1" t="n">
        <v>2304</v>
      </c>
      <c r="B2305">
        <f>TEXT(2304, "[$-170000]yyyy-mm-dd")</f>
        <v/>
      </c>
      <c r="C2305">
        <f>TEXT(2304, "[$-060000]yyyy-mm-dd")</f>
        <v/>
      </c>
      <c r="D2305" t="inlineStr">
        <is>
          <t>1324-02-28</t>
        </is>
      </c>
    </row>
    <row r="2306">
      <c r="A2306" s="1" t="n">
        <v>2305</v>
      </c>
      <c r="B2306">
        <f>TEXT(2305, "[$-170000]yyyy-mm-dd")</f>
        <v/>
      </c>
      <c r="C2306">
        <f>TEXT(2305, "[$-060000]yyyy-mm-dd")</f>
        <v/>
      </c>
      <c r="D2306" t="inlineStr">
        <is>
          <t>1324-02-29</t>
        </is>
      </c>
    </row>
    <row r="2307">
      <c r="A2307" s="1" t="n">
        <v>2306</v>
      </c>
      <c r="B2307">
        <f>TEXT(2306, "[$-170000]yyyy-mm-dd")</f>
        <v/>
      </c>
      <c r="C2307">
        <f>TEXT(2306, "[$-060000]yyyy-mm-dd")</f>
        <v/>
      </c>
      <c r="D2307" t="inlineStr">
        <is>
          <t>1324-03-01</t>
        </is>
      </c>
    </row>
    <row r="2308">
      <c r="A2308" s="1" t="n">
        <v>2307</v>
      </c>
      <c r="B2308">
        <f>TEXT(2307, "[$-170000]yyyy-mm-dd")</f>
        <v/>
      </c>
      <c r="C2308">
        <f>TEXT(2307, "[$-060000]yyyy-mm-dd")</f>
        <v/>
      </c>
      <c r="D2308" t="inlineStr">
        <is>
          <t>1324-03-02</t>
        </is>
      </c>
    </row>
    <row r="2309">
      <c r="A2309" s="1" t="n">
        <v>2308</v>
      </c>
      <c r="B2309">
        <f>TEXT(2308, "[$-170000]yyyy-mm-dd")</f>
        <v/>
      </c>
      <c r="C2309">
        <f>TEXT(2308, "[$-060000]yyyy-mm-dd")</f>
        <v/>
      </c>
      <c r="D2309" t="inlineStr">
        <is>
          <t>1324-03-03</t>
        </is>
      </c>
    </row>
    <row r="2310">
      <c r="A2310" s="1" t="n">
        <v>2309</v>
      </c>
      <c r="B2310">
        <f>TEXT(2309, "[$-170000]yyyy-mm-dd")</f>
        <v/>
      </c>
      <c r="C2310">
        <f>TEXT(2309, "[$-060000]yyyy-mm-dd")</f>
        <v/>
      </c>
      <c r="D2310" t="inlineStr">
        <is>
          <t>1324-03-04</t>
        </is>
      </c>
    </row>
    <row r="2311">
      <c r="A2311" s="1" t="n">
        <v>2310</v>
      </c>
      <c r="B2311">
        <f>TEXT(2310, "[$-170000]yyyy-mm-dd")</f>
        <v/>
      </c>
      <c r="C2311">
        <f>TEXT(2310, "[$-060000]yyyy-mm-dd")</f>
        <v/>
      </c>
      <c r="D2311" t="inlineStr">
        <is>
          <t>1324-03-05</t>
        </is>
      </c>
    </row>
    <row r="2312">
      <c r="A2312" s="1" t="n">
        <v>2311</v>
      </c>
      <c r="B2312">
        <f>TEXT(2311, "[$-170000]yyyy-mm-dd")</f>
        <v/>
      </c>
      <c r="C2312">
        <f>TEXT(2311, "[$-060000]yyyy-mm-dd")</f>
        <v/>
      </c>
      <c r="D2312" t="inlineStr">
        <is>
          <t>1324-03-06</t>
        </is>
      </c>
    </row>
    <row r="2313">
      <c r="A2313" s="1" t="n">
        <v>2312</v>
      </c>
      <c r="B2313">
        <f>TEXT(2312, "[$-170000]yyyy-mm-dd")</f>
        <v/>
      </c>
      <c r="C2313">
        <f>TEXT(2312, "[$-060000]yyyy-mm-dd")</f>
        <v/>
      </c>
      <c r="D2313" t="inlineStr">
        <is>
          <t>1324-03-07</t>
        </is>
      </c>
    </row>
    <row r="2314">
      <c r="A2314" s="1" t="n">
        <v>2313</v>
      </c>
      <c r="B2314">
        <f>TEXT(2313, "[$-170000]yyyy-mm-dd")</f>
        <v/>
      </c>
      <c r="C2314">
        <f>TEXT(2313, "[$-060000]yyyy-mm-dd")</f>
        <v/>
      </c>
      <c r="D2314" t="inlineStr">
        <is>
          <t>1324-03-08</t>
        </is>
      </c>
    </row>
    <row r="2315">
      <c r="A2315" s="1" t="n">
        <v>2314</v>
      </c>
      <c r="B2315">
        <f>TEXT(2314, "[$-170000]yyyy-mm-dd")</f>
        <v/>
      </c>
      <c r="C2315">
        <f>TEXT(2314, "[$-060000]yyyy-mm-dd")</f>
        <v/>
      </c>
      <c r="D2315" t="inlineStr">
        <is>
          <t>1324-03-09</t>
        </is>
      </c>
    </row>
    <row r="2316">
      <c r="A2316" s="1" t="n">
        <v>2315</v>
      </c>
      <c r="B2316">
        <f>TEXT(2315, "[$-170000]yyyy-mm-dd")</f>
        <v/>
      </c>
      <c r="C2316">
        <f>TEXT(2315, "[$-060000]yyyy-mm-dd")</f>
        <v/>
      </c>
      <c r="D2316" t="inlineStr">
        <is>
          <t>1324-03-10</t>
        </is>
      </c>
    </row>
    <row r="2317">
      <c r="A2317" s="1" t="n">
        <v>2316</v>
      </c>
      <c r="B2317">
        <f>TEXT(2316, "[$-170000]yyyy-mm-dd")</f>
        <v/>
      </c>
      <c r="C2317">
        <f>TEXT(2316, "[$-060000]yyyy-mm-dd")</f>
        <v/>
      </c>
      <c r="D2317" t="inlineStr">
        <is>
          <t>1324-03-11</t>
        </is>
      </c>
    </row>
    <row r="2318">
      <c r="A2318" s="1" t="n">
        <v>2317</v>
      </c>
      <c r="B2318">
        <f>TEXT(2317, "[$-170000]yyyy-mm-dd")</f>
        <v/>
      </c>
      <c r="C2318">
        <f>TEXT(2317, "[$-060000]yyyy-mm-dd")</f>
        <v/>
      </c>
      <c r="D2318" t="inlineStr">
        <is>
          <t>1324-03-12</t>
        </is>
      </c>
    </row>
    <row r="2319">
      <c r="A2319" s="1" t="n">
        <v>2318</v>
      </c>
      <c r="B2319">
        <f>TEXT(2318, "[$-170000]yyyy-mm-dd")</f>
        <v/>
      </c>
      <c r="C2319">
        <f>TEXT(2318, "[$-060000]yyyy-mm-dd")</f>
        <v/>
      </c>
      <c r="D2319" t="inlineStr">
        <is>
          <t>1324-03-13</t>
        </is>
      </c>
    </row>
    <row r="2320">
      <c r="A2320" s="1" t="n">
        <v>2319</v>
      </c>
      <c r="B2320">
        <f>TEXT(2319, "[$-170000]yyyy-mm-dd")</f>
        <v/>
      </c>
      <c r="C2320">
        <f>TEXT(2319, "[$-060000]yyyy-mm-dd")</f>
        <v/>
      </c>
      <c r="D2320" t="inlineStr">
        <is>
          <t>1324-03-14</t>
        </is>
      </c>
    </row>
    <row r="2321">
      <c r="A2321" s="1" t="n">
        <v>2320</v>
      </c>
      <c r="B2321">
        <f>TEXT(2320, "[$-170000]yyyy-mm-dd")</f>
        <v/>
      </c>
      <c r="C2321">
        <f>TEXT(2320, "[$-060000]yyyy-mm-dd")</f>
        <v/>
      </c>
      <c r="D2321" t="inlineStr">
        <is>
          <t>1324-03-15</t>
        </is>
      </c>
    </row>
    <row r="2322">
      <c r="A2322" s="1" t="n">
        <v>2321</v>
      </c>
      <c r="B2322">
        <f>TEXT(2321, "[$-170000]yyyy-mm-dd")</f>
        <v/>
      </c>
      <c r="C2322">
        <f>TEXT(2321, "[$-060000]yyyy-mm-dd")</f>
        <v/>
      </c>
      <c r="D2322" t="inlineStr">
        <is>
          <t>1324-03-16</t>
        </is>
      </c>
    </row>
    <row r="2323">
      <c r="A2323" s="1" t="n">
        <v>2322</v>
      </c>
      <c r="B2323">
        <f>TEXT(2322, "[$-170000]yyyy-mm-dd")</f>
        <v/>
      </c>
      <c r="C2323">
        <f>TEXT(2322, "[$-060000]yyyy-mm-dd")</f>
        <v/>
      </c>
      <c r="D2323" t="inlineStr">
        <is>
          <t>1324-03-17</t>
        </is>
      </c>
    </row>
    <row r="2324">
      <c r="A2324" s="1" t="n">
        <v>2323</v>
      </c>
      <c r="B2324">
        <f>TEXT(2323, "[$-170000]yyyy-mm-dd")</f>
        <v/>
      </c>
      <c r="C2324">
        <f>TEXT(2323, "[$-060000]yyyy-mm-dd")</f>
        <v/>
      </c>
      <c r="D2324" t="inlineStr">
        <is>
          <t>1324-03-18</t>
        </is>
      </c>
    </row>
    <row r="2325">
      <c r="A2325" s="1" t="n">
        <v>2324</v>
      </c>
      <c r="B2325">
        <f>TEXT(2324, "[$-170000]yyyy-mm-dd")</f>
        <v/>
      </c>
      <c r="C2325">
        <f>TEXT(2324, "[$-060000]yyyy-mm-dd")</f>
        <v/>
      </c>
      <c r="D2325" t="inlineStr">
        <is>
          <t>1324-03-19</t>
        </is>
      </c>
    </row>
    <row r="2326">
      <c r="A2326" s="1" t="n">
        <v>2325</v>
      </c>
      <c r="B2326">
        <f>TEXT(2325, "[$-170000]yyyy-mm-dd")</f>
        <v/>
      </c>
      <c r="C2326">
        <f>TEXT(2325, "[$-060000]yyyy-mm-dd")</f>
        <v/>
      </c>
      <c r="D2326" t="inlineStr">
        <is>
          <t>1324-03-20</t>
        </is>
      </c>
    </row>
    <row r="2327">
      <c r="A2327" s="1" t="n">
        <v>2326</v>
      </c>
      <c r="B2327">
        <f>TEXT(2326, "[$-170000]yyyy-mm-dd")</f>
        <v/>
      </c>
      <c r="C2327">
        <f>TEXT(2326, "[$-060000]yyyy-mm-dd")</f>
        <v/>
      </c>
      <c r="D2327" t="inlineStr">
        <is>
          <t>1324-03-21</t>
        </is>
      </c>
    </row>
    <row r="2328">
      <c r="A2328" s="1" t="n">
        <v>2327</v>
      </c>
      <c r="B2328">
        <f>TEXT(2327, "[$-170000]yyyy-mm-dd")</f>
        <v/>
      </c>
      <c r="C2328">
        <f>TEXT(2327, "[$-060000]yyyy-mm-dd")</f>
        <v/>
      </c>
      <c r="D2328" t="inlineStr">
        <is>
          <t>1324-03-22</t>
        </is>
      </c>
    </row>
    <row r="2329">
      <c r="A2329" s="1" t="n">
        <v>2328</v>
      </c>
      <c r="B2329">
        <f>TEXT(2328, "[$-170000]yyyy-mm-dd")</f>
        <v/>
      </c>
      <c r="C2329">
        <f>TEXT(2328, "[$-060000]yyyy-mm-dd")</f>
        <v/>
      </c>
      <c r="D2329" t="inlineStr">
        <is>
          <t>1324-03-23</t>
        </is>
      </c>
    </row>
    <row r="2330">
      <c r="A2330" s="1" t="n">
        <v>2329</v>
      </c>
      <c r="B2330">
        <f>TEXT(2329, "[$-170000]yyyy-mm-dd")</f>
        <v/>
      </c>
      <c r="C2330">
        <f>TEXT(2329, "[$-060000]yyyy-mm-dd")</f>
        <v/>
      </c>
      <c r="D2330" t="inlineStr">
        <is>
          <t>1324-03-24</t>
        </is>
      </c>
    </row>
    <row r="2331">
      <c r="A2331" s="1" t="n">
        <v>2330</v>
      </c>
      <c r="B2331">
        <f>TEXT(2330, "[$-170000]yyyy-mm-dd")</f>
        <v/>
      </c>
      <c r="C2331">
        <f>TEXT(2330, "[$-060000]yyyy-mm-dd")</f>
        <v/>
      </c>
      <c r="D2331" t="inlineStr">
        <is>
          <t>1324-03-25</t>
        </is>
      </c>
    </row>
    <row r="2332">
      <c r="A2332" s="1" t="n">
        <v>2331</v>
      </c>
      <c r="B2332">
        <f>TEXT(2331, "[$-170000]yyyy-mm-dd")</f>
        <v/>
      </c>
      <c r="C2332">
        <f>TEXT(2331, "[$-060000]yyyy-mm-dd")</f>
        <v/>
      </c>
      <c r="D2332" t="inlineStr">
        <is>
          <t>1324-03-26</t>
        </is>
      </c>
    </row>
    <row r="2333">
      <c r="A2333" s="1" t="n">
        <v>2332</v>
      </c>
      <c r="B2333">
        <f>TEXT(2332, "[$-170000]yyyy-mm-dd")</f>
        <v/>
      </c>
      <c r="C2333">
        <f>TEXT(2332, "[$-060000]yyyy-mm-dd")</f>
        <v/>
      </c>
      <c r="D2333" t="inlineStr">
        <is>
          <t>1324-03-27</t>
        </is>
      </c>
    </row>
    <row r="2334">
      <c r="A2334" s="1" t="n">
        <v>2333</v>
      </c>
      <c r="B2334">
        <f>TEXT(2333, "[$-170000]yyyy-mm-dd")</f>
        <v/>
      </c>
      <c r="C2334">
        <f>TEXT(2333, "[$-060000]yyyy-mm-dd")</f>
        <v/>
      </c>
      <c r="D2334" t="inlineStr">
        <is>
          <t>1324-03-28</t>
        </is>
      </c>
    </row>
    <row r="2335">
      <c r="A2335" s="1" t="n">
        <v>2334</v>
      </c>
      <c r="B2335">
        <f>TEXT(2334, "[$-170000]yyyy-mm-dd")</f>
        <v/>
      </c>
      <c r="C2335">
        <f>TEXT(2334, "[$-060000]yyyy-mm-dd")</f>
        <v/>
      </c>
      <c r="D2335" t="inlineStr">
        <is>
          <t>1324-03-29</t>
        </is>
      </c>
    </row>
    <row r="2336">
      <c r="A2336" s="1" t="n">
        <v>2335</v>
      </c>
      <c r="B2336">
        <f>TEXT(2335, "[$-170000]yyyy-mm-dd")</f>
        <v/>
      </c>
      <c r="C2336">
        <f>TEXT(2335, "[$-060000]yyyy-mm-dd")</f>
        <v/>
      </c>
      <c r="D2336" t="inlineStr">
        <is>
          <t>1324-03-30</t>
        </is>
      </c>
    </row>
    <row r="2337">
      <c r="A2337" s="1" t="n">
        <v>2336</v>
      </c>
      <c r="B2337">
        <f>TEXT(2336, "[$-170000]yyyy-mm-dd")</f>
        <v/>
      </c>
      <c r="C2337">
        <f>TEXT(2336, "[$-060000]yyyy-mm-dd")</f>
        <v/>
      </c>
      <c r="D2337" t="inlineStr">
        <is>
          <t>1324-04-01</t>
        </is>
      </c>
    </row>
    <row r="2338">
      <c r="A2338" s="1" t="n">
        <v>2337</v>
      </c>
      <c r="B2338">
        <f>TEXT(2337, "[$-170000]yyyy-mm-dd")</f>
        <v/>
      </c>
      <c r="C2338">
        <f>TEXT(2337, "[$-060000]yyyy-mm-dd")</f>
        <v/>
      </c>
      <c r="D2338" t="inlineStr">
        <is>
          <t>1324-04-02</t>
        </is>
      </c>
    </row>
    <row r="2339">
      <c r="A2339" s="1" t="n">
        <v>2338</v>
      </c>
      <c r="B2339">
        <f>TEXT(2338, "[$-170000]yyyy-mm-dd")</f>
        <v/>
      </c>
      <c r="C2339">
        <f>TEXT(2338, "[$-060000]yyyy-mm-dd")</f>
        <v/>
      </c>
      <c r="D2339" t="inlineStr">
        <is>
          <t>1324-04-03</t>
        </is>
      </c>
    </row>
    <row r="2340">
      <c r="A2340" s="1" t="n">
        <v>2339</v>
      </c>
      <c r="B2340">
        <f>TEXT(2339, "[$-170000]yyyy-mm-dd")</f>
        <v/>
      </c>
      <c r="C2340">
        <f>TEXT(2339, "[$-060000]yyyy-mm-dd")</f>
        <v/>
      </c>
      <c r="D2340" t="inlineStr">
        <is>
          <t>1324-04-04</t>
        </is>
      </c>
    </row>
    <row r="2341">
      <c r="A2341" s="1" t="n">
        <v>2340</v>
      </c>
      <c r="B2341">
        <f>TEXT(2340, "[$-170000]yyyy-mm-dd")</f>
        <v/>
      </c>
      <c r="C2341">
        <f>TEXT(2340, "[$-060000]yyyy-mm-dd")</f>
        <v/>
      </c>
      <c r="D2341" t="inlineStr">
        <is>
          <t>1324-04-05</t>
        </is>
      </c>
    </row>
    <row r="2342">
      <c r="A2342" s="1" t="n">
        <v>2341</v>
      </c>
      <c r="B2342">
        <f>TEXT(2341, "[$-170000]yyyy-mm-dd")</f>
        <v/>
      </c>
      <c r="C2342">
        <f>TEXT(2341, "[$-060000]yyyy-mm-dd")</f>
        <v/>
      </c>
      <c r="D2342" t="inlineStr">
        <is>
          <t>1324-04-06</t>
        </is>
      </c>
    </row>
    <row r="2343">
      <c r="A2343" s="1" t="n">
        <v>2342</v>
      </c>
      <c r="B2343">
        <f>TEXT(2342, "[$-170000]yyyy-mm-dd")</f>
        <v/>
      </c>
      <c r="C2343">
        <f>TEXT(2342, "[$-060000]yyyy-mm-dd")</f>
        <v/>
      </c>
      <c r="D2343" t="inlineStr">
        <is>
          <t>1324-04-07</t>
        </is>
      </c>
    </row>
    <row r="2344">
      <c r="A2344" s="1" t="n">
        <v>2343</v>
      </c>
      <c r="B2344">
        <f>TEXT(2343, "[$-170000]yyyy-mm-dd")</f>
        <v/>
      </c>
      <c r="C2344">
        <f>TEXT(2343, "[$-060000]yyyy-mm-dd")</f>
        <v/>
      </c>
      <c r="D2344" t="inlineStr">
        <is>
          <t>1324-04-08</t>
        </is>
      </c>
    </row>
    <row r="2345">
      <c r="A2345" s="1" t="n">
        <v>2344</v>
      </c>
      <c r="B2345">
        <f>TEXT(2344, "[$-170000]yyyy-mm-dd")</f>
        <v/>
      </c>
      <c r="C2345">
        <f>TEXT(2344, "[$-060000]yyyy-mm-dd")</f>
        <v/>
      </c>
      <c r="D2345" t="inlineStr">
        <is>
          <t>1324-04-09</t>
        </is>
      </c>
    </row>
    <row r="2346">
      <c r="A2346" s="1" t="n">
        <v>2345</v>
      </c>
      <c r="B2346">
        <f>TEXT(2345, "[$-170000]yyyy-mm-dd")</f>
        <v/>
      </c>
      <c r="C2346">
        <f>TEXT(2345, "[$-060000]yyyy-mm-dd")</f>
        <v/>
      </c>
      <c r="D2346" t="inlineStr">
        <is>
          <t>1324-04-10</t>
        </is>
      </c>
    </row>
    <row r="2347">
      <c r="A2347" s="1" t="n">
        <v>2346</v>
      </c>
      <c r="B2347">
        <f>TEXT(2346, "[$-170000]yyyy-mm-dd")</f>
        <v/>
      </c>
      <c r="C2347">
        <f>TEXT(2346, "[$-060000]yyyy-mm-dd")</f>
        <v/>
      </c>
      <c r="D2347" t="inlineStr">
        <is>
          <t>1324-04-11</t>
        </is>
      </c>
    </row>
    <row r="2348">
      <c r="A2348" s="1" t="n">
        <v>2347</v>
      </c>
      <c r="B2348">
        <f>TEXT(2347, "[$-170000]yyyy-mm-dd")</f>
        <v/>
      </c>
      <c r="C2348">
        <f>TEXT(2347, "[$-060000]yyyy-mm-dd")</f>
        <v/>
      </c>
      <c r="D2348" t="inlineStr">
        <is>
          <t>1324-04-12</t>
        </is>
      </c>
    </row>
    <row r="2349">
      <c r="A2349" s="1" t="n">
        <v>2348</v>
      </c>
      <c r="B2349">
        <f>TEXT(2348, "[$-170000]yyyy-mm-dd")</f>
        <v/>
      </c>
      <c r="C2349">
        <f>TEXT(2348, "[$-060000]yyyy-mm-dd")</f>
        <v/>
      </c>
      <c r="D2349" t="inlineStr">
        <is>
          <t>1324-04-13</t>
        </is>
      </c>
    </row>
    <row r="2350">
      <c r="A2350" s="1" t="n">
        <v>2349</v>
      </c>
      <c r="B2350">
        <f>TEXT(2349, "[$-170000]yyyy-mm-dd")</f>
        <v/>
      </c>
      <c r="C2350">
        <f>TEXT(2349, "[$-060000]yyyy-mm-dd")</f>
        <v/>
      </c>
      <c r="D2350" t="inlineStr">
        <is>
          <t>1324-04-14</t>
        </is>
      </c>
    </row>
    <row r="2351">
      <c r="A2351" s="1" t="n">
        <v>2350</v>
      </c>
      <c r="B2351">
        <f>TEXT(2350, "[$-170000]yyyy-mm-dd")</f>
        <v/>
      </c>
      <c r="C2351">
        <f>TEXT(2350, "[$-060000]yyyy-mm-dd")</f>
        <v/>
      </c>
      <c r="D2351" t="inlineStr">
        <is>
          <t>1324-04-15</t>
        </is>
      </c>
    </row>
    <row r="2352">
      <c r="A2352" s="1" t="n">
        <v>2351</v>
      </c>
      <c r="B2352">
        <f>TEXT(2351, "[$-170000]yyyy-mm-dd")</f>
        <v/>
      </c>
      <c r="C2352">
        <f>TEXT(2351, "[$-060000]yyyy-mm-dd")</f>
        <v/>
      </c>
      <c r="D2352" t="inlineStr">
        <is>
          <t>1324-04-16</t>
        </is>
      </c>
    </row>
    <row r="2353">
      <c r="A2353" s="1" t="n">
        <v>2352</v>
      </c>
      <c r="B2353">
        <f>TEXT(2352, "[$-170000]yyyy-mm-dd")</f>
        <v/>
      </c>
      <c r="C2353">
        <f>TEXT(2352, "[$-060000]yyyy-mm-dd")</f>
        <v/>
      </c>
      <c r="D2353" t="inlineStr">
        <is>
          <t>1324-04-17</t>
        </is>
      </c>
    </row>
    <row r="2354">
      <c r="A2354" s="1" t="n">
        <v>2353</v>
      </c>
      <c r="B2354">
        <f>TEXT(2353, "[$-170000]yyyy-mm-dd")</f>
        <v/>
      </c>
      <c r="C2354">
        <f>TEXT(2353, "[$-060000]yyyy-mm-dd")</f>
        <v/>
      </c>
      <c r="D2354" t="inlineStr">
        <is>
          <t>1324-04-18</t>
        </is>
      </c>
    </row>
    <row r="2355">
      <c r="A2355" s="1" t="n">
        <v>2354</v>
      </c>
      <c r="B2355">
        <f>TEXT(2354, "[$-170000]yyyy-mm-dd")</f>
        <v/>
      </c>
      <c r="C2355">
        <f>TEXT(2354, "[$-060000]yyyy-mm-dd")</f>
        <v/>
      </c>
      <c r="D2355" t="inlineStr">
        <is>
          <t>1324-04-19</t>
        </is>
      </c>
    </row>
    <row r="2356">
      <c r="A2356" s="1" t="n">
        <v>2355</v>
      </c>
      <c r="B2356">
        <f>TEXT(2355, "[$-170000]yyyy-mm-dd")</f>
        <v/>
      </c>
      <c r="C2356">
        <f>TEXT(2355, "[$-060000]yyyy-mm-dd")</f>
        <v/>
      </c>
      <c r="D2356" t="inlineStr">
        <is>
          <t>1324-04-20</t>
        </is>
      </c>
    </row>
    <row r="2357">
      <c r="A2357" s="1" t="n">
        <v>2356</v>
      </c>
      <c r="B2357">
        <f>TEXT(2356, "[$-170000]yyyy-mm-dd")</f>
        <v/>
      </c>
      <c r="C2357">
        <f>TEXT(2356, "[$-060000]yyyy-mm-dd")</f>
        <v/>
      </c>
      <c r="D2357" t="inlineStr">
        <is>
          <t>1324-04-21</t>
        </is>
      </c>
    </row>
    <row r="2358">
      <c r="A2358" s="1" t="n">
        <v>2357</v>
      </c>
      <c r="B2358">
        <f>TEXT(2357, "[$-170000]yyyy-mm-dd")</f>
        <v/>
      </c>
      <c r="C2358">
        <f>TEXT(2357, "[$-060000]yyyy-mm-dd")</f>
        <v/>
      </c>
      <c r="D2358" t="inlineStr">
        <is>
          <t>1324-04-22</t>
        </is>
      </c>
    </row>
    <row r="2359">
      <c r="A2359" s="1" t="n">
        <v>2358</v>
      </c>
      <c r="B2359">
        <f>TEXT(2358, "[$-170000]yyyy-mm-dd")</f>
        <v/>
      </c>
      <c r="C2359">
        <f>TEXT(2358, "[$-060000]yyyy-mm-dd")</f>
        <v/>
      </c>
      <c r="D2359" t="inlineStr">
        <is>
          <t>1324-04-23</t>
        </is>
      </c>
    </row>
    <row r="2360">
      <c r="A2360" s="1" t="n">
        <v>2359</v>
      </c>
      <c r="B2360">
        <f>TEXT(2359, "[$-170000]yyyy-mm-dd")</f>
        <v/>
      </c>
      <c r="C2360">
        <f>TEXT(2359, "[$-060000]yyyy-mm-dd")</f>
        <v/>
      </c>
      <c r="D2360" t="inlineStr">
        <is>
          <t>1324-04-24</t>
        </is>
      </c>
    </row>
    <row r="2361">
      <c r="A2361" s="1" t="n">
        <v>2360</v>
      </c>
      <c r="B2361">
        <f>TEXT(2360, "[$-170000]yyyy-mm-dd")</f>
        <v/>
      </c>
      <c r="C2361">
        <f>TEXT(2360, "[$-060000]yyyy-mm-dd")</f>
        <v/>
      </c>
      <c r="D2361" t="inlineStr">
        <is>
          <t>1324-04-25</t>
        </is>
      </c>
    </row>
    <row r="2362">
      <c r="A2362" s="1" t="n">
        <v>2361</v>
      </c>
      <c r="B2362">
        <f>TEXT(2361, "[$-170000]yyyy-mm-dd")</f>
        <v/>
      </c>
      <c r="C2362">
        <f>TEXT(2361, "[$-060000]yyyy-mm-dd")</f>
        <v/>
      </c>
      <c r="D2362" t="inlineStr">
        <is>
          <t>1324-04-26</t>
        </is>
      </c>
    </row>
    <row r="2363">
      <c r="A2363" s="1" t="n">
        <v>2362</v>
      </c>
      <c r="B2363">
        <f>TEXT(2362, "[$-170000]yyyy-mm-dd")</f>
        <v/>
      </c>
      <c r="C2363">
        <f>TEXT(2362, "[$-060000]yyyy-mm-dd")</f>
        <v/>
      </c>
      <c r="D2363" t="inlineStr">
        <is>
          <t>1324-04-27</t>
        </is>
      </c>
    </row>
    <row r="2364">
      <c r="A2364" s="1" t="n">
        <v>2363</v>
      </c>
      <c r="B2364">
        <f>TEXT(2363, "[$-170000]yyyy-mm-dd")</f>
        <v/>
      </c>
      <c r="C2364">
        <f>TEXT(2363, "[$-060000]yyyy-mm-dd")</f>
        <v/>
      </c>
      <c r="D2364" t="inlineStr">
        <is>
          <t>1324-04-28</t>
        </is>
      </c>
    </row>
    <row r="2365">
      <c r="A2365" s="1" t="n">
        <v>2364</v>
      </c>
      <c r="B2365">
        <f>TEXT(2364, "[$-170000]yyyy-mm-dd")</f>
        <v/>
      </c>
      <c r="C2365">
        <f>TEXT(2364, "[$-060000]yyyy-mm-dd")</f>
        <v/>
      </c>
      <c r="D2365" t="inlineStr">
        <is>
          <t>1324-04-29</t>
        </is>
      </c>
    </row>
    <row r="2366">
      <c r="A2366" s="1" t="n">
        <v>2365</v>
      </c>
      <c r="B2366">
        <f>TEXT(2365, "[$-170000]yyyy-mm-dd")</f>
        <v/>
      </c>
      <c r="C2366">
        <f>TEXT(2365, "[$-060000]yyyy-mm-dd")</f>
        <v/>
      </c>
      <c r="D2366" t="inlineStr">
        <is>
          <t>1324-05-01</t>
        </is>
      </c>
    </row>
    <row r="2367">
      <c r="A2367" s="1" t="n">
        <v>2366</v>
      </c>
      <c r="B2367">
        <f>TEXT(2366, "[$-170000]yyyy-mm-dd")</f>
        <v/>
      </c>
      <c r="C2367">
        <f>TEXT(2366, "[$-060000]yyyy-mm-dd")</f>
        <v/>
      </c>
      <c r="D2367" t="inlineStr">
        <is>
          <t>1324-05-02</t>
        </is>
      </c>
    </row>
    <row r="2368">
      <c r="A2368" s="1" t="n">
        <v>2367</v>
      </c>
      <c r="B2368">
        <f>TEXT(2367, "[$-170000]yyyy-mm-dd")</f>
        <v/>
      </c>
      <c r="C2368">
        <f>TEXT(2367, "[$-060000]yyyy-mm-dd")</f>
        <v/>
      </c>
      <c r="D2368" t="inlineStr">
        <is>
          <t>1324-05-03</t>
        </is>
      </c>
    </row>
    <row r="2369">
      <c r="A2369" s="1" t="n">
        <v>2368</v>
      </c>
      <c r="B2369">
        <f>TEXT(2368, "[$-170000]yyyy-mm-dd")</f>
        <v/>
      </c>
      <c r="C2369">
        <f>TEXT(2368, "[$-060000]yyyy-mm-dd")</f>
        <v/>
      </c>
      <c r="D2369" t="inlineStr">
        <is>
          <t>1324-05-04</t>
        </is>
      </c>
    </row>
    <row r="2370">
      <c r="A2370" s="1" t="n">
        <v>2369</v>
      </c>
      <c r="B2370">
        <f>TEXT(2369, "[$-170000]yyyy-mm-dd")</f>
        <v/>
      </c>
      <c r="C2370">
        <f>TEXT(2369, "[$-060000]yyyy-mm-dd")</f>
        <v/>
      </c>
      <c r="D2370" t="inlineStr">
        <is>
          <t>1324-05-05</t>
        </is>
      </c>
    </row>
    <row r="2371">
      <c r="A2371" s="1" t="n">
        <v>2370</v>
      </c>
      <c r="B2371">
        <f>TEXT(2370, "[$-170000]yyyy-mm-dd")</f>
        <v/>
      </c>
      <c r="C2371">
        <f>TEXT(2370, "[$-060000]yyyy-mm-dd")</f>
        <v/>
      </c>
      <c r="D2371" t="inlineStr">
        <is>
          <t>1324-05-06</t>
        </is>
      </c>
    </row>
    <row r="2372">
      <c r="A2372" s="1" t="n">
        <v>2371</v>
      </c>
      <c r="B2372">
        <f>TEXT(2371, "[$-170000]yyyy-mm-dd")</f>
        <v/>
      </c>
      <c r="C2372">
        <f>TEXT(2371, "[$-060000]yyyy-mm-dd")</f>
        <v/>
      </c>
      <c r="D2372" t="inlineStr">
        <is>
          <t>1324-05-07</t>
        </is>
      </c>
    </row>
    <row r="2373">
      <c r="A2373" s="1" t="n">
        <v>2372</v>
      </c>
      <c r="B2373">
        <f>TEXT(2372, "[$-170000]yyyy-mm-dd")</f>
        <v/>
      </c>
      <c r="C2373">
        <f>TEXT(2372, "[$-060000]yyyy-mm-dd")</f>
        <v/>
      </c>
      <c r="D2373" t="inlineStr">
        <is>
          <t>1324-05-08</t>
        </is>
      </c>
    </row>
    <row r="2374">
      <c r="A2374" s="1" t="n">
        <v>2373</v>
      </c>
      <c r="B2374">
        <f>TEXT(2373, "[$-170000]yyyy-mm-dd")</f>
        <v/>
      </c>
      <c r="C2374">
        <f>TEXT(2373, "[$-060000]yyyy-mm-dd")</f>
        <v/>
      </c>
      <c r="D2374" t="inlineStr">
        <is>
          <t>1324-05-09</t>
        </is>
      </c>
    </row>
    <row r="2375">
      <c r="A2375" s="1" t="n">
        <v>2374</v>
      </c>
      <c r="B2375">
        <f>TEXT(2374, "[$-170000]yyyy-mm-dd")</f>
        <v/>
      </c>
      <c r="C2375">
        <f>TEXT(2374, "[$-060000]yyyy-mm-dd")</f>
        <v/>
      </c>
      <c r="D2375" t="inlineStr">
        <is>
          <t>1324-05-10</t>
        </is>
      </c>
    </row>
    <row r="2376">
      <c r="A2376" s="1" t="n">
        <v>2375</v>
      </c>
      <c r="B2376">
        <f>TEXT(2375, "[$-170000]yyyy-mm-dd")</f>
        <v/>
      </c>
      <c r="C2376">
        <f>TEXT(2375, "[$-060000]yyyy-mm-dd")</f>
        <v/>
      </c>
      <c r="D2376" t="inlineStr">
        <is>
          <t>1324-05-11</t>
        </is>
      </c>
    </row>
    <row r="2377">
      <c r="A2377" s="1" t="n">
        <v>2376</v>
      </c>
      <c r="B2377">
        <f>TEXT(2376, "[$-170000]yyyy-mm-dd")</f>
        <v/>
      </c>
      <c r="C2377">
        <f>TEXT(2376, "[$-060000]yyyy-mm-dd")</f>
        <v/>
      </c>
      <c r="D2377" t="inlineStr">
        <is>
          <t>1324-05-12</t>
        </is>
      </c>
    </row>
    <row r="2378">
      <c r="A2378" s="1" t="n">
        <v>2377</v>
      </c>
      <c r="B2378">
        <f>TEXT(2377, "[$-170000]yyyy-mm-dd")</f>
        <v/>
      </c>
      <c r="C2378">
        <f>TEXT(2377, "[$-060000]yyyy-mm-dd")</f>
        <v/>
      </c>
      <c r="D2378" t="inlineStr">
        <is>
          <t>1324-05-13</t>
        </is>
      </c>
    </row>
    <row r="2379">
      <c r="A2379" s="1" t="n">
        <v>2378</v>
      </c>
      <c r="B2379">
        <f>TEXT(2378, "[$-170000]yyyy-mm-dd")</f>
        <v/>
      </c>
      <c r="C2379">
        <f>TEXT(2378, "[$-060000]yyyy-mm-dd")</f>
        <v/>
      </c>
      <c r="D2379" t="inlineStr">
        <is>
          <t>1324-05-14</t>
        </is>
      </c>
    </row>
    <row r="2380">
      <c r="A2380" s="1" t="n">
        <v>2379</v>
      </c>
      <c r="B2380">
        <f>TEXT(2379, "[$-170000]yyyy-mm-dd")</f>
        <v/>
      </c>
      <c r="C2380">
        <f>TEXT(2379, "[$-060000]yyyy-mm-dd")</f>
        <v/>
      </c>
      <c r="D2380" t="inlineStr">
        <is>
          <t>1324-05-15</t>
        </is>
      </c>
    </row>
    <row r="2381">
      <c r="A2381" s="1" t="n">
        <v>2380</v>
      </c>
      <c r="B2381">
        <f>TEXT(2380, "[$-170000]yyyy-mm-dd")</f>
        <v/>
      </c>
      <c r="C2381">
        <f>TEXT(2380, "[$-060000]yyyy-mm-dd")</f>
        <v/>
      </c>
      <c r="D2381" t="inlineStr">
        <is>
          <t>1324-05-16</t>
        </is>
      </c>
    </row>
    <row r="2382">
      <c r="A2382" s="1" t="n">
        <v>2381</v>
      </c>
      <c r="B2382">
        <f>TEXT(2381, "[$-170000]yyyy-mm-dd")</f>
        <v/>
      </c>
      <c r="C2382">
        <f>TEXT(2381, "[$-060000]yyyy-mm-dd")</f>
        <v/>
      </c>
      <c r="D2382" t="inlineStr">
        <is>
          <t>1324-05-17</t>
        </is>
      </c>
    </row>
    <row r="2383">
      <c r="A2383" s="1" t="n">
        <v>2382</v>
      </c>
      <c r="B2383">
        <f>TEXT(2382, "[$-170000]yyyy-mm-dd")</f>
        <v/>
      </c>
      <c r="C2383">
        <f>TEXT(2382, "[$-060000]yyyy-mm-dd")</f>
        <v/>
      </c>
      <c r="D2383" t="inlineStr">
        <is>
          <t>1324-05-18</t>
        </is>
      </c>
    </row>
    <row r="2384">
      <c r="A2384" s="1" t="n">
        <v>2383</v>
      </c>
      <c r="B2384">
        <f>TEXT(2383, "[$-170000]yyyy-mm-dd")</f>
        <v/>
      </c>
      <c r="C2384">
        <f>TEXT(2383, "[$-060000]yyyy-mm-dd")</f>
        <v/>
      </c>
      <c r="D2384" t="inlineStr">
        <is>
          <t>1324-05-19</t>
        </is>
      </c>
    </row>
    <row r="2385">
      <c r="A2385" s="1" t="n">
        <v>2384</v>
      </c>
      <c r="B2385">
        <f>TEXT(2384, "[$-170000]yyyy-mm-dd")</f>
        <v/>
      </c>
      <c r="C2385">
        <f>TEXT(2384, "[$-060000]yyyy-mm-dd")</f>
        <v/>
      </c>
      <c r="D2385" t="inlineStr">
        <is>
          <t>1324-05-20</t>
        </is>
      </c>
    </row>
    <row r="2386">
      <c r="A2386" s="1" t="n">
        <v>2385</v>
      </c>
      <c r="B2386">
        <f>TEXT(2385, "[$-170000]yyyy-mm-dd")</f>
        <v/>
      </c>
      <c r="C2386">
        <f>TEXT(2385, "[$-060000]yyyy-mm-dd")</f>
        <v/>
      </c>
      <c r="D2386" t="inlineStr">
        <is>
          <t>1324-05-21</t>
        </is>
      </c>
    </row>
    <row r="2387">
      <c r="A2387" s="1" t="n">
        <v>2386</v>
      </c>
      <c r="B2387">
        <f>TEXT(2386, "[$-170000]yyyy-mm-dd")</f>
        <v/>
      </c>
      <c r="C2387">
        <f>TEXT(2386, "[$-060000]yyyy-mm-dd")</f>
        <v/>
      </c>
      <c r="D2387" t="inlineStr">
        <is>
          <t>1324-05-22</t>
        </is>
      </c>
    </row>
    <row r="2388">
      <c r="A2388" s="1" t="n">
        <v>2387</v>
      </c>
      <c r="B2388">
        <f>TEXT(2387, "[$-170000]yyyy-mm-dd")</f>
        <v/>
      </c>
      <c r="C2388">
        <f>TEXT(2387, "[$-060000]yyyy-mm-dd")</f>
        <v/>
      </c>
      <c r="D2388" t="inlineStr">
        <is>
          <t>1324-05-23</t>
        </is>
      </c>
    </row>
    <row r="2389">
      <c r="A2389" s="1" t="n">
        <v>2388</v>
      </c>
      <c r="B2389">
        <f>TEXT(2388, "[$-170000]yyyy-mm-dd")</f>
        <v/>
      </c>
      <c r="C2389">
        <f>TEXT(2388, "[$-060000]yyyy-mm-dd")</f>
        <v/>
      </c>
      <c r="D2389" t="inlineStr">
        <is>
          <t>1324-05-24</t>
        </is>
      </c>
    </row>
    <row r="2390">
      <c r="A2390" s="1" t="n">
        <v>2389</v>
      </c>
      <c r="B2390">
        <f>TEXT(2389, "[$-170000]yyyy-mm-dd")</f>
        <v/>
      </c>
      <c r="C2390">
        <f>TEXT(2389, "[$-060000]yyyy-mm-dd")</f>
        <v/>
      </c>
      <c r="D2390" t="inlineStr">
        <is>
          <t>1324-05-25</t>
        </is>
      </c>
    </row>
    <row r="2391">
      <c r="A2391" s="1" t="n">
        <v>2390</v>
      </c>
      <c r="B2391">
        <f>TEXT(2390, "[$-170000]yyyy-mm-dd")</f>
        <v/>
      </c>
      <c r="C2391">
        <f>TEXT(2390, "[$-060000]yyyy-mm-dd")</f>
        <v/>
      </c>
      <c r="D2391" t="inlineStr">
        <is>
          <t>1324-05-26</t>
        </is>
      </c>
    </row>
    <row r="2392">
      <c r="A2392" s="1" t="n">
        <v>2391</v>
      </c>
      <c r="B2392">
        <f>TEXT(2391, "[$-170000]yyyy-mm-dd")</f>
        <v/>
      </c>
      <c r="C2392">
        <f>TEXT(2391, "[$-060000]yyyy-mm-dd")</f>
        <v/>
      </c>
      <c r="D2392" t="inlineStr">
        <is>
          <t>1324-05-27</t>
        </is>
      </c>
    </row>
    <row r="2393">
      <c r="A2393" s="1" t="n">
        <v>2392</v>
      </c>
      <c r="B2393">
        <f>TEXT(2392, "[$-170000]yyyy-mm-dd")</f>
        <v/>
      </c>
      <c r="C2393">
        <f>TEXT(2392, "[$-060000]yyyy-mm-dd")</f>
        <v/>
      </c>
      <c r="D2393" t="inlineStr">
        <is>
          <t>1324-05-28</t>
        </is>
      </c>
    </row>
    <row r="2394">
      <c r="A2394" s="1" t="n">
        <v>2393</v>
      </c>
      <c r="B2394">
        <f>TEXT(2393, "[$-170000]yyyy-mm-dd")</f>
        <v/>
      </c>
      <c r="C2394">
        <f>TEXT(2393, "[$-060000]yyyy-mm-dd")</f>
        <v/>
      </c>
      <c r="D2394" t="inlineStr">
        <is>
          <t>1324-05-29</t>
        </is>
      </c>
    </row>
    <row r="2395">
      <c r="A2395" s="1" t="n">
        <v>2394</v>
      </c>
      <c r="B2395">
        <f>TEXT(2394, "[$-170000]yyyy-mm-dd")</f>
        <v/>
      </c>
      <c r="C2395">
        <f>TEXT(2394, "[$-060000]yyyy-mm-dd")</f>
        <v/>
      </c>
      <c r="D2395" t="inlineStr">
        <is>
          <t>1324-05-30</t>
        </is>
      </c>
    </row>
    <row r="2396">
      <c r="A2396" s="1" t="n">
        <v>2395</v>
      </c>
      <c r="B2396">
        <f>TEXT(2395, "[$-170000]yyyy-mm-dd")</f>
        <v/>
      </c>
      <c r="C2396">
        <f>TEXT(2395, "[$-060000]yyyy-mm-dd")</f>
        <v/>
      </c>
      <c r="D2396" t="inlineStr">
        <is>
          <t>1324-06-01</t>
        </is>
      </c>
    </row>
    <row r="2397">
      <c r="A2397" s="1" t="n">
        <v>2396</v>
      </c>
      <c r="B2397">
        <f>TEXT(2396, "[$-170000]yyyy-mm-dd")</f>
        <v/>
      </c>
      <c r="C2397">
        <f>TEXT(2396, "[$-060000]yyyy-mm-dd")</f>
        <v/>
      </c>
      <c r="D2397" t="inlineStr">
        <is>
          <t>1324-06-02</t>
        </is>
      </c>
    </row>
    <row r="2398">
      <c r="A2398" s="1" t="n">
        <v>2397</v>
      </c>
      <c r="B2398">
        <f>TEXT(2397, "[$-170000]yyyy-mm-dd")</f>
        <v/>
      </c>
      <c r="C2398">
        <f>TEXT(2397, "[$-060000]yyyy-mm-dd")</f>
        <v/>
      </c>
      <c r="D2398" t="inlineStr">
        <is>
          <t>1324-06-03</t>
        </is>
      </c>
    </row>
    <row r="2399">
      <c r="A2399" s="1" t="n">
        <v>2398</v>
      </c>
      <c r="B2399">
        <f>TEXT(2398, "[$-170000]yyyy-mm-dd")</f>
        <v/>
      </c>
      <c r="C2399">
        <f>TEXT(2398, "[$-060000]yyyy-mm-dd")</f>
        <v/>
      </c>
      <c r="D2399" t="inlineStr">
        <is>
          <t>1324-06-04</t>
        </is>
      </c>
    </row>
    <row r="2400">
      <c r="A2400" s="1" t="n">
        <v>2399</v>
      </c>
      <c r="B2400">
        <f>TEXT(2399, "[$-170000]yyyy-mm-dd")</f>
        <v/>
      </c>
      <c r="C2400">
        <f>TEXT(2399, "[$-060000]yyyy-mm-dd")</f>
        <v/>
      </c>
      <c r="D2400" t="inlineStr">
        <is>
          <t>1324-06-05</t>
        </is>
      </c>
    </row>
    <row r="2401">
      <c r="A2401" s="1" t="n">
        <v>2400</v>
      </c>
      <c r="B2401">
        <f>TEXT(2400, "[$-170000]yyyy-mm-dd")</f>
        <v/>
      </c>
      <c r="C2401">
        <f>TEXT(2400, "[$-060000]yyyy-mm-dd")</f>
        <v/>
      </c>
      <c r="D2401" t="inlineStr">
        <is>
          <t>1324-06-06</t>
        </is>
      </c>
    </row>
    <row r="2402">
      <c r="A2402" s="1" t="n">
        <v>2401</v>
      </c>
      <c r="B2402">
        <f>TEXT(2401, "[$-170000]yyyy-mm-dd")</f>
        <v/>
      </c>
      <c r="C2402">
        <f>TEXT(2401, "[$-060000]yyyy-mm-dd")</f>
        <v/>
      </c>
      <c r="D2402" t="inlineStr">
        <is>
          <t>1324-06-07</t>
        </is>
      </c>
    </row>
    <row r="2403">
      <c r="A2403" s="1" t="n">
        <v>2402</v>
      </c>
      <c r="B2403">
        <f>TEXT(2402, "[$-170000]yyyy-mm-dd")</f>
        <v/>
      </c>
      <c r="C2403">
        <f>TEXT(2402, "[$-060000]yyyy-mm-dd")</f>
        <v/>
      </c>
      <c r="D2403" t="inlineStr">
        <is>
          <t>1324-06-08</t>
        </is>
      </c>
    </row>
    <row r="2404">
      <c r="A2404" s="1" t="n">
        <v>2403</v>
      </c>
      <c r="B2404">
        <f>TEXT(2403, "[$-170000]yyyy-mm-dd")</f>
        <v/>
      </c>
      <c r="C2404">
        <f>TEXT(2403, "[$-060000]yyyy-mm-dd")</f>
        <v/>
      </c>
      <c r="D2404" t="inlineStr">
        <is>
          <t>1324-06-09</t>
        </is>
      </c>
    </row>
    <row r="2405">
      <c r="A2405" s="1" t="n">
        <v>2404</v>
      </c>
      <c r="B2405">
        <f>TEXT(2404, "[$-170000]yyyy-mm-dd")</f>
        <v/>
      </c>
      <c r="C2405">
        <f>TEXT(2404, "[$-060000]yyyy-mm-dd")</f>
        <v/>
      </c>
      <c r="D2405" t="inlineStr">
        <is>
          <t>1324-06-10</t>
        </is>
      </c>
    </row>
    <row r="2406">
      <c r="A2406" s="1" t="n">
        <v>2405</v>
      </c>
      <c r="B2406">
        <f>TEXT(2405, "[$-170000]yyyy-mm-dd")</f>
        <v/>
      </c>
      <c r="C2406">
        <f>TEXT(2405, "[$-060000]yyyy-mm-dd")</f>
        <v/>
      </c>
      <c r="D2406" t="inlineStr">
        <is>
          <t>1324-06-11</t>
        </is>
      </c>
    </row>
    <row r="2407">
      <c r="A2407" s="1" t="n">
        <v>2406</v>
      </c>
      <c r="B2407">
        <f>TEXT(2406, "[$-170000]yyyy-mm-dd")</f>
        <v/>
      </c>
      <c r="C2407">
        <f>TEXT(2406, "[$-060000]yyyy-mm-dd")</f>
        <v/>
      </c>
      <c r="D2407" t="inlineStr">
        <is>
          <t>1324-06-12</t>
        </is>
      </c>
    </row>
    <row r="2408">
      <c r="A2408" s="1" t="n">
        <v>2407</v>
      </c>
      <c r="B2408">
        <f>TEXT(2407, "[$-170000]yyyy-mm-dd")</f>
        <v/>
      </c>
      <c r="C2408">
        <f>TEXT(2407, "[$-060000]yyyy-mm-dd")</f>
        <v/>
      </c>
      <c r="D2408" t="inlineStr">
        <is>
          <t>1324-06-13</t>
        </is>
      </c>
    </row>
    <row r="2409">
      <c r="A2409" s="1" t="n">
        <v>2408</v>
      </c>
      <c r="B2409">
        <f>TEXT(2408, "[$-170000]yyyy-mm-dd")</f>
        <v/>
      </c>
      <c r="C2409">
        <f>TEXT(2408, "[$-060000]yyyy-mm-dd")</f>
        <v/>
      </c>
      <c r="D2409" t="inlineStr">
        <is>
          <t>1324-06-14</t>
        </is>
      </c>
    </row>
    <row r="2410">
      <c r="A2410" s="1" t="n">
        <v>2409</v>
      </c>
      <c r="B2410">
        <f>TEXT(2409, "[$-170000]yyyy-mm-dd")</f>
        <v/>
      </c>
      <c r="C2410">
        <f>TEXT(2409, "[$-060000]yyyy-mm-dd")</f>
        <v/>
      </c>
      <c r="D2410" t="inlineStr">
        <is>
          <t>1324-06-15</t>
        </is>
      </c>
    </row>
    <row r="2411">
      <c r="A2411" s="1" t="n">
        <v>2410</v>
      </c>
      <c r="B2411">
        <f>TEXT(2410, "[$-170000]yyyy-mm-dd")</f>
        <v/>
      </c>
      <c r="C2411">
        <f>TEXT(2410, "[$-060000]yyyy-mm-dd")</f>
        <v/>
      </c>
      <c r="D2411" t="inlineStr">
        <is>
          <t>1324-06-16</t>
        </is>
      </c>
    </row>
    <row r="2412">
      <c r="A2412" s="1" t="n">
        <v>2411</v>
      </c>
      <c r="B2412">
        <f>TEXT(2411, "[$-170000]yyyy-mm-dd")</f>
        <v/>
      </c>
      <c r="C2412">
        <f>TEXT(2411, "[$-060000]yyyy-mm-dd")</f>
        <v/>
      </c>
      <c r="D2412" t="inlineStr">
        <is>
          <t>1324-06-17</t>
        </is>
      </c>
    </row>
    <row r="2413">
      <c r="A2413" s="1" t="n">
        <v>2412</v>
      </c>
      <c r="B2413">
        <f>TEXT(2412, "[$-170000]yyyy-mm-dd")</f>
        <v/>
      </c>
      <c r="C2413">
        <f>TEXT(2412, "[$-060000]yyyy-mm-dd")</f>
        <v/>
      </c>
      <c r="D2413" t="inlineStr">
        <is>
          <t>1324-06-18</t>
        </is>
      </c>
    </row>
    <row r="2414">
      <c r="A2414" s="1" t="n">
        <v>2413</v>
      </c>
      <c r="B2414">
        <f>TEXT(2413, "[$-170000]yyyy-mm-dd")</f>
        <v/>
      </c>
      <c r="C2414">
        <f>TEXT(2413, "[$-060000]yyyy-mm-dd")</f>
        <v/>
      </c>
      <c r="D2414" t="inlineStr">
        <is>
          <t>1324-06-19</t>
        </is>
      </c>
    </row>
    <row r="2415">
      <c r="A2415" s="1" t="n">
        <v>2414</v>
      </c>
      <c r="B2415">
        <f>TEXT(2414, "[$-170000]yyyy-mm-dd")</f>
        <v/>
      </c>
      <c r="C2415">
        <f>TEXT(2414, "[$-060000]yyyy-mm-dd")</f>
        <v/>
      </c>
      <c r="D2415" t="inlineStr">
        <is>
          <t>1324-06-20</t>
        </is>
      </c>
    </row>
    <row r="2416">
      <c r="A2416" s="1" t="n">
        <v>2415</v>
      </c>
      <c r="B2416">
        <f>TEXT(2415, "[$-170000]yyyy-mm-dd")</f>
        <v/>
      </c>
      <c r="C2416">
        <f>TEXT(2415, "[$-060000]yyyy-mm-dd")</f>
        <v/>
      </c>
      <c r="D2416" t="inlineStr">
        <is>
          <t>1324-06-21</t>
        </is>
      </c>
    </row>
    <row r="2417">
      <c r="A2417" s="1" t="n">
        <v>2416</v>
      </c>
      <c r="B2417">
        <f>TEXT(2416, "[$-170000]yyyy-mm-dd")</f>
        <v/>
      </c>
      <c r="C2417">
        <f>TEXT(2416, "[$-060000]yyyy-mm-dd")</f>
        <v/>
      </c>
      <c r="D2417" t="inlineStr">
        <is>
          <t>1324-06-22</t>
        </is>
      </c>
    </row>
    <row r="2418">
      <c r="A2418" s="1" t="n">
        <v>2417</v>
      </c>
      <c r="B2418">
        <f>TEXT(2417, "[$-170000]yyyy-mm-dd")</f>
        <v/>
      </c>
      <c r="C2418">
        <f>TEXT(2417, "[$-060000]yyyy-mm-dd")</f>
        <v/>
      </c>
      <c r="D2418" t="inlineStr">
        <is>
          <t>1324-06-23</t>
        </is>
      </c>
    </row>
    <row r="2419">
      <c r="A2419" s="1" t="n">
        <v>2418</v>
      </c>
      <c r="B2419">
        <f>TEXT(2418, "[$-170000]yyyy-mm-dd")</f>
        <v/>
      </c>
      <c r="C2419">
        <f>TEXT(2418, "[$-060000]yyyy-mm-dd")</f>
        <v/>
      </c>
      <c r="D2419" t="inlineStr">
        <is>
          <t>1324-06-24</t>
        </is>
      </c>
    </row>
    <row r="2420">
      <c r="A2420" s="1" t="n">
        <v>2419</v>
      </c>
      <c r="B2420">
        <f>TEXT(2419, "[$-170000]yyyy-mm-dd")</f>
        <v/>
      </c>
      <c r="C2420">
        <f>TEXT(2419, "[$-060000]yyyy-mm-dd")</f>
        <v/>
      </c>
      <c r="D2420" t="inlineStr">
        <is>
          <t>1324-06-25</t>
        </is>
      </c>
    </row>
    <row r="2421">
      <c r="A2421" s="1" t="n">
        <v>2420</v>
      </c>
      <c r="B2421">
        <f>TEXT(2420, "[$-170000]yyyy-mm-dd")</f>
        <v/>
      </c>
      <c r="C2421">
        <f>TEXT(2420, "[$-060000]yyyy-mm-dd")</f>
        <v/>
      </c>
      <c r="D2421" t="inlineStr">
        <is>
          <t>1324-06-26</t>
        </is>
      </c>
    </row>
    <row r="2422">
      <c r="A2422" s="1" t="n">
        <v>2421</v>
      </c>
      <c r="B2422">
        <f>TEXT(2421, "[$-170000]yyyy-mm-dd")</f>
        <v/>
      </c>
      <c r="C2422">
        <f>TEXT(2421, "[$-060000]yyyy-mm-dd")</f>
        <v/>
      </c>
      <c r="D2422" t="inlineStr">
        <is>
          <t>1324-06-27</t>
        </is>
      </c>
    </row>
    <row r="2423">
      <c r="A2423" s="1" t="n">
        <v>2422</v>
      </c>
      <c r="B2423">
        <f>TEXT(2422, "[$-170000]yyyy-mm-dd")</f>
        <v/>
      </c>
      <c r="C2423">
        <f>TEXT(2422, "[$-060000]yyyy-mm-dd")</f>
        <v/>
      </c>
      <c r="D2423" t="inlineStr">
        <is>
          <t>1324-06-28</t>
        </is>
      </c>
    </row>
    <row r="2424">
      <c r="A2424" s="1" t="n">
        <v>2423</v>
      </c>
      <c r="B2424">
        <f>TEXT(2423, "[$-170000]yyyy-mm-dd")</f>
        <v/>
      </c>
      <c r="C2424">
        <f>TEXT(2423, "[$-060000]yyyy-mm-dd")</f>
        <v/>
      </c>
      <c r="D2424" t="inlineStr">
        <is>
          <t>1324-06-29</t>
        </is>
      </c>
    </row>
    <row r="2425">
      <c r="A2425" s="1" t="n">
        <v>2424</v>
      </c>
      <c r="B2425">
        <f>TEXT(2424, "[$-170000]yyyy-mm-dd")</f>
        <v/>
      </c>
      <c r="C2425">
        <f>TEXT(2424, "[$-060000]yyyy-mm-dd")</f>
        <v/>
      </c>
      <c r="D2425" t="inlineStr">
        <is>
          <t>1324-07-01</t>
        </is>
      </c>
    </row>
    <row r="2426">
      <c r="A2426" s="1" t="n">
        <v>2425</v>
      </c>
      <c r="B2426">
        <f>TEXT(2425, "[$-170000]yyyy-mm-dd")</f>
        <v/>
      </c>
      <c r="C2426">
        <f>TEXT(2425, "[$-060000]yyyy-mm-dd")</f>
        <v/>
      </c>
      <c r="D2426" t="inlineStr">
        <is>
          <t>1324-07-02</t>
        </is>
      </c>
    </row>
    <row r="2427">
      <c r="A2427" s="1" t="n">
        <v>2426</v>
      </c>
      <c r="B2427">
        <f>TEXT(2426, "[$-170000]yyyy-mm-dd")</f>
        <v/>
      </c>
      <c r="C2427">
        <f>TEXT(2426, "[$-060000]yyyy-mm-dd")</f>
        <v/>
      </c>
      <c r="D2427" t="inlineStr">
        <is>
          <t>1324-07-03</t>
        </is>
      </c>
    </row>
    <row r="2428">
      <c r="A2428" s="1" t="n">
        <v>2427</v>
      </c>
      <c r="B2428">
        <f>TEXT(2427, "[$-170000]yyyy-mm-dd")</f>
        <v/>
      </c>
      <c r="C2428">
        <f>TEXT(2427, "[$-060000]yyyy-mm-dd")</f>
        <v/>
      </c>
      <c r="D2428" t="inlineStr">
        <is>
          <t>1324-07-04</t>
        </is>
      </c>
    </row>
    <row r="2429">
      <c r="A2429" s="1" t="n">
        <v>2428</v>
      </c>
      <c r="B2429">
        <f>TEXT(2428, "[$-170000]yyyy-mm-dd")</f>
        <v/>
      </c>
      <c r="C2429">
        <f>TEXT(2428, "[$-060000]yyyy-mm-dd")</f>
        <v/>
      </c>
      <c r="D2429" t="inlineStr">
        <is>
          <t>1324-07-05</t>
        </is>
      </c>
    </row>
    <row r="2430">
      <c r="A2430" s="1" t="n">
        <v>2429</v>
      </c>
      <c r="B2430">
        <f>TEXT(2429, "[$-170000]yyyy-mm-dd")</f>
        <v/>
      </c>
      <c r="C2430">
        <f>TEXT(2429, "[$-060000]yyyy-mm-dd")</f>
        <v/>
      </c>
      <c r="D2430" t="inlineStr">
        <is>
          <t>1324-07-06</t>
        </is>
      </c>
    </row>
    <row r="2431">
      <c r="A2431" s="1" t="n">
        <v>2430</v>
      </c>
      <c r="B2431">
        <f>TEXT(2430, "[$-170000]yyyy-mm-dd")</f>
        <v/>
      </c>
      <c r="C2431">
        <f>TEXT(2430, "[$-060000]yyyy-mm-dd")</f>
        <v/>
      </c>
      <c r="D2431" t="inlineStr">
        <is>
          <t>1324-07-07</t>
        </is>
      </c>
    </row>
    <row r="2432">
      <c r="A2432" s="1" t="n">
        <v>2431</v>
      </c>
      <c r="B2432">
        <f>TEXT(2431, "[$-170000]yyyy-mm-dd")</f>
        <v/>
      </c>
      <c r="C2432">
        <f>TEXT(2431, "[$-060000]yyyy-mm-dd")</f>
        <v/>
      </c>
      <c r="D2432" t="inlineStr">
        <is>
          <t>1324-07-08</t>
        </is>
      </c>
    </row>
    <row r="2433">
      <c r="A2433" s="1" t="n">
        <v>2432</v>
      </c>
      <c r="B2433">
        <f>TEXT(2432, "[$-170000]yyyy-mm-dd")</f>
        <v/>
      </c>
      <c r="C2433">
        <f>TEXT(2432, "[$-060000]yyyy-mm-dd")</f>
        <v/>
      </c>
      <c r="D2433" t="inlineStr">
        <is>
          <t>1324-07-09</t>
        </is>
      </c>
    </row>
    <row r="2434">
      <c r="A2434" s="1" t="n">
        <v>2433</v>
      </c>
      <c r="B2434">
        <f>TEXT(2433, "[$-170000]yyyy-mm-dd")</f>
        <v/>
      </c>
      <c r="C2434">
        <f>TEXT(2433, "[$-060000]yyyy-mm-dd")</f>
        <v/>
      </c>
      <c r="D2434" t="inlineStr">
        <is>
          <t>1324-07-10</t>
        </is>
      </c>
    </row>
    <row r="2435">
      <c r="A2435" s="1" t="n">
        <v>2434</v>
      </c>
      <c r="B2435">
        <f>TEXT(2434, "[$-170000]yyyy-mm-dd")</f>
        <v/>
      </c>
      <c r="C2435">
        <f>TEXT(2434, "[$-060000]yyyy-mm-dd")</f>
        <v/>
      </c>
      <c r="D2435" t="inlineStr">
        <is>
          <t>1324-07-11</t>
        </is>
      </c>
    </row>
    <row r="2436">
      <c r="A2436" s="1" t="n">
        <v>2435</v>
      </c>
      <c r="B2436">
        <f>TEXT(2435, "[$-170000]yyyy-mm-dd")</f>
        <v/>
      </c>
      <c r="C2436">
        <f>TEXT(2435, "[$-060000]yyyy-mm-dd")</f>
        <v/>
      </c>
      <c r="D2436" t="inlineStr">
        <is>
          <t>1324-07-12</t>
        </is>
      </c>
    </row>
    <row r="2437">
      <c r="A2437" s="1" t="n">
        <v>2436</v>
      </c>
      <c r="B2437">
        <f>TEXT(2436, "[$-170000]yyyy-mm-dd")</f>
        <v/>
      </c>
      <c r="C2437">
        <f>TEXT(2436, "[$-060000]yyyy-mm-dd")</f>
        <v/>
      </c>
      <c r="D2437" t="inlineStr">
        <is>
          <t>1324-07-13</t>
        </is>
      </c>
    </row>
    <row r="2438">
      <c r="A2438" s="1" t="n">
        <v>2437</v>
      </c>
      <c r="B2438">
        <f>TEXT(2437, "[$-170000]yyyy-mm-dd")</f>
        <v/>
      </c>
      <c r="C2438">
        <f>TEXT(2437, "[$-060000]yyyy-mm-dd")</f>
        <v/>
      </c>
      <c r="D2438" t="inlineStr">
        <is>
          <t>1324-07-14</t>
        </is>
      </c>
    </row>
    <row r="2439">
      <c r="A2439" s="1" t="n">
        <v>2438</v>
      </c>
      <c r="B2439">
        <f>TEXT(2438, "[$-170000]yyyy-mm-dd")</f>
        <v/>
      </c>
      <c r="C2439">
        <f>TEXT(2438, "[$-060000]yyyy-mm-dd")</f>
        <v/>
      </c>
      <c r="D2439" t="inlineStr">
        <is>
          <t>1324-07-15</t>
        </is>
      </c>
    </row>
    <row r="2440">
      <c r="A2440" s="1" t="n">
        <v>2439</v>
      </c>
      <c r="B2440">
        <f>TEXT(2439, "[$-170000]yyyy-mm-dd")</f>
        <v/>
      </c>
      <c r="C2440">
        <f>TEXT(2439, "[$-060000]yyyy-mm-dd")</f>
        <v/>
      </c>
      <c r="D2440" t="inlineStr">
        <is>
          <t>1324-07-16</t>
        </is>
      </c>
    </row>
    <row r="2441">
      <c r="A2441" s="1" t="n">
        <v>2440</v>
      </c>
      <c r="B2441">
        <f>TEXT(2440, "[$-170000]yyyy-mm-dd")</f>
        <v/>
      </c>
      <c r="C2441">
        <f>TEXT(2440, "[$-060000]yyyy-mm-dd")</f>
        <v/>
      </c>
      <c r="D2441" t="inlineStr">
        <is>
          <t>1324-07-17</t>
        </is>
      </c>
    </row>
    <row r="2442">
      <c r="A2442" s="1" t="n">
        <v>2441</v>
      </c>
      <c r="B2442">
        <f>TEXT(2441, "[$-170000]yyyy-mm-dd")</f>
        <v/>
      </c>
      <c r="C2442">
        <f>TEXT(2441, "[$-060000]yyyy-mm-dd")</f>
        <v/>
      </c>
      <c r="D2442" t="inlineStr">
        <is>
          <t>1324-07-18</t>
        </is>
      </c>
    </row>
    <row r="2443">
      <c r="A2443" s="1" t="n">
        <v>2442</v>
      </c>
      <c r="B2443">
        <f>TEXT(2442, "[$-170000]yyyy-mm-dd")</f>
        <v/>
      </c>
      <c r="C2443">
        <f>TEXT(2442, "[$-060000]yyyy-mm-dd")</f>
        <v/>
      </c>
      <c r="D2443" t="inlineStr">
        <is>
          <t>1324-07-19</t>
        </is>
      </c>
    </row>
    <row r="2444">
      <c r="A2444" s="1" t="n">
        <v>2443</v>
      </c>
      <c r="B2444">
        <f>TEXT(2443, "[$-170000]yyyy-mm-dd")</f>
        <v/>
      </c>
      <c r="C2444">
        <f>TEXT(2443, "[$-060000]yyyy-mm-dd")</f>
        <v/>
      </c>
      <c r="D2444" t="inlineStr">
        <is>
          <t>1324-07-20</t>
        </is>
      </c>
    </row>
    <row r="2445">
      <c r="A2445" s="1" t="n">
        <v>2444</v>
      </c>
      <c r="B2445">
        <f>TEXT(2444, "[$-170000]yyyy-mm-dd")</f>
        <v/>
      </c>
      <c r="C2445">
        <f>TEXT(2444, "[$-060000]yyyy-mm-dd")</f>
        <v/>
      </c>
      <c r="D2445" t="inlineStr">
        <is>
          <t>1324-07-21</t>
        </is>
      </c>
    </row>
    <row r="2446">
      <c r="A2446" s="1" t="n">
        <v>2445</v>
      </c>
      <c r="B2446">
        <f>TEXT(2445, "[$-170000]yyyy-mm-dd")</f>
        <v/>
      </c>
      <c r="C2446">
        <f>TEXT(2445, "[$-060000]yyyy-mm-dd")</f>
        <v/>
      </c>
      <c r="D2446" t="inlineStr">
        <is>
          <t>1324-07-22</t>
        </is>
      </c>
    </row>
    <row r="2447">
      <c r="A2447" s="1" t="n">
        <v>2446</v>
      </c>
      <c r="B2447">
        <f>TEXT(2446, "[$-170000]yyyy-mm-dd")</f>
        <v/>
      </c>
      <c r="C2447">
        <f>TEXT(2446, "[$-060000]yyyy-mm-dd")</f>
        <v/>
      </c>
      <c r="D2447" t="inlineStr">
        <is>
          <t>1324-07-23</t>
        </is>
      </c>
    </row>
    <row r="2448">
      <c r="A2448" s="1" t="n">
        <v>2447</v>
      </c>
      <c r="B2448">
        <f>TEXT(2447, "[$-170000]yyyy-mm-dd")</f>
        <v/>
      </c>
      <c r="C2448">
        <f>TEXT(2447, "[$-060000]yyyy-mm-dd")</f>
        <v/>
      </c>
      <c r="D2448" t="inlineStr">
        <is>
          <t>1324-07-24</t>
        </is>
      </c>
    </row>
    <row r="2449">
      <c r="A2449" s="1" t="n">
        <v>2448</v>
      </c>
      <c r="B2449">
        <f>TEXT(2448, "[$-170000]yyyy-mm-dd")</f>
        <v/>
      </c>
      <c r="C2449">
        <f>TEXT(2448, "[$-060000]yyyy-mm-dd")</f>
        <v/>
      </c>
      <c r="D2449" t="inlineStr">
        <is>
          <t>1324-07-25</t>
        </is>
      </c>
    </row>
    <row r="2450">
      <c r="A2450" s="1" t="n">
        <v>2449</v>
      </c>
      <c r="B2450">
        <f>TEXT(2449, "[$-170000]yyyy-mm-dd")</f>
        <v/>
      </c>
      <c r="C2450">
        <f>TEXT(2449, "[$-060000]yyyy-mm-dd")</f>
        <v/>
      </c>
      <c r="D2450" t="inlineStr">
        <is>
          <t>1324-07-26</t>
        </is>
      </c>
    </row>
    <row r="2451">
      <c r="A2451" s="1" t="n">
        <v>2450</v>
      </c>
      <c r="B2451">
        <f>TEXT(2450, "[$-170000]yyyy-mm-dd")</f>
        <v/>
      </c>
      <c r="C2451">
        <f>TEXT(2450, "[$-060000]yyyy-mm-dd")</f>
        <v/>
      </c>
      <c r="D2451" t="inlineStr">
        <is>
          <t>1324-07-27</t>
        </is>
      </c>
    </row>
    <row r="2452">
      <c r="A2452" s="1" t="n">
        <v>2451</v>
      </c>
      <c r="B2452">
        <f>TEXT(2451, "[$-170000]yyyy-mm-dd")</f>
        <v/>
      </c>
      <c r="C2452">
        <f>TEXT(2451, "[$-060000]yyyy-mm-dd")</f>
        <v/>
      </c>
      <c r="D2452" t="inlineStr">
        <is>
          <t>1324-07-28</t>
        </is>
      </c>
    </row>
    <row r="2453">
      <c r="A2453" s="1" t="n">
        <v>2452</v>
      </c>
      <c r="B2453">
        <f>TEXT(2452, "[$-170000]yyyy-mm-dd")</f>
        <v/>
      </c>
      <c r="C2453">
        <f>TEXT(2452, "[$-060000]yyyy-mm-dd")</f>
        <v/>
      </c>
      <c r="D2453" t="inlineStr">
        <is>
          <t>1324-07-29</t>
        </is>
      </c>
    </row>
    <row r="2454">
      <c r="A2454" s="1" t="n">
        <v>2453</v>
      </c>
      <c r="B2454">
        <f>TEXT(2453, "[$-170000]yyyy-mm-dd")</f>
        <v/>
      </c>
      <c r="C2454">
        <f>TEXT(2453, "[$-060000]yyyy-mm-dd")</f>
        <v/>
      </c>
      <c r="D2454" t="inlineStr">
        <is>
          <t>1324-07-30</t>
        </is>
      </c>
    </row>
    <row r="2455">
      <c r="A2455" s="1" t="n">
        <v>2454</v>
      </c>
      <c r="B2455">
        <f>TEXT(2454, "[$-170000]yyyy-mm-dd")</f>
        <v/>
      </c>
      <c r="C2455">
        <f>TEXT(2454, "[$-060000]yyyy-mm-dd")</f>
        <v/>
      </c>
      <c r="D2455" t="inlineStr">
        <is>
          <t>1324-08-01</t>
        </is>
      </c>
    </row>
    <row r="2456">
      <c r="A2456" s="1" t="n">
        <v>2455</v>
      </c>
      <c r="B2456">
        <f>TEXT(2455, "[$-170000]yyyy-mm-dd")</f>
        <v/>
      </c>
      <c r="C2456">
        <f>TEXT(2455, "[$-060000]yyyy-mm-dd")</f>
        <v/>
      </c>
      <c r="D2456" t="inlineStr">
        <is>
          <t>1324-08-02</t>
        </is>
      </c>
    </row>
    <row r="2457">
      <c r="A2457" s="1" t="n">
        <v>2456</v>
      </c>
      <c r="B2457">
        <f>TEXT(2456, "[$-170000]yyyy-mm-dd")</f>
        <v/>
      </c>
      <c r="C2457">
        <f>TEXT(2456, "[$-060000]yyyy-mm-dd")</f>
        <v/>
      </c>
      <c r="D2457" t="inlineStr">
        <is>
          <t>1324-08-03</t>
        </is>
      </c>
    </row>
    <row r="2458">
      <c r="A2458" s="1" t="n">
        <v>2457</v>
      </c>
      <c r="B2458">
        <f>TEXT(2457, "[$-170000]yyyy-mm-dd")</f>
        <v/>
      </c>
      <c r="C2458">
        <f>TEXT(2457, "[$-060000]yyyy-mm-dd")</f>
        <v/>
      </c>
      <c r="D2458" t="inlineStr">
        <is>
          <t>1324-08-04</t>
        </is>
      </c>
    </row>
    <row r="2459">
      <c r="A2459" s="1" t="n">
        <v>2458</v>
      </c>
      <c r="B2459">
        <f>TEXT(2458, "[$-170000]yyyy-mm-dd")</f>
        <v/>
      </c>
      <c r="C2459">
        <f>TEXT(2458, "[$-060000]yyyy-mm-dd")</f>
        <v/>
      </c>
      <c r="D2459" t="inlineStr">
        <is>
          <t>1324-08-05</t>
        </is>
      </c>
    </row>
    <row r="2460">
      <c r="A2460" s="1" t="n">
        <v>2459</v>
      </c>
      <c r="B2460">
        <f>TEXT(2459, "[$-170000]yyyy-mm-dd")</f>
        <v/>
      </c>
      <c r="C2460">
        <f>TEXT(2459, "[$-060000]yyyy-mm-dd")</f>
        <v/>
      </c>
      <c r="D2460" t="inlineStr">
        <is>
          <t>1324-08-06</t>
        </is>
      </c>
    </row>
    <row r="2461">
      <c r="A2461" s="1" t="n">
        <v>2460</v>
      </c>
      <c r="B2461">
        <f>TEXT(2460, "[$-170000]yyyy-mm-dd")</f>
        <v/>
      </c>
      <c r="C2461">
        <f>TEXT(2460, "[$-060000]yyyy-mm-dd")</f>
        <v/>
      </c>
      <c r="D2461" t="inlineStr">
        <is>
          <t>1324-08-07</t>
        </is>
      </c>
    </row>
    <row r="2462">
      <c r="A2462" s="1" t="n">
        <v>2461</v>
      </c>
      <c r="B2462">
        <f>TEXT(2461, "[$-170000]yyyy-mm-dd")</f>
        <v/>
      </c>
      <c r="C2462">
        <f>TEXT(2461, "[$-060000]yyyy-mm-dd")</f>
        <v/>
      </c>
      <c r="D2462" t="inlineStr">
        <is>
          <t>1324-08-08</t>
        </is>
      </c>
    </row>
    <row r="2463">
      <c r="A2463" s="1" t="n">
        <v>2462</v>
      </c>
      <c r="B2463">
        <f>TEXT(2462, "[$-170000]yyyy-mm-dd")</f>
        <v/>
      </c>
      <c r="C2463">
        <f>TEXT(2462, "[$-060000]yyyy-mm-dd")</f>
        <v/>
      </c>
      <c r="D2463" t="inlineStr">
        <is>
          <t>1324-08-09</t>
        </is>
      </c>
    </row>
    <row r="2464">
      <c r="A2464" s="1" t="n">
        <v>2463</v>
      </c>
      <c r="B2464">
        <f>TEXT(2463, "[$-170000]yyyy-mm-dd")</f>
        <v/>
      </c>
      <c r="C2464">
        <f>TEXT(2463, "[$-060000]yyyy-mm-dd")</f>
        <v/>
      </c>
      <c r="D2464" t="inlineStr">
        <is>
          <t>1324-08-10</t>
        </is>
      </c>
    </row>
    <row r="2465">
      <c r="A2465" s="1" t="n">
        <v>2464</v>
      </c>
      <c r="B2465">
        <f>TEXT(2464, "[$-170000]yyyy-mm-dd")</f>
        <v/>
      </c>
      <c r="C2465">
        <f>TEXT(2464, "[$-060000]yyyy-mm-dd")</f>
        <v/>
      </c>
      <c r="D2465" t="inlineStr">
        <is>
          <t>1324-08-11</t>
        </is>
      </c>
    </row>
    <row r="2466">
      <c r="A2466" s="1" t="n">
        <v>2465</v>
      </c>
      <c r="B2466">
        <f>TEXT(2465, "[$-170000]yyyy-mm-dd")</f>
        <v/>
      </c>
      <c r="C2466">
        <f>TEXT(2465, "[$-060000]yyyy-mm-dd")</f>
        <v/>
      </c>
      <c r="D2466" t="inlineStr">
        <is>
          <t>1324-08-12</t>
        </is>
      </c>
    </row>
    <row r="2467">
      <c r="A2467" s="1" t="n">
        <v>2466</v>
      </c>
      <c r="B2467">
        <f>TEXT(2466, "[$-170000]yyyy-mm-dd")</f>
        <v/>
      </c>
      <c r="C2467">
        <f>TEXT(2466, "[$-060000]yyyy-mm-dd")</f>
        <v/>
      </c>
      <c r="D2467" t="inlineStr">
        <is>
          <t>1324-08-13</t>
        </is>
      </c>
    </row>
    <row r="2468">
      <c r="A2468" s="1" t="n">
        <v>2467</v>
      </c>
      <c r="B2468">
        <f>TEXT(2467, "[$-170000]yyyy-mm-dd")</f>
        <v/>
      </c>
      <c r="C2468">
        <f>TEXT(2467, "[$-060000]yyyy-mm-dd")</f>
        <v/>
      </c>
      <c r="D2468" t="inlineStr">
        <is>
          <t>1324-08-14</t>
        </is>
      </c>
    </row>
    <row r="2469">
      <c r="A2469" s="1" t="n">
        <v>2468</v>
      </c>
      <c r="B2469">
        <f>TEXT(2468, "[$-170000]yyyy-mm-dd")</f>
        <v/>
      </c>
      <c r="C2469">
        <f>TEXT(2468, "[$-060000]yyyy-mm-dd")</f>
        <v/>
      </c>
      <c r="D2469" t="inlineStr">
        <is>
          <t>1324-08-15</t>
        </is>
      </c>
    </row>
    <row r="2470">
      <c r="A2470" s="1" t="n">
        <v>2469</v>
      </c>
      <c r="B2470">
        <f>TEXT(2469, "[$-170000]yyyy-mm-dd")</f>
        <v/>
      </c>
      <c r="C2470">
        <f>TEXT(2469, "[$-060000]yyyy-mm-dd")</f>
        <v/>
      </c>
      <c r="D2470" t="inlineStr">
        <is>
          <t>1324-08-16</t>
        </is>
      </c>
    </row>
    <row r="2471">
      <c r="A2471" s="1" t="n">
        <v>2470</v>
      </c>
      <c r="B2471">
        <f>TEXT(2470, "[$-170000]yyyy-mm-dd")</f>
        <v/>
      </c>
      <c r="C2471">
        <f>TEXT(2470, "[$-060000]yyyy-mm-dd")</f>
        <v/>
      </c>
      <c r="D2471" t="inlineStr">
        <is>
          <t>1324-08-17</t>
        </is>
      </c>
    </row>
    <row r="2472">
      <c r="A2472" s="1" t="n">
        <v>2471</v>
      </c>
      <c r="B2472">
        <f>TEXT(2471, "[$-170000]yyyy-mm-dd")</f>
        <v/>
      </c>
      <c r="C2472">
        <f>TEXT(2471, "[$-060000]yyyy-mm-dd")</f>
        <v/>
      </c>
      <c r="D2472" t="inlineStr">
        <is>
          <t>1324-08-18</t>
        </is>
      </c>
    </row>
    <row r="2473">
      <c r="A2473" s="1" t="n">
        <v>2472</v>
      </c>
      <c r="B2473">
        <f>TEXT(2472, "[$-170000]yyyy-mm-dd")</f>
        <v/>
      </c>
      <c r="C2473">
        <f>TEXT(2472, "[$-060000]yyyy-mm-dd")</f>
        <v/>
      </c>
      <c r="D2473" t="inlineStr">
        <is>
          <t>1324-08-19</t>
        </is>
      </c>
    </row>
    <row r="2474">
      <c r="A2474" s="1" t="n">
        <v>2473</v>
      </c>
      <c r="B2474">
        <f>TEXT(2473, "[$-170000]yyyy-mm-dd")</f>
        <v/>
      </c>
      <c r="C2474">
        <f>TEXT(2473, "[$-060000]yyyy-mm-dd")</f>
        <v/>
      </c>
      <c r="D2474" t="inlineStr">
        <is>
          <t>1324-08-20</t>
        </is>
      </c>
    </row>
    <row r="2475">
      <c r="A2475" s="1" t="n">
        <v>2474</v>
      </c>
      <c r="B2475">
        <f>TEXT(2474, "[$-170000]yyyy-mm-dd")</f>
        <v/>
      </c>
      <c r="C2475">
        <f>TEXT(2474, "[$-060000]yyyy-mm-dd")</f>
        <v/>
      </c>
      <c r="D2475" t="inlineStr">
        <is>
          <t>1324-08-21</t>
        </is>
      </c>
    </row>
    <row r="2476">
      <c r="A2476" s="1" t="n">
        <v>2475</v>
      </c>
      <c r="B2476">
        <f>TEXT(2475, "[$-170000]yyyy-mm-dd")</f>
        <v/>
      </c>
      <c r="C2476">
        <f>TEXT(2475, "[$-060000]yyyy-mm-dd")</f>
        <v/>
      </c>
      <c r="D2476" t="inlineStr">
        <is>
          <t>1324-08-22</t>
        </is>
      </c>
    </row>
    <row r="2477">
      <c r="A2477" s="1" t="n">
        <v>2476</v>
      </c>
      <c r="B2477">
        <f>TEXT(2476, "[$-170000]yyyy-mm-dd")</f>
        <v/>
      </c>
      <c r="C2477">
        <f>TEXT(2476, "[$-060000]yyyy-mm-dd")</f>
        <v/>
      </c>
      <c r="D2477" t="inlineStr">
        <is>
          <t>1324-08-23</t>
        </is>
      </c>
    </row>
    <row r="2478">
      <c r="A2478" s="1" t="n">
        <v>2477</v>
      </c>
      <c r="B2478">
        <f>TEXT(2477, "[$-170000]yyyy-mm-dd")</f>
        <v/>
      </c>
      <c r="C2478">
        <f>TEXT(2477, "[$-060000]yyyy-mm-dd")</f>
        <v/>
      </c>
      <c r="D2478" t="inlineStr">
        <is>
          <t>1324-08-24</t>
        </is>
      </c>
    </row>
    <row r="2479">
      <c r="A2479" s="1" t="n">
        <v>2478</v>
      </c>
      <c r="B2479">
        <f>TEXT(2478, "[$-170000]yyyy-mm-dd")</f>
        <v/>
      </c>
      <c r="C2479">
        <f>TEXT(2478, "[$-060000]yyyy-mm-dd")</f>
        <v/>
      </c>
      <c r="D2479" t="inlineStr">
        <is>
          <t>1324-08-25</t>
        </is>
      </c>
    </row>
    <row r="2480">
      <c r="A2480" s="1" t="n">
        <v>2479</v>
      </c>
      <c r="B2480">
        <f>TEXT(2479, "[$-170000]yyyy-mm-dd")</f>
        <v/>
      </c>
      <c r="C2480">
        <f>TEXT(2479, "[$-060000]yyyy-mm-dd")</f>
        <v/>
      </c>
      <c r="D2480" t="inlineStr">
        <is>
          <t>1324-08-26</t>
        </is>
      </c>
    </row>
    <row r="2481">
      <c r="A2481" s="1" t="n">
        <v>2480</v>
      </c>
      <c r="B2481">
        <f>TEXT(2480, "[$-170000]yyyy-mm-dd")</f>
        <v/>
      </c>
      <c r="C2481">
        <f>TEXT(2480, "[$-060000]yyyy-mm-dd")</f>
        <v/>
      </c>
      <c r="D2481" t="inlineStr">
        <is>
          <t>1324-08-27</t>
        </is>
      </c>
    </row>
    <row r="2482">
      <c r="A2482" s="1" t="n">
        <v>2481</v>
      </c>
      <c r="B2482">
        <f>TEXT(2481, "[$-170000]yyyy-mm-dd")</f>
        <v/>
      </c>
      <c r="C2482">
        <f>TEXT(2481, "[$-060000]yyyy-mm-dd")</f>
        <v/>
      </c>
      <c r="D2482" t="inlineStr">
        <is>
          <t>1324-08-28</t>
        </is>
      </c>
    </row>
    <row r="2483">
      <c r="A2483" s="1" t="n">
        <v>2482</v>
      </c>
      <c r="B2483">
        <f>TEXT(2482, "[$-170000]yyyy-mm-dd")</f>
        <v/>
      </c>
      <c r="C2483">
        <f>TEXT(2482, "[$-060000]yyyy-mm-dd")</f>
        <v/>
      </c>
      <c r="D2483" t="inlineStr">
        <is>
          <t>1324-08-29</t>
        </is>
      </c>
    </row>
    <row r="2484">
      <c r="A2484" s="1" t="n">
        <v>2483</v>
      </c>
      <c r="B2484">
        <f>TEXT(2483, "[$-170000]yyyy-mm-dd")</f>
        <v/>
      </c>
      <c r="C2484">
        <f>TEXT(2483, "[$-060000]yyyy-mm-dd")</f>
        <v/>
      </c>
      <c r="D2484" t="inlineStr">
        <is>
          <t>1324-09-01</t>
        </is>
      </c>
    </row>
    <row r="2485">
      <c r="A2485" s="1" t="n">
        <v>2484</v>
      </c>
      <c r="B2485">
        <f>TEXT(2484, "[$-170000]yyyy-mm-dd")</f>
        <v/>
      </c>
      <c r="C2485">
        <f>TEXT(2484, "[$-060000]yyyy-mm-dd")</f>
        <v/>
      </c>
      <c r="D2485" t="inlineStr">
        <is>
          <t>1324-09-02</t>
        </is>
      </c>
    </row>
    <row r="2486">
      <c r="A2486" s="1" t="n">
        <v>2485</v>
      </c>
      <c r="B2486">
        <f>TEXT(2485, "[$-170000]yyyy-mm-dd")</f>
        <v/>
      </c>
      <c r="C2486">
        <f>TEXT(2485, "[$-060000]yyyy-mm-dd")</f>
        <v/>
      </c>
      <c r="D2486" t="inlineStr">
        <is>
          <t>1324-09-03</t>
        </is>
      </c>
    </row>
    <row r="2487">
      <c r="A2487" s="1" t="n">
        <v>2486</v>
      </c>
      <c r="B2487">
        <f>TEXT(2486, "[$-170000]yyyy-mm-dd")</f>
        <v/>
      </c>
      <c r="C2487">
        <f>TEXT(2486, "[$-060000]yyyy-mm-dd")</f>
        <v/>
      </c>
      <c r="D2487" t="inlineStr">
        <is>
          <t>1324-09-04</t>
        </is>
      </c>
    </row>
    <row r="2488">
      <c r="A2488" s="1" t="n">
        <v>2487</v>
      </c>
      <c r="B2488">
        <f>TEXT(2487, "[$-170000]yyyy-mm-dd")</f>
        <v/>
      </c>
      <c r="C2488">
        <f>TEXT(2487, "[$-060000]yyyy-mm-dd")</f>
        <v/>
      </c>
      <c r="D2488" t="inlineStr">
        <is>
          <t>1324-09-05</t>
        </is>
      </c>
    </row>
    <row r="2489">
      <c r="A2489" s="1" t="n">
        <v>2488</v>
      </c>
      <c r="B2489">
        <f>TEXT(2488, "[$-170000]yyyy-mm-dd")</f>
        <v/>
      </c>
      <c r="C2489">
        <f>TEXT(2488, "[$-060000]yyyy-mm-dd")</f>
        <v/>
      </c>
      <c r="D2489" t="inlineStr">
        <is>
          <t>1324-09-06</t>
        </is>
      </c>
    </row>
    <row r="2490">
      <c r="A2490" s="1" t="n">
        <v>2489</v>
      </c>
      <c r="B2490">
        <f>TEXT(2489, "[$-170000]yyyy-mm-dd")</f>
        <v/>
      </c>
      <c r="C2490">
        <f>TEXT(2489, "[$-060000]yyyy-mm-dd")</f>
        <v/>
      </c>
      <c r="D2490" t="inlineStr">
        <is>
          <t>1324-09-07</t>
        </is>
      </c>
    </row>
    <row r="2491">
      <c r="A2491" s="1" t="n">
        <v>2490</v>
      </c>
      <c r="B2491">
        <f>TEXT(2490, "[$-170000]yyyy-mm-dd")</f>
        <v/>
      </c>
      <c r="C2491">
        <f>TEXT(2490, "[$-060000]yyyy-mm-dd")</f>
        <v/>
      </c>
      <c r="D2491" t="inlineStr">
        <is>
          <t>1324-09-08</t>
        </is>
      </c>
    </row>
    <row r="2492">
      <c r="A2492" s="1" t="n">
        <v>2491</v>
      </c>
      <c r="B2492">
        <f>TEXT(2491, "[$-170000]yyyy-mm-dd")</f>
        <v/>
      </c>
      <c r="C2492">
        <f>TEXT(2491, "[$-060000]yyyy-mm-dd")</f>
        <v/>
      </c>
      <c r="D2492" t="inlineStr">
        <is>
          <t>1324-09-09</t>
        </is>
      </c>
    </row>
    <row r="2493">
      <c r="A2493" s="1" t="n">
        <v>2492</v>
      </c>
      <c r="B2493">
        <f>TEXT(2492, "[$-170000]yyyy-mm-dd")</f>
        <v/>
      </c>
      <c r="C2493">
        <f>TEXT(2492, "[$-060000]yyyy-mm-dd")</f>
        <v/>
      </c>
      <c r="D2493" t="inlineStr">
        <is>
          <t>1324-09-10</t>
        </is>
      </c>
    </row>
    <row r="2494">
      <c r="A2494" s="1" t="n">
        <v>2493</v>
      </c>
      <c r="B2494">
        <f>TEXT(2493, "[$-170000]yyyy-mm-dd")</f>
        <v/>
      </c>
      <c r="C2494">
        <f>TEXT(2493, "[$-060000]yyyy-mm-dd")</f>
        <v/>
      </c>
      <c r="D2494" t="inlineStr">
        <is>
          <t>1324-09-11</t>
        </is>
      </c>
    </row>
    <row r="2495">
      <c r="A2495" s="1" t="n">
        <v>2494</v>
      </c>
      <c r="B2495">
        <f>TEXT(2494, "[$-170000]yyyy-mm-dd")</f>
        <v/>
      </c>
      <c r="C2495">
        <f>TEXT(2494, "[$-060000]yyyy-mm-dd")</f>
        <v/>
      </c>
      <c r="D2495" t="inlineStr">
        <is>
          <t>1324-09-12</t>
        </is>
      </c>
    </row>
    <row r="2496">
      <c r="A2496" s="1" t="n">
        <v>2495</v>
      </c>
      <c r="B2496">
        <f>TEXT(2495, "[$-170000]yyyy-mm-dd")</f>
        <v/>
      </c>
      <c r="C2496">
        <f>TEXT(2495, "[$-060000]yyyy-mm-dd")</f>
        <v/>
      </c>
      <c r="D2496" t="inlineStr">
        <is>
          <t>1324-09-13</t>
        </is>
      </c>
    </row>
    <row r="2497">
      <c r="A2497" s="1" t="n">
        <v>2496</v>
      </c>
      <c r="B2497">
        <f>TEXT(2496, "[$-170000]yyyy-mm-dd")</f>
        <v/>
      </c>
      <c r="C2497">
        <f>TEXT(2496, "[$-060000]yyyy-mm-dd")</f>
        <v/>
      </c>
      <c r="D2497" t="inlineStr">
        <is>
          <t>1324-09-14</t>
        </is>
      </c>
    </row>
    <row r="2498">
      <c r="A2498" s="1" t="n">
        <v>2497</v>
      </c>
      <c r="B2498">
        <f>TEXT(2497, "[$-170000]yyyy-mm-dd")</f>
        <v/>
      </c>
      <c r="C2498">
        <f>TEXT(2497, "[$-060000]yyyy-mm-dd")</f>
        <v/>
      </c>
      <c r="D2498" t="inlineStr">
        <is>
          <t>1324-09-15</t>
        </is>
      </c>
    </row>
    <row r="2499">
      <c r="A2499" s="1" t="n">
        <v>2498</v>
      </c>
      <c r="B2499">
        <f>TEXT(2498, "[$-170000]yyyy-mm-dd")</f>
        <v/>
      </c>
      <c r="C2499">
        <f>TEXT(2498, "[$-060000]yyyy-mm-dd")</f>
        <v/>
      </c>
      <c r="D2499" t="inlineStr">
        <is>
          <t>1324-09-16</t>
        </is>
      </c>
    </row>
    <row r="2500">
      <c r="A2500" s="1" t="n">
        <v>2499</v>
      </c>
      <c r="B2500">
        <f>TEXT(2499, "[$-170000]yyyy-mm-dd")</f>
        <v/>
      </c>
      <c r="C2500">
        <f>TEXT(2499, "[$-060000]yyyy-mm-dd")</f>
        <v/>
      </c>
      <c r="D2500" t="inlineStr">
        <is>
          <t>1324-09-17</t>
        </is>
      </c>
    </row>
    <row r="2501">
      <c r="A2501" s="1" t="n">
        <v>2500</v>
      </c>
      <c r="B2501">
        <f>TEXT(2500, "[$-170000]yyyy-mm-dd")</f>
        <v/>
      </c>
      <c r="C2501">
        <f>TEXT(2500, "[$-060000]yyyy-mm-dd")</f>
        <v/>
      </c>
      <c r="D2501" t="inlineStr">
        <is>
          <t>1324-09-18</t>
        </is>
      </c>
    </row>
    <row r="2502">
      <c r="A2502" s="1" t="n">
        <v>2501</v>
      </c>
      <c r="B2502">
        <f>TEXT(2501, "[$-170000]yyyy-mm-dd")</f>
        <v/>
      </c>
      <c r="C2502">
        <f>TEXT(2501, "[$-060000]yyyy-mm-dd")</f>
        <v/>
      </c>
      <c r="D2502" t="inlineStr">
        <is>
          <t>1324-09-19</t>
        </is>
      </c>
    </row>
    <row r="2503">
      <c r="A2503" s="1" t="n">
        <v>2502</v>
      </c>
      <c r="B2503">
        <f>TEXT(2502, "[$-170000]yyyy-mm-dd")</f>
        <v/>
      </c>
      <c r="C2503">
        <f>TEXT(2502, "[$-060000]yyyy-mm-dd")</f>
        <v/>
      </c>
      <c r="D2503" t="inlineStr">
        <is>
          <t>1324-09-20</t>
        </is>
      </c>
    </row>
    <row r="2504">
      <c r="A2504" s="1" t="n">
        <v>2503</v>
      </c>
      <c r="B2504">
        <f>TEXT(2503, "[$-170000]yyyy-mm-dd")</f>
        <v/>
      </c>
      <c r="C2504">
        <f>TEXT(2503, "[$-060000]yyyy-mm-dd")</f>
        <v/>
      </c>
      <c r="D2504" t="inlineStr">
        <is>
          <t>1324-09-21</t>
        </is>
      </c>
    </row>
    <row r="2505">
      <c r="A2505" s="1" t="n">
        <v>2504</v>
      </c>
      <c r="B2505">
        <f>TEXT(2504, "[$-170000]yyyy-mm-dd")</f>
        <v/>
      </c>
      <c r="C2505">
        <f>TEXT(2504, "[$-060000]yyyy-mm-dd")</f>
        <v/>
      </c>
      <c r="D2505" t="inlineStr">
        <is>
          <t>1324-09-22</t>
        </is>
      </c>
    </row>
    <row r="2506">
      <c r="A2506" s="1" t="n">
        <v>2505</v>
      </c>
      <c r="B2506">
        <f>TEXT(2505, "[$-170000]yyyy-mm-dd")</f>
        <v/>
      </c>
      <c r="C2506">
        <f>TEXT(2505, "[$-060000]yyyy-mm-dd")</f>
        <v/>
      </c>
      <c r="D2506" t="inlineStr">
        <is>
          <t>1324-09-23</t>
        </is>
      </c>
    </row>
    <row r="2507">
      <c r="A2507" s="1" t="n">
        <v>2506</v>
      </c>
      <c r="B2507">
        <f>TEXT(2506, "[$-170000]yyyy-mm-dd")</f>
        <v/>
      </c>
      <c r="C2507">
        <f>TEXT(2506, "[$-060000]yyyy-mm-dd")</f>
        <v/>
      </c>
      <c r="D2507" t="inlineStr">
        <is>
          <t>1324-09-24</t>
        </is>
      </c>
    </row>
    <row r="2508">
      <c r="A2508" s="1" t="n">
        <v>2507</v>
      </c>
      <c r="B2508">
        <f>TEXT(2507, "[$-170000]yyyy-mm-dd")</f>
        <v/>
      </c>
      <c r="C2508">
        <f>TEXT(2507, "[$-060000]yyyy-mm-dd")</f>
        <v/>
      </c>
      <c r="D2508" t="inlineStr">
        <is>
          <t>1324-09-25</t>
        </is>
      </c>
    </row>
    <row r="2509">
      <c r="A2509" s="1" t="n">
        <v>2508</v>
      </c>
      <c r="B2509">
        <f>TEXT(2508, "[$-170000]yyyy-mm-dd")</f>
        <v/>
      </c>
      <c r="C2509">
        <f>TEXT(2508, "[$-060000]yyyy-mm-dd")</f>
        <v/>
      </c>
      <c r="D2509" t="inlineStr">
        <is>
          <t>1324-09-26</t>
        </is>
      </c>
    </row>
    <row r="2510">
      <c r="A2510" s="1" t="n">
        <v>2509</v>
      </c>
      <c r="B2510">
        <f>TEXT(2509, "[$-170000]yyyy-mm-dd")</f>
        <v/>
      </c>
      <c r="C2510">
        <f>TEXT(2509, "[$-060000]yyyy-mm-dd")</f>
        <v/>
      </c>
      <c r="D2510" t="inlineStr">
        <is>
          <t>1324-09-27</t>
        </is>
      </c>
    </row>
    <row r="2511">
      <c r="A2511" s="1" t="n">
        <v>2510</v>
      </c>
      <c r="B2511">
        <f>TEXT(2510, "[$-170000]yyyy-mm-dd")</f>
        <v/>
      </c>
      <c r="C2511">
        <f>TEXT(2510, "[$-060000]yyyy-mm-dd")</f>
        <v/>
      </c>
      <c r="D2511" t="inlineStr">
        <is>
          <t>1324-09-28</t>
        </is>
      </c>
    </row>
    <row r="2512">
      <c r="A2512" s="1" t="n">
        <v>2511</v>
      </c>
      <c r="B2512">
        <f>TEXT(2511, "[$-170000]yyyy-mm-dd")</f>
        <v/>
      </c>
      <c r="C2512">
        <f>TEXT(2511, "[$-060000]yyyy-mm-dd")</f>
        <v/>
      </c>
      <c r="D2512" t="inlineStr">
        <is>
          <t>1324-09-29</t>
        </is>
      </c>
    </row>
    <row r="2513">
      <c r="A2513" s="1" t="n">
        <v>2512</v>
      </c>
      <c r="B2513">
        <f>TEXT(2512, "[$-170000]yyyy-mm-dd")</f>
        <v/>
      </c>
      <c r="C2513">
        <f>TEXT(2512, "[$-060000]yyyy-mm-dd")</f>
        <v/>
      </c>
      <c r="D2513" t="inlineStr">
        <is>
          <t>1324-09-30</t>
        </is>
      </c>
    </row>
    <row r="2514">
      <c r="A2514" s="1" t="n">
        <v>2513</v>
      </c>
      <c r="B2514">
        <f>TEXT(2513, "[$-170000]yyyy-mm-dd")</f>
        <v/>
      </c>
      <c r="C2514">
        <f>TEXT(2513, "[$-060000]yyyy-mm-dd")</f>
        <v/>
      </c>
      <c r="D2514" t="inlineStr">
        <is>
          <t>1324-10-01</t>
        </is>
      </c>
    </row>
    <row r="2515">
      <c r="A2515" s="1" t="n">
        <v>2514</v>
      </c>
      <c r="B2515">
        <f>TEXT(2514, "[$-170000]yyyy-mm-dd")</f>
        <v/>
      </c>
      <c r="C2515">
        <f>TEXT(2514, "[$-060000]yyyy-mm-dd")</f>
        <v/>
      </c>
      <c r="D2515" t="inlineStr">
        <is>
          <t>1324-10-02</t>
        </is>
      </c>
    </row>
    <row r="2516">
      <c r="A2516" s="1" t="n">
        <v>2515</v>
      </c>
      <c r="B2516">
        <f>TEXT(2515, "[$-170000]yyyy-mm-dd")</f>
        <v/>
      </c>
      <c r="C2516">
        <f>TEXT(2515, "[$-060000]yyyy-mm-dd")</f>
        <v/>
      </c>
      <c r="D2516" t="inlineStr">
        <is>
          <t>1324-10-03</t>
        </is>
      </c>
    </row>
    <row r="2517">
      <c r="A2517" s="1" t="n">
        <v>2516</v>
      </c>
      <c r="B2517">
        <f>TEXT(2516, "[$-170000]yyyy-mm-dd")</f>
        <v/>
      </c>
      <c r="C2517">
        <f>TEXT(2516, "[$-060000]yyyy-mm-dd")</f>
        <v/>
      </c>
      <c r="D2517" t="inlineStr">
        <is>
          <t>1324-10-04</t>
        </is>
      </c>
    </row>
    <row r="2518">
      <c r="A2518" s="1" t="n">
        <v>2517</v>
      </c>
      <c r="B2518">
        <f>TEXT(2517, "[$-170000]yyyy-mm-dd")</f>
        <v/>
      </c>
      <c r="C2518">
        <f>TEXT(2517, "[$-060000]yyyy-mm-dd")</f>
        <v/>
      </c>
      <c r="D2518" t="inlineStr">
        <is>
          <t>1324-10-05</t>
        </is>
      </c>
    </row>
    <row r="2519">
      <c r="A2519" s="1" t="n">
        <v>2518</v>
      </c>
      <c r="B2519">
        <f>TEXT(2518, "[$-170000]yyyy-mm-dd")</f>
        <v/>
      </c>
      <c r="C2519">
        <f>TEXT(2518, "[$-060000]yyyy-mm-dd")</f>
        <v/>
      </c>
      <c r="D2519" t="inlineStr">
        <is>
          <t>1324-10-06</t>
        </is>
      </c>
    </row>
    <row r="2520">
      <c r="A2520" s="1" t="n">
        <v>2519</v>
      </c>
      <c r="B2520">
        <f>TEXT(2519, "[$-170000]yyyy-mm-dd")</f>
        <v/>
      </c>
      <c r="C2520">
        <f>TEXT(2519, "[$-060000]yyyy-mm-dd")</f>
        <v/>
      </c>
      <c r="D2520" t="inlineStr">
        <is>
          <t>1324-10-07</t>
        </is>
      </c>
    </row>
    <row r="2521">
      <c r="A2521" s="1" t="n">
        <v>2520</v>
      </c>
      <c r="B2521">
        <f>TEXT(2520, "[$-170000]yyyy-mm-dd")</f>
        <v/>
      </c>
      <c r="C2521">
        <f>TEXT(2520, "[$-060000]yyyy-mm-dd")</f>
        <v/>
      </c>
      <c r="D2521" t="inlineStr">
        <is>
          <t>1324-10-08</t>
        </is>
      </c>
    </row>
    <row r="2522">
      <c r="A2522" s="1" t="n">
        <v>2521</v>
      </c>
      <c r="B2522">
        <f>TEXT(2521, "[$-170000]yyyy-mm-dd")</f>
        <v/>
      </c>
      <c r="C2522">
        <f>TEXT(2521, "[$-060000]yyyy-mm-dd")</f>
        <v/>
      </c>
      <c r="D2522" t="inlineStr">
        <is>
          <t>1324-10-09</t>
        </is>
      </c>
    </row>
    <row r="2523">
      <c r="A2523" s="1" t="n">
        <v>2522</v>
      </c>
      <c r="B2523">
        <f>TEXT(2522, "[$-170000]yyyy-mm-dd")</f>
        <v/>
      </c>
      <c r="C2523">
        <f>TEXT(2522, "[$-060000]yyyy-mm-dd")</f>
        <v/>
      </c>
      <c r="D2523" t="inlineStr">
        <is>
          <t>1324-10-10</t>
        </is>
      </c>
    </row>
    <row r="2524">
      <c r="A2524" s="1" t="n">
        <v>2523</v>
      </c>
      <c r="B2524">
        <f>TEXT(2523, "[$-170000]yyyy-mm-dd")</f>
        <v/>
      </c>
      <c r="C2524">
        <f>TEXT(2523, "[$-060000]yyyy-mm-dd")</f>
        <v/>
      </c>
      <c r="D2524" t="inlineStr">
        <is>
          <t>1324-10-11</t>
        </is>
      </c>
    </row>
    <row r="2525">
      <c r="A2525" s="1" t="n">
        <v>2524</v>
      </c>
      <c r="B2525">
        <f>TEXT(2524, "[$-170000]yyyy-mm-dd")</f>
        <v/>
      </c>
      <c r="C2525">
        <f>TEXT(2524, "[$-060000]yyyy-mm-dd")</f>
        <v/>
      </c>
      <c r="D2525" t="inlineStr">
        <is>
          <t>1324-10-12</t>
        </is>
      </c>
    </row>
    <row r="2526">
      <c r="A2526" s="1" t="n">
        <v>2525</v>
      </c>
      <c r="B2526">
        <f>TEXT(2525, "[$-170000]yyyy-mm-dd")</f>
        <v/>
      </c>
      <c r="C2526">
        <f>TEXT(2525, "[$-060000]yyyy-mm-dd")</f>
        <v/>
      </c>
      <c r="D2526" t="inlineStr">
        <is>
          <t>1324-10-13</t>
        </is>
      </c>
    </row>
    <row r="2527">
      <c r="A2527" s="1" t="n">
        <v>2526</v>
      </c>
      <c r="B2527">
        <f>TEXT(2526, "[$-170000]yyyy-mm-dd")</f>
        <v/>
      </c>
      <c r="C2527">
        <f>TEXT(2526, "[$-060000]yyyy-mm-dd")</f>
        <v/>
      </c>
      <c r="D2527" t="inlineStr">
        <is>
          <t>1324-10-14</t>
        </is>
      </c>
    </row>
    <row r="2528">
      <c r="A2528" s="1" t="n">
        <v>2527</v>
      </c>
      <c r="B2528">
        <f>TEXT(2527, "[$-170000]yyyy-mm-dd")</f>
        <v/>
      </c>
      <c r="C2528">
        <f>TEXT(2527, "[$-060000]yyyy-mm-dd")</f>
        <v/>
      </c>
      <c r="D2528" t="inlineStr">
        <is>
          <t>1324-10-15</t>
        </is>
      </c>
    </row>
    <row r="2529">
      <c r="A2529" s="1" t="n">
        <v>2528</v>
      </c>
      <c r="B2529">
        <f>TEXT(2528, "[$-170000]yyyy-mm-dd")</f>
        <v/>
      </c>
      <c r="C2529">
        <f>TEXT(2528, "[$-060000]yyyy-mm-dd")</f>
        <v/>
      </c>
      <c r="D2529" t="inlineStr">
        <is>
          <t>1324-10-16</t>
        </is>
      </c>
    </row>
    <row r="2530">
      <c r="A2530" s="1" t="n">
        <v>2529</v>
      </c>
      <c r="B2530">
        <f>TEXT(2529, "[$-170000]yyyy-mm-dd")</f>
        <v/>
      </c>
      <c r="C2530">
        <f>TEXT(2529, "[$-060000]yyyy-mm-dd")</f>
        <v/>
      </c>
      <c r="D2530" t="inlineStr">
        <is>
          <t>1324-10-17</t>
        </is>
      </c>
    </row>
    <row r="2531">
      <c r="A2531" s="1" t="n">
        <v>2530</v>
      </c>
      <c r="B2531">
        <f>TEXT(2530, "[$-170000]yyyy-mm-dd")</f>
        <v/>
      </c>
      <c r="C2531">
        <f>TEXT(2530, "[$-060000]yyyy-mm-dd")</f>
        <v/>
      </c>
      <c r="D2531" t="inlineStr">
        <is>
          <t>1324-10-18</t>
        </is>
      </c>
    </row>
    <row r="2532">
      <c r="A2532" s="1" t="n">
        <v>2531</v>
      </c>
      <c r="B2532">
        <f>TEXT(2531, "[$-170000]yyyy-mm-dd")</f>
        <v/>
      </c>
      <c r="C2532">
        <f>TEXT(2531, "[$-060000]yyyy-mm-dd")</f>
        <v/>
      </c>
      <c r="D2532" t="inlineStr">
        <is>
          <t>1324-10-19</t>
        </is>
      </c>
    </row>
    <row r="2533">
      <c r="A2533" s="1" t="n">
        <v>2532</v>
      </c>
      <c r="B2533">
        <f>TEXT(2532, "[$-170000]yyyy-mm-dd")</f>
        <v/>
      </c>
      <c r="C2533">
        <f>TEXT(2532, "[$-060000]yyyy-mm-dd")</f>
        <v/>
      </c>
      <c r="D2533" t="inlineStr">
        <is>
          <t>1324-10-20</t>
        </is>
      </c>
    </row>
    <row r="2534">
      <c r="A2534" s="1" t="n">
        <v>2533</v>
      </c>
      <c r="B2534">
        <f>TEXT(2533, "[$-170000]yyyy-mm-dd")</f>
        <v/>
      </c>
      <c r="C2534">
        <f>TEXT(2533, "[$-060000]yyyy-mm-dd")</f>
        <v/>
      </c>
      <c r="D2534" t="inlineStr">
        <is>
          <t>1324-10-21</t>
        </is>
      </c>
    </row>
    <row r="2535">
      <c r="A2535" s="1" t="n">
        <v>2534</v>
      </c>
      <c r="B2535">
        <f>TEXT(2534, "[$-170000]yyyy-mm-dd")</f>
        <v/>
      </c>
      <c r="C2535">
        <f>TEXT(2534, "[$-060000]yyyy-mm-dd")</f>
        <v/>
      </c>
      <c r="D2535" t="inlineStr">
        <is>
          <t>1324-10-22</t>
        </is>
      </c>
    </row>
    <row r="2536">
      <c r="A2536" s="1" t="n">
        <v>2535</v>
      </c>
      <c r="B2536">
        <f>TEXT(2535, "[$-170000]yyyy-mm-dd")</f>
        <v/>
      </c>
      <c r="C2536">
        <f>TEXT(2535, "[$-060000]yyyy-mm-dd")</f>
        <v/>
      </c>
      <c r="D2536" t="inlineStr">
        <is>
          <t>1324-10-23</t>
        </is>
      </c>
    </row>
    <row r="2537">
      <c r="A2537" s="1" t="n">
        <v>2536</v>
      </c>
      <c r="B2537">
        <f>TEXT(2536, "[$-170000]yyyy-mm-dd")</f>
        <v/>
      </c>
      <c r="C2537">
        <f>TEXT(2536, "[$-060000]yyyy-mm-dd")</f>
        <v/>
      </c>
      <c r="D2537" t="inlineStr">
        <is>
          <t>1324-10-24</t>
        </is>
      </c>
    </row>
    <row r="2538">
      <c r="A2538" s="1" t="n">
        <v>2537</v>
      </c>
      <c r="B2538">
        <f>TEXT(2537, "[$-170000]yyyy-mm-dd")</f>
        <v/>
      </c>
      <c r="C2538">
        <f>TEXT(2537, "[$-060000]yyyy-mm-dd")</f>
        <v/>
      </c>
      <c r="D2538" t="inlineStr">
        <is>
          <t>1324-10-25</t>
        </is>
      </c>
    </row>
    <row r="2539">
      <c r="A2539" s="1" t="n">
        <v>2538</v>
      </c>
      <c r="B2539">
        <f>TEXT(2538, "[$-170000]yyyy-mm-dd")</f>
        <v/>
      </c>
      <c r="C2539">
        <f>TEXT(2538, "[$-060000]yyyy-mm-dd")</f>
        <v/>
      </c>
      <c r="D2539" t="inlineStr">
        <is>
          <t>1324-10-26</t>
        </is>
      </c>
    </row>
    <row r="2540">
      <c r="A2540" s="1" t="n">
        <v>2539</v>
      </c>
      <c r="B2540">
        <f>TEXT(2539, "[$-170000]yyyy-mm-dd")</f>
        <v/>
      </c>
      <c r="C2540">
        <f>TEXT(2539, "[$-060000]yyyy-mm-dd")</f>
        <v/>
      </c>
      <c r="D2540" t="inlineStr">
        <is>
          <t>1324-10-27</t>
        </is>
      </c>
    </row>
    <row r="2541">
      <c r="A2541" s="1" t="n">
        <v>2540</v>
      </c>
      <c r="B2541">
        <f>TEXT(2540, "[$-170000]yyyy-mm-dd")</f>
        <v/>
      </c>
      <c r="C2541">
        <f>TEXT(2540, "[$-060000]yyyy-mm-dd")</f>
        <v/>
      </c>
      <c r="D2541" t="inlineStr">
        <is>
          <t>1324-10-28</t>
        </is>
      </c>
    </row>
    <row r="2542">
      <c r="A2542" s="1" t="n">
        <v>2541</v>
      </c>
      <c r="B2542">
        <f>TEXT(2541, "[$-170000]yyyy-mm-dd")</f>
        <v/>
      </c>
      <c r="C2542">
        <f>TEXT(2541, "[$-060000]yyyy-mm-dd")</f>
        <v/>
      </c>
      <c r="D2542" t="inlineStr">
        <is>
          <t>1324-10-29</t>
        </is>
      </c>
    </row>
    <row r="2543">
      <c r="A2543" s="1" t="n">
        <v>2542</v>
      </c>
      <c r="B2543">
        <f>TEXT(2542, "[$-170000]yyyy-mm-dd")</f>
        <v/>
      </c>
      <c r="C2543">
        <f>TEXT(2542, "[$-060000]yyyy-mm-dd")</f>
        <v/>
      </c>
      <c r="D2543" t="inlineStr">
        <is>
          <t>1324-11-01</t>
        </is>
      </c>
    </row>
    <row r="2544">
      <c r="A2544" s="1" t="n">
        <v>2543</v>
      </c>
      <c r="B2544">
        <f>TEXT(2543, "[$-170000]yyyy-mm-dd")</f>
        <v/>
      </c>
      <c r="C2544">
        <f>TEXT(2543, "[$-060000]yyyy-mm-dd")</f>
        <v/>
      </c>
      <c r="D2544" t="inlineStr">
        <is>
          <t>1324-11-02</t>
        </is>
      </c>
    </row>
    <row r="2545">
      <c r="A2545" s="1" t="n">
        <v>2544</v>
      </c>
      <c r="B2545">
        <f>TEXT(2544, "[$-170000]yyyy-mm-dd")</f>
        <v/>
      </c>
      <c r="C2545">
        <f>TEXT(2544, "[$-060000]yyyy-mm-dd")</f>
        <v/>
      </c>
      <c r="D2545" t="inlineStr">
        <is>
          <t>1324-11-03</t>
        </is>
      </c>
    </row>
    <row r="2546">
      <c r="A2546" s="1" t="n">
        <v>2545</v>
      </c>
      <c r="B2546">
        <f>TEXT(2545, "[$-170000]yyyy-mm-dd")</f>
        <v/>
      </c>
      <c r="C2546">
        <f>TEXT(2545, "[$-060000]yyyy-mm-dd")</f>
        <v/>
      </c>
      <c r="D2546" t="inlineStr">
        <is>
          <t>1324-11-04</t>
        </is>
      </c>
    </row>
    <row r="2547">
      <c r="A2547" s="1" t="n">
        <v>2546</v>
      </c>
      <c r="B2547">
        <f>TEXT(2546, "[$-170000]yyyy-mm-dd")</f>
        <v/>
      </c>
      <c r="C2547">
        <f>TEXT(2546, "[$-060000]yyyy-mm-dd")</f>
        <v/>
      </c>
      <c r="D2547" t="inlineStr">
        <is>
          <t>1324-11-05</t>
        </is>
      </c>
    </row>
    <row r="2548">
      <c r="A2548" s="1" t="n">
        <v>2547</v>
      </c>
      <c r="B2548">
        <f>TEXT(2547, "[$-170000]yyyy-mm-dd")</f>
        <v/>
      </c>
      <c r="C2548">
        <f>TEXT(2547, "[$-060000]yyyy-mm-dd")</f>
        <v/>
      </c>
      <c r="D2548" t="inlineStr">
        <is>
          <t>1324-11-06</t>
        </is>
      </c>
    </row>
    <row r="2549">
      <c r="A2549" s="1" t="n">
        <v>2548</v>
      </c>
      <c r="B2549">
        <f>TEXT(2548, "[$-170000]yyyy-mm-dd")</f>
        <v/>
      </c>
      <c r="C2549">
        <f>TEXT(2548, "[$-060000]yyyy-mm-dd")</f>
        <v/>
      </c>
      <c r="D2549" t="inlineStr">
        <is>
          <t>1324-11-07</t>
        </is>
      </c>
    </row>
    <row r="2550">
      <c r="A2550" s="1" t="n">
        <v>2549</v>
      </c>
      <c r="B2550">
        <f>TEXT(2549, "[$-170000]yyyy-mm-dd")</f>
        <v/>
      </c>
      <c r="C2550">
        <f>TEXT(2549, "[$-060000]yyyy-mm-dd")</f>
        <v/>
      </c>
      <c r="D2550" t="inlineStr">
        <is>
          <t>1324-11-08</t>
        </is>
      </c>
    </row>
    <row r="2551">
      <c r="A2551" s="1" t="n">
        <v>2550</v>
      </c>
      <c r="B2551">
        <f>TEXT(2550, "[$-170000]yyyy-mm-dd")</f>
        <v/>
      </c>
      <c r="C2551">
        <f>TEXT(2550, "[$-060000]yyyy-mm-dd")</f>
        <v/>
      </c>
      <c r="D2551" t="inlineStr">
        <is>
          <t>1324-11-09</t>
        </is>
      </c>
    </row>
    <row r="2552">
      <c r="A2552" s="1" t="n">
        <v>2551</v>
      </c>
      <c r="B2552">
        <f>TEXT(2551, "[$-170000]yyyy-mm-dd")</f>
        <v/>
      </c>
      <c r="C2552">
        <f>TEXT(2551, "[$-060000]yyyy-mm-dd")</f>
        <v/>
      </c>
      <c r="D2552" t="inlineStr">
        <is>
          <t>1324-11-10</t>
        </is>
      </c>
    </row>
    <row r="2553">
      <c r="A2553" s="1" t="n">
        <v>2552</v>
      </c>
      <c r="B2553">
        <f>TEXT(2552, "[$-170000]yyyy-mm-dd")</f>
        <v/>
      </c>
      <c r="C2553">
        <f>TEXT(2552, "[$-060000]yyyy-mm-dd")</f>
        <v/>
      </c>
      <c r="D2553" t="inlineStr">
        <is>
          <t>1324-11-11</t>
        </is>
      </c>
    </row>
    <row r="2554">
      <c r="A2554" s="1" t="n">
        <v>2553</v>
      </c>
      <c r="B2554">
        <f>TEXT(2553, "[$-170000]yyyy-mm-dd")</f>
        <v/>
      </c>
      <c r="C2554">
        <f>TEXT(2553, "[$-060000]yyyy-mm-dd")</f>
        <v/>
      </c>
      <c r="D2554" t="inlineStr">
        <is>
          <t>1324-11-12</t>
        </is>
      </c>
    </row>
    <row r="2555">
      <c r="A2555" s="1" t="n">
        <v>2554</v>
      </c>
      <c r="B2555">
        <f>TEXT(2554, "[$-170000]yyyy-mm-dd")</f>
        <v/>
      </c>
      <c r="C2555">
        <f>TEXT(2554, "[$-060000]yyyy-mm-dd")</f>
        <v/>
      </c>
      <c r="D2555" t="inlineStr">
        <is>
          <t>1324-11-13</t>
        </is>
      </c>
    </row>
    <row r="2556">
      <c r="A2556" s="1" t="n">
        <v>2555</v>
      </c>
      <c r="B2556">
        <f>TEXT(2555, "[$-170000]yyyy-mm-dd")</f>
        <v/>
      </c>
      <c r="C2556">
        <f>TEXT(2555, "[$-060000]yyyy-mm-dd")</f>
        <v/>
      </c>
      <c r="D2556" t="inlineStr">
        <is>
          <t>1324-11-14</t>
        </is>
      </c>
    </row>
    <row r="2557">
      <c r="A2557" s="1" t="n">
        <v>2556</v>
      </c>
      <c r="B2557">
        <f>TEXT(2556, "[$-170000]yyyy-mm-dd")</f>
        <v/>
      </c>
      <c r="C2557">
        <f>TEXT(2556, "[$-060000]yyyy-mm-dd")</f>
        <v/>
      </c>
      <c r="D2557" t="inlineStr">
        <is>
          <t>1324-11-15</t>
        </is>
      </c>
    </row>
    <row r="2558">
      <c r="A2558" s="1" t="n">
        <v>2557</v>
      </c>
      <c r="B2558">
        <f>TEXT(2557, "[$-170000]yyyy-mm-dd")</f>
        <v/>
      </c>
      <c r="C2558">
        <f>TEXT(2557, "[$-060000]yyyy-mm-dd")</f>
        <v/>
      </c>
      <c r="D2558" t="inlineStr">
        <is>
          <t>1324-11-16</t>
        </is>
      </c>
    </row>
    <row r="2559">
      <c r="A2559" s="1" t="n">
        <v>2558</v>
      </c>
      <c r="B2559">
        <f>TEXT(2558, "[$-170000]yyyy-mm-dd")</f>
        <v/>
      </c>
      <c r="C2559">
        <f>TEXT(2558, "[$-060000]yyyy-mm-dd")</f>
        <v/>
      </c>
      <c r="D2559" t="inlineStr">
        <is>
          <t>1324-11-17</t>
        </is>
      </c>
    </row>
    <row r="2560">
      <c r="A2560" s="1" t="n">
        <v>2559</v>
      </c>
      <c r="B2560">
        <f>TEXT(2559, "[$-170000]yyyy-mm-dd")</f>
        <v/>
      </c>
      <c r="C2560">
        <f>TEXT(2559, "[$-060000]yyyy-mm-dd")</f>
        <v/>
      </c>
      <c r="D2560" t="inlineStr">
        <is>
          <t>1324-11-18</t>
        </is>
      </c>
    </row>
    <row r="2561">
      <c r="A2561" s="1" t="n">
        <v>2560</v>
      </c>
      <c r="B2561">
        <f>TEXT(2560, "[$-170000]yyyy-mm-dd")</f>
        <v/>
      </c>
      <c r="C2561">
        <f>TEXT(2560, "[$-060000]yyyy-mm-dd")</f>
        <v/>
      </c>
      <c r="D2561" t="inlineStr">
        <is>
          <t>1324-11-19</t>
        </is>
      </c>
    </row>
    <row r="2562">
      <c r="A2562" s="1" t="n">
        <v>2561</v>
      </c>
      <c r="B2562">
        <f>TEXT(2561, "[$-170000]yyyy-mm-dd")</f>
        <v/>
      </c>
      <c r="C2562">
        <f>TEXT(2561, "[$-060000]yyyy-mm-dd")</f>
        <v/>
      </c>
      <c r="D2562" t="inlineStr">
        <is>
          <t>1324-11-20</t>
        </is>
      </c>
    </row>
    <row r="2563">
      <c r="A2563" s="1" t="n">
        <v>2562</v>
      </c>
      <c r="B2563">
        <f>TEXT(2562, "[$-170000]yyyy-mm-dd")</f>
        <v/>
      </c>
      <c r="C2563">
        <f>TEXT(2562, "[$-060000]yyyy-mm-dd")</f>
        <v/>
      </c>
      <c r="D2563" t="inlineStr">
        <is>
          <t>1324-11-21</t>
        </is>
      </c>
    </row>
    <row r="2564">
      <c r="A2564" s="1" t="n">
        <v>2563</v>
      </c>
      <c r="B2564">
        <f>TEXT(2563, "[$-170000]yyyy-mm-dd")</f>
        <v/>
      </c>
      <c r="C2564">
        <f>TEXT(2563, "[$-060000]yyyy-mm-dd")</f>
        <v/>
      </c>
      <c r="D2564" t="inlineStr">
        <is>
          <t>1324-11-22</t>
        </is>
      </c>
    </row>
    <row r="2565">
      <c r="A2565" s="1" t="n">
        <v>2564</v>
      </c>
      <c r="B2565">
        <f>TEXT(2564, "[$-170000]yyyy-mm-dd")</f>
        <v/>
      </c>
      <c r="C2565">
        <f>TEXT(2564, "[$-060000]yyyy-mm-dd")</f>
        <v/>
      </c>
      <c r="D2565" t="inlineStr">
        <is>
          <t>1324-11-23</t>
        </is>
      </c>
    </row>
    <row r="2566">
      <c r="A2566" s="1" t="n">
        <v>2565</v>
      </c>
      <c r="B2566">
        <f>TEXT(2565, "[$-170000]yyyy-mm-dd")</f>
        <v/>
      </c>
      <c r="C2566">
        <f>TEXT(2565, "[$-060000]yyyy-mm-dd")</f>
        <v/>
      </c>
      <c r="D2566" t="inlineStr">
        <is>
          <t>1324-11-24</t>
        </is>
      </c>
    </row>
    <row r="2567">
      <c r="A2567" s="1" t="n">
        <v>2566</v>
      </c>
      <c r="B2567">
        <f>TEXT(2566, "[$-170000]yyyy-mm-dd")</f>
        <v/>
      </c>
      <c r="C2567">
        <f>TEXT(2566, "[$-060000]yyyy-mm-dd")</f>
        <v/>
      </c>
      <c r="D2567" t="inlineStr">
        <is>
          <t>1324-11-25</t>
        </is>
      </c>
    </row>
    <row r="2568">
      <c r="A2568" s="1" t="n">
        <v>2567</v>
      </c>
      <c r="B2568">
        <f>TEXT(2567, "[$-170000]yyyy-mm-dd")</f>
        <v/>
      </c>
      <c r="C2568">
        <f>TEXT(2567, "[$-060000]yyyy-mm-dd")</f>
        <v/>
      </c>
      <c r="D2568" t="inlineStr">
        <is>
          <t>1324-11-26</t>
        </is>
      </c>
    </row>
    <row r="2569">
      <c r="A2569" s="1" t="n">
        <v>2568</v>
      </c>
      <c r="B2569">
        <f>TEXT(2568, "[$-170000]yyyy-mm-dd")</f>
        <v/>
      </c>
      <c r="C2569">
        <f>TEXT(2568, "[$-060000]yyyy-mm-dd")</f>
        <v/>
      </c>
      <c r="D2569" t="inlineStr">
        <is>
          <t>1324-11-27</t>
        </is>
      </c>
    </row>
    <row r="2570">
      <c r="A2570" s="1" t="n">
        <v>2569</v>
      </c>
      <c r="B2570">
        <f>TEXT(2569, "[$-170000]yyyy-mm-dd")</f>
        <v/>
      </c>
      <c r="C2570">
        <f>TEXT(2569, "[$-060000]yyyy-mm-dd")</f>
        <v/>
      </c>
      <c r="D2570" t="inlineStr">
        <is>
          <t>1324-11-28</t>
        </is>
      </c>
    </row>
    <row r="2571">
      <c r="A2571" s="1" t="n">
        <v>2570</v>
      </c>
      <c r="B2571">
        <f>TEXT(2570, "[$-170000]yyyy-mm-dd")</f>
        <v/>
      </c>
      <c r="C2571">
        <f>TEXT(2570, "[$-060000]yyyy-mm-dd")</f>
        <v/>
      </c>
      <c r="D2571" t="inlineStr">
        <is>
          <t>1324-11-29</t>
        </is>
      </c>
    </row>
    <row r="2572">
      <c r="A2572" s="1" t="n">
        <v>2571</v>
      </c>
      <c r="B2572">
        <f>TEXT(2571, "[$-170000]yyyy-mm-dd")</f>
        <v/>
      </c>
      <c r="C2572">
        <f>TEXT(2571, "[$-060000]yyyy-mm-dd")</f>
        <v/>
      </c>
      <c r="D2572" t="inlineStr">
        <is>
          <t>1324-11-30</t>
        </is>
      </c>
    </row>
    <row r="2573">
      <c r="A2573" s="1" t="n">
        <v>2572</v>
      </c>
      <c r="B2573">
        <f>TEXT(2572, "[$-170000]yyyy-mm-dd")</f>
        <v/>
      </c>
      <c r="C2573">
        <f>TEXT(2572, "[$-060000]yyyy-mm-dd")</f>
        <v/>
      </c>
      <c r="D2573" t="inlineStr">
        <is>
          <t>1324-12-01</t>
        </is>
      </c>
    </row>
    <row r="2574">
      <c r="A2574" s="1" t="n">
        <v>2573</v>
      </c>
      <c r="B2574">
        <f>TEXT(2573, "[$-170000]yyyy-mm-dd")</f>
        <v/>
      </c>
      <c r="C2574">
        <f>TEXT(2573, "[$-060000]yyyy-mm-dd")</f>
        <v/>
      </c>
      <c r="D2574" t="inlineStr">
        <is>
          <t>1324-12-02</t>
        </is>
      </c>
    </row>
    <row r="2575">
      <c r="A2575" s="1" t="n">
        <v>2574</v>
      </c>
      <c r="B2575">
        <f>TEXT(2574, "[$-170000]yyyy-mm-dd")</f>
        <v/>
      </c>
      <c r="C2575">
        <f>TEXT(2574, "[$-060000]yyyy-mm-dd")</f>
        <v/>
      </c>
      <c r="D2575" t="inlineStr">
        <is>
          <t>1324-12-03</t>
        </is>
      </c>
    </row>
    <row r="2576">
      <c r="A2576" s="1" t="n">
        <v>2575</v>
      </c>
      <c r="B2576">
        <f>TEXT(2575, "[$-170000]yyyy-mm-dd")</f>
        <v/>
      </c>
      <c r="C2576">
        <f>TEXT(2575, "[$-060000]yyyy-mm-dd")</f>
        <v/>
      </c>
      <c r="D2576" t="inlineStr">
        <is>
          <t>1324-12-04</t>
        </is>
      </c>
    </row>
    <row r="2577">
      <c r="A2577" s="1" t="n">
        <v>2576</v>
      </c>
      <c r="B2577">
        <f>TEXT(2576, "[$-170000]yyyy-mm-dd")</f>
        <v/>
      </c>
      <c r="C2577">
        <f>TEXT(2576, "[$-060000]yyyy-mm-dd")</f>
        <v/>
      </c>
      <c r="D2577" t="inlineStr">
        <is>
          <t>1324-12-05</t>
        </is>
      </c>
    </row>
    <row r="2578">
      <c r="A2578" s="1" t="n">
        <v>2577</v>
      </c>
      <c r="B2578">
        <f>TEXT(2577, "[$-170000]yyyy-mm-dd")</f>
        <v/>
      </c>
      <c r="C2578">
        <f>TEXT(2577, "[$-060000]yyyy-mm-dd")</f>
        <v/>
      </c>
      <c r="D2578" t="inlineStr">
        <is>
          <t>1324-12-06</t>
        </is>
      </c>
    </row>
    <row r="2579">
      <c r="A2579" s="1" t="n">
        <v>2578</v>
      </c>
      <c r="B2579">
        <f>TEXT(2578, "[$-170000]yyyy-mm-dd")</f>
        <v/>
      </c>
      <c r="C2579">
        <f>TEXT(2578, "[$-060000]yyyy-mm-dd")</f>
        <v/>
      </c>
      <c r="D2579" t="inlineStr">
        <is>
          <t>1324-12-07</t>
        </is>
      </c>
    </row>
    <row r="2580">
      <c r="A2580" s="1" t="n">
        <v>2579</v>
      </c>
      <c r="B2580">
        <f>TEXT(2579, "[$-170000]yyyy-mm-dd")</f>
        <v/>
      </c>
      <c r="C2580">
        <f>TEXT(2579, "[$-060000]yyyy-mm-dd")</f>
        <v/>
      </c>
      <c r="D2580" t="inlineStr">
        <is>
          <t>1324-12-08</t>
        </is>
      </c>
    </row>
    <row r="2581">
      <c r="A2581" s="1" t="n">
        <v>2580</v>
      </c>
      <c r="B2581">
        <f>TEXT(2580, "[$-170000]yyyy-mm-dd")</f>
        <v/>
      </c>
      <c r="C2581">
        <f>TEXT(2580, "[$-060000]yyyy-mm-dd")</f>
        <v/>
      </c>
      <c r="D2581" t="inlineStr">
        <is>
          <t>1324-12-09</t>
        </is>
      </c>
    </row>
    <row r="2582">
      <c r="A2582" s="1" t="n">
        <v>2581</v>
      </c>
      <c r="B2582">
        <f>TEXT(2581, "[$-170000]yyyy-mm-dd")</f>
        <v/>
      </c>
      <c r="C2582">
        <f>TEXT(2581, "[$-060000]yyyy-mm-dd")</f>
        <v/>
      </c>
      <c r="D2582" t="inlineStr">
        <is>
          <t>1324-12-10</t>
        </is>
      </c>
    </row>
    <row r="2583">
      <c r="A2583" s="1" t="n">
        <v>2582</v>
      </c>
      <c r="B2583">
        <f>TEXT(2582, "[$-170000]yyyy-mm-dd")</f>
        <v/>
      </c>
      <c r="C2583">
        <f>TEXT(2582, "[$-060000]yyyy-mm-dd")</f>
        <v/>
      </c>
      <c r="D2583" t="inlineStr">
        <is>
          <t>1324-12-11</t>
        </is>
      </c>
    </row>
    <row r="2584">
      <c r="A2584" s="1" t="n">
        <v>2583</v>
      </c>
      <c r="B2584">
        <f>TEXT(2583, "[$-170000]yyyy-mm-dd")</f>
        <v/>
      </c>
      <c r="C2584">
        <f>TEXT(2583, "[$-060000]yyyy-mm-dd")</f>
        <v/>
      </c>
      <c r="D2584" t="inlineStr">
        <is>
          <t>1324-12-12</t>
        </is>
      </c>
    </row>
    <row r="2585">
      <c r="A2585" s="1" t="n">
        <v>2584</v>
      </c>
      <c r="B2585">
        <f>TEXT(2584, "[$-170000]yyyy-mm-dd")</f>
        <v/>
      </c>
      <c r="C2585">
        <f>TEXT(2584, "[$-060000]yyyy-mm-dd")</f>
        <v/>
      </c>
      <c r="D2585" t="inlineStr">
        <is>
          <t>1324-12-13</t>
        </is>
      </c>
    </row>
    <row r="2586">
      <c r="A2586" s="1" t="n">
        <v>2585</v>
      </c>
      <c r="B2586">
        <f>TEXT(2585, "[$-170000]yyyy-mm-dd")</f>
        <v/>
      </c>
      <c r="C2586">
        <f>TEXT(2585, "[$-060000]yyyy-mm-dd")</f>
        <v/>
      </c>
      <c r="D2586" t="inlineStr">
        <is>
          <t>1324-12-14</t>
        </is>
      </c>
    </row>
    <row r="2587">
      <c r="A2587" s="1" t="n">
        <v>2586</v>
      </c>
      <c r="B2587">
        <f>TEXT(2586, "[$-170000]yyyy-mm-dd")</f>
        <v/>
      </c>
      <c r="C2587">
        <f>TEXT(2586, "[$-060000]yyyy-mm-dd")</f>
        <v/>
      </c>
      <c r="D2587" t="inlineStr">
        <is>
          <t>1324-12-15</t>
        </is>
      </c>
    </row>
    <row r="2588">
      <c r="A2588" s="1" t="n">
        <v>2587</v>
      </c>
      <c r="B2588">
        <f>TEXT(2587, "[$-170000]yyyy-mm-dd")</f>
        <v/>
      </c>
      <c r="C2588">
        <f>TEXT(2587, "[$-060000]yyyy-mm-dd")</f>
        <v/>
      </c>
      <c r="D2588" t="inlineStr">
        <is>
          <t>1324-12-16</t>
        </is>
      </c>
    </row>
    <row r="2589">
      <c r="A2589" s="1" t="n">
        <v>2588</v>
      </c>
      <c r="B2589">
        <f>TEXT(2588, "[$-170000]yyyy-mm-dd")</f>
        <v/>
      </c>
      <c r="C2589">
        <f>TEXT(2588, "[$-060000]yyyy-mm-dd")</f>
        <v/>
      </c>
      <c r="D2589" t="inlineStr">
        <is>
          <t>1324-12-17</t>
        </is>
      </c>
    </row>
    <row r="2590">
      <c r="A2590" s="1" t="n">
        <v>2589</v>
      </c>
      <c r="B2590">
        <f>TEXT(2589, "[$-170000]yyyy-mm-dd")</f>
        <v/>
      </c>
      <c r="C2590">
        <f>TEXT(2589, "[$-060000]yyyy-mm-dd")</f>
        <v/>
      </c>
      <c r="D2590" t="inlineStr">
        <is>
          <t>1324-12-18</t>
        </is>
      </c>
    </row>
    <row r="2591">
      <c r="A2591" s="1" t="n">
        <v>2590</v>
      </c>
      <c r="B2591">
        <f>TEXT(2590, "[$-170000]yyyy-mm-dd")</f>
        <v/>
      </c>
      <c r="C2591">
        <f>TEXT(2590, "[$-060000]yyyy-mm-dd")</f>
        <v/>
      </c>
      <c r="D2591" t="inlineStr">
        <is>
          <t>1324-12-19</t>
        </is>
      </c>
    </row>
    <row r="2592">
      <c r="A2592" s="1" t="n">
        <v>2591</v>
      </c>
      <c r="B2592">
        <f>TEXT(2591, "[$-170000]yyyy-mm-dd")</f>
        <v/>
      </c>
      <c r="C2592">
        <f>TEXT(2591, "[$-060000]yyyy-mm-dd")</f>
        <v/>
      </c>
      <c r="D2592" t="inlineStr">
        <is>
          <t>1324-12-20</t>
        </is>
      </c>
    </row>
    <row r="2593">
      <c r="A2593" s="1" t="n">
        <v>2592</v>
      </c>
      <c r="B2593">
        <f>TEXT(2592, "[$-170000]yyyy-mm-dd")</f>
        <v/>
      </c>
      <c r="C2593">
        <f>TEXT(2592, "[$-060000]yyyy-mm-dd")</f>
        <v/>
      </c>
      <c r="D2593" t="inlineStr">
        <is>
          <t>1324-12-21</t>
        </is>
      </c>
    </row>
    <row r="2594">
      <c r="A2594" s="1" t="n">
        <v>2593</v>
      </c>
      <c r="B2594">
        <f>TEXT(2593, "[$-170000]yyyy-mm-dd")</f>
        <v/>
      </c>
      <c r="C2594">
        <f>TEXT(2593, "[$-060000]yyyy-mm-dd")</f>
        <v/>
      </c>
      <c r="D2594" t="inlineStr">
        <is>
          <t>1324-12-22</t>
        </is>
      </c>
    </row>
    <row r="2595">
      <c r="A2595" s="1" t="n">
        <v>2594</v>
      </c>
      <c r="B2595">
        <f>TEXT(2594, "[$-170000]yyyy-mm-dd")</f>
        <v/>
      </c>
      <c r="C2595">
        <f>TEXT(2594, "[$-060000]yyyy-mm-dd")</f>
        <v/>
      </c>
      <c r="D2595" t="inlineStr">
        <is>
          <t>1324-12-23</t>
        </is>
      </c>
    </row>
    <row r="2596">
      <c r="A2596" s="1" t="n">
        <v>2595</v>
      </c>
      <c r="B2596">
        <f>TEXT(2595, "[$-170000]yyyy-mm-dd")</f>
        <v/>
      </c>
      <c r="C2596">
        <f>TEXT(2595, "[$-060000]yyyy-mm-dd")</f>
        <v/>
      </c>
      <c r="D2596" t="inlineStr">
        <is>
          <t>1324-12-24</t>
        </is>
      </c>
    </row>
    <row r="2597">
      <c r="A2597" s="1" t="n">
        <v>2596</v>
      </c>
      <c r="B2597">
        <f>TEXT(2596, "[$-170000]yyyy-mm-dd")</f>
        <v/>
      </c>
      <c r="C2597">
        <f>TEXT(2596, "[$-060000]yyyy-mm-dd")</f>
        <v/>
      </c>
      <c r="D2597" t="inlineStr">
        <is>
          <t>1324-12-25</t>
        </is>
      </c>
    </row>
    <row r="2598">
      <c r="A2598" s="1" t="n">
        <v>2597</v>
      </c>
      <c r="B2598">
        <f>TEXT(2597, "[$-170000]yyyy-mm-dd")</f>
        <v/>
      </c>
      <c r="C2598">
        <f>TEXT(2597, "[$-060000]yyyy-mm-dd")</f>
        <v/>
      </c>
      <c r="D2598" t="inlineStr">
        <is>
          <t>1324-12-26</t>
        </is>
      </c>
    </row>
    <row r="2599">
      <c r="A2599" s="1" t="n">
        <v>2598</v>
      </c>
      <c r="B2599">
        <f>TEXT(2598, "[$-170000]yyyy-mm-dd")</f>
        <v/>
      </c>
      <c r="C2599">
        <f>TEXT(2598, "[$-060000]yyyy-mm-dd")</f>
        <v/>
      </c>
      <c r="D2599" t="inlineStr">
        <is>
          <t>1324-12-27</t>
        </is>
      </c>
    </row>
    <row r="2600">
      <c r="A2600" s="1" t="n">
        <v>2599</v>
      </c>
      <c r="B2600">
        <f>TEXT(2599, "[$-170000]yyyy-mm-dd")</f>
        <v/>
      </c>
      <c r="C2600">
        <f>TEXT(2599, "[$-060000]yyyy-mm-dd")</f>
        <v/>
      </c>
      <c r="D2600" t="inlineStr">
        <is>
          <t>1324-12-28</t>
        </is>
      </c>
    </row>
    <row r="2601">
      <c r="A2601" s="1" t="n">
        <v>2600</v>
      </c>
      <c r="B2601">
        <f>TEXT(2600, "[$-170000]yyyy-mm-dd")</f>
        <v/>
      </c>
      <c r="C2601">
        <f>TEXT(2600, "[$-060000]yyyy-mm-dd")</f>
        <v/>
      </c>
      <c r="D2601" t="inlineStr">
        <is>
          <t>1324-12-29</t>
        </is>
      </c>
    </row>
    <row r="2602">
      <c r="A2602" s="1" t="n">
        <v>2601</v>
      </c>
      <c r="B2602">
        <f>TEXT(2601, "[$-170000]yyyy-mm-dd")</f>
        <v/>
      </c>
      <c r="C2602">
        <f>TEXT(2601, "[$-060000]yyyy-mm-dd")</f>
        <v/>
      </c>
      <c r="D2602" t="inlineStr">
        <is>
          <t>1325-01-01</t>
        </is>
      </c>
    </row>
    <row r="2603">
      <c r="A2603" s="1" t="n">
        <v>2602</v>
      </c>
      <c r="B2603">
        <f>TEXT(2602, "[$-170000]yyyy-mm-dd")</f>
        <v/>
      </c>
      <c r="C2603">
        <f>TEXT(2602, "[$-060000]yyyy-mm-dd")</f>
        <v/>
      </c>
      <c r="D2603" t="inlineStr">
        <is>
          <t>1325-01-02</t>
        </is>
      </c>
    </row>
    <row r="2604">
      <c r="A2604" s="1" t="n">
        <v>2603</v>
      </c>
      <c r="B2604">
        <f>TEXT(2603, "[$-170000]yyyy-mm-dd")</f>
        <v/>
      </c>
      <c r="C2604">
        <f>TEXT(2603, "[$-060000]yyyy-mm-dd")</f>
        <v/>
      </c>
      <c r="D2604" t="inlineStr">
        <is>
          <t>1325-01-03</t>
        </is>
      </c>
    </row>
    <row r="2605">
      <c r="A2605" s="1" t="n">
        <v>2604</v>
      </c>
      <c r="B2605">
        <f>TEXT(2604, "[$-170000]yyyy-mm-dd")</f>
        <v/>
      </c>
      <c r="C2605">
        <f>TEXT(2604, "[$-060000]yyyy-mm-dd")</f>
        <v/>
      </c>
      <c r="D2605" t="inlineStr">
        <is>
          <t>1325-01-04</t>
        </is>
      </c>
    </row>
    <row r="2606">
      <c r="A2606" s="1" t="n">
        <v>2605</v>
      </c>
      <c r="B2606">
        <f>TEXT(2605, "[$-170000]yyyy-mm-dd")</f>
        <v/>
      </c>
      <c r="C2606">
        <f>TEXT(2605, "[$-060000]yyyy-mm-dd")</f>
        <v/>
      </c>
      <c r="D2606" t="inlineStr">
        <is>
          <t>1325-01-05</t>
        </is>
      </c>
    </row>
    <row r="2607">
      <c r="A2607" s="1" t="n">
        <v>2606</v>
      </c>
      <c r="B2607">
        <f>TEXT(2606, "[$-170000]yyyy-mm-dd")</f>
        <v/>
      </c>
      <c r="C2607">
        <f>TEXT(2606, "[$-060000]yyyy-mm-dd")</f>
        <v/>
      </c>
      <c r="D2607" t="inlineStr">
        <is>
          <t>1325-01-06</t>
        </is>
      </c>
    </row>
    <row r="2608">
      <c r="A2608" s="1" t="n">
        <v>2607</v>
      </c>
      <c r="B2608">
        <f>TEXT(2607, "[$-170000]yyyy-mm-dd")</f>
        <v/>
      </c>
      <c r="C2608">
        <f>TEXT(2607, "[$-060000]yyyy-mm-dd")</f>
        <v/>
      </c>
      <c r="D2608" t="inlineStr">
        <is>
          <t>1325-01-07</t>
        </is>
      </c>
    </row>
    <row r="2609">
      <c r="A2609" s="1" t="n">
        <v>2608</v>
      </c>
      <c r="B2609">
        <f>TEXT(2608, "[$-170000]yyyy-mm-dd")</f>
        <v/>
      </c>
      <c r="C2609">
        <f>TEXT(2608, "[$-060000]yyyy-mm-dd")</f>
        <v/>
      </c>
      <c r="D2609" t="inlineStr">
        <is>
          <t>1325-01-08</t>
        </is>
      </c>
    </row>
    <row r="2610">
      <c r="A2610" s="1" t="n">
        <v>2609</v>
      </c>
      <c r="B2610">
        <f>TEXT(2609, "[$-170000]yyyy-mm-dd")</f>
        <v/>
      </c>
      <c r="C2610">
        <f>TEXT(2609, "[$-060000]yyyy-mm-dd")</f>
        <v/>
      </c>
      <c r="D2610" t="inlineStr">
        <is>
          <t>1325-01-09</t>
        </is>
      </c>
    </row>
    <row r="2611">
      <c r="A2611" s="1" t="n">
        <v>2610</v>
      </c>
      <c r="B2611">
        <f>TEXT(2610, "[$-170000]yyyy-mm-dd")</f>
        <v/>
      </c>
      <c r="C2611">
        <f>TEXT(2610, "[$-060000]yyyy-mm-dd")</f>
        <v/>
      </c>
      <c r="D2611" t="inlineStr">
        <is>
          <t>1325-01-10</t>
        </is>
      </c>
    </row>
    <row r="2612">
      <c r="A2612" s="1" t="n">
        <v>2611</v>
      </c>
      <c r="B2612">
        <f>TEXT(2611, "[$-170000]yyyy-mm-dd")</f>
        <v/>
      </c>
      <c r="C2612">
        <f>TEXT(2611, "[$-060000]yyyy-mm-dd")</f>
        <v/>
      </c>
      <c r="D2612" t="inlineStr">
        <is>
          <t>1325-01-11</t>
        </is>
      </c>
    </row>
    <row r="2613">
      <c r="A2613" s="1" t="n">
        <v>2612</v>
      </c>
      <c r="B2613">
        <f>TEXT(2612, "[$-170000]yyyy-mm-dd")</f>
        <v/>
      </c>
      <c r="C2613">
        <f>TEXT(2612, "[$-060000]yyyy-mm-dd")</f>
        <v/>
      </c>
      <c r="D2613" t="inlineStr">
        <is>
          <t>1325-01-12</t>
        </is>
      </c>
    </row>
    <row r="2614">
      <c r="A2614" s="1" t="n">
        <v>2613</v>
      </c>
      <c r="B2614">
        <f>TEXT(2613, "[$-170000]yyyy-mm-dd")</f>
        <v/>
      </c>
      <c r="C2614">
        <f>TEXT(2613, "[$-060000]yyyy-mm-dd")</f>
        <v/>
      </c>
      <c r="D2614" t="inlineStr">
        <is>
          <t>1325-01-13</t>
        </is>
      </c>
    </row>
    <row r="2615">
      <c r="A2615" s="1" t="n">
        <v>2614</v>
      </c>
      <c r="B2615">
        <f>TEXT(2614, "[$-170000]yyyy-mm-dd")</f>
        <v/>
      </c>
      <c r="C2615">
        <f>TEXT(2614, "[$-060000]yyyy-mm-dd")</f>
        <v/>
      </c>
      <c r="D2615" t="inlineStr">
        <is>
          <t>1325-01-14</t>
        </is>
      </c>
    </row>
    <row r="2616">
      <c r="A2616" s="1" t="n">
        <v>2615</v>
      </c>
      <c r="B2616">
        <f>TEXT(2615, "[$-170000]yyyy-mm-dd")</f>
        <v/>
      </c>
      <c r="C2616">
        <f>TEXT(2615, "[$-060000]yyyy-mm-dd")</f>
        <v/>
      </c>
      <c r="D2616" t="inlineStr">
        <is>
          <t>1325-01-15</t>
        </is>
      </c>
    </row>
    <row r="2617">
      <c r="A2617" s="1" t="n">
        <v>2616</v>
      </c>
      <c r="B2617">
        <f>TEXT(2616, "[$-170000]yyyy-mm-dd")</f>
        <v/>
      </c>
      <c r="C2617">
        <f>TEXT(2616, "[$-060000]yyyy-mm-dd")</f>
        <v/>
      </c>
      <c r="D2617" t="inlineStr">
        <is>
          <t>1325-01-16</t>
        </is>
      </c>
    </row>
    <row r="2618">
      <c r="A2618" s="1" t="n">
        <v>2617</v>
      </c>
      <c r="B2618">
        <f>TEXT(2617, "[$-170000]yyyy-mm-dd")</f>
        <v/>
      </c>
      <c r="C2618">
        <f>TEXT(2617, "[$-060000]yyyy-mm-dd")</f>
        <v/>
      </c>
      <c r="D2618" t="inlineStr">
        <is>
          <t>1325-01-17</t>
        </is>
      </c>
    </row>
    <row r="2619">
      <c r="A2619" s="1" t="n">
        <v>2618</v>
      </c>
      <c r="B2619">
        <f>TEXT(2618, "[$-170000]yyyy-mm-dd")</f>
        <v/>
      </c>
      <c r="C2619">
        <f>TEXT(2618, "[$-060000]yyyy-mm-dd")</f>
        <v/>
      </c>
      <c r="D2619" t="inlineStr">
        <is>
          <t>1325-01-18</t>
        </is>
      </c>
    </row>
    <row r="2620">
      <c r="A2620" s="1" t="n">
        <v>2619</v>
      </c>
      <c r="B2620">
        <f>TEXT(2619, "[$-170000]yyyy-mm-dd")</f>
        <v/>
      </c>
      <c r="C2620">
        <f>TEXT(2619, "[$-060000]yyyy-mm-dd")</f>
        <v/>
      </c>
      <c r="D2620" t="inlineStr">
        <is>
          <t>1325-01-19</t>
        </is>
      </c>
    </row>
    <row r="2621">
      <c r="A2621" s="1" t="n">
        <v>2620</v>
      </c>
      <c r="B2621">
        <f>TEXT(2620, "[$-170000]yyyy-mm-dd")</f>
        <v/>
      </c>
      <c r="C2621">
        <f>TEXT(2620, "[$-060000]yyyy-mm-dd")</f>
        <v/>
      </c>
      <c r="D2621" t="inlineStr">
        <is>
          <t>1325-01-20</t>
        </is>
      </c>
    </row>
    <row r="2622">
      <c r="A2622" s="1" t="n">
        <v>2621</v>
      </c>
      <c r="B2622">
        <f>TEXT(2621, "[$-170000]yyyy-mm-dd")</f>
        <v/>
      </c>
      <c r="C2622">
        <f>TEXT(2621, "[$-060000]yyyy-mm-dd")</f>
        <v/>
      </c>
      <c r="D2622" t="inlineStr">
        <is>
          <t>1325-01-21</t>
        </is>
      </c>
    </row>
    <row r="2623">
      <c r="A2623" s="1" t="n">
        <v>2622</v>
      </c>
      <c r="B2623">
        <f>TEXT(2622, "[$-170000]yyyy-mm-dd")</f>
        <v/>
      </c>
      <c r="C2623">
        <f>TEXT(2622, "[$-060000]yyyy-mm-dd")</f>
        <v/>
      </c>
      <c r="D2623" t="inlineStr">
        <is>
          <t>1325-01-22</t>
        </is>
      </c>
    </row>
    <row r="2624">
      <c r="A2624" s="1" t="n">
        <v>2623</v>
      </c>
      <c r="B2624">
        <f>TEXT(2623, "[$-170000]yyyy-mm-dd")</f>
        <v/>
      </c>
      <c r="C2624">
        <f>TEXT(2623, "[$-060000]yyyy-mm-dd")</f>
        <v/>
      </c>
      <c r="D2624" t="inlineStr">
        <is>
          <t>1325-01-23</t>
        </is>
      </c>
    </row>
    <row r="2625">
      <c r="A2625" s="1" t="n">
        <v>2624</v>
      </c>
      <c r="B2625">
        <f>TEXT(2624, "[$-170000]yyyy-mm-dd")</f>
        <v/>
      </c>
      <c r="C2625">
        <f>TEXT(2624, "[$-060000]yyyy-mm-dd")</f>
        <v/>
      </c>
      <c r="D2625" t="inlineStr">
        <is>
          <t>1325-01-24</t>
        </is>
      </c>
    </row>
    <row r="2626">
      <c r="A2626" s="1" t="n">
        <v>2625</v>
      </c>
      <c r="B2626">
        <f>TEXT(2625, "[$-170000]yyyy-mm-dd")</f>
        <v/>
      </c>
      <c r="C2626">
        <f>TEXT(2625, "[$-060000]yyyy-mm-dd")</f>
        <v/>
      </c>
      <c r="D2626" t="inlineStr">
        <is>
          <t>1325-01-25</t>
        </is>
      </c>
    </row>
    <row r="2627">
      <c r="A2627" s="1" t="n">
        <v>2626</v>
      </c>
      <c r="B2627">
        <f>TEXT(2626, "[$-170000]yyyy-mm-dd")</f>
        <v/>
      </c>
      <c r="C2627">
        <f>TEXT(2626, "[$-060000]yyyy-mm-dd")</f>
        <v/>
      </c>
      <c r="D2627" t="inlineStr">
        <is>
          <t>1325-01-26</t>
        </is>
      </c>
    </row>
    <row r="2628">
      <c r="A2628" s="1" t="n">
        <v>2627</v>
      </c>
      <c r="B2628">
        <f>TEXT(2627, "[$-170000]yyyy-mm-dd")</f>
        <v/>
      </c>
      <c r="C2628">
        <f>TEXT(2627, "[$-060000]yyyy-mm-dd")</f>
        <v/>
      </c>
      <c r="D2628" t="inlineStr">
        <is>
          <t>1325-01-27</t>
        </is>
      </c>
    </row>
    <row r="2629">
      <c r="A2629" s="1" t="n">
        <v>2628</v>
      </c>
      <c r="B2629">
        <f>TEXT(2628, "[$-170000]yyyy-mm-dd")</f>
        <v/>
      </c>
      <c r="C2629">
        <f>TEXT(2628, "[$-060000]yyyy-mm-dd")</f>
        <v/>
      </c>
      <c r="D2629" t="inlineStr">
        <is>
          <t>1325-01-28</t>
        </is>
      </c>
    </row>
    <row r="2630">
      <c r="A2630" s="1" t="n">
        <v>2629</v>
      </c>
      <c r="B2630">
        <f>TEXT(2629, "[$-170000]yyyy-mm-dd")</f>
        <v/>
      </c>
      <c r="C2630">
        <f>TEXT(2629, "[$-060000]yyyy-mm-dd")</f>
        <v/>
      </c>
      <c r="D2630" t="inlineStr">
        <is>
          <t>1325-01-29</t>
        </is>
      </c>
    </row>
    <row r="2631">
      <c r="A2631" s="1" t="n">
        <v>2630</v>
      </c>
      <c r="B2631">
        <f>TEXT(2630, "[$-170000]yyyy-mm-dd")</f>
        <v/>
      </c>
      <c r="C2631">
        <f>TEXT(2630, "[$-060000]yyyy-mm-dd")</f>
        <v/>
      </c>
      <c r="D2631" t="inlineStr">
        <is>
          <t>1325-01-30</t>
        </is>
      </c>
    </row>
    <row r="2632">
      <c r="A2632" s="1" t="n">
        <v>2631</v>
      </c>
      <c r="B2632">
        <f>TEXT(2631, "[$-170000]yyyy-mm-dd")</f>
        <v/>
      </c>
      <c r="C2632">
        <f>TEXT(2631, "[$-060000]yyyy-mm-dd")</f>
        <v/>
      </c>
      <c r="D2632" t="inlineStr">
        <is>
          <t>1325-02-01</t>
        </is>
      </c>
    </row>
    <row r="2633">
      <c r="A2633" s="1" t="n">
        <v>2632</v>
      </c>
      <c r="B2633">
        <f>TEXT(2632, "[$-170000]yyyy-mm-dd")</f>
        <v/>
      </c>
      <c r="C2633">
        <f>TEXT(2632, "[$-060000]yyyy-mm-dd")</f>
        <v/>
      </c>
      <c r="D2633" t="inlineStr">
        <is>
          <t>1325-02-02</t>
        </is>
      </c>
    </row>
    <row r="2634">
      <c r="A2634" s="1" t="n">
        <v>2633</v>
      </c>
      <c r="B2634">
        <f>TEXT(2633, "[$-170000]yyyy-mm-dd")</f>
        <v/>
      </c>
      <c r="C2634">
        <f>TEXT(2633, "[$-060000]yyyy-mm-dd")</f>
        <v/>
      </c>
      <c r="D2634" t="inlineStr">
        <is>
          <t>1325-02-03</t>
        </is>
      </c>
    </row>
    <row r="2635">
      <c r="A2635" s="1" t="n">
        <v>2634</v>
      </c>
      <c r="B2635">
        <f>TEXT(2634, "[$-170000]yyyy-mm-dd")</f>
        <v/>
      </c>
      <c r="C2635">
        <f>TEXT(2634, "[$-060000]yyyy-mm-dd")</f>
        <v/>
      </c>
      <c r="D2635" t="inlineStr">
        <is>
          <t>1325-02-04</t>
        </is>
      </c>
    </row>
    <row r="2636">
      <c r="A2636" s="1" t="n">
        <v>2635</v>
      </c>
      <c r="B2636">
        <f>TEXT(2635, "[$-170000]yyyy-mm-dd")</f>
        <v/>
      </c>
      <c r="C2636">
        <f>TEXT(2635, "[$-060000]yyyy-mm-dd")</f>
        <v/>
      </c>
      <c r="D2636" t="inlineStr">
        <is>
          <t>1325-02-05</t>
        </is>
      </c>
    </row>
    <row r="2637">
      <c r="A2637" s="1" t="n">
        <v>2636</v>
      </c>
      <c r="B2637">
        <f>TEXT(2636, "[$-170000]yyyy-mm-dd")</f>
        <v/>
      </c>
      <c r="C2637">
        <f>TEXT(2636, "[$-060000]yyyy-mm-dd")</f>
        <v/>
      </c>
      <c r="D2637" t="inlineStr">
        <is>
          <t>1325-02-06</t>
        </is>
      </c>
    </row>
    <row r="2638">
      <c r="A2638" s="1" t="n">
        <v>2637</v>
      </c>
      <c r="B2638">
        <f>TEXT(2637, "[$-170000]yyyy-mm-dd")</f>
        <v/>
      </c>
      <c r="C2638">
        <f>TEXT(2637, "[$-060000]yyyy-mm-dd")</f>
        <v/>
      </c>
      <c r="D2638" t="inlineStr">
        <is>
          <t>1325-02-07</t>
        </is>
      </c>
    </row>
    <row r="2639">
      <c r="A2639" s="1" t="n">
        <v>2638</v>
      </c>
      <c r="B2639">
        <f>TEXT(2638, "[$-170000]yyyy-mm-dd")</f>
        <v/>
      </c>
      <c r="C2639">
        <f>TEXT(2638, "[$-060000]yyyy-mm-dd")</f>
        <v/>
      </c>
      <c r="D2639" t="inlineStr">
        <is>
          <t>1325-02-08</t>
        </is>
      </c>
    </row>
    <row r="2640">
      <c r="A2640" s="1" t="n">
        <v>2639</v>
      </c>
      <c r="B2640">
        <f>TEXT(2639, "[$-170000]yyyy-mm-dd")</f>
        <v/>
      </c>
      <c r="C2640">
        <f>TEXT(2639, "[$-060000]yyyy-mm-dd")</f>
        <v/>
      </c>
      <c r="D2640" t="inlineStr">
        <is>
          <t>1325-02-09</t>
        </is>
      </c>
    </row>
    <row r="2641">
      <c r="A2641" s="1" t="n">
        <v>2640</v>
      </c>
      <c r="B2641">
        <f>TEXT(2640, "[$-170000]yyyy-mm-dd")</f>
        <v/>
      </c>
      <c r="C2641">
        <f>TEXT(2640, "[$-060000]yyyy-mm-dd")</f>
        <v/>
      </c>
      <c r="D2641" t="inlineStr">
        <is>
          <t>1325-02-10</t>
        </is>
      </c>
    </row>
    <row r="2642">
      <c r="A2642" s="1" t="n">
        <v>2641</v>
      </c>
      <c r="B2642">
        <f>TEXT(2641, "[$-170000]yyyy-mm-dd")</f>
        <v/>
      </c>
      <c r="C2642">
        <f>TEXT(2641, "[$-060000]yyyy-mm-dd")</f>
        <v/>
      </c>
      <c r="D2642" t="inlineStr">
        <is>
          <t>1325-02-11</t>
        </is>
      </c>
    </row>
    <row r="2643">
      <c r="A2643" s="1" t="n">
        <v>2642</v>
      </c>
      <c r="B2643">
        <f>TEXT(2642, "[$-170000]yyyy-mm-dd")</f>
        <v/>
      </c>
      <c r="C2643">
        <f>TEXT(2642, "[$-060000]yyyy-mm-dd")</f>
        <v/>
      </c>
      <c r="D2643" t="inlineStr">
        <is>
          <t>1325-02-12</t>
        </is>
      </c>
    </row>
    <row r="2644">
      <c r="A2644" s="1" t="n">
        <v>2643</v>
      </c>
      <c r="B2644">
        <f>TEXT(2643, "[$-170000]yyyy-mm-dd")</f>
        <v/>
      </c>
      <c r="C2644">
        <f>TEXT(2643, "[$-060000]yyyy-mm-dd")</f>
        <v/>
      </c>
      <c r="D2644" t="inlineStr">
        <is>
          <t>1325-02-13</t>
        </is>
      </c>
    </row>
    <row r="2645">
      <c r="A2645" s="1" t="n">
        <v>2644</v>
      </c>
      <c r="B2645">
        <f>TEXT(2644, "[$-170000]yyyy-mm-dd")</f>
        <v/>
      </c>
      <c r="C2645">
        <f>TEXT(2644, "[$-060000]yyyy-mm-dd")</f>
        <v/>
      </c>
      <c r="D2645" t="inlineStr">
        <is>
          <t>1325-02-14</t>
        </is>
      </c>
    </row>
    <row r="2646">
      <c r="A2646" s="1" t="n">
        <v>2645</v>
      </c>
      <c r="B2646">
        <f>TEXT(2645, "[$-170000]yyyy-mm-dd")</f>
        <v/>
      </c>
      <c r="C2646">
        <f>TEXT(2645, "[$-060000]yyyy-mm-dd")</f>
        <v/>
      </c>
      <c r="D2646" t="inlineStr">
        <is>
          <t>1325-02-15</t>
        </is>
      </c>
    </row>
    <row r="2647">
      <c r="A2647" s="1" t="n">
        <v>2646</v>
      </c>
      <c r="B2647">
        <f>TEXT(2646, "[$-170000]yyyy-mm-dd")</f>
        <v/>
      </c>
      <c r="C2647">
        <f>TEXT(2646, "[$-060000]yyyy-mm-dd")</f>
        <v/>
      </c>
      <c r="D2647" t="inlineStr">
        <is>
          <t>1325-02-16</t>
        </is>
      </c>
    </row>
    <row r="2648">
      <c r="A2648" s="1" t="n">
        <v>2647</v>
      </c>
      <c r="B2648">
        <f>TEXT(2647, "[$-170000]yyyy-mm-dd")</f>
        <v/>
      </c>
      <c r="C2648">
        <f>TEXT(2647, "[$-060000]yyyy-mm-dd")</f>
        <v/>
      </c>
      <c r="D2648" t="inlineStr">
        <is>
          <t>1325-02-17</t>
        </is>
      </c>
    </row>
    <row r="2649">
      <c r="A2649" s="1" t="n">
        <v>2648</v>
      </c>
      <c r="B2649">
        <f>TEXT(2648, "[$-170000]yyyy-mm-dd")</f>
        <v/>
      </c>
      <c r="C2649">
        <f>TEXT(2648, "[$-060000]yyyy-mm-dd")</f>
        <v/>
      </c>
      <c r="D2649" t="inlineStr">
        <is>
          <t>1325-02-18</t>
        </is>
      </c>
    </row>
    <row r="2650">
      <c r="A2650" s="1" t="n">
        <v>2649</v>
      </c>
      <c r="B2650">
        <f>TEXT(2649, "[$-170000]yyyy-mm-dd")</f>
        <v/>
      </c>
      <c r="C2650">
        <f>TEXT(2649, "[$-060000]yyyy-mm-dd")</f>
        <v/>
      </c>
      <c r="D2650" t="inlineStr">
        <is>
          <t>1325-02-19</t>
        </is>
      </c>
    </row>
    <row r="2651">
      <c r="A2651" s="1" t="n">
        <v>2650</v>
      </c>
      <c r="B2651">
        <f>TEXT(2650, "[$-170000]yyyy-mm-dd")</f>
        <v/>
      </c>
      <c r="C2651">
        <f>TEXT(2650, "[$-060000]yyyy-mm-dd")</f>
        <v/>
      </c>
      <c r="D2651" t="inlineStr">
        <is>
          <t>1325-02-20</t>
        </is>
      </c>
    </row>
    <row r="2652">
      <c r="A2652" s="1" t="n">
        <v>2651</v>
      </c>
      <c r="B2652">
        <f>TEXT(2651, "[$-170000]yyyy-mm-dd")</f>
        <v/>
      </c>
      <c r="C2652">
        <f>TEXT(2651, "[$-060000]yyyy-mm-dd")</f>
        <v/>
      </c>
      <c r="D2652" t="inlineStr">
        <is>
          <t>1325-02-21</t>
        </is>
      </c>
    </row>
    <row r="2653">
      <c r="A2653" s="1" t="n">
        <v>2652</v>
      </c>
      <c r="B2653">
        <f>TEXT(2652, "[$-170000]yyyy-mm-dd")</f>
        <v/>
      </c>
      <c r="C2653">
        <f>TEXT(2652, "[$-060000]yyyy-mm-dd")</f>
        <v/>
      </c>
      <c r="D2653" t="inlineStr">
        <is>
          <t>1325-02-22</t>
        </is>
      </c>
    </row>
    <row r="2654">
      <c r="A2654" s="1" t="n">
        <v>2653</v>
      </c>
      <c r="B2654">
        <f>TEXT(2653, "[$-170000]yyyy-mm-dd")</f>
        <v/>
      </c>
      <c r="C2654">
        <f>TEXT(2653, "[$-060000]yyyy-mm-dd")</f>
        <v/>
      </c>
      <c r="D2654" t="inlineStr">
        <is>
          <t>1325-02-23</t>
        </is>
      </c>
    </row>
    <row r="2655">
      <c r="A2655" s="1" t="n">
        <v>2654</v>
      </c>
      <c r="B2655">
        <f>TEXT(2654, "[$-170000]yyyy-mm-dd")</f>
        <v/>
      </c>
      <c r="C2655">
        <f>TEXT(2654, "[$-060000]yyyy-mm-dd")</f>
        <v/>
      </c>
      <c r="D2655" t="inlineStr">
        <is>
          <t>1325-02-24</t>
        </is>
      </c>
    </row>
    <row r="2656">
      <c r="A2656" s="1" t="n">
        <v>2655</v>
      </c>
      <c r="B2656">
        <f>TEXT(2655, "[$-170000]yyyy-mm-dd")</f>
        <v/>
      </c>
      <c r="C2656">
        <f>TEXT(2655, "[$-060000]yyyy-mm-dd")</f>
        <v/>
      </c>
      <c r="D2656" t="inlineStr">
        <is>
          <t>1325-02-25</t>
        </is>
      </c>
    </row>
    <row r="2657">
      <c r="A2657" s="1" t="n">
        <v>2656</v>
      </c>
      <c r="B2657">
        <f>TEXT(2656, "[$-170000]yyyy-mm-dd")</f>
        <v/>
      </c>
      <c r="C2657">
        <f>TEXT(2656, "[$-060000]yyyy-mm-dd")</f>
        <v/>
      </c>
      <c r="D2657" t="inlineStr">
        <is>
          <t>1325-02-26</t>
        </is>
      </c>
    </row>
    <row r="2658">
      <c r="A2658" s="1" t="n">
        <v>2657</v>
      </c>
      <c r="B2658">
        <f>TEXT(2657, "[$-170000]yyyy-mm-dd")</f>
        <v/>
      </c>
      <c r="C2658">
        <f>TEXT(2657, "[$-060000]yyyy-mm-dd")</f>
        <v/>
      </c>
      <c r="D2658" t="inlineStr">
        <is>
          <t>1325-02-27</t>
        </is>
      </c>
    </row>
    <row r="2659">
      <c r="A2659" s="1" t="n">
        <v>2658</v>
      </c>
      <c r="B2659">
        <f>TEXT(2658, "[$-170000]yyyy-mm-dd")</f>
        <v/>
      </c>
      <c r="C2659">
        <f>TEXT(2658, "[$-060000]yyyy-mm-dd")</f>
        <v/>
      </c>
      <c r="D2659" t="inlineStr">
        <is>
          <t>1325-02-28</t>
        </is>
      </c>
    </row>
    <row r="2660">
      <c r="A2660" s="1" t="n">
        <v>2659</v>
      </c>
      <c r="B2660">
        <f>TEXT(2659, "[$-170000]yyyy-mm-dd")</f>
        <v/>
      </c>
      <c r="C2660">
        <f>TEXT(2659, "[$-060000]yyyy-mm-dd")</f>
        <v/>
      </c>
      <c r="D2660" t="inlineStr">
        <is>
          <t>1325-02-29</t>
        </is>
      </c>
    </row>
    <row r="2661">
      <c r="A2661" s="1" t="n">
        <v>2660</v>
      </c>
      <c r="B2661">
        <f>TEXT(2660, "[$-170000]yyyy-mm-dd")</f>
        <v/>
      </c>
      <c r="C2661">
        <f>TEXT(2660, "[$-060000]yyyy-mm-dd")</f>
        <v/>
      </c>
      <c r="D2661" t="inlineStr">
        <is>
          <t>1325-03-01</t>
        </is>
      </c>
    </row>
    <row r="2662">
      <c r="A2662" s="1" t="n">
        <v>2661</v>
      </c>
      <c r="B2662">
        <f>TEXT(2661, "[$-170000]yyyy-mm-dd")</f>
        <v/>
      </c>
      <c r="C2662">
        <f>TEXT(2661, "[$-060000]yyyy-mm-dd")</f>
        <v/>
      </c>
      <c r="D2662" t="inlineStr">
        <is>
          <t>1325-03-02</t>
        </is>
      </c>
    </row>
    <row r="2663">
      <c r="A2663" s="1" t="n">
        <v>2662</v>
      </c>
      <c r="B2663">
        <f>TEXT(2662, "[$-170000]yyyy-mm-dd")</f>
        <v/>
      </c>
      <c r="C2663">
        <f>TEXT(2662, "[$-060000]yyyy-mm-dd")</f>
        <v/>
      </c>
      <c r="D2663" t="inlineStr">
        <is>
          <t>1325-03-03</t>
        </is>
      </c>
    </row>
    <row r="2664">
      <c r="A2664" s="1" t="n">
        <v>2663</v>
      </c>
      <c r="B2664">
        <f>TEXT(2663, "[$-170000]yyyy-mm-dd")</f>
        <v/>
      </c>
      <c r="C2664">
        <f>TEXT(2663, "[$-060000]yyyy-mm-dd")</f>
        <v/>
      </c>
      <c r="D2664" t="inlineStr">
        <is>
          <t>1325-03-04</t>
        </is>
      </c>
    </row>
    <row r="2665">
      <c r="A2665" s="1" t="n">
        <v>2664</v>
      </c>
      <c r="B2665">
        <f>TEXT(2664, "[$-170000]yyyy-mm-dd")</f>
        <v/>
      </c>
      <c r="C2665">
        <f>TEXT(2664, "[$-060000]yyyy-mm-dd")</f>
        <v/>
      </c>
      <c r="D2665" t="inlineStr">
        <is>
          <t>1325-03-05</t>
        </is>
      </c>
    </row>
    <row r="2666">
      <c r="A2666" s="1" t="n">
        <v>2665</v>
      </c>
      <c r="B2666">
        <f>TEXT(2665, "[$-170000]yyyy-mm-dd")</f>
        <v/>
      </c>
      <c r="C2666">
        <f>TEXT(2665, "[$-060000]yyyy-mm-dd")</f>
        <v/>
      </c>
      <c r="D2666" t="inlineStr">
        <is>
          <t>1325-03-06</t>
        </is>
      </c>
    </row>
    <row r="2667">
      <c r="A2667" s="1" t="n">
        <v>2666</v>
      </c>
      <c r="B2667">
        <f>TEXT(2666, "[$-170000]yyyy-mm-dd")</f>
        <v/>
      </c>
      <c r="C2667">
        <f>TEXT(2666, "[$-060000]yyyy-mm-dd")</f>
        <v/>
      </c>
      <c r="D2667" t="inlineStr">
        <is>
          <t>1325-03-07</t>
        </is>
      </c>
    </row>
    <row r="2668">
      <c r="A2668" s="1" t="n">
        <v>2667</v>
      </c>
      <c r="B2668">
        <f>TEXT(2667, "[$-170000]yyyy-mm-dd")</f>
        <v/>
      </c>
      <c r="C2668">
        <f>TEXT(2667, "[$-060000]yyyy-mm-dd")</f>
        <v/>
      </c>
      <c r="D2668" t="inlineStr">
        <is>
          <t>1325-03-08</t>
        </is>
      </c>
    </row>
    <row r="2669">
      <c r="A2669" s="1" t="n">
        <v>2668</v>
      </c>
      <c r="B2669">
        <f>TEXT(2668, "[$-170000]yyyy-mm-dd")</f>
        <v/>
      </c>
      <c r="C2669">
        <f>TEXT(2668, "[$-060000]yyyy-mm-dd")</f>
        <v/>
      </c>
      <c r="D2669" t="inlineStr">
        <is>
          <t>1325-03-09</t>
        </is>
      </c>
    </row>
    <row r="2670">
      <c r="A2670" s="1" t="n">
        <v>2669</v>
      </c>
      <c r="B2670">
        <f>TEXT(2669, "[$-170000]yyyy-mm-dd")</f>
        <v/>
      </c>
      <c r="C2670">
        <f>TEXT(2669, "[$-060000]yyyy-mm-dd")</f>
        <v/>
      </c>
      <c r="D2670" t="inlineStr">
        <is>
          <t>1325-03-10</t>
        </is>
      </c>
    </row>
    <row r="2671">
      <c r="A2671" s="1" t="n">
        <v>2670</v>
      </c>
      <c r="B2671">
        <f>TEXT(2670, "[$-170000]yyyy-mm-dd")</f>
        <v/>
      </c>
      <c r="C2671">
        <f>TEXT(2670, "[$-060000]yyyy-mm-dd")</f>
        <v/>
      </c>
      <c r="D2671" t="inlineStr">
        <is>
          <t>1325-03-11</t>
        </is>
      </c>
    </row>
    <row r="2672">
      <c r="A2672" s="1" t="n">
        <v>2671</v>
      </c>
      <c r="B2672">
        <f>TEXT(2671, "[$-170000]yyyy-mm-dd")</f>
        <v/>
      </c>
      <c r="C2672">
        <f>TEXT(2671, "[$-060000]yyyy-mm-dd")</f>
        <v/>
      </c>
      <c r="D2672" t="inlineStr">
        <is>
          <t>1325-03-12</t>
        </is>
      </c>
    </row>
    <row r="2673">
      <c r="A2673" s="1" t="n">
        <v>2672</v>
      </c>
      <c r="B2673">
        <f>TEXT(2672, "[$-170000]yyyy-mm-dd")</f>
        <v/>
      </c>
      <c r="C2673">
        <f>TEXT(2672, "[$-060000]yyyy-mm-dd")</f>
        <v/>
      </c>
      <c r="D2673" t="inlineStr">
        <is>
          <t>1325-03-13</t>
        </is>
      </c>
    </row>
    <row r="2674">
      <c r="A2674" s="1" t="n">
        <v>2673</v>
      </c>
      <c r="B2674">
        <f>TEXT(2673, "[$-170000]yyyy-mm-dd")</f>
        <v/>
      </c>
      <c r="C2674">
        <f>TEXT(2673, "[$-060000]yyyy-mm-dd")</f>
        <v/>
      </c>
      <c r="D2674" t="inlineStr">
        <is>
          <t>1325-03-14</t>
        </is>
      </c>
    </row>
    <row r="2675">
      <c r="A2675" s="1" t="n">
        <v>2674</v>
      </c>
      <c r="B2675">
        <f>TEXT(2674, "[$-170000]yyyy-mm-dd")</f>
        <v/>
      </c>
      <c r="C2675">
        <f>TEXT(2674, "[$-060000]yyyy-mm-dd")</f>
        <v/>
      </c>
      <c r="D2675" t="inlineStr">
        <is>
          <t>1325-03-15</t>
        </is>
      </c>
    </row>
    <row r="2676">
      <c r="A2676" s="1" t="n">
        <v>2675</v>
      </c>
      <c r="B2676">
        <f>TEXT(2675, "[$-170000]yyyy-mm-dd")</f>
        <v/>
      </c>
      <c r="C2676">
        <f>TEXT(2675, "[$-060000]yyyy-mm-dd")</f>
        <v/>
      </c>
      <c r="D2676" t="inlineStr">
        <is>
          <t>1325-03-16</t>
        </is>
      </c>
    </row>
    <row r="2677">
      <c r="A2677" s="1" t="n">
        <v>2676</v>
      </c>
      <c r="B2677">
        <f>TEXT(2676, "[$-170000]yyyy-mm-dd")</f>
        <v/>
      </c>
      <c r="C2677">
        <f>TEXT(2676, "[$-060000]yyyy-mm-dd")</f>
        <v/>
      </c>
      <c r="D2677" t="inlineStr">
        <is>
          <t>1325-03-17</t>
        </is>
      </c>
    </row>
    <row r="2678">
      <c r="A2678" s="1" t="n">
        <v>2677</v>
      </c>
      <c r="B2678">
        <f>TEXT(2677, "[$-170000]yyyy-mm-dd")</f>
        <v/>
      </c>
      <c r="C2678">
        <f>TEXT(2677, "[$-060000]yyyy-mm-dd")</f>
        <v/>
      </c>
      <c r="D2678" t="inlineStr">
        <is>
          <t>1325-03-18</t>
        </is>
      </c>
    </row>
    <row r="2679">
      <c r="A2679" s="1" t="n">
        <v>2678</v>
      </c>
      <c r="B2679">
        <f>TEXT(2678, "[$-170000]yyyy-mm-dd")</f>
        <v/>
      </c>
      <c r="C2679">
        <f>TEXT(2678, "[$-060000]yyyy-mm-dd")</f>
        <v/>
      </c>
      <c r="D2679" t="inlineStr">
        <is>
          <t>1325-03-19</t>
        </is>
      </c>
    </row>
    <row r="2680">
      <c r="A2680" s="1" t="n">
        <v>2679</v>
      </c>
      <c r="B2680">
        <f>TEXT(2679, "[$-170000]yyyy-mm-dd")</f>
        <v/>
      </c>
      <c r="C2680">
        <f>TEXT(2679, "[$-060000]yyyy-mm-dd")</f>
        <v/>
      </c>
      <c r="D2680" t="inlineStr">
        <is>
          <t>1325-03-20</t>
        </is>
      </c>
    </row>
    <row r="2681">
      <c r="A2681" s="1" t="n">
        <v>2680</v>
      </c>
      <c r="B2681">
        <f>TEXT(2680, "[$-170000]yyyy-mm-dd")</f>
        <v/>
      </c>
      <c r="C2681">
        <f>TEXT(2680, "[$-060000]yyyy-mm-dd")</f>
        <v/>
      </c>
      <c r="D2681" t="inlineStr">
        <is>
          <t>1325-03-21</t>
        </is>
      </c>
    </row>
    <row r="2682">
      <c r="A2682" s="1" t="n">
        <v>2681</v>
      </c>
      <c r="B2682">
        <f>TEXT(2681, "[$-170000]yyyy-mm-dd")</f>
        <v/>
      </c>
      <c r="C2682">
        <f>TEXT(2681, "[$-060000]yyyy-mm-dd")</f>
        <v/>
      </c>
      <c r="D2682" t="inlineStr">
        <is>
          <t>1325-03-22</t>
        </is>
      </c>
    </row>
    <row r="2683">
      <c r="A2683" s="1" t="n">
        <v>2682</v>
      </c>
      <c r="B2683">
        <f>TEXT(2682, "[$-170000]yyyy-mm-dd")</f>
        <v/>
      </c>
      <c r="C2683">
        <f>TEXT(2682, "[$-060000]yyyy-mm-dd")</f>
        <v/>
      </c>
      <c r="D2683" t="inlineStr">
        <is>
          <t>1325-03-23</t>
        </is>
      </c>
    </row>
    <row r="2684">
      <c r="A2684" s="1" t="n">
        <v>2683</v>
      </c>
      <c r="B2684">
        <f>TEXT(2683, "[$-170000]yyyy-mm-dd")</f>
        <v/>
      </c>
      <c r="C2684">
        <f>TEXT(2683, "[$-060000]yyyy-mm-dd")</f>
        <v/>
      </c>
      <c r="D2684" t="inlineStr">
        <is>
          <t>1325-03-24</t>
        </is>
      </c>
    </row>
    <row r="2685">
      <c r="A2685" s="1" t="n">
        <v>2684</v>
      </c>
      <c r="B2685">
        <f>TEXT(2684, "[$-170000]yyyy-mm-dd")</f>
        <v/>
      </c>
      <c r="C2685">
        <f>TEXT(2684, "[$-060000]yyyy-mm-dd")</f>
        <v/>
      </c>
      <c r="D2685" t="inlineStr">
        <is>
          <t>1325-03-25</t>
        </is>
      </c>
    </row>
    <row r="2686">
      <c r="A2686" s="1" t="n">
        <v>2685</v>
      </c>
      <c r="B2686">
        <f>TEXT(2685, "[$-170000]yyyy-mm-dd")</f>
        <v/>
      </c>
      <c r="C2686">
        <f>TEXT(2685, "[$-060000]yyyy-mm-dd")</f>
        <v/>
      </c>
      <c r="D2686" t="inlineStr">
        <is>
          <t>1325-03-26</t>
        </is>
      </c>
    </row>
    <row r="2687">
      <c r="A2687" s="1" t="n">
        <v>2686</v>
      </c>
      <c r="B2687">
        <f>TEXT(2686, "[$-170000]yyyy-mm-dd")</f>
        <v/>
      </c>
      <c r="C2687">
        <f>TEXT(2686, "[$-060000]yyyy-mm-dd")</f>
        <v/>
      </c>
      <c r="D2687" t="inlineStr">
        <is>
          <t>1325-03-27</t>
        </is>
      </c>
    </row>
    <row r="2688">
      <c r="A2688" s="1" t="n">
        <v>2687</v>
      </c>
      <c r="B2688">
        <f>TEXT(2687, "[$-170000]yyyy-mm-dd")</f>
        <v/>
      </c>
      <c r="C2688">
        <f>TEXT(2687, "[$-060000]yyyy-mm-dd")</f>
        <v/>
      </c>
      <c r="D2688" t="inlineStr">
        <is>
          <t>1325-03-28</t>
        </is>
      </c>
    </row>
    <row r="2689">
      <c r="A2689" s="1" t="n">
        <v>2688</v>
      </c>
      <c r="B2689">
        <f>TEXT(2688, "[$-170000]yyyy-mm-dd")</f>
        <v/>
      </c>
      <c r="C2689">
        <f>TEXT(2688, "[$-060000]yyyy-mm-dd")</f>
        <v/>
      </c>
      <c r="D2689" t="inlineStr">
        <is>
          <t>1325-03-29</t>
        </is>
      </c>
    </row>
    <row r="2690">
      <c r="A2690" s="1" t="n">
        <v>2689</v>
      </c>
      <c r="B2690">
        <f>TEXT(2689, "[$-170000]yyyy-mm-dd")</f>
        <v/>
      </c>
      <c r="C2690">
        <f>TEXT(2689, "[$-060000]yyyy-mm-dd")</f>
        <v/>
      </c>
      <c r="D2690" t="inlineStr">
        <is>
          <t>1325-03-30</t>
        </is>
      </c>
    </row>
    <row r="2691">
      <c r="A2691" s="1" t="n">
        <v>2690</v>
      </c>
      <c r="B2691">
        <f>TEXT(2690, "[$-170000]yyyy-mm-dd")</f>
        <v/>
      </c>
      <c r="C2691">
        <f>TEXT(2690, "[$-060000]yyyy-mm-dd")</f>
        <v/>
      </c>
      <c r="D2691" t="inlineStr">
        <is>
          <t>1325-04-01</t>
        </is>
      </c>
    </row>
    <row r="2692">
      <c r="A2692" s="1" t="n">
        <v>2691</v>
      </c>
      <c r="B2692">
        <f>TEXT(2691, "[$-170000]yyyy-mm-dd")</f>
        <v/>
      </c>
      <c r="C2692">
        <f>TEXT(2691, "[$-060000]yyyy-mm-dd")</f>
        <v/>
      </c>
      <c r="D2692" t="inlineStr">
        <is>
          <t>1325-04-02</t>
        </is>
      </c>
    </row>
    <row r="2693">
      <c r="A2693" s="1" t="n">
        <v>2692</v>
      </c>
      <c r="B2693">
        <f>TEXT(2692, "[$-170000]yyyy-mm-dd")</f>
        <v/>
      </c>
      <c r="C2693">
        <f>TEXT(2692, "[$-060000]yyyy-mm-dd")</f>
        <v/>
      </c>
      <c r="D2693" t="inlineStr">
        <is>
          <t>1325-04-03</t>
        </is>
      </c>
    </row>
    <row r="2694">
      <c r="A2694" s="1" t="n">
        <v>2693</v>
      </c>
      <c r="B2694">
        <f>TEXT(2693, "[$-170000]yyyy-mm-dd")</f>
        <v/>
      </c>
      <c r="C2694">
        <f>TEXT(2693, "[$-060000]yyyy-mm-dd")</f>
        <v/>
      </c>
      <c r="D2694" t="inlineStr">
        <is>
          <t>1325-04-04</t>
        </is>
      </c>
    </row>
    <row r="2695">
      <c r="A2695" s="1" t="n">
        <v>2694</v>
      </c>
      <c r="B2695">
        <f>TEXT(2694, "[$-170000]yyyy-mm-dd")</f>
        <v/>
      </c>
      <c r="C2695">
        <f>TEXT(2694, "[$-060000]yyyy-mm-dd")</f>
        <v/>
      </c>
      <c r="D2695" t="inlineStr">
        <is>
          <t>1325-04-05</t>
        </is>
      </c>
    </row>
    <row r="2696">
      <c r="A2696" s="1" t="n">
        <v>2695</v>
      </c>
      <c r="B2696">
        <f>TEXT(2695, "[$-170000]yyyy-mm-dd")</f>
        <v/>
      </c>
      <c r="C2696">
        <f>TEXT(2695, "[$-060000]yyyy-mm-dd")</f>
        <v/>
      </c>
      <c r="D2696" t="inlineStr">
        <is>
          <t>1325-04-06</t>
        </is>
      </c>
    </row>
    <row r="2697">
      <c r="A2697" s="1" t="n">
        <v>2696</v>
      </c>
      <c r="B2697">
        <f>TEXT(2696, "[$-170000]yyyy-mm-dd")</f>
        <v/>
      </c>
      <c r="C2697">
        <f>TEXT(2696, "[$-060000]yyyy-mm-dd")</f>
        <v/>
      </c>
      <c r="D2697" t="inlineStr">
        <is>
          <t>1325-04-07</t>
        </is>
      </c>
    </row>
    <row r="2698">
      <c r="A2698" s="1" t="n">
        <v>2697</v>
      </c>
      <c r="B2698">
        <f>TEXT(2697, "[$-170000]yyyy-mm-dd")</f>
        <v/>
      </c>
      <c r="C2698">
        <f>TEXT(2697, "[$-060000]yyyy-mm-dd")</f>
        <v/>
      </c>
      <c r="D2698" t="inlineStr">
        <is>
          <t>1325-04-08</t>
        </is>
      </c>
    </row>
    <row r="2699">
      <c r="A2699" s="1" t="n">
        <v>2698</v>
      </c>
      <c r="B2699">
        <f>TEXT(2698, "[$-170000]yyyy-mm-dd")</f>
        <v/>
      </c>
      <c r="C2699">
        <f>TEXT(2698, "[$-060000]yyyy-mm-dd")</f>
        <v/>
      </c>
      <c r="D2699" t="inlineStr">
        <is>
          <t>1325-04-09</t>
        </is>
      </c>
    </row>
    <row r="2700">
      <c r="A2700" s="1" t="n">
        <v>2699</v>
      </c>
      <c r="B2700">
        <f>TEXT(2699, "[$-170000]yyyy-mm-dd")</f>
        <v/>
      </c>
      <c r="C2700">
        <f>TEXT(2699, "[$-060000]yyyy-mm-dd")</f>
        <v/>
      </c>
      <c r="D2700" t="inlineStr">
        <is>
          <t>1325-04-10</t>
        </is>
      </c>
    </row>
    <row r="2701">
      <c r="A2701" s="1" t="n">
        <v>2700</v>
      </c>
      <c r="B2701">
        <f>TEXT(2700, "[$-170000]yyyy-mm-dd")</f>
        <v/>
      </c>
      <c r="C2701">
        <f>TEXT(2700, "[$-060000]yyyy-mm-dd")</f>
        <v/>
      </c>
      <c r="D2701" t="inlineStr">
        <is>
          <t>1325-04-11</t>
        </is>
      </c>
    </row>
    <row r="2702">
      <c r="A2702" s="1" t="n">
        <v>2701</v>
      </c>
      <c r="B2702">
        <f>TEXT(2701, "[$-170000]yyyy-mm-dd")</f>
        <v/>
      </c>
      <c r="C2702">
        <f>TEXT(2701, "[$-060000]yyyy-mm-dd")</f>
        <v/>
      </c>
      <c r="D2702" t="inlineStr">
        <is>
          <t>1325-04-12</t>
        </is>
      </c>
    </row>
    <row r="2703">
      <c r="A2703" s="1" t="n">
        <v>2702</v>
      </c>
      <c r="B2703">
        <f>TEXT(2702, "[$-170000]yyyy-mm-dd")</f>
        <v/>
      </c>
      <c r="C2703">
        <f>TEXT(2702, "[$-060000]yyyy-mm-dd")</f>
        <v/>
      </c>
      <c r="D2703" t="inlineStr">
        <is>
          <t>1325-04-13</t>
        </is>
      </c>
    </row>
    <row r="2704">
      <c r="A2704" s="1" t="n">
        <v>2703</v>
      </c>
      <c r="B2704">
        <f>TEXT(2703, "[$-170000]yyyy-mm-dd")</f>
        <v/>
      </c>
      <c r="C2704">
        <f>TEXT(2703, "[$-060000]yyyy-mm-dd")</f>
        <v/>
      </c>
      <c r="D2704" t="inlineStr">
        <is>
          <t>1325-04-14</t>
        </is>
      </c>
    </row>
    <row r="2705">
      <c r="A2705" s="1" t="n">
        <v>2704</v>
      </c>
      <c r="B2705">
        <f>TEXT(2704, "[$-170000]yyyy-mm-dd")</f>
        <v/>
      </c>
      <c r="C2705">
        <f>TEXT(2704, "[$-060000]yyyy-mm-dd")</f>
        <v/>
      </c>
      <c r="D2705" t="inlineStr">
        <is>
          <t>1325-04-15</t>
        </is>
      </c>
    </row>
    <row r="2706">
      <c r="A2706" s="1" t="n">
        <v>2705</v>
      </c>
      <c r="B2706">
        <f>TEXT(2705, "[$-170000]yyyy-mm-dd")</f>
        <v/>
      </c>
      <c r="C2706">
        <f>TEXT(2705, "[$-060000]yyyy-mm-dd")</f>
        <v/>
      </c>
      <c r="D2706" t="inlineStr">
        <is>
          <t>1325-04-16</t>
        </is>
      </c>
    </row>
    <row r="2707">
      <c r="A2707" s="1" t="n">
        <v>2706</v>
      </c>
      <c r="B2707">
        <f>TEXT(2706, "[$-170000]yyyy-mm-dd")</f>
        <v/>
      </c>
      <c r="C2707">
        <f>TEXT(2706, "[$-060000]yyyy-mm-dd")</f>
        <v/>
      </c>
      <c r="D2707" t="inlineStr">
        <is>
          <t>1325-04-17</t>
        </is>
      </c>
    </row>
    <row r="2708">
      <c r="A2708" s="1" t="n">
        <v>2707</v>
      </c>
      <c r="B2708">
        <f>TEXT(2707, "[$-170000]yyyy-mm-dd")</f>
        <v/>
      </c>
      <c r="C2708">
        <f>TEXT(2707, "[$-060000]yyyy-mm-dd")</f>
        <v/>
      </c>
      <c r="D2708" t="inlineStr">
        <is>
          <t>1325-04-18</t>
        </is>
      </c>
    </row>
    <row r="2709">
      <c r="A2709" s="1" t="n">
        <v>2708</v>
      </c>
      <c r="B2709">
        <f>TEXT(2708, "[$-170000]yyyy-mm-dd")</f>
        <v/>
      </c>
      <c r="C2709">
        <f>TEXT(2708, "[$-060000]yyyy-mm-dd")</f>
        <v/>
      </c>
      <c r="D2709" t="inlineStr">
        <is>
          <t>1325-04-19</t>
        </is>
      </c>
    </row>
    <row r="2710">
      <c r="A2710" s="1" t="n">
        <v>2709</v>
      </c>
      <c r="B2710">
        <f>TEXT(2709, "[$-170000]yyyy-mm-dd")</f>
        <v/>
      </c>
      <c r="C2710">
        <f>TEXT(2709, "[$-060000]yyyy-mm-dd")</f>
        <v/>
      </c>
      <c r="D2710" t="inlineStr">
        <is>
          <t>1325-04-20</t>
        </is>
      </c>
    </row>
    <row r="2711">
      <c r="A2711" s="1" t="n">
        <v>2710</v>
      </c>
      <c r="B2711">
        <f>TEXT(2710, "[$-170000]yyyy-mm-dd")</f>
        <v/>
      </c>
      <c r="C2711">
        <f>TEXT(2710, "[$-060000]yyyy-mm-dd")</f>
        <v/>
      </c>
      <c r="D2711" t="inlineStr">
        <is>
          <t>1325-04-21</t>
        </is>
      </c>
    </row>
    <row r="2712">
      <c r="A2712" s="1" t="n">
        <v>2711</v>
      </c>
      <c r="B2712">
        <f>TEXT(2711, "[$-170000]yyyy-mm-dd")</f>
        <v/>
      </c>
      <c r="C2712">
        <f>TEXT(2711, "[$-060000]yyyy-mm-dd")</f>
        <v/>
      </c>
      <c r="D2712" t="inlineStr">
        <is>
          <t>1325-04-22</t>
        </is>
      </c>
    </row>
    <row r="2713">
      <c r="A2713" s="1" t="n">
        <v>2712</v>
      </c>
      <c r="B2713">
        <f>TEXT(2712, "[$-170000]yyyy-mm-dd")</f>
        <v/>
      </c>
      <c r="C2713">
        <f>TEXT(2712, "[$-060000]yyyy-mm-dd")</f>
        <v/>
      </c>
      <c r="D2713" t="inlineStr">
        <is>
          <t>1325-04-23</t>
        </is>
      </c>
    </row>
    <row r="2714">
      <c r="A2714" s="1" t="n">
        <v>2713</v>
      </c>
      <c r="B2714">
        <f>TEXT(2713, "[$-170000]yyyy-mm-dd")</f>
        <v/>
      </c>
      <c r="C2714">
        <f>TEXT(2713, "[$-060000]yyyy-mm-dd")</f>
        <v/>
      </c>
      <c r="D2714" t="inlineStr">
        <is>
          <t>1325-04-24</t>
        </is>
      </c>
    </row>
    <row r="2715">
      <c r="A2715" s="1" t="n">
        <v>2714</v>
      </c>
      <c r="B2715">
        <f>TEXT(2714, "[$-170000]yyyy-mm-dd")</f>
        <v/>
      </c>
      <c r="C2715">
        <f>TEXT(2714, "[$-060000]yyyy-mm-dd")</f>
        <v/>
      </c>
      <c r="D2715" t="inlineStr">
        <is>
          <t>1325-04-25</t>
        </is>
      </c>
    </row>
    <row r="2716">
      <c r="A2716" s="1" t="n">
        <v>2715</v>
      </c>
      <c r="B2716">
        <f>TEXT(2715, "[$-170000]yyyy-mm-dd")</f>
        <v/>
      </c>
      <c r="C2716">
        <f>TEXT(2715, "[$-060000]yyyy-mm-dd")</f>
        <v/>
      </c>
      <c r="D2716" t="inlineStr">
        <is>
          <t>1325-04-26</t>
        </is>
      </c>
    </row>
    <row r="2717">
      <c r="A2717" s="1" t="n">
        <v>2716</v>
      </c>
      <c r="B2717">
        <f>TEXT(2716, "[$-170000]yyyy-mm-dd")</f>
        <v/>
      </c>
      <c r="C2717">
        <f>TEXT(2716, "[$-060000]yyyy-mm-dd")</f>
        <v/>
      </c>
      <c r="D2717" t="inlineStr">
        <is>
          <t>1325-04-27</t>
        </is>
      </c>
    </row>
    <row r="2718">
      <c r="A2718" s="1" t="n">
        <v>2717</v>
      </c>
      <c r="B2718">
        <f>TEXT(2717, "[$-170000]yyyy-mm-dd")</f>
        <v/>
      </c>
      <c r="C2718">
        <f>TEXT(2717, "[$-060000]yyyy-mm-dd")</f>
        <v/>
      </c>
      <c r="D2718" t="inlineStr">
        <is>
          <t>1325-04-28</t>
        </is>
      </c>
    </row>
    <row r="2719">
      <c r="A2719" s="1" t="n">
        <v>2718</v>
      </c>
      <c r="B2719">
        <f>TEXT(2718, "[$-170000]yyyy-mm-dd")</f>
        <v/>
      </c>
      <c r="C2719">
        <f>TEXT(2718, "[$-060000]yyyy-mm-dd")</f>
        <v/>
      </c>
      <c r="D2719" t="inlineStr">
        <is>
          <t>1325-04-29</t>
        </is>
      </c>
    </row>
    <row r="2720">
      <c r="A2720" s="1" t="n">
        <v>2719</v>
      </c>
      <c r="B2720">
        <f>TEXT(2719, "[$-170000]yyyy-mm-dd")</f>
        <v/>
      </c>
      <c r="C2720">
        <f>TEXT(2719, "[$-060000]yyyy-mm-dd")</f>
        <v/>
      </c>
      <c r="D2720" t="inlineStr">
        <is>
          <t>1325-05-01</t>
        </is>
      </c>
    </row>
    <row r="2721">
      <c r="A2721" s="1" t="n">
        <v>2720</v>
      </c>
      <c r="B2721">
        <f>TEXT(2720, "[$-170000]yyyy-mm-dd")</f>
        <v/>
      </c>
      <c r="C2721">
        <f>TEXT(2720, "[$-060000]yyyy-mm-dd")</f>
        <v/>
      </c>
      <c r="D2721" t="inlineStr">
        <is>
          <t>1325-05-02</t>
        </is>
      </c>
    </row>
    <row r="2722">
      <c r="A2722" s="1" t="n">
        <v>2721</v>
      </c>
      <c r="B2722">
        <f>TEXT(2721, "[$-170000]yyyy-mm-dd")</f>
        <v/>
      </c>
      <c r="C2722">
        <f>TEXT(2721, "[$-060000]yyyy-mm-dd")</f>
        <v/>
      </c>
      <c r="D2722" t="inlineStr">
        <is>
          <t>1325-05-03</t>
        </is>
      </c>
    </row>
    <row r="2723">
      <c r="A2723" s="1" t="n">
        <v>2722</v>
      </c>
      <c r="B2723">
        <f>TEXT(2722, "[$-170000]yyyy-mm-dd")</f>
        <v/>
      </c>
      <c r="C2723">
        <f>TEXT(2722, "[$-060000]yyyy-mm-dd")</f>
        <v/>
      </c>
      <c r="D2723" t="inlineStr">
        <is>
          <t>1325-05-04</t>
        </is>
      </c>
    </row>
    <row r="2724">
      <c r="A2724" s="1" t="n">
        <v>2723</v>
      </c>
      <c r="B2724">
        <f>TEXT(2723, "[$-170000]yyyy-mm-dd")</f>
        <v/>
      </c>
      <c r="C2724">
        <f>TEXT(2723, "[$-060000]yyyy-mm-dd")</f>
        <v/>
      </c>
      <c r="D2724" t="inlineStr">
        <is>
          <t>1325-05-05</t>
        </is>
      </c>
    </row>
    <row r="2725">
      <c r="A2725" s="1" t="n">
        <v>2724</v>
      </c>
      <c r="B2725">
        <f>TEXT(2724, "[$-170000]yyyy-mm-dd")</f>
        <v/>
      </c>
      <c r="C2725">
        <f>TEXT(2724, "[$-060000]yyyy-mm-dd")</f>
        <v/>
      </c>
      <c r="D2725" t="inlineStr">
        <is>
          <t>1325-05-06</t>
        </is>
      </c>
    </row>
    <row r="2726">
      <c r="A2726" s="1" t="n">
        <v>2725</v>
      </c>
      <c r="B2726">
        <f>TEXT(2725, "[$-170000]yyyy-mm-dd")</f>
        <v/>
      </c>
      <c r="C2726">
        <f>TEXT(2725, "[$-060000]yyyy-mm-dd")</f>
        <v/>
      </c>
      <c r="D2726" t="inlineStr">
        <is>
          <t>1325-05-07</t>
        </is>
      </c>
    </row>
    <row r="2727">
      <c r="A2727" s="1" t="n">
        <v>2726</v>
      </c>
      <c r="B2727">
        <f>TEXT(2726, "[$-170000]yyyy-mm-dd")</f>
        <v/>
      </c>
      <c r="C2727">
        <f>TEXT(2726, "[$-060000]yyyy-mm-dd")</f>
        <v/>
      </c>
      <c r="D2727" t="inlineStr">
        <is>
          <t>1325-05-08</t>
        </is>
      </c>
    </row>
    <row r="2728">
      <c r="A2728" s="1" t="n">
        <v>2727</v>
      </c>
      <c r="B2728">
        <f>TEXT(2727, "[$-170000]yyyy-mm-dd")</f>
        <v/>
      </c>
      <c r="C2728">
        <f>TEXT(2727, "[$-060000]yyyy-mm-dd")</f>
        <v/>
      </c>
      <c r="D2728" t="inlineStr">
        <is>
          <t>1325-05-09</t>
        </is>
      </c>
    </row>
    <row r="2729">
      <c r="A2729" s="1" t="n">
        <v>2728</v>
      </c>
      <c r="B2729">
        <f>TEXT(2728, "[$-170000]yyyy-mm-dd")</f>
        <v/>
      </c>
      <c r="C2729">
        <f>TEXT(2728, "[$-060000]yyyy-mm-dd")</f>
        <v/>
      </c>
      <c r="D2729" t="inlineStr">
        <is>
          <t>1325-05-10</t>
        </is>
      </c>
    </row>
    <row r="2730">
      <c r="A2730" s="1" t="n">
        <v>2729</v>
      </c>
      <c r="B2730">
        <f>TEXT(2729, "[$-170000]yyyy-mm-dd")</f>
        <v/>
      </c>
      <c r="C2730">
        <f>TEXT(2729, "[$-060000]yyyy-mm-dd")</f>
        <v/>
      </c>
      <c r="D2730" t="inlineStr">
        <is>
          <t>1325-05-11</t>
        </is>
      </c>
    </row>
    <row r="2731">
      <c r="A2731" s="1" t="n">
        <v>2730</v>
      </c>
      <c r="B2731">
        <f>TEXT(2730, "[$-170000]yyyy-mm-dd")</f>
        <v/>
      </c>
      <c r="C2731">
        <f>TEXT(2730, "[$-060000]yyyy-mm-dd")</f>
        <v/>
      </c>
      <c r="D2731" t="inlineStr">
        <is>
          <t>1325-05-12</t>
        </is>
      </c>
    </row>
    <row r="2732">
      <c r="A2732" s="1" t="n">
        <v>2731</v>
      </c>
      <c r="B2732">
        <f>TEXT(2731, "[$-170000]yyyy-mm-dd")</f>
        <v/>
      </c>
      <c r="C2732">
        <f>TEXT(2731, "[$-060000]yyyy-mm-dd")</f>
        <v/>
      </c>
      <c r="D2732" t="inlineStr">
        <is>
          <t>1325-05-13</t>
        </is>
      </c>
    </row>
    <row r="2733">
      <c r="A2733" s="1" t="n">
        <v>2732</v>
      </c>
      <c r="B2733">
        <f>TEXT(2732, "[$-170000]yyyy-mm-dd")</f>
        <v/>
      </c>
      <c r="C2733">
        <f>TEXT(2732, "[$-060000]yyyy-mm-dd")</f>
        <v/>
      </c>
      <c r="D2733" t="inlineStr">
        <is>
          <t>1325-05-14</t>
        </is>
      </c>
    </row>
    <row r="2734">
      <c r="A2734" s="1" t="n">
        <v>2733</v>
      </c>
      <c r="B2734">
        <f>TEXT(2733, "[$-170000]yyyy-mm-dd")</f>
        <v/>
      </c>
      <c r="C2734">
        <f>TEXT(2733, "[$-060000]yyyy-mm-dd")</f>
        <v/>
      </c>
      <c r="D2734" t="inlineStr">
        <is>
          <t>1325-05-15</t>
        </is>
      </c>
    </row>
    <row r="2735">
      <c r="A2735" s="1" t="n">
        <v>2734</v>
      </c>
      <c r="B2735">
        <f>TEXT(2734, "[$-170000]yyyy-mm-dd")</f>
        <v/>
      </c>
      <c r="C2735">
        <f>TEXT(2734, "[$-060000]yyyy-mm-dd")</f>
        <v/>
      </c>
      <c r="D2735" t="inlineStr">
        <is>
          <t>1325-05-16</t>
        </is>
      </c>
    </row>
    <row r="2736">
      <c r="A2736" s="1" t="n">
        <v>2735</v>
      </c>
      <c r="B2736">
        <f>TEXT(2735, "[$-170000]yyyy-mm-dd")</f>
        <v/>
      </c>
      <c r="C2736">
        <f>TEXT(2735, "[$-060000]yyyy-mm-dd")</f>
        <v/>
      </c>
      <c r="D2736" t="inlineStr">
        <is>
          <t>1325-05-17</t>
        </is>
      </c>
    </row>
    <row r="2737">
      <c r="A2737" s="1" t="n">
        <v>2736</v>
      </c>
      <c r="B2737">
        <f>TEXT(2736, "[$-170000]yyyy-mm-dd")</f>
        <v/>
      </c>
      <c r="C2737">
        <f>TEXT(2736, "[$-060000]yyyy-mm-dd")</f>
        <v/>
      </c>
      <c r="D2737" t="inlineStr">
        <is>
          <t>1325-05-18</t>
        </is>
      </c>
    </row>
    <row r="2738">
      <c r="A2738" s="1" t="n">
        <v>2737</v>
      </c>
      <c r="B2738">
        <f>TEXT(2737, "[$-170000]yyyy-mm-dd")</f>
        <v/>
      </c>
      <c r="C2738">
        <f>TEXT(2737, "[$-060000]yyyy-mm-dd")</f>
        <v/>
      </c>
      <c r="D2738" t="inlineStr">
        <is>
          <t>1325-05-19</t>
        </is>
      </c>
    </row>
    <row r="2739">
      <c r="A2739" s="1" t="n">
        <v>2738</v>
      </c>
      <c r="B2739">
        <f>TEXT(2738, "[$-170000]yyyy-mm-dd")</f>
        <v/>
      </c>
      <c r="C2739">
        <f>TEXT(2738, "[$-060000]yyyy-mm-dd")</f>
        <v/>
      </c>
      <c r="D2739" t="inlineStr">
        <is>
          <t>1325-05-20</t>
        </is>
      </c>
    </row>
    <row r="2740">
      <c r="A2740" s="1" t="n">
        <v>2739</v>
      </c>
      <c r="B2740">
        <f>TEXT(2739, "[$-170000]yyyy-mm-dd")</f>
        <v/>
      </c>
      <c r="C2740">
        <f>TEXT(2739, "[$-060000]yyyy-mm-dd")</f>
        <v/>
      </c>
      <c r="D2740" t="inlineStr">
        <is>
          <t>1325-05-21</t>
        </is>
      </c>
    </row>
    <row r="2741">
      <c r="A2741" s="1" t="n">
        <v>2740</v>
      </c>
      <c r="B2741">
        <f>TEXT(2740, "[$-170000]yyyy-mm-dd")</f>
        <v/>
      </c>
      <c r="C2741">
        <f>TEXT(2740, "[$-060000]yyyy-mm-dd")</f>
        <v/>
      </c>
      <c r="D2741" t="inlineStr">
        <is>
          <t>1325-05-22</t>
        </is>
      </c>
    </row>
    <row r="2742">
      <c r="A2742" s="1" t="n">
        <v>2741</v>
      </c>
      <c r="B2742">
        <f>TEXT(2741, "[$-170000]yyyy-mm-dd")</f>
        <v/>
      </c>
      <c r="C2742">
        <f>TEXT(2741, "[$-060000]yyyy-mm-dd")</f>
        <v/>
      </c>
      <c r="D2742" t="inlineStr">
        <is>
          <t>1325-05-23</t>
        </is>
      </c>
    </row>
    <row r="2743">
      <c r="A2743" s="1" t="n">
        <v>2742</v>
      </c>
      <c r="B2743">
        <f>TEXT(2742, "[$-170000]yyyy-mm-dd")</f>
        <v/>
      </c>
      <c r="C2743">
        <f>TEXT(2742, "[$-060000]yyyy-mm-dd")</f>
        <v/>
      </c>
      <c r="D2743" t="inlineStr">
        <is>
          <t>1325-05-24</t>
        </is>
      </c>
    </row>
    <row r="2744">
      <c r="A2744" s="1" t="n">
        <v>2743</v>
      </c>
      <c r="B2744">
        <f>TEXT(2743, "[$-170000]yyyy-mm-dd")</f>
        <v/>
      </c>
      <c r="C2744">
        <f>TEXT(2743, "[$-060000]yyyy-mm-dd")</f>
        <v/>
      </c>
      <c r="D2744" t="inlineStr">
        <is>
          <t>1325-05-25</t>
        </is>
      </c>
    </row>
    <row r="2745">
      <c r="A2745" s="1" t="n">
        <v>2744</v>
      </c>
      <c r="B2745">
        <f>TEXT(2744, "[$-170000]yyyy-mm-dd")</f>
        <v/>
      </c>
      <c r="C2745">
        <f>TEXT(2744, "[$-060000]yyyy-mm-dd")</f>
        <v/>
      </c>
      <c r="D2745" t="inlineStr">
        <is>
          <t>1325-05-26</t>
        </is>
      </c>
    </row>
    <row r="2746">
      <c r="A2746" s="1" t="n">
        <v>2745</v>
      </c>
      <c r="B2746">
        <f>TEXT(2745, "[$-170000]yyyy-mm-dd")</f>
        <v/>
      </c>
      <c r="C2746">
        <f>TEXT(2745, "[$-060000]yyyy-mm-dd")</f>
        <v/>
      </c>
      <c r="D2746" t="inlineStr">
        <is>
          <t>1325-05-27</t>
        </is>
      </c>
    </row>
    <row r="2747">
      <c r="A2747" s="1" t="n">
        <v>2746</v>
      </c>
      <c r="B2747">
        <f>TEXT(2746, "[$-170000]yyyy-mm-dd")</f>
        <v/>
      </c>
      <c r="C2747">
        <f>TEXT(2746, "[$-060000]yyyy-mm-dd")</f>
        <v/>
      </c>
      <c r="D2747" t="inlineStr">
        <is>
          <t>1325-05-28</t>
        </is>
      </c>
    </row>
    <row r="2748">
      <c r="A2748" s="1" t="n">
        <v>2747</v>
      </c>
      <c r="B2748">
        <f>TEXT(2747, "[$-170000]yyyy-mm-dd")</f>
        <v/>
      </c>
      <c r="C2748">
        <f>TEXT(2747, "[$-060000]yyyy-mm-dd")</f>
        <v/>
      </c>
      <c r="D2748" t="inlineStr">
        <is>
          <t>1325-05-29</t>
        </is>
      </c>
    </row>
    <row r="2749">
      <c r="A2749" s="1" t="n">
        <v>2748</v>
      </c>
      <c r="B2749">
        <f>TEXT(2748, "[$-170000]yyyy-mm-dd")</f>
        <v/>
      </c>
      <c r="C2749">
        <f>TEXT(2748, "[$-060000]yyyy-mm-dd")</f>
        <v/>
      </c>
      <c r="D2749" t="inlineStr">
        <is>
          <t>1325-05-30</t>
        </is>
      </c>
    </row>
    <row r="2750">
      <c r="A2750" s="1" t="n">
        <v>2749</v>
      </c>
      <c r="B2750">
        <f>TEXT(2749, "[$-170000]yyyy-mm-dd")</f>
        <v/>
      </c>
      <c r="C2750">
        <f>TEXT(2749, "[$-060000]yyyy-mm-dd")</f>
        <v/>
      </c>
      <c r="D2750" t="inlineStr">
        <is>
          <t>1325-06-01</t>
        </is>
      </c>
    </row>
    <row r="2751">
      <c r="A2751" s="1" t="n">
        <v>2750</v>
      </c>
      <c r="B2751">
        <f>TEXT(2750, "[$-170000]yyyy-mm-dd")</f>
        <v/>
      </c>
      <c r="C2751">
        <f>TEXT(2750, "[$-060000]yyyy-mm-dd")</f>
        <v/>
      </c>
      <c r="D2751" t="inlineStr">
        <is>
          <t>1325-06-02</t>
        </is>
      </c>
    </row>
    <row r="2752">
      <c r="A2752" s="1" t="n">
        <v>2751</v>
      </c>
      <c r="B2752">
        <f>TEXT(2751, "[$-170000]yyyy-mm-dd")</f>
        <v/>
      </c>
      <c r="C2752">
        <f>TEXT(2751, "[$-060000]yyyy-mm-dd")</f>
        <v/>
      </c>
      <c r="D2752" t="inlineStr">
        <is>
          <t>1325-06-03</t>
        </is>
      </c>
    </row>
    <row r="2753">
      <c r="A2753" s="1" t="n">
        <v>2752</v>
      </c>
      <c r="B2753">
        <f>TEXT(2752, "[$-170000]yyyy-mm-dd")</f>
        <v/>
      </c>
      <c r="C2753">
        <f>TEXT(2752, "[$-060000]yyyy-mm-dd")</f>
        <v/>
      </c>
      <c r="D2753" t="inlineStr">
        <is>
          <t>1325-06-04</t>
        </is>
      </c>
    </row>
    <row r="2754">
      <c r="A2754" s="1" t="n">
        <v>2753</v>
      </c>
      <c r="B2754">
        <f>TEXT(2753, "[$-170000]yyyy-mm-dd")</f>
        <v/>
      </c>
      <c r="C2754">
        <f>TEXT(2753, "[$-060000]yyyy-mm-dd")</f>
        <v/>
      </c>
      <c r="D2754" t="inlineStr">
        <is>
          <t>1325-06-05</t>
        </is>
      </c>
    </row>
    <row r="2755">
      <c r="A2755" s="1" t="n">
        <v>2754</v>
      </c>
      <c r="B2755">
        <f>TEXT(2754, "[$-170000]yyyy-mm-dd")</f>
        <v/>
      </c>
      <c r="C2755">
        <f>TEXT(2754, "[$-060000]yyyy-mm-dd")</f>
        <v/>
      </c>
      <c r="D2755" t="inlineStr">
        <is>
          <t>1325-06-06</t>
        </is>
      </c>
    </row>
    <row r="2756">
      <c r="A2756" s="1" t="n">
        <v>2755</v>
      </c>
      <c r="B2756">
        <f>TEXT(2755, "[$-170000]yyyy-mm-dd")</f>
        <v/>
      </c>
      <c r="C2756">
        <f>TEXT(2755, "[$-060000]yyyy-mm-dd")</f>
        <v/>
      </c>
      <c r="D2756" t="inlineStr">
        <is>
          <t>1325-06-07</t>
        </is>
      </c>
    </row>
    <row r="2757">
      <c r="A2757" s="1" t="n">
        <v>2756</v>
      </c>
      <c r="B2757">
        <f>TEXT(2756, "[$-170000]yyyy-mm-dd")</f>
        <v/>
      </c>
      <c r="C2757">
        <f>TEXT(2756, "[$-060000]yyyy-mm-dd")</f>
        <v/>
      </c>
      <c r="D2757" t="inlineStr">
        <is>
          <t>1325-06-08</t>
        </is>
      </c>
    </row>
    <row r="2758">
      <c r="A2758" s="1" t="n">
        <v>2757</v>
      </c>
      <c r="B2758">
        <f>TEXT(2757, "[$-170000]yyyy-mm-dd")</f>
        <v/>
      </c>
      <c r="C2758">
        <f>TEXT(2757, "[$-060000]yyyy-mm-dd")</f>
        <v/>
      </c>
      <c r="D2758" t="inlineStr">
        <is>
          <t>1325-06-09</t>
        </is>
      </c>
    </row>
    <row r="2759">
      <c r="A2759" s="1" t="n">
        <v>2758</v>
      </c>
      <c r="B2759">
        <f>TEXT(2758, "[$-170000]yyyy-mm-dd")</f>
        <v/>
      </c>
      <c r="C2759">
        <f>TEXT(2758, "[$-060000]yyyy-mm-dd")</f>
        <v/>
      </c>
      <c r="D2759" t="inlineStr">
        <is>
          <t>1325-06-10</t>
        </is>
      </c>
    </row>
    <row r="2760">
      <c r="A2760" s="1" t="n">
        <v>2759</v>
      </c>
      <c r="B2760">
        <f>TEXT(2759, "[$-170000]yyyy-mm-dd")</f>
        <v/>
      </c>
      <c r="C2760">
        <f>TEXT(2759, "[$-060000]yyyy-mm-dd")</f>
        <v/>
      </c>
      <c r="D2760" t="inlineStr">
        <is>
          <t>1325-06-11</t>
        </is>
      </c>
    </row>
    <row r="2761">
      <c r="A2761" s="1" t="n">
        <v>2760</v>
      </c>
      <c r="B2761">
        <f>TEXT(2760, "[$-170000]yyyy-mm-dd")</f>
        <v/>
      </c>
      <c r="C2761">
        <f>TEXT(2760, "[$-060000]yyyy-mm-dd")</f>
        <v/>
      </c>
      <c r="D2761" t="inlineStr">
        <is>
          <t>1325-06-12</t>
        </is>
      </c>
    </row>
    <row r="2762">
      <c r="A2762" s="1" t="n">
        <v>2761</v>
      </c>
      <c r="B2762">
        <f>TEXT(2761, "[$-170000]yyyy-mm-dd")</f>
        <v/>
      </c>
      <c r="C2762">
        <f>TEXT(2761, "[$-060000]yyyy-mm-dd")</f>
        <v/>
      </c>
      <c r="D2762" t="inlineStr">
        <is>
          <t>1325-06-13</t>
        </is>
      </c>
    </row>
    <row r="2763">
      <c r="A2763" s="1" t="n">
        <v>2762</v>
      </c>
      <c r="B2763">
        <f>TEXT(2762, "[$-170000]yyyy-mm-dd")</f>
        <v/>
      </c>
      <c r="C2763">
        <f>TEXT(2762, "[$-060000]yyyy-mm-dd")</f>
        <v/>
      </c>
      <c r="D2763" t="inlineStr">
        <is>
          <t>1325-06-14</t>
        </is>
      </c>
    </row>
    <row r="2764">
      <c r="A2764" s="1" t="n">
        <v>2763</v>
      </c>
      <c r="B2764">
        <f>TEXT(2763, "[$-170000]yyyy-mm-dd")</f>
        <v/>
      </c>
      <c r="C2764">
        <f>TEXT(2763, "[$-060000]yyyy-mm-dd")</f>
        <v/>
      </c>
      <c r="D2764" t="inlineStr">
        <is>
          <t>1325-06-15</t>
        </is>
      </c>
    </row>
    <row r="2765">
      <c r="A2765" s="1" t="n">
        <v>2764</v>
      </c>
      <c r="B2765">
        <f>TEXT(2764, "[$-170000]yyyy-mm-dd")</f>
        <v/>
      </c>
      <c r="C2765">
        <f>TEXT(2764, "[$-060000]yyyy-mm-dd")</f>
        <v/>
      </c>
      <c r="D2765" t="inlineStr">
        <is>
          <t>1325-06-16</t>
        </is>
      </c>
    </row>
    <row r="2766">
      <c r="A2766" s="1" t="n">
        <v>2765</v>
      </c>
      <c r="B2766">
        <f>TEXT(2765, "[$-170000]yyyy-mm-dd")</f>
        <v/>
      </c>
      <c r="C2766">
        <f>TEXT(2765, "[$-060000]yyyy-mm-dd")</f>
        <v/>
      </c>
      <c r="D2766" t="inlineStr">
        <is>
          <t>1325-06-17</t>
        </is>
      </c>
    </row>
    <row r="2767">
      <c r="A2767" s="1" t="n">
        <v>2766</v>
      </c>
      <c r="B2767">
        <f>TEXT(2766, "[$-170000]yyyy-mm-dd")</f>
        <v/>
      </c>
      <c r="C2767">
        <f>TEXT(2766, "[$-060000]yyyy-mm-dd")</f>
        <v/>
      </c>
      <c r="D2767" t="inlineStr">
        <is>
          <t>1325-06-18</t>
        </is>
      </c>
    </row>
    <row r="2768">
      <c r="A2768" s="1" t="n">
        <v>2767</v>
      </c>
      <c r="B2768">
        <f>TEXT(2767, "[$-170000]yyyy-mm-dd")</f>
        <v/>
      </c>
      <c r="C2768">
        <f>TEXT(2767, "[$-060000]yyyy-mm-dd")</f>
        <v/>
      </c>
      <c r="D2768" t="inlineStr">
        <is>
          <t>1325-06-19</t>
        </is>
      </c>
    </row>
    <row r="2769">
      <c r="A2769" s="1" t="n">
        <v>2768</v>
      </c>
      <c r="B2769">
        <f>TEXT(2768, "[$-170000]yyyy-mm-dd")</f>
        <v/>
      </c>
      <c r="C2769">
        <f>TEXT(2768, "[$-060000]yyyy-mm-dd")</f>
        <v/>
      </c>
      <c r="D2769" t="inlineStr">
        <is>
          <t>1325-06-20</t>
        </is>
      </c>
    </row>
    <row r="2770">
      <c r="A2770" s="1" t="n">
        <v>2769</v>
      </c>
      <c r="B2770">
        <f>TEXT(2769, "[$-170000]yyyy-mm-dd")</f>
        <v/>
      </c>
      <c r="C2770">
        <f>TEXT(2769, "[$-060000]yyyy-mm-dd")</f>
        <v/>
      </c>
      <c r="D2770" t="inlineStr">
        <is>
          <t>1325-06-21</t>
        </is>
      </c>
    </row>
    <row r="2771">
      <c r="A2771" s="1" t="n">
        <v>2770</v>
      </c>
      <c r="B2771">
        <f>TEXT(2770, "[$-170000]yyyy-mm-dd")</f>
        <v/>
      </c>
      <c r="C2771">
        <f>TEXT(2770, "[$-060000]yyyy-mm-dd")</f>
        <v/>
      </c>
      <c r="D2771" t="inlineStr">
        <is>
          <t>1325-06-22</t>
        </is>
      </c>
    </row>
    <row r="2772">
      <c r="A2772" s="1" t="n">
        <v>2771</v>
      </c>
      <c r="B2772">
        <f>TEXT(2771, "[$-170000]yyyy-mm-dd")</f>
        <v/>
      </c>
      <c r="C2772">
        <f>TEXT(2771, "[$-060000]yyyy-mm-dd")</f>
        <v/>
      </c>
      <c r="D2772" t="inlineStr">
        <is>
          <t>1325-06-23</t>
        </is>
      </c>
    </row>
    <row r="2773">
      <c r="A2773" s="1" t="n">
        <v>2772</v>
      </c>
      <c r="B2773">
        <f>TEXT(2772, "[$-170000]yyyy-mm-dd")</f>
        <v/>
      </c>
      <c r="C2773">
        <f>TEXT(2772, "[$-060000]yyyy-mm-dd")</f>
        <v/>
      </c>
      <c r="D2773" t="inlineStr">
        <is>
          <t>1325-06-24</t>
        </is>
      </c>
    </row>
    <row r="2774">
      <c r="A2774" s="1" t="n">
        <v>2773</v>
      </c>
      <c r="B2774">
        <f>TEXT(2773, "[$-170000]yyyy-mm-dd")</f>
        <v/>
      </c>
      <c r="C2774">
        <f>TEXT(2773, "[$-060000]yyyy-mm-dd")</f>
        <v/>
      </c>
      <c r="D2774" t="inlineStr">
        <is>
          <t>1325-06-25</t>
        </is>
      </c>
    </row>
    <row r="2775">
      <c r="A2775" s="1" t="n">
        <v>2774</v>
      </c>
      <c r="B2775">
        <f>TEXT(2774, "[$-170000]yyyy-mm-dd")</f>
        <v/>
      </c>
      <c r="C2775">
        <f>TEXT(2774, "[$-060000]yyyy-mm-dd")</f>
        <v/>
      </c>
      <c r="D2775" t="inlineStr">
        <is>
          <t>1325-06-26</t>
        </is>
      </c>
    </row>
    <row r="2776">
      <c r="A2776" s="1" t="n">
        <v>2775</v>
      </c>
      <c r="B2776">
        <f>TEXT(2775, "[$-170000]yyyy-mm-dd")</f>
        <v/>
      </c>
      <c r="C2776">
        <f>TEXT(2775, "[$-060000]yyyy-mm-dd")</f>
        <v/>
      </c>
      <c r="D2776" t="inlineStr">
        <is>
          <t>1325-06-27</t>
        </is>
      </c>
    </row>
    <row r="2777">
      <c r="A2777" s="1" t="n">
        <v>2776</v>
      </c>
      <c r="B2777">
        <f>TEXT(2776, "[$-170000]yyyy-mm-dd")</f>
        <v/>
      </c>
      <c r="C2777">
        <f>TEXT(2776, "[$-060000]yyyy-mm-dd")</f>
        <v/>
      </c>
      <c r="D2777" t="inlineStr">
        <is>
          <t>1325-06-28</t>
        </is>
      </c>
    </row>
    <row r="2778">
      <c r="A2778" s="1" t="n">
        <v>2777</v>
      </c>
      <c r="B2778">
        <f>TEXT(2777, "[$-170000]yyyy-mm-dd")</f>
        <v/>
      </c>
      <c r="C2778">
        <f>TEXT(2777, "[$-060000]yyyy-mm-dd")</f>
        <v/>
      </c>
      <c r="D2778" t="inlineStr">
        <is>
          <t>1325-06-29</t>
        </is>
      </c>
    </row>
    <row r="2779">
      <c r="A2779" s="1" t="n">
        <v>2778</v>
      </c>
      <c r="B2779">
        <f>TEXT(2778, "[$-170000]yyyy-mm-dd")</f>
        <v/>
      </c>
      <c r="C2779">
        <f>TEXT(2778, "[$-060000]yyyy-mm-dd")</f>
        <v/>
      </c>
      <c r="D2779" t="inlineStr">
        <is>
          <t>1325-07-01</t>
        </is>
      </c>
    </row>
    <row r="2780">
      <c r="A2780" s="1" t="n">
        <v>2779</v>
      </c>
      <c r="B2780">
        <f>TEXT(2779, "[$-170000]yyyy-mm-dd")</f>
        <v/>
      </c>
      <c r="C2780">
        <f>TEXT(2779, "[$-060000]yyyy-mm-dd")</f>
        <v/>
      </c>
      <c r="D2780" t="inlineStr">
        <is>
          <t>1325-07-02</t>
        </is>
      </c>
    </row>
    <row r="2781">
      <c r="A2781" s="1" t="n">
        <v>2780</v>
      </c>
      <c r="B2781">
        <f>TEXT(2780, "[$-170000]yyyy-mm-dd")</f>
        <v/>
      </c>
      <c r="C2781">
        <f>TEXT(2780, "[$-060000]yyyy-mm-dd")</f>
        <v/>
      </c>
      <c r="D2781" t="inlineStr">
        <is>
          <t>1325-07-03</t>
        </is>
      </c>
    </row>
    <row r="2782">
      <c r="A2782" s="1" t="n">
        <v>2781</v>
      </c>
      <c r="B2782">
        <f>TEXT(2781, "[$-170000]yyyy-mm-dd")</f>
        <v/>
      </c>
      <c r="C2782">
        <f>TEXT(2781, "[$-060000]yyyy-mm-dd")</f>
        <v/>
      </c>
      <c r="D2782" t="inlineStr">
        <is>
          <t>1325-07-04</t>
        </is>
      </c>
    </row>
    <row r="2783">
      <c r="A2783" s="1" t="n">
        <v>2782</v>
      </c>
      <c r="B2783">
        <f>TEXT(2782, "[$-170000]yyyy-mm-dd")</f>
        <v/>
      </c>
      <c r="C2783">
        <f>TEXT(2782, "[$-060000]yyyy-mm-dd")</f>
        <v/>
      </c>
      <c r="D2783" t="inlineStr">
        <is>
          <t>1325-07-05</t>
        </is>
      </c>
    </row>
    <row r="2784">
      <c r="A2784" s="1" t="n">
        <v>2783</v>
      </c>
      <c r="B2784">
        <f>TEXT(2783, "[$-170000]yyyy-mm-dd")</f>
        <v/>
      </c>
      <c r="C2784">
        <f>TEXT(2783, "[$-060000]yyyy-mm-dd")</f>
        <v/>
      </c>
      <c r="D2784" t="inlineStr">
        <is>
          <t>1325-07-06</t>
        </is>
      </c>
    </row>
    <row r="2785">
      <c r="A2785" s="1" t="n">
        <v>2784</v>
      </c>
      <c r="B2785">
        <f>TEXT(2784, "[$-170000]yyyy-mm-dd")</f>
        <v/>
      </c>
      <c r="C2785">
        <f>TEXT(2784, "[$-060000]yyyy-mm-dd")</f>
        <v/>
      </c>
      <c r="D2785" t="inlineStr">
        <is>
          <t>1325-07-07</t>
        </is>
      </c>
    </row>
    <row r="2786">
      <c r="A2786" s="1" t="n">
        <v>2785</v>
      </c>
      <c r="B2786">
        <f>TEXT(2785, "[$-170000]yyyy-mm-dd")</f>
        <v/>
      </c>
      <c r="C2786">
        <f>TEXT(2785, "[$-060000]yyyy-mm-dd")</f>
        <v/>
      </c>
      <c r="D2786" t="inlineStr">
        <is>
          <t>1325-07-08</t>
        </is>
      </c>
    </row>
    <row r="2787">
      <c r="A2787" s="1" t="n">
        <v>2786</v>
      </c>
      <c r="B2787">
        <f>TEXT(2786, "[$-170000]yyyy-mm-dd")</f>
        <v/>
      </c>
      <c r="C2787">
        <f>TEXT(2786, "[$-060000]yyyy-mm-dd")</f>
        <v/>
      </c>
      <c r="D2787" t="inlineStr">
        <is>
          <t>1325-07-09</t>
        </is>
      </c>
    </row>
    <row r="2788">
      <c r="A2788" s="1" t="n">
        <v>2787</v>
      </c>
      <c r="B2788">
        <f>TEXT(2787, "[$-170000]yyyy-mm-dd")</f>
        <v/>
      </c>
      <c r="C2788">
        <f>TEXT(2787, "[$-060000]yyyy-mm-dd")</f>
        <v/>
      </c>
      <c r="D2788" t="inlineStr">
        <is>
          <t>1325-07-10</t>
        </is>
      </c>
    </row>
    <row r="2789">
      <c r="A2789" s="1" t="n">
        <v>2788</v>
      </c>
      <c r="B2789">
        <f>TEXT(2788, "[$-170000]yyyy-mm-dd")</f>
        <v/>
      </c>
      <c r="C2789">
        <f>TEXT(2788, "[$-060000]yyyy-mm-dd")</f>
        <v/>
      </c>
      <c r="D2789" t="inlineStr">
        <is>
          <t>1325-07-11</t>
        </is>
      </c>
    </row>
    <row r="2790">
      <c r="A2790" s="1" t="n">
        <v>2789</v>
      </c>
      <c r="B2790">
        <f>TEXT(2789, "[$-170000]yyyy-mm-dd")</f>
        <v/>
      </c>
      <c r="C2790">
        <f>TEXT(2789, "[$-060000]yyyy-mm-dd")</f>
        <v/>
      </c>
      <c r="D2790" t="inlineStr">
        <is>
          <t>1325-07-12</t>
        </is>
      </c>
    </row>
    <row r="2791">
      <c r="A2791" s="1" t="n">
        <v>2790</v>
      </c>
      <c r="B2791">
        <f>TEXT(2790, "[$-170000]yyyy-mm-dd")</f>
        <v/>
      </c>
      <c r="C2791">
        <f>TEXT(2790, "[$-060000]yyyy-mm-dd")</f>
        <v/>
      </c>
      <c r="D2791" t="inlineStr">
        <is>
          <t>1325-07-13</t>
        </is>
      </c>
    </row>
    <row r="2792">
      <c r="A2792" s="1" t="n">
        <v>2791</v>
      </c>
      <c r="B2792">
        <f>TEXT(2791, "[$-170000]yyyy-mm-dd")</f>
        <v/>
      </c>
      <c r="C2792">
        <f>TEXT(2791, "[$-060000]yyyy-mm-dd")</f>
        <v/>
      </c>
      <c r="D2792" t="inlineStr">
        <is>
          <t>1325-07-14</t>
        </is>
      </c>
    </row>
    <row r="2793">
      <c r="A2793" s="1" t="n">
        <v>2792</v>
      </c>
      <c r="B2793">
        <f>TEXT(2792, "[$-170000]yyyy-mm-dd")</f>
        <v/>
      </c>
      <c r="C2793">
        <f>TEXT(2792, "[$-060000]yyyy-mm-dd")</f>
        <v/>
      </c>
      <c r="D2793" t="inlineStr">
        <is>
          <t>1325-07-15</t>
        </is>
      </c>
    </row>
    <row r="2794">
      <c r="A2794" s="1" t="n">
        <v>2793</v>
      </c>
      <c r="B2794">
        <f>TEXT(2793, "[$-170000]yyyy-mm-dd")</f>
        <v/>
      </c>
      <c r="C2794">
        <f>TEXT(2793, "[$-060000]yyyy-mm-dd")</f>
        <v/>
      </c>
      <c r="D2794" t="inlineStr">
        <is>
          <t>1325-07-16</t>
        </is>
      </c>
    </row>
    <row r="2795">
      <c r="A2795" s="1" t="n">
        <v>2794</v>
      </c>
      <c r="B2795">
        <f>TEXT(2794, "[$-170000]yyyy-mm-dd")</f>
        <v/>
      </c>
      <c r="C2795">
        <f>TEXT(2794, "[$-060000]yyyy-mm-dd")</f>
        <v/>
      </c>
      <c r="D2795" t="inlineStr">
        <is>
          <t>1325-07-17</t>
        </is>
      </c>
    </row>
    <row r="2796">
      <c r="A2796" s="1" t="n">
        <v>2795</v>
      </c>
      <c r="B2796">
        <f>TEXT(2795, "[$-170000]yyyy-mm-dd")</f>
        <v/>
      </c>
      <c r="C2796">
        <f>TEXT(2795, "[$-060000]yyyy-mm-dd")</f>
        <v/>
      </c>
      <c r="D2796" t="inlineStr">
        <is>
          <t>1325-07-18</t>
        </is>
      </c>
    </row>
    <row r="2797">
      <c r="A2797" s="1" t="n">
        <v>2796</v>
      </c>
      <c r="B2797">
        <f>TEXT(2796, "[$-170000]yyyy-mm-dd")</f>
        <v/>
      </c>
      <c r="C2797">
        <f>TEXT(2796, "[$-060000]yyyy-mm-dd")</f>
        <v/>
      </c>
      <c r="D2797" t="inlineStr">
        <is>
          <t>1325-07-19</t>
        </is>
      </c>
    </row>
    <row r="2798">
      <c r="A2798" s="1" t="n">
        <v>2797</v>
      </c>
      <c r="B2798">
        <f>TEXT(2797, "[$-170000]yyyy-mm-dd")</f>
        <v/>
      </c>
      <c r="C2798">
        <f>TEXT(2797, "[$-060000]yyyy-mm-dd")</f>
        <v/>
      </c>
      <c r="D2798" t="inlineStr">
        <is>
          <t>1325-07-20</t>
        </is>
      </c>
    </row>
    <row r="2799">
      <c r="A2799" s="1" t="n">
        <v>2798</v>
      </c>
      <c r="B2799">
        <f>TEXT(2798, "[$-170000]yyyy-mm-dd")</f>
        <v/>
      </c>
      <c r="C2799">
        <f>TEXT(2798, "[$-060000]yyyy-mm-dd")</f>
        <v/>
      </c>
      <c r="D2799" t="inlineStr">
        <is>
          <t>1325-07-21</t>
        </is>
      </c>
    </row>
    <row r="2800">
      <c r="A2800" s="1" t="n">
        <v>2799</v>
      </c>
      <c r="B2800">
        <f>TEXT(2799, "[$-170000]yyyy-mm-dd")</f>
        <v/>
      </c>
      <c r="C2800">
        <f>TEXT(2799, "[$-060000]yyyy-mm-dd")</f>
        <v/>
      </c>
      <c r="D2800" t="inlineStr">
        <is>
          <t>1325-07-22</t>
        </is>
      </c>
    </row>
    <row r="2801">
      <c r="A2801" s="1" t="n">
        <v>2800</v>
      </c>
      <c r="B2801">
        <f>TEXT(2800, "[$-170000]yyyy-mm-dd")</f>
        <v/>
      </c>
      <c r="C2801">
        <f>TEXT(2800, "[$-060000]yyyy-mm-dd")</f>
        <v/>
      </c>
      <c r="D2801" t="inlineStr">
        <is>
          <t>1325-07-23</t>
        </is>
      </c>
    </row>
    <row r="2802">
      <c r="A2802" s="1" t="n">
        <v>2801</v>
      </c>
      <c r="B2802">
        <f>TEXT(2801, "[$-170000]yyyy-mm-dd")</f>
        <v/>
      </c>
      <c r="C2802">
        <f>TEXT(2801, "[$-060000]yyyy-mm-dd")</f>
        <v/>
      </c>
      <c r="D2802" t="inlineStr">
        <is>
          <t>1325-07-24</t>
        </is>
      </c>
    </row>
    <row r="2803">
      <c r="A2803" s="1" t="n">
        <v>2802</v>
      </c>
      <c r="B2803">
        <f>TEXT(2802, "[$-170000]yyyy-mm-dd")</f>
        <v/>
      </c>
      <c r="C2803">
        <f>TEXT(2802, "[$-060000]yyyy-mm-dd")</f>
        <v/>
      </c>
      <c r="D2803" t="inlineStr">
        <is>
          <t>1325-07-25</t>
        </is>
      </c>
    </row>
    <row r="2804">
      <c r="A2804" s="1" t="n">
        <v>2803</v>
      </c>
      <c r="B2804">
        <f>TEXT(2803, "[$-170000]yyyy-mm-dd")</f>
        <v/>
      </c>
      <c r="C2804">
        <f>TEXT(2803, "[$-060000]yyyy-mm-dd")</f>
        <v/>
      </c>
      <c r="D2804" t="inlineStr">
        <is>
          <t>1325-07-26</t>
        </is>
      </c>
    </row>
    <row r="2805">
      <c r="A2805" s="1" t="n">
        <v>2804</v>
      </c>
      <c r="B2805">
        <f>TEXT(2804, "[$-170000]yyyy-mm-dd")</f>
        <v/>
      </c>
      <c r="C2805">
        <f>TEXT(2804, "[$-060000]yyyy-mm-dd")</f>
        <v/>
      </c>
      <c r="D2805" t="inlineStr">
        <is>
          <t>1325-07-27</t>
        </is>
      </c>
    </row>
    <row r="2806">
      <c r="A2806" s="1" t="n">
        <v>2805</v>
      </c>
      <c r="B2806">
        <f>TEXT(2805, "[$-170000]yyyy-mm-dd")</f>
        <v/>
      </c>
      <c r="C2806">
        <f>TEXT(2805, "[$-060000]yyyy-mm-dd")</f>
        <v/>
      </c>
      <c r="D2806" t="inlineStr">
        <is>
          <t>1325-07-28</t>
        </is>
      </c>
    </row>
    <row r="2807">
      <c r="A2807" s="1" t="n">
        <v>2806</v>
      </c>
      <c r="B2807">
        <f>TEXT(2806, "[$-170000]yyyy-mm-dd")</f>
        <v/>
      </c>
      <c r="C2807">
        <f>TEXT(2806, "[$-060000]yyyy-mm-dd")</f>
        <v/>
      </c>
      <c r="D2807" t="inlineStr">
        <is>
          <t>1325-07-29</t>
        </is>
      </c>
    </row>
    <row r="2808">
      <c r="A2808" s="1" t="n">
        <v>2807</v>
      </c>
      <c r="B2808">
        <f>TEXT(2807, "[$-170000]yyyy-mm-dd")</f>
        <v/>
      </c>
      <c r="C2808">
        <f>TEXT(2807, "[$-060000]yyyy-mm-dd")</f>
        <v/>
      </c>
      <c r="D2808" t="inlineStr">
        <is>
          <t>1325-07-30</t>
        </is>
      </c>
    </row>
    <row r="2809">
      <c r="A2809" s="1" t="n">
        <v>2808</v>
      </c>
      <c r="B2809">
        <f>TEXT(2808, "[$-170000]yyyy-mm-dd")</f>
        <v/>
      </c>
      <c r="C2809">
        <f>TEXT(2808, "[$-060000]yyyy-mm-dd")</f>
        <v/>
      </c>
      <c r="D2809" t="inlineStr">
        <is>
          <t>1325-08-01</t>
        </is>
      </c>
    </row>
    <row r="2810">
      <c r="A2810" s="1" t="n">
        <v>2809</v>
      </c>
      <c r="B2810">
        <f>TEXT(2809, "[$-170000]yyyy-mm-dd")</f>
        <v/>
      </c>
      <c r="C2810">
        <f>TEXT(2809, "[$-060000]yyyy-mm-dd")</f>
        <v/>
      </c>
      <c r="D2810" t="inlineStr">
        <is>
          <t>1325-08-02</t>
        </is>
      </c>
    </row>
    <row r="2811">
      <c r="A2811" s="1" t="n">
        <v>2810</v>
      </c>
      <c r="B2811">
        <f>TEXT(2810, "[$-170000]yyyy-mm-dd")</f>
        <v/>
      </c>
      <c r="C2811">
        <f>TEXT(2810, "[$-060000]yyyy-mm-dd")</f>
        <v/>
      </c>
      <c r="D2811" t="inlineStr">
        <is>
          <t>1325-08-03</t>
        </is>
      </c>
    </row>
    <row r="2812">
      <c r="A2812" s="1" t="n">
        <v>2811</v>
      </c>
      <c r="B2812">
        <f>TEXT(2811, "[$-170000]yyyy-mm-dd")</f>
        <v/>
      </c>
      <c r="C2812">
        <f>TEXT(2811, "[$-060000]yyyy-mm-dd")</f>
        <v/>
      </c>
      <c r="D2812" t="inlineStr">
        <is>
          <t>1325-08-04</t>
        </is>
      </c>
    </row>
    <row r="2813">
      <c r="A2813" s="1" t="n">
        <v>2812</v>
      </c>
      <c r="B2813">
        <f>TEXT(2812, "[$-170000]yyyy-mm-dd")</f>
        <v/>
      </c>
      <c r="C2813">
        <f>TEXT(2812, "[$-060000]yyyy-mm-dd")</f>
        <v/>
      </c>
      <c r="D2813" t="inlineStr">
        <is>
          <t>1325-08-05</t>
        </is>
      </c>
    </row>
    <row r="2814">
      <c r="A2814" s="1" t="n">
        <v>2813</v>
      </c>
      <c r="B2814">
        <f>TEXT(2813, "[$-170000]yyyy-mm-dd")</f>
        <v/>
      </c>
      <c r="C2814">
        <f>TEXT(2813, "[$-060000]yyyy-mm-dd")</f>
        <v/>
      </c>
      <c r="D2814" t="inlineStr">
        <is>
          <t>1325-08-06</t>
        </is>
      </c>
    </row>
    <row r="2815">
      <c r="A2815" s="1" t="n">
        <v>2814</v>
      </c>
      <c r="B2815">
        <f>TEXT(2814, "[$-170000]yyyy-mm-dd")</f>
        <v/>
      </c>
      <c r="C2815">
        <f>TEXT(2814, "[$-060000]yyyy-mm-dd")</f>
        <v/>
      </c>
      <c r="D2815" t="inlineStr">
        <is>
          <t>1325-08-07</t>
        </is>
      </c>
    </row>
    <row r="2816">
      <c r="A2816" s="1" t="n">
        <v>2815</v>
      </c>
      <c r="B2816">
        <f>TEXT(2815, "[$-170000]yyyy-mm-dd")</f>
        <v/>
      </c>
      <c r="C2816">
        <f>TEXT(2815, "[$-060000]yyyy-mm-dd")</f>
        <v/>
      </c>
      <c r="D2816" t="inlineStr">
        <is>
          <t>1325-08-08</t>
        </is>
      </c>
    </row>
    <row r="2817">
      <c r="A2817" s="1" t="n">
        <v>2816</v>
      </c>
      <c r="B2817">
        <f>TEXT(2816, "[$-170000]yyyy-mm-dd")</f>
        <v/>
      </c>
      <c r="C2817">
        <f>TEXT(2816, "[$-060000]yyyy-mm-dd")</f>
        <v/>
      </c>
      <c r="D2817" t="inlineStr">
        <is>
          <t>1325-08-09</t>
        </is>
      </c>
    </row>
    <row r="2818">
      <c r="A2818" s="1" t="n">
        <v>2817</v>
      </c>
      <c r="B2818">
        <f>TEXT(2817, "[$-170000]yyyy-mm-dd")</f>
        <v/>
      </c>
      <c r="C2818">
        <f>TEXT(2817, "[$-060000]yyyy-mm-dd")</f>
        <v/>
      </c>
      <c r="D2818" t="inlineStr">
        <is>
          <t>1325-08-10</t>
        </is>
      </c>
    </row>
    <row r="2819">
      <c r="A2819" s="1" t="n">
        <v>2818</v>
      </c>
      <c r="B2819">
        <f>TEXT(2818, "[$-170000]yyyy-mm-dd")</f>
        <v/>
      </c>
      <c r="C2819">
        <f>TEXT(2818, "[$-060000]yyyy-mm-dd")</f>
        <v/>
      </c>
      <c r="D2819" t="inlineStr">
        <is>
          <t>1325-08-11</t>
        </is>
      </c>
    </row>
    <row r="2820">
      <c r="A2820" s="1" t="n">
        <v>2819</v>
      </c>
      <c r="B2820">
        <f>TEXT(2819, "[$-170000]yyyy-mm-dd")</f>
        <v/>
      </c>
      <c r="C2820">
        <f>TEXT(2819, "[$-060000]yyyy-mm-dd")</f>
        <v/>
      </c>
      <c r="D2820" t="inlineStr">
        <is>
          <t>1325-08-12</t>
        </is>
      </c>
    </row>
    <row r="2821">
      <c r="A2821" s="1" t="n">
        <v>2820</v>
      </c>
      <c r="B2821">
        <f>TEXT(2820, "[$-170000]yyyy-mm-dd")</f>
        <v/>
      </c>
      <c r="C2821">
        <f>TEXT(2820, "[$-060000]yyyy-mm-dd")</f>
        <v/>
      </c>
      <c r="D2821" t="inlineStr">
        <is>
          <t>1325-08-13</t>
        </is>
      </c>
    </row>
    <row r="2822">
      <c r="A2822" s="1" t="n">
        <v>2821</v>
      </c>
      <c r="B2822">
        <f>TEXT(2821, "[$-170000]yyyy-mm-dd")</f>
        <v/>
      </c>
      <c r="C2822">
        <f>TEXT(2821, "[$-060000]yyyy-mm-dd")</f>
        <v/>
      </c>
      <c r="D2822" t="inlineStr">
        <is>
          <t>1325-08-14</t>
        </is>
      </c>
    </row>
    <row r="2823">
      <c r="A2823" s="1" t="n">
        <v>2822</v>
      </c>
      <c r="B2823">
        <f>TEXT(2822, "[$-170000]yyyy-mm-dd")</f>
        <v/>
      </c>
      <c r="C2823">
        <f>TEXT(2822, "[$-060000]yyyy-mm-dd")</f>
        <v/>
      </c>
      <c r="D2823" t="inlineStr">
        <is>
          <t>1325-08-15</t>
        </is>
      </c>
    </row>
    <row r="2824">
      <c r="A2824" s="1" t="n">
        <v>2823</v>
      </c>
      <c r="B2824">
        <f>TEXT(2823, "[$-170000]yyyy-mm-dd")</f>
        <v/>
      </c>
      <c r="C2824">
        <f>TEXT(2823, "[$-060000]yyyy-mm-dd")</f>
        <v/>
      </c>
      <c r="D2824" t="inlineStr">
        <is>
          <t>1325-08-16</t>
        </is>
      </c>
    </row>
    <row r="2825">
      <c r="A2825" s="1" t="n">
        <v>2824</v>
      </c>
      <c r="B2825">
        <f>TEXT(2824, "[$-170000]yyyy-mm-dd")</f>
        <v/>
      </c>
      <c r="C2825">
        <f>TEXT(2824, "[$-060000]yyyy-mm-dd")</f>
        <v/>
      </c>
      <c r="D2825" t="inlineStr">
        <is>
          <t>1325-08-17</t>
        </is>
      </c>
    </row>
    <row r="2826">
      <c r="A2826" s="1" t="n">
        <v>2825</v>
      </c>
      <c r="B2826">
        <f>TEXT(2825, "[$-170000]yyyy-mm-dd")</f>
        <v/>
      </c>
      <c r="C2826">
        <f>TEXT(2825, "[$-060000]yyyy-mm-dd")</f>
        <v/>
      </c>
      <c r="D2826" t="inlineStr">
        <is>
          <t>1325-08-18</t>
        </is>
      </c>
    </row>
    <row r="2827">
      <c r="A2827" s="1" t="n">
        <v>2826</v>
      </c>
      <c r="B2827">
        <f>TEXT(2826, "[$-170000]yyyy-mm-dd")</f>
        <v/>
      </c>
      <c r="C2827">
        <f>TEXT(2826, "[$-060000]yyyy-mm-dd")</f>
        <v/>
      </c>
      <c r="D2827" t="inlineStr">
        <is>
          <t>1325-08-19</t>
        </is>
      </c>
    </row>
    <row r="2828">
      <c r="A2828" s="1" t="n">
        <v>2827</v>
      </c>
      <c r="B2828">
        <f>TEXT(2827, "[$-170000]yyyy-mm-dd")</f>
        <v/>
      </c>
      <c r="C2828">
        <f>TEXT(2827, "[$-060000]yyyy-mm-dd")</f>
        <v/>
      </c>
      <c r="D2828" t="inlineStr">
        <is>
          <t>1325-08-20</t>
        </is>
      </c>
    </row>
    <row r="2829">
      <c r="A2829" s="1" t="n">
        <v>2828</v>
      </c>
      <c r="B2829">
        <f>TEXT(2828, "[$-170000]yyyy-mm-dd")</f>
        <v/>
      </c>
      <c r="C2829">
        <f>TEXT(2828, "[$-060000]yyyy-mm-dd")</f>
        <v/>
      </c>
      <c r="D2829" t="inlineStr">
        <is>
          <t>1325-08-21</t>
        </is>
      </c>
    </row>
    <row r="2830">
      <c r="A2830" s="1" t="n">
        <v>2829</v>
      </c>
      <c r="B2830">
        <f>TEXT(2829, "[$-170000]yyyy-mm-dd")</f>
        <v/>
      </c>
      <c r="C2830">
        <f>TEXT(2829, "[$-060000]yyyy-mm-dd")</f>
        <v/>
      </c>
      <c r="D2830" t="inlineStr">
        <is>
          <t>1325-08-22</t>
        </is>
      </c>
    </row>
    <row r="2831">
      <c r="A2831" s="1" t="n">
        <v>2830</v>
      </c>
      <c r="B2831">
        <f>TEXT(2830, "[$-170000]yyyy-mm-dd")</f>
        <v/>
      </c>
      <c r="C2831">
        <f>TEXT(2830, "[$-060000]yyyy-mm-dd")</f>
        <v/>
      </c>
      <c r="D2831" t="inlineStr">
        <is>
          <t>1325-08-23</t>
        </is>
      </c>
    </row>
    <row r="2832">
      <c r="A2832" s="1" t="n">
        <v>2831</v>
      </c>
      <c r="B2832">
        <f>TEXT(2831, "[$-170000]yyyy-mm-dd")</f>
        <v/>
      </c>
      <c r="C2832">
        <f>TEXT(2831, "[$-060000]yyyy-mm-dd")</f>
        <v/>
      </c>
      <c r="D2832" t="inlineStr">
        <is>
          <t>1325-08-24</t>
        </is>
      </c>
    </row>
    <row r="2833">
      <c r="A2833" s="1" t="n">
        <v>2832</v>
      </c>
      <c r="B2833">
        <f>TEXT(2832, "[$-170000]yyyy-mm-dd")</f>
        <v/>
      </c>
      <c r="C2833">
        <f>TEXT(2832, "[$-060000]yyyy-mm-dd")</f>
        <v/>
      </c>
      <c r="D2833" t="inlineStr">
        <is>
          <t>1325-08-25</t>
        </is>
      </c>
    </row>
    <row r="2834">
      <c r="A2834" s="1" t="n">
        <v>2833</v>
      </c>
      <c r="B2834">
        <f>TEXT(2833, "[$-170000]yyyy-mm-dd")</f>
        <v/>
      </c>
      <c r="C2834">
        <f>TEXT(2833, "[$-060000]yyyy-mm-dd")</f>
        <v/>
      </c>
      <c r="D2834" t="inlineStr">
        <is>
          <t>1325-08-26</t>
        </is>
      </c>
    </row>
    <row r="2835">
      <c r="A2835" s="1" t="n">
        <v>2834</v>
      </c>
      <c r="B2835">
        <f>TEXT(2834, "[$-170000]yyyy-mm-dd")</f>
        <v/>
      </c>
      <c r="C2835">
        <f>TEXT(2834, "[$-060000]yyyy-mm-dd")</f>
        <v/>
      </c>
      <c r="D2835" t="inlineStr">
        <is>
          <t>1325-08-27</t>
        </is>
      </c>
    </row>
    <row r="2836">
      <c r="A2836" s="1" t="n">
        <v>2835</v>
      </c>
      <c r="B2836">
        <f>TEXT(2835, "[$-170000]yyyy-mm-dd")</f>
        <v/>
      </c>
      <c r="C2836">
        <f>TEXT(2835, "[$-060000]yyyy-mm-dd")</f>
        <v/>
      </c>
      <c r="D2836" t="inlineStr">
        <is>
          <t>1325-08-28</t>
        </is>
      </c>
    </row>
    <row r="2837">
      <c r="A2837" s="1" t="n">
        <v>2836</v>
      </c>
      <c r="B2837">
        <f>TEXT(2836, "[$-170000]yyyy-mm-dd")</f>
        <v/>
      </c>
      <c r="C2837">
        <f>TEXT(2836, "[$-060000]yyyy-mm-dd")</f>
        <v/>
      </c>
      <c r="D2837" t="inlineStr">
        <is>
          <t>1325-08-29</t>
        </is>
      </c>
    </row>
    <row r="2838">
      <c r="A2838" s="1" t="n">
        <v>2837</v>
      </c>
      <c r="B2838">
        <f>TEXT(2837, "[$-170000]yyyy-mm-dd")</f>
        <v/>
      </c>
      <c r="C2838">
        <f>TEXT(2837, "[$-060000]yyyy-mm-dd")</f>
        <v/>
      </c>
      <c r="D2838" t="inlineStr">
        <is>
          <t>1325-09-01</t>
        </is>
      </c>
    </row>
    <row r="2839">
      <c r="A2839" s="1" t="n">
        <v>2838</v>
      </c>
      <c r="B2839">
        <f>TEXT(2838, "[$-170000]yyyy-mm-dd")</f>
        <v/>
      </c>
      <c r="C2839">
        <f>TEXT(2838, "[$-060000]yyyy-mm-dd")</f>
        <v/>
      </c>
      <c r="D2839" t="inlineStr">
        <is>
          <t>1325-09-02</t>
        </is>
      </c>
    </row>
    <row r="2840">
      <c r="A2840" s="1" t="n">
        <v>2839</v>
      </c>
      <c r="B2840">
        <f>TEXT(2839, "[$-170000]yyyy-mm-dd")</f>
        <v/>
      </c>
      <c r="C2840">
        <f>TEXT(2839, "[$-060000]yyyy-mm-dd")</f>
        <v/>
      </c>
      <c r="D2840" t="inlineStr">
        <is>
          <t>1325-09-03</t>
        </is>
      </c>
    </row>
    <row r="2841">
      <c r="A2841" s="1" t="n">
        <v>2840</v>
      </c>
      <c r="B2841">
        <f>TEXT(2840, "[$-170000]yyyy-mm-dd")</f>
        <v/>
      </c>
      <c r="C2841">
        <f>TEXT(2840, "[$-060000]yyyy-mm-dd")</f>
        <v/>
      </c>
      <c r="D2841" t="inlineStr">
        <is>
          <t>1325-09-04</t>
        </is>
      </c>
    </row>
    <row r="2842">
      <c r="A2842" s="1" t="n">
        <v>2841</v>
      </c>
      <c r="B2842">
        <f>TEXT(2841, "[$-170000]yyyy-mm-dd")</f>
        <v/>
      </c>
      <c r="C2842">
        <f>TEXT(2841, "[$-060000]yyyy-mm-dd")</f>
        <v/>
      </c>
      <c r="D2842" t="inlineStr">
        <is>
          <t>1325-09-05</t>
        </is>
      </c>
    </row>
    <row r="2843">
      <c r="A2843" s="1" t="n">
        <v>2842</v>
      </c>
      <c r="B2843">
        <f>TEXT(2842, "[$-170000]yyyy-mm-dd")</f>
        <v/>
      </c>
      <c r="C2843">
        <f>TEXT(2842, "[$-060000]yyyy-mm-dd")</f>
        <v/>
      </c>
      <c r="D2843" t="inlineStr">
        <is>
          <t>1325-09-06</t>
        </is>
      </c>
    </row>
    <row r="2844">
      <c r="A2844" s="1" t="n">
        <v>2843</v>
      </c>
      <c r="B2844">
        <f>TEXT(2843, "[$-170000]yyyy-mm-dd")</f>
        <v/>
      </c>
      <c r="C2844">
        <f>TEXT(2843, "[$-060000]yyyy-mm-dd")</f>
        <v/>
      </c>
      <c r="D2844" t="inlineStr">
        <is>
          <t>1325-09-07</t>
        </is>
      </c>
    </row>
    <row r="2845">
      <c r="A2845" s="1" t="n">
        <v>2844</v>
      </c>
      <c r="B2845">
        <f>TEXT(2844, "[$-170000]yyyy-mm-dd")</f>
        <v/>
      </c>
      <c r="C2845">
        <f>TEXT(2844, "[$-060000]yyyy-mm-dd")</f>
        <v/>
      </c>
      <c r="D2845" t="inlineStr">
        <is>
          <t>1325-09-08</t>
        </is>
      </c>
    </row>
    <row r="2846">
      <c r="A2846" s="1" t="n">
        <v>2845</v>
      </c>
      <c r="B2846">
        <f>TEXT(2845, "[$-170000]yyyy-mm-dd")</f>
        <v/>
      </c>
      <c r="C2846">
        <f>TEXT(2845, "[$-060000]yyyy-mm-dd")</f>
        <v/>
      </c>
      <c r="D2846" t="inlineStr">
        <is>
          <t>1325-09-09</t>
        </is>
      </c>
    </row>
    <row r="2847">
      <c r="A2847" s="1" t="n">
        <v>2846</v>
      </c>
      <c r="B2847">
        <f>TEXT(2846, "[$-170000]yyyy-mm-dd")</f>
        <v/>
      </c>
      <c r="C2847">
        <f>TEXT(2846, "[$-060000]yyyy-mm-dd")</f>
        <v/>
      </c>
      <c r="D2847" t="inlineStr">
        <is>
          <t>1325-09-10</t>
        </is>
      </c>
    </row>
    <row r="2848">
      <c r="A2848" s="1" t="n">
        <v>2847</v>
      </c>
      <c r="B2848">
        <f>TEXT(2847, "[$-170000]yyyy-mm-dd")</f>
        <v/>
      </c>
      <c r="C2848">
        <f>TEXT(2847, "[$-060000]yyyy-mm-dd")</f>
        <v/>
      </c>
      <c r="D2848" t="inlineStr">
        <is>
          <t>1325-09-11</t>
        </is>
      </c>
    </row>
    <row r="2849">
      <c r="A2849" s="1" t="n">
        <v>2848</v>
      </c>
      <c r="B2849">
        <f>TEXT(2848, "[$-170000]yyyy-mm-dd")</f>
        <v/>
      </c>
      <c r="C2849">
        <f>TEXT(2848, "[$-060000]yyyy-mm-dd")</f>
        <v/>
      </c>
      <c r="D2849" t="inlineStr">
        <is>
          <t>1325-09-12</t>
        </is>
      </c>
    </row>
    <row r="2850">
      <c r="A2850" s="1" t="n">
        <v>2849</v>
      </c>
      <c r="B2850">
        <f>TEXT(2849, "[$-170000]yyyy-mm-dd")</f>
        <v/>
      </c>
      <c r="C2850">
        <f>TEXT(2849, "[$-060000]yyyy-mm-dd")</f>
        <v/>
      </c>
      <c r="D2850" t="inlineStr">
        <is>
          <t>1325-09-13</t>
        </is>
      </c>
    </row>
    <row r="2851">
      <c r="A2851" s="1" t="n">
        <v>2850</v>
      </c>
      <c r="B2851">
        <f>TEXT(2850, "[$-170000]yyyy-mm-dd")</f>
        <v/>
      </c>
      <c r="C2851">
        <f>TEXT(2850, "[$-060000]yyyy-mm-dd")</f>
        <v/>
      </c>
      <c r="D2851" t="inlineStr">
        <is>
          <t>1325-09-14</t>
        </is>
      </c>
    </row>
    <row r="2852">
      <c r="A2852" s="1" t="n">
        <v>2851</v>
      </c>
      <c r="B2852">
        <f>TEXT(2851, "[$-170000]yyyy-mm-dd")</f>
        <v/>
      </c>
      <c r="C2852">
        <f>TEXT(2851, "[$-060000]yyyy-mm-dd")</f>
        <v/>
      </c>
      <c r="D2852" t="inlineStr">
        <is>
          <t>1325-09-15</t>
        </is>
      </c>
    </row>
    <row r="2853">
      <c r="A2853" s="1" t="n">
        <v>2852</v>
      </c>
      <c r="B2853">
        <f>TEXT(2852, "[$-170000]yyyy-mm-dd")</f>
        <v/>
      </c>
      <c r="C2853">
        <f>TEXT(2852, "[$-060000]yyyy-mm-dd")</f>
        <v/>
      </c>
      <c r="D2853" t="inlineStr">
        <is>
          <t>1325-09-16</t>
        </is>
      </c>
    </row>
    <row r="2854">
      <c r="A2854" s="1" t="n">
        <v>2853</v>
      </c>
      <c r="B2854">
        <f>TEXT(2853, "[$-170000]yyyy-mm-dd")</f>
        <v/>
      </c>
      <c r="C2854">
        <f>TEXT(2853, "[$-060000]yyyy-mm-dd")</f>
        <v/>
      </c>
      <c r="D2854" t="inlineStr">
        <is>
          <t>1325-09-17</t>
        </is>
      </c>
    </row>
    <row r="2855">
      <c r="A2855" s="1" t="n">
        <v>2854</v>
      </c>
      <c r="B2855">
        <f>TEXT(2854, "[$-170000]yyyy-mm-dd")</f>
        <v/>
      </c>
      <c r="C2855">
        <f>TEXT(2854, "[$-060000]yyyy-mm-dd")</f>
        <v/>
      </c>
      <c r="D2855" t="inlineStr">
        <is>
          <t>1325-09-18</t>
        </is>
      </c>
    </row>
    <row r="2856">
      <c r="A2856" s="1" t="n">
        <v>2855</v>
      </c>
      <c r="B2856">
        <f>TEXT(2855, "[$-170000]yyyy-mm-dd")</f>
        <v/>
      </c>
      <c r="C2856">
        <f>TEXT(2855, "[$-060000]yyyy-mm-dd")</f>
        <v/>
      </c>
      <c r="D2856" t="inlineStr">
        <is>
          <t>1325-09-19</t>
        </is>
      </c>
    </row>
    <row r="2857">
      <c r="A2857" s="1" t="n">
        <v>2856</v>
      </c>
      <c r="B2857">
        <f>TEXT(2856, "[$-170000]yyyy-mm-dd")</f>
        <v/>
      </c>
      <c r="C2857">
        <f>TEXT(2856, "[$-060000]yyyy-mm-dd")</f>
        <v/>
      </c>
      <c r="D2857" t="inlineStr">
        <is>
          <t>1325-09-20</t>
        </is>
      </c>
    </row>
    <row r="2858">
      <c r="A2858" s="1" t="n">
        <v>2857</v>
      </c>
      <c r="B2858">
        <f>TEXT(2857, "[$-170000]yyyy-mm-dd")</f>
        <v/>
      </c>
      <c r="C2858">
        <f>TEXT(2857, "[$-060000]yyyy-mm-dd")</f>
        <v/>
      </c>
      <c r="D2858" t="inlineStr">
        <is>
          <t>1325-09-21</t>
        </is>
      </c>
    </row>
    <row r="2859">
      <c r="A2859" s="1" t="n">
        <v>2858</v>
      </c>
      <c r="B2859">
        <f>TEXT(2858, "[$-170000]yyyy-mm-dd")</f>
        <v/>
      </c>
      <c r="C2859">
        <f>TEXT(2858, "[$-060000]yyyy-mm-dd")</f>
        <v/>
      </c>
      <c r="D2859" t="inlineStr">
        <is>
          <t>1325-09-22</t>
        </is>
      </c>
    </row>
    <row r="2860">
      <c r="A2860" s="1" t="n">
        <v>2859</v>
      </c>
      <c r="B2860">
        <f>TEXT(2859, "[$-170000]yyyy-mm-dd")</f>
        <v/>
      </c>
      <c r="C2860">
        <f>TEXT(2859, "[$-060000]yyyy-mm-dd")</f>
        <v/>
      </c>
      <c r="D2860" t="inlineStr">
        <is>
          <t>1325-09-23</t>
        </is>
      </c>
    </row>
    <row r="2861">
      <c r="A2861" s="1" t="n">
        <v>2860</v>
      </c>
      <c r="B2861">
        <f>TEXT(2860, "[$-170000]yyyy-mm-dd")</f>
        <v/>
      </c>
      <c r="C2861">
        <f>TEXT(2860, "[$-060000]yyyy-mm-dd")</f>
        <v/>
      </c>
      <c r="D2861" t="inlineStr">
        <is>
          <t>1325-09-24</t>
        </is>
      </c>
    </row>
    <row r="2862">
      <c r="A2862" s="1" t="n">
        <v>2861</v>
      </c>
      <c r="B2862">
        <f>TEXT(2861, "[$-170000]yyyy-mm-dd")</f>
        <v/>
      </c>
      <c r="C2862">
        <f>TEXT(2861, "[$-060000]yyyy-mm-dd")</f>
        <v/>
      </c>
      <c r="D2862" t="inlineStr">
        <is>
          <t>1325-09-25</t>
        </is>
      </c>
    </row>
    <row r="2863">
      <c r="A2863" s="1" t="n">
        <v>2862</v>
      </c>
      <c r="B2863">
        <f>TEXT(2862, "[$-170000]yyyy-mm-dd")</f>
        <v/>
      </c>
      <c r="C2863">
        <f>TEXT(2862, "[$-060000]yyyy-mm-dd")</f>
        <v/>
      </c>
      <c r="D2863" t="inlineStr">
        <is>
          <t>1325-09-26</t>
        </is>
      </c>
    </row>
    <row r="2864">
      <c r="A2864" s="1" t="n">
        <v>2863</v>
      </c>
      <c r="B2864">
        <f>TEXT(2863, "[$-170000]yyyy-mm-dd")</f>
        <v/>
      </c>
      <c r="C2864">
        <f>TEXT(2863, "[$-060000]yyyy-mm-dd")</f>
        <v/>
      </c>
      <c r="D2864" t="inlineStr">
        <is>
          <t>1325-09-27</t>
        </is>
      </c>
    </row>
    <row r="2865">
      <c r="A2865" s="1" t="n">
        <v>2864</v>
      </c>
      <c r="B2865">
        <f>TEXT(2864, "[$-170000]yyyy-mm-dd")</f>
        <v/>
      </c>
      <c r="C2865">
        <f>TEXT(2864, "[$-060000]yyyy-mm-dd")</f>
        <v/>
      </c>
      <c r="D2865" t="inlineStr">
        <is>
          <t>1325-09-28</t>
        </is>
      </c>
    </row>
    <row r="2866">
      <c r="A2866" s="1" t="n">
        <v>2865</v>
      </c>
      <c r="B2866">
        <f>TEXT(2865, "[$-170000]yyyy-mm-dd")</f>
        <v/>
      </c>
      <c r="C2866">
        <f>TEXT(2865, "[$-060000]yyyy-mm-dd")</f>
        <v/>
      </c>
      <c r="D2866" t="inlineStr">
        <is>
          <t>1325-09-29</t>
        </is>
      </c>
    </row>
    <row r="2867">
      <c r="A2867" s="1" t="n">
        <v>2866</v>
      </c>
      <c r="B2867">
        <f>TEXT(2866, "[$-170000]yyyy-mm-dd")</f>
        <v/>
      </c>
      <c r="C2867">
        <f>TEXT(2866, "[$-060000]yyyy-mm-dd")</f>
        <v/>
      </c>
      <c r="D2867" t="inlineStr">
        <is>
          <t>1325-09-30</t>
        </is>
      </c>
    </row>
    <row r="2868">
      <c r="A2868" s="1" t="n">
        <v>2867</v>
      </c>
      <c r="B2868">
        <f>TEXT(2867, "[$-170000]yyyy-mm-dd")</f>
        <v/>
      </c>
      <c r="C2868">
        <f>TEXT(2867, "[$-060000]yyyy-mm-dd")</f>
        <v/>
      </c>
      <c r="D2868" t="inlineStr">
        <is>
          <t>1325-10-01</t>
        </is>
      </c>
    </row>
    <row r="2869">
      <c r="A2869" s="1" t="n">
        <v>2868</v>
      </c>
      <c r="B2869">
        <f>TEXT(2868, "[$-170000]yyyy-mm-dd")</f>
        <v/>
      </c>
      <c r="C2869">
        <f>TEXT(2868, "[$-060000]yyyy-mm-dd")</f>
        <v/>
      </c>
      <c r="D2869" t="inlineStr">
        <is>
          <t>1325-10-02</t>
        </is>
      </c>
    </row>
    <row r="2870">
      <c r="A2870" s="1" t="n">
        <v>2869</v>
      </c>
      <c r="B2870">
        <f>TEXT(2869, "[$-170000]yyyy-mm-dd")</f>
        <v/>
      </c>
      <c r="C2870">
        <f>TEXT(2869, "[$-060000]yyyy-mm-dd")</f>
        <v/>
      </c>
      <c r="D2870" t="inlineStr">
        <is>
          <t>1325-10-03</t>
        </is>
      </c>
    </row>
    <row r="2871">
      <c r="A2871" s="1" t="n">
        <v>2870</v>
      </c>
      <c r="B2871">
        <f>TEXT(2870, "[$-170000]yyyy-mm-dd")</f>
        <v/>
      </c>
      <c r="C2871">
        <f>TEXT(2870, "[$-060000]yyyy-mm-dd")</f>
        <v/>
      </c>
      <c r="D2871" t="inlineStr">
        <is>
          <t>1325-10-04</t>
        </is>
      </c>
    </row>
    <row r="2872">
      <c r="A2872" s="1" t="n">
        <v>2871</v>
      </c>
      <c r="B2872">
        <f>TEXT(2871, "[$-170000]yyyy-mm-dd")</f>
        <v/>
      </c>
      <c r="C2872">
        <f>TEXT(2871, "[$-060000]yyyy-mm-dd")</f>
        <v/>
      </c>
      <c r="D2872" t="inlineStr">
        <is>
          <t>1325-10-05</t>
        </is>
      </c>
    </row>
    <row r="2873">
      <c r="A2873" s="1" t="n">
        <v>2872</v>
      </c>
      <c r="B2873">
        <f>TEXT(2872, "[$-170000]yyyy-mm-dd")</f>
        <v/>
      </c>
      <c r="C2873">
        <f>TEXT(2872, "[$-060000]yyyy-mm-dd")</f>
        <v/>
      </c>
      <c r="D2873" t="inlineStr">
        <is>
          <t>1325-10-06</t>
        </is>
      </c>
    </row>
    <row r="2874">
      <c r="A2874" s="1" t="n">
        <v>2873</v>
      </c>
      <c r="B2874">
        <f>TEXT(2873, "[$-170000]yyyy-mm-dd")</f>
        <v/>
      </c>
      <c r="C2874">
        <f>TEXT(2873, "[$-060000]yyyy-mm-dd")</f>
        <v/>
      </c>
      <c r="D2874" t="inlineStr">
        <is>
          <t>1325-10-07</t>
        </is>
      </c>
    </row>
    <row r="2875">
      <c r="A2875" s="1" t="n">
        <v>2874</v>
      </c>
      <c r="B2875">
        <f>TEXT(2874, "[$-170000]yyyy-mm-dd")</f>
        <v/>
      </c>
      <c r="C2875">
        <f>TEXT(2874, "[$-060000]yyyy-mm-dd")</f>
        <v/>
      </c>
      <c r="D2875" t="inlineStr">
        <is>
          <t>1325-10-08</t>
        </is>
      </c>
    </row>
    <row r="2876">
      <c r="A2876" s="1" t="n">
        <v>2875</v>
      </c>
      <c r="B2876">
        <f>TEXT(2875, "[$-170000]yyyy-mm-dd")</f>
        <v/>
      </c>
      <c r="C2876">
        <f>TEXT(2875, "[$-060000]yyyy-mm-dd")</f>
        <v/>
      </c>
      <c r="D2876" t="inlineStr">
        <is>
          <t>1325-10-09</t>
        </is>
      </c>
    </row>
    <row r="2877">
      <c r="A2877" s="1" t="n">
        <v>2876</v>
      </c>
      <c r="B2877">
        <f>TEXT(2876, "[$-170000]yyyy-mm-dd")</f>
        <v/>
      </c>
      <c r="C2877">
        <f>TEXT(2876, "[$-060000]yyyy-mm-dd")</f>
        <v/>
      </c>
      <c r="D2877" t="inlineStr">
        <is>
          <t>1325-10-10</t>
        </is>
      </c>
    </row>
    <row r="2878">
      <c r="A2878" s="1" t="n">
        <v>2877</v>
      </c>
      <c r="B2878">
        <f>TEXT(2877, "[$-170000]yyyy-mm-dd")</f>
        <v/>
      </c>
      <c r="C2878">
        <f>TEXT(2877, "[$-060000]yyyy-mm-dd")</f>
        <v/>
      </c>
      <c r="D2878" t="inlineStr">
        <is>
          <t>1325-10-11</t>
        </is>
      </c>
    </row>
    <row r="2879">
      <c r="A2879" s="1" t="n">
        <v>2878</v>
      </c>
      <c r="B2879">
        <f>TEXT(2878, "[$-170000]yyyy-mm-dd")</f>
        <v/>
      </c>
      <c r="C2879">
        <f>TEXT(2878, "[$-060000]yyyy-mm-dd")</f>
        <v/>
      </c>
      <c r="D2879" t="inlineStr">
        <is>
          <t>1325-10-12</t>
        </is>
      </c>
    </row>
    <row r="2880">
      <c r="A2880" s="1" t="n">
        <v>2879</v>
      </c>
      <c r="B2880">
        <f>TEXT(2879, "[$-170000]yyyy-mm-dd")</f>
        <v/>
      </c>
      <c r="C2880">
        <f>TEXT(2879, "[$-060000]yyyy-mm-dd")</f>
        <v/>
      </c>
      <c r="D2880" t="inlineStr">
        <is>
          <t>1325-10-13</t>
        </is>
      </c>
    </row>
    <row r="2881">
      <c r="A2881" s="1" t="n">
        <v>2880</v>
      </c>
      <c r="B2881">
        <f>TEXT(2880, "[$-170000]yyyy-mm-dd")</f>
        <v/>
      </c>
      <c r="C2881">
        <f>TEXT(2880, "[$-060000]yyyy-mm-dd")</f>
        <v/>
      </c>
      <c r="D2881" t="inlineStr">
        <is>
          <t>1325-10-14</t>
        </is>
      </c>
    </row>
    <row r="2882">
      <c r="A2882" s="1" t="n">
        <v>2881</v>
      </c>
      <c r="B2882">
        <f>TEXT(2881, "[$-170000]yyyy-mm-dd")</f>
        <v/>
      </c>
      <c r="C2882">
        <f>TEXT(2881, "[$-060000]yyyy-mm-dd")</f>
        <v/>
      </c>
      <c r="D2882" t="inlineStr">
        <is>
          <t>1325-10-15</t>
        </is>
      </c>
    </row>
    <row r="2883">
      <c r="A2883" s="1" t="n">
        <v>2882</v>
      </c>
      <c r="B2883">
        <f>TEXT(2882, "[$-170000]yyyy-mm-dd")</f>
        <v/>
      </c>
      <c r="C2883">
        <f>TEXT(2882, "[$-060000]yyyy-mm-dd")</f>
        <v/>
      </c>
      <c r="D2883" t="inlineStr">
        <is>
          <t>1325-10-16</t>
        </is>
      </c>
    </row>
    <row r="2884">
      <c r="A2884" s="1" t="n">
        <v>2883</v>
      </c>
      <c r="B2884">
        <f>TEXT(2883, "[$-170000]yyyy-mm-dd")</f>
        <v/>
      </c>
      <c r="C2884">
        <f>TEXT(2883, "[$-060000]yyyy-mm-dd")</f>
        <v/>
      </c>
      <c r="D2884" t="inlineStr">
        <is>
          <t>1325-10-17</t>
        </is>
      </c>
    </row>
    <row r="2885">
      <c r="A2885" s="1" t="n">
        <v>2884</v>
      </c>
      <c r="B2885">
        <f>TEXT(2884, "[$-170000]yyyy-mm-dd")</f>
        <v/>
      </c>
      <c r="C2885">
        <f>TEXT(2884, "[$-060000]yyyy-mm-dd")</f>
        <v/>
      </c>
      <c r="D2885" t="inlineStr">
        <is>
          <t>1325-10-18</t>
        </is>
      </c>
    </row>
    <row r="2886">
      <c r="A2886" s="1" t="n">
        <v>2885</v>
      </c>
      <c r="B2886">
        <f>TEXT(2885, "[$-170000]yyyy-mm-dd")</f>
        <v/>
      </c>
      <c r="C2886">
        <f>TEXT(2885, "[$-060000]yyyy-mm-dd")</f>
        <v/>
      </c>
      <c r="D2886" t="inlineStr">
        <is>
          <t>1325-10-19</t>
        </is>
      </c>
    </row>
    <row r="2887">
      <c r="A2887" s="1" t="n">
        <v>2886</v>
      </c>
      <c r="B2887">
        <f>TEXT(2886, "[$-170000]yyyy-mm-dd")</f>
        <v/>
      </c>
      <c r="C2887">
        <f>TEXT(2886, "[$-060000]yyyy-mm-dd")</f>
        <v/>
      </c>
      <c r="D2887" t="inlineStr">
        <is>
          <t>1325-10-20</t>
        </is>
      </c>
    </row>
    <row r="2888">
      <c r="A2888" s="1" t="n">
        <v>2887</v>
      </c>
      <c r="B2888">
        <f>TEXT(2887, "[$-170000]yyyy-mm-dd")</f>
        <v/>
      </c>
      <c r="C2888">
        <f>TEXT(2887, "[$-060000]yyyy-mm-dd")</f>
        <v/>
      </c>
      <c r="D2888" t="inlineStr">
        <is>
          <t>1325-10-21</t>
        </is>
      </c>
    </row>
    <row r="2889">
      <c r="A2889" s="1" t="n">
        <v>2888</v>
      </c>
      <c r="B2889">
        <f>TEXT(2888, "[$-170000]yyyy-mm-dd")</f>
        <v/>
      </c>
      <c r="C2889">
        <f>TEXT(2888, "[$-060000]yyyy-mm-dd")</f>
        <v/>
      </c>
      <c r="D2889" t="inlineStr">
        <is>
          <t>1325-10-22</t>
        </is>
      </c>
    </row>
    <row r="2890">
      <c r="A2890" s="1" t="n">
        <v>2889</v>
      </c>
      <c r="B2890">
        <f>TEXT(2889, "[$-170000]yyyy-mm-dd")</f>
        <v/>
      </c>
      <c r="C2890">
        <f>TEXT(2889, "[$-060000]yyyy-mm-dd")</f>
        <v/>
      </c>
      <c r="D2890" t="inlineStr">
        <is>
          <t>1325-10-23</t>
        </is>
      </c>
    </row>
    <row r="2891">
      <c r="A2891" s="1" t="n">
        <v>2890</v>
      </c>
      <c r="B2891">
        <f>TEXT(2890, "[$-170000]yyyy-mm-dd")</f>
        <v/>
      </c>
      <c r="C2891">
        <f>TEXT(2890, "[$-060000]yyyy-mm-dd")</f>
        <v/>
      </c>
      <c r="D2891" t="inlineStr">
        <is>
          <t>1325-10-24</t>
        </is>
      </c>
    </row>
    <row r="2892">
      <c r="A2892" s="1" t="n">
        <v>2891</v>
      </c>
      <c r="B2892">
        <f>TEXT(2891, "[$-170000]yyyy-mm-dd")</f>
        <v/>
      </c>
      <c r="C2892">
        <f>TEXT(2891, "[$-060000]yyyy-mm-dd")</f>
        <v/>
      </c>
      <c r="D2892" t="inlineStr">
        <is>
          <t>1325-10-25</t>
        </is>
      </c>
    </row>
    <row r="2893">
      <c r="A2893" s="1" t="n">
        <v>2892</v>
      </c>
      <c r="B2893">
        <f>TEXT(2892, "[$-170000]yyyy-mm-dd")</f>
        <v/>
      </c>
      <c r="C2893">
        <f>TEXT(2892, "[$-060000]yyyy-mm-dd")</f>
        <v/>
      </c>
      <c r="D2893" t="inlineStr">
        <is>
          <t>1325-10-26</t>
        </is>
      </c>
    </row>
    <row r="2894">
      <c r="A2894" s="1" t="n">
        <v>2893</v>
      </c>
      <c r="B2894">
        <f>TEXT(2893, "[$-170000]yyyy-mm-dd")</f>
        <v/>
      </c>
      <c r="C2894">
        <f>TEXT(2893, "[$-060000]yyyy-mm-dd")</f>
        <v/>
      </c>
      <c r="D2894" t="inlineStr">
        <is>
          <t>1325-10-27</t>
        </is>
      </c>
    </row>
    <row r="2895">
      <c r="A2895" s="1" t="n">
        <v>2894</v>
      </c>
      <c r="B2895">
        <f>TEXT(2894, "[$-170000]yyyy-mm-dd")</f>
        <v/>
      </c>
      <c r="C2895">
        <f>TEXT(2894, "[$-060000]yyyy-mm-dd")</f>
        <v/>
      </c>
      <c r="D2895" t="inlineStr">
        <is>
          <t>1325-10-28</t>
        </is>
      </c>
    </row>
    <row r="2896">
      <c r="A2896" s="1" t="n">
        <v>2895</v>
      </c>
      <c r="B2896">
        <f>TEXT(2895, "[$-170000]yyyy-mm-dd")</f>
        <v/>
      </c>
      <c r="C2896">
        <f>TEXT(2895, "[$-060000]yyyy-mm-dd")</f>
        <v/>
      </c>
      <c r="D2896" t="inlineStr">
        <is>
          <t>1325-10-29</t>
        </is>
      </c>
    </row>
    <row r="2897">
      <c r="A2897" s="1" t="n">
        <v>2896</v>
      </c>
      <c r="B2897">
        <f>TEXT(2896, "[$-170000]yyyy-mm-dd")</f>
        <v/>
      </c>
      <c r="C2897">
        <f>TEXT(2896, "[$-060000]yyyy-mm-dd")</f>
        <v/>
      </c>
      <c r="D2897" t="inlineStr">
        <is>
          <t>1325-11-01</t>
        </is>
      </c>
    </row>
    <row r="2898">
      <c r="A2898" s="1" t="n">
        <v>2897</v>
      </c>
      <c r="B2898">
        <f>TEXT(2897, "[$-170000]yyyy-mm-dd")</f>
        <v/>
      </c>
      <c r="C2898">
        <f>TEXT(2897, "[$-060000]yyyy-mm-dd")</f>
        <v/>
      </c>
      <c r="D2898" t="inlineStr">
        <is>
          <t>1325-11-02</t>
        </is>
      </c>
    </row>
    <row r="2899">
      <c r="A2899" s="1" t="n">
        <v>2898</v>
      </c>
      <c r="B2899">
        <f>TEXT(2898, "[$-170000]yyyy-mm-dd")</f>
        <v/>
      </c>
      <c r="C2899">
        <f>TEXT(2898, "[$-060000]yyyy-mm-dd")</f>
        <v/>
      </c>
      <c r="D2899" t="inlineStr">
        <is>
          <t>1325-11-03</t>
        </is>
      </c>
    </row>
    <row r="2900">
      <c r="A2900" s="1" t="n">
        <v>2899</v>
      </c>
      <c r="B2900">
        <f>TEXT(2899, "[$-170000]yyyy-mm-dd")</f>
        <v/>
      </c>
      <c r="C2900">
        <f>TEXT(2899, "[$-060000]yyyy-mm-dd")</f>
        <v/>
      </c>
      <c r="D2900" t="inlineStr">
        <is>
          <t>1325-11-04</t>
        </is>
      </c>
    </row>
    <row r="2901">
      <c r="A2901" s="1" t="n">
        <v>2900</v>
      </c>
      <c r="B2901">
        <f>TEXT(2900, "[$-170000]yyyy-mm-dd")</f>
        <v/>
      </c>
      <c r="C2901">
        <f>TEXT(2900, "[$-060000]yyyy-mm-dd")</f>
        <v/>
      </c>
      <c r="D2901" t="inlineStr">
        <is>
          <t>1325-11-05</t>
        </is>
      </c>
    </row>
    <row r="2902">
      <c r="A2902" s="1" t="n">
        <v>2901</v>
      </c>
      <c r="B2902">
        <f>TEXT(2901, "[$-170000]yyyy-mm-dd")</f>
        <v/>
      </c>
      <c r="C2902">
        <f>TEXT(2901, "[$-060000]yyyy-mm-dd")</f>
        <v/>
      </c>
      <c r="D2902" t="inlineStr">
        <is>
          <t>1325-11-06</t>
        </is>
      </c>
    </row>
    <row r="2903">
      <c r="A2903" s="1" t="n">
        <v>2902</v>
      </c>
      <c r="B2903">
        <f>TEXT(2902, "[$-170000]yyyy-mm-dd")</f>
        <v/>
      </c>
      <c r="C2903">
        <f>TEXT(2902, "[$-060000]yyyy-mm-dd")</f>
        <v/>
      </c>
      <c r="D2903" t="inlineStr">
        <is>
          <t>1325-11-07</t>
        </is>
      </c>
    </row>
    <row r="2904">
      <c r="A2904" s="1" t="n">
        <v>2903</v>
      </c>
      <c r="B2904">
        <f>TEXT(2903, "[$-170000]yyyy-mm-dd")</f>
        <v/>
      </c>
      <c r="C2904">
        <f>TEXT(2903, "[$-060000]yyyy-mm-dd")</f>
        <v/>
      </c>
      <c r="D2904" t="inlineStr">
        <is>
          <t>1325-11-08</t>
        </is>
      </c>
    </row>
    <row r="2905">
      <c r="A2905" s="1" t="n">
        <v>2904</v>
      </c>
      <c r="B2905">
        <f>TEXT(2904, "[$-170000]yyyy-mm-dd")</f>
        <v/>
      </c>
      <c r="C2905">
        <f>TEXT(2904, "[$-060000]yyyy-mm-dd")</f>
        <v/>
      </c>
      <c r="D2905" t="inlineStr">
        <is>
          <t>1325-11-09</t>
        </is>
      </c>
    </row>
    <row r="2906">
      <c r="A2906" s="1" t="n">
        <v>2905</v>
      </c>
      <c r="B2906">
        <f>TEXT(2905, "[$-170000]yyyy-mm-dd")</f>
        <v/>
      </c>
      <c r="C2906">
        <f>TEXT(2905, "[$-060000]yyyy-mm-dd")</f>
        <v/>
      </c>
      <c r="D2906" t="inlineStr">
        <is>
          <t>1325-11-10</t>
        </is>
      </c>
    </row>
    <row r="2907">
      <c r="A2907" s="1" t="n">
        <v>2906</v>
      </c>
      <c r="B2907">
        <f>TEXT(2906, "[$-170000]yyyy-mm-dd")</f>
        <v/>
      </c>
      <c r="C2907">
        <f>TEXT(2906, "[$-060000]yyyy-mm-dd")</f>
        <v/>
      </c>
      <c r="D2907" t="inlineStr">
        <is>
          <t>1325-11-11</t>
        </is>
      </c>
    </row>
    <row r="2908">
      <c r="A2908" s="1" t="n">
        <v>2907</v>
      </c>
      <c r="B2908">
        <f>TEXT(2907, "[$-170000]yyyy-mm-dd")</f>
        <v/>
      </c>
      <c r="C2908">
        <f>TEXT(2907, "[$-060000]yyyy-mm-dd")</f>
        <v/>
      </c>
      <c r="D2908" t="inlineStr">
        <is>
          <t>1325-11-12</t>
        </is>
      </c>
    </row>
    <row r="2909">
      <c r="A2909" s="1" t="n">
        <v>2908</v>
      </c>
      <c r="B2909">
        <f>TEXT(2908, "[$-170000]yyyy-mm-dd")</f>
        <v/>
      </c>
      <c r="C2909">
        <f>TEXT(2908, "[$-060000]yyyy-mm-dd")</f>
        <v/>
      </c>
      <c r="D2909" t="inlineStr">
        <is>
          <t>1325-11-13</t>
        </is>
      </c>
    </row>
    <row r="2910">
      <c r="A2910" s="1" t="n">
        <v>2909</v>
      </c>
      <c r="B2910">
        <f>TEXT(2909, "[$-170000]yyyy-mm-dd")</f>
        <v/>
      </c>
      <c r="C2910">
        <f>TEXT(2909, "[$-060000]yyyy-mm-dd")</f>
        <v/>
      </c>
      <c r="D2910" t="inlineStr">
        <is>
          <t>1325-11-14</t>
        </is>
      </c>
    </row>
    <row r="2911">
      <c r="A2911" s="1" t="n">
        <v>2910</v>
      </c>
      <c r="B2911">
        <f>TEXT(2910, "[$-170000]yyyy-mm-dd")</f>
        <v/>
      </c>
      <c r="C2911">
        <f>TEXT(2910, "[$-060000]yyyy-mm-dd")</f>
        <v/>
      </c>
      <c r="D2911" t="inlineStr">
        <is>
          <t>1325-11-15</t>
        </is>
      </c>
    </row>
    <row r="2912">
      <c r="A2912" s="1" t="n">
        <v>2911</v>
      </c>
      <c r="B2912">
        <f>TEXT(2911, "[$-170000]yyyy-mm-dd")</f>
        <v/>
      </c>
      <c r="C2912">
        <f>TEXT(2911, "[$-060000]yyyy-mm-dd")</f>
        <v/>
      </c>
      <c r="D2912" t="inlineStr">
        <is>
          <t>1325-11-16</t>
        </is>
      </c>
    </row>
    <row r="2913">
      <c r="A2913" s="1" t="n">
        <v>2912</v>
      </c>
      <c r="B2913">
        <f>TEXT(2912, "[$-170000]yyyy-mm-dd")</f>
        <v/>
      </c>
      <c r="C2913">
        <f>TEXT(2912, "[$-060000]yyyy-mm-dd")</f>
        <v/>
      </c>
      <c r="D2913" t="inlineStr">
        <is>
          <t>1325-11-17</t>
        </is>
      </c>
    </row>
    <row r="2914">
      <c r="A2914" s="1" t="n">
        <v>2913</v>
      </c>
      <c r="B2914">
        <f>TEXT(2913, "[$-170000]yyyy-mm-dd")</f>
        <v/>
      </c>
      <c r="C2914">
        <f>TEXT(2913, "[$-060000]yyyy-mm-dd")</f>
        <v/>
      </c>
      <c r="D2914" t="inlineStr">
        <is>
          <t>1325-11-18</t>
        </is>
      </c>
    </row>
    <row r="2915">
      <c r="A2915" s="1" t="n">
        <v>2914</v>
      </c>
      <c r="B2915">
        <f>TEXT(2914, "[$-170000]yyyy-mm-dd")</f>
        <v/>
      </c>
      <c r="C2915">
        <f>TEXT(2914, "[$-060000]yyyy-mm-dd")</f>
        <v/>
      </c>
      <c r="D2915" t="inlineStr">
        <is>
          <t>1325-11-19</t>
        </is>
      </c>
    </row>
    <row r="2916">
      <c r="A2916" s="1" t="n">
        <v>2915</v>
      </c>
      <c r="B2916">
        <f>TEXT(2915, "[$-170000]yyyy-mm-dd")</f>
        <v/>
      </c>
      <c r="C2916">
        <f>TEXT(2915, "[$-060000]yyyy-mm-dd")</f>
        <v/>
      </c>
      <c r="D2916" t="inlineStr">
        <is>
          <t>1325-11-20</t>
        </is>
      </c>
    </row>
    <row r="2917">
      <c r="A2917" s="1" t="n">
        <v>2916</v>
      </c>
      <c r="B2917">
        <f>TEXT(2916, "[$-170000]yyyy-mm-dd")</f>
        <v/>
      </c>
      <c r="C2917">
        <f>TEXT(2916, "[$-060000]yyyy-mm-dd")</f>
        <v/>
      </c>
      <c r="D2917" t="inlineStr">
        <is>
          <t>1325-11-21</t>
        </is>
      </c>
    </row>
    <row r="2918">
      <c r="A2918" s="1" t="n">
        <v>2917</v>
      </c>
      <c r="B2918">
        <f>TEXT(2917, "[$-170000]yyyy-mm-dd")</f>
        <v/>
      </c>
      <c r="C2918">
        <f>TEXT(2917, "[$-060000]yyyy-mm-dd")</f>
        <v/>
      </c>
      <c r="D2918" t="inlineStr">
        <is>
          <t>1325-11-22</t>
        </is>
      </c>
    </row>
    <row r="2919">
      <c r="A2919" s="1" t="n">
        <v>2918</v>
      </c>
      <c r="B2919">
        <f>TEXT(2918, "[$-170000]yyyy-mm-dd")</f>
        <v/>
      </c>
      <c r="C2919">
        <f>TEXT(2918, "[$-060000]yyyy-mm-dd")</f>
        <v/>
      </c>
      <c r="D2919" t="inlineStr">
        <is>
          <t>1325-11-23</t>
        </is>
      </c>
    </row>
    <row r="2920">
      <c r="A2920" s="1" t="n">
        <v>2919</v>
      </c>
      <c r="B2920">
        <f>TEXT(2919, "[$-170000]yyyy-mm-dd")</f>
        <v/>
      </c>
      <c r="C2920">
        <f>TEXT(2919, "[$-060000]yyyy-mm-dd")</f>
        <v/>
      </c>
      <c r="D2920" t="inlineStr">
        <is>
          <t>1325-11-24</t>
        </is>
      </c>
    </row>
    <row r="2921">
      <c r="A2921" s="1" t="n">
        <v>2920</v>
      </c>
      <c r="B2921">
        <f>TEXT(2920, "[$-170000]yyyy-mm-dd")</f>
        <v/>
      </c>
      <c r="C2921">
        <f>TEXT(2920, "[$-060000]yyyy-mm-dd")</f>
        <v/>
      </c>
      <c r="D2921" t="inlineStr">
        <is>
          <t>1325-11-25</t>
        </is>
      </c>
    </row>
    <row r="2922">
      <c r="A2922" s="1" t="n">
        <v>2921</v>
      </c>
      <c r="B2922">
        <f>TEXT(2921, "[$-170000]yyyy-mm-dd")</f>
        <v/>
      </c>
      <c r="C2922">
        <f>TEXT(2921, "[$-060000]yyyy-mm-dd")</f>
        <v/>
      </c>
      <c r="D2922" t="inlineStr">
        <is>
          <t>1325-11-26</t>
        </is>
      </c>
    </row>
    <row r="2923">
      <c r="A2923" s="1" t="n">
        <v>2922</v>
      </c>
      <c r="B2923">
        <f>TEXT(2922, "[$-170000]yyyy-mm-dd")</f>
        <v/>
      </c>
      <c r="C2923">
        <f>TEXT(2922, "[$-060000]yyyy-mm-dd")</f>
        <v/>
      </c>
      <c r="D2923" t="inlineStr">
        <is>
          <t>1325-11-27</t>
        </is>
      </c>
    </row>
    <row r="2924">
      <c r="A2924" s="1" t="n">
        <v>2923</v>
      </c>
      <c r="B2924">
        <f>TEXT(2923, "[$-170000]yyyy-mm-dd")</f>
        <v/>
      </c>
      <c r="C2924">
        <f>TEXT(2923, "[$-060000]yyyy-mm-dd")</f>
        <v/>
      </c>
      <c r="D2924" t="inlineStr">
        <is>
          <t>1325-11-28</t>
        </is>
      </c>
    </row>
    <row r="2925">
      <c r="A2925" s="1" t="n">
        <v>2924</v>
      </c>
      <c r="B2925">
        <f>TEXT(2924, "[$-170000]yyyy-mm-dd")</f>
        <v/>
      </c>
      <c r="C2925">
        <f>TEXT(2924, "[$-060000]yyyy-mm-dd")</f>
        <v/>
      </c>
      <c r="D2925" t="inlineStr">
        <is>
          <t>1325-11-29</t>
        </is>
      </c>
    </row>
    <row r="2926">
      <c r="A2926" s="1" t="n">
        <v>2925</v>
      </c>
      <c r="B2926">
        <f>TEXT(2925, "[$-170000]yyyy-mm-dd")</f>
        <v/>
      </c>
      <c r="C2926">
        <f>TEXT(2925, "[$-060000]yyyy-mm-dd")</f>
        <v/>
      </c>
      <c r="D2926" t="inlineStr">
        <is>
          <t>1325-11-30</t>
        </is>
      </c>
    </row>
    <row r="2927">
      <c r="A2927" s="1" t="n">
        <v>2926</v>
      </c>
      <c r="B2927">
        <f>TEXT(2926, "[$-170000]yyyy-mm-dd")</f>
        <v/>
      </c>
      <c r="C2927">
        <f>TEXT(2926, "[$-060000]yyyy-mm-dd")</f>
        <v/>
      </c>
      <c r="D2927" t="inlineStr">
        <is>
          <t>1325-12-01</t>
        </is>
      </c>
    </row>
    <row r="2928">
      <c r="A2928" s="1" t="n">
        <v>2927</v>
      </c>
      <c r="B2928">
        <f>TEXT(2927, "[$-170000]yyyy-mm-dd")</f>
        <v/>
      </c>
      <c r="C2928">
        <f>TEXT(2927, "[$-060000]yyyy-mm-dd")</f>
        <v/>
      </c>
      <c r="D2928" t="inlineStr">
        <is>
          <t>1325-12-02</t>
        </is>
      </c>
    </row>
    <row r="2929">
      <c r="A2929" s="1" t="n">
        <v>2928</v>
      </c>
      <c r="B2929">
        <f>TEXT(2928, "[$-170000]yyyy-mm-dd")</f>
        <v/>
      </c>
      <c r="C2929">
        <f>TEXT(2928, "[$-060000]yyyy-mm-dd")</f>
        <v/>
      </c>
      <c r="D2929" t="inlineStr">
        <is>
          <t>1325-12-03</t>
        </is>
      </c>
    </row>
    <row r="2930">
      <c r="A2930" s="1" t="n">
        <v>2929</v>
      </c>
      <c r="B2930">
        <f>TEXT(2929, "[$-170000]yyyy-mm-dd")</f>
        <v/>
      </c>
      <c r="C2930">
        <f>TEXT(2929, "[$-060000]yyyy-mm-dd")</f>
        <v/>
      </c>
      <c r="D2930" t="inlineStr">
        <is>
          <t>1325-12-04</t>
        </is>
      </c>
    </row>
    <row r="2931">
      <c r="A2931" s="1" t="n">
        <v>2930</v>
      </c>
      <c r="B2931">
        <f>TEXT(2930, "[$-170000]yyyy-mm-dd")</f>
        <v/>
      </c>
      <c r="C2931">
        <f>TEXT(2930, "[$-060000]yyyy-mm-dd")</f>
        <v/>
      </c>
      <c r="D2931" t="inlineStr">
        <is>
          <t>1325-12-05</t>
        </is>
      </c>
    </row>
    <row r="2932">
      <c r="A2932" s="1" t="n">
        <v>2931</v>
      </c>
      <c r="B2932">
        <f>TEXT(2931, "[$-170000]yyyy-mm-dd")</f>
        <v/>
      </c>
      <c r="C2932">
        <f>TEXT(2931, "[$-060000]yyyy-mm-dd")</f>
        <v/>
      </c>
      <c r="D2932" t="inlineStr">
        <is>
          <t>1325-12-06</t>
        </is>
      </c>
    </row>
    <row r="2933">
      <c r="A2933" s="1" t="n">
        <v>2932</v>
      </c>
      <c r="B2933">
        <f>TEXT(2932, "[$-170000]yyyy-mm-dd")</f>
        <v/>
      </c>
      <c r="C2933">
        <f>TEXT(2932, "[$-060000]yyyy-mm-dd")</f>
        <v/>
      </c>
      <c r="D2933" t="inlineStr">
        <is>
          <t>1325-12-07</t>
        </is>
      </c>
    </row>
    <row r="2934">
      <c r="A2934" s="1" t="n">
        <v>2933</v>
      </c>
      <c r="B2934">
        <f>TEXT(2933, "[$-170000]yyyy-mm-dd")</f>
        <v/>
      </c>
      <c r="C2934">
        <f>TEXT(2933, "[$-060000]yyyy-mm-dd")</f>
        <v/>
      </c>
      <c r="D2934" t="inlineStr">
        <is>
          <t>1325-12-08</t>
        </is>
      </c>
    </row>
    <row r="2935">
      <c r="A2935" s="1" t="n">
        <v>2934</v>
      </c>
      <c r="B2935">
        <f>TEXT(2934, "[$-170000]yyyy-mm-dd")</f>
        <v/>
      </c>
      <c r="C2935">
        <f>TEXT(2934, "[$-060000]yyyy-mm-dd")</f>
        <v/>
      </c>
      <c r="D2935" t="inlineStr">
        <is>
          <t>1325-12-09</t>
        </is>
      </c>
    </row>
    <row r="2936">
      <c r="A2936" s="1" t="n">
        <v>2935</v>
      </c>
      <c r="B2936">
        <f>TEXT(2935, "[$-170000]yyyy-mm-dd")</f>
        <v/>
      </c>
      <c r="C2936">
        <f>TEXT(2935, "[$-060000]yyyy-mm-dd")</f>
        <v/>
      </c>
      <c r="D2936" t="inlineStr">
        <is>
          <t>1325-12-10</t>
        </is>
      </c>
    </row>
    <row r="2937">
      <c r="A2937" s="1" t="n">
        <v>2936</v>
      </c>
      <c r="B2937">
        <f>TEXT(2936, "[$-170000]yyyy-mm-dd")</f>
        <v/>
      </c>
      <c r="C2937">
        <f>TEXT(2936, "[$-060000]yyyy-mm-dd")</f>
        <v/>
      </c>
      <c r="D2937" t="inlineStr">
        <is>
          <t>1325-12-11</t>
        </is>
      </c>
    </row>
    <row r="2938">
      <c r="A2938" s="1" t="n">
        <v>2937</v>
      </c>
      <c r="B2938">
        <f>TEXT(2937, "[$-170000]yyyy-mm-dd")</f>
        <v/>
      </c>
      <c r="C2938">
        <f>TEXT(2937, "[$-060000]yyyy-mm-dd")</f>
        <v/>
      </c>
      <c r="D2938" t="inlineStr">
        <is>
          <t>1325-12-12</t>
        </is>
      </c>
    </row>
    <row r="2939">
      <c r="A2939" s="1" t="n">
        <v>2938</v>
      </c>
      <c r="B2939">
        <f>TEXT(2938, "[$-170000]yyyy-mm-dd")</f>
        <v/>
      </c>
      <c r="C2939">
        <f>TEXT(2938, "[$-060000]yyyy-mm-dd")</f>
        <v/>
      </c>
      <c r="D2939" t="inlineStr">
        <is>
          <t>1325-12-13</t>
        </is>
      </c>
    </row>
    <row r="2940">
      <c r="A2940" s="1" t="n">
        <v>2939</v>
      </c>
      <c r="B2940">
        <f>TEXT(2939, "[$-170000]yyyy-mm-dd")</f>
        <v/>
      </c>
      <c r="C2940">
        <f>TEXT(2939, "[$-060000]yyyy-mm-dd")</f>
        <v/>
      </c>
      <c r="D2940" t="inlineStr">
        <is>
          <t>1325-12-14</t>
        </is>
      </c>
    </row>
    <row r="2941">
      <c r="A2941" s="1" t="n">
        <v>2940</v>
      </c>
      <c r="B2941">
        <f>TEXT(2940, "[$-170000]yyyy-mm-dd")</f>
        <v/>
      </c>
      <c r="C2941">
        <f>TEXT(2940, "[$-060000]yyyy-mm-dd")</f>
        <v/>
      </c>
      <c r="D2941" t="inlineStr">
        <is>
          <t>1325-12-15</t>
        </is>
      </c>
    </row>
    <row r="2942">
      <c r="A2942" s="1" t="n">
        <v>2941</v>
      </c>
      <c r="B2942">
        <f>TEXT(2941, "[$-170000]yyyy-mm-dd")</f>
        <v/>
      </c>
      <c r="C2942">
        <f>TEXT(2941, "[$-060000]yyyy-mm-dd")</f>
        <v/>
      </c>
      <c r="D2942" t="inlineStr">
        <is>
          <t>1325-12-16</t>
        </is>
      </c>
    </row>
    <row r="2943">
      <c r="A2943" s="1" t="n">
        <v>2942</v>
      </c>
      <c r="B2943">
        <f>TEXT(2942, "[$-170000]yyyy-mm-dd")</f>
        <v/>
      </c>
      <c r="C2943">
        <f>TEXT(2942, "[$-060000]yyyy-mm-dd")</f>
        <v/>
      </c>
      <c r="D2943" t="inlineStr">
        <is>
          <t>1325-12-17</t>
        </is>
      </c>
    </row>
    <row r="2944">
      <c r="A2944" s="1" t="n">
        <v>2943</v>
      </c>
      <c r="B2944">
        <f>TEXT(2943, "[$-170000]yyyy-mm-dd")</f>
        <v/>
      </c>
      <c r="C2944">
        <f>TEXT(2943, "[$-060000]yyyy-mm-dd")</f>
        <v/>
      </c>
      <c r="D2944" t="inlineStr">
        <is>
          <t>1325-12-18</t>
        </is>
      </c>
    </row>
    <row r="2945">
      <c r="A2945" s="1" t="n">
        <v>2944</v>
      </c>
      <c r="B2945">
        <f>TEXT(2944, "[$-170000]yyyy-mm-dd")</f>
        <v/>
      </c>
      <c r="C2945">
        <f>TEXT(2944, "[$-060000]yyyy-mm-dd")</f>
        <v/>
      </c>
      <c r="D2945" t="inlineStr">
        <is>
          <t>1325-12-19</t>
        </is>
      </c>
    </row>
    <row r="2946">
      <c r="A2946" s="1" t="n">
        <v>2945</v>
      </c>
      <c r="B2946">
        <f>TEXT(2945, "[$-170000]yyyy-mm-dd")</f>
        <v/>
      </c>
      <c r="C2946">
        <f>TEXT(2945, "[$-060000]yyyy-mm-dd")</f>
        <v/>
      </c>
      <c r="D2946" t="inlineStr">
        <is>
          <t>1325-12-20</t>
        </is>
      </c>
    </row>
    <row r="2947">
      <c r="A2947" s="1" t="n">
        <v>2946</v>
      </c>
      <c r="B2947">
        <f>TEXT(2946, "[$-170000]yyyy-mm-dd")</f>
        <v/>
      </c>
      <c r="C2947">
        <f>TEXT(2946, "[$-060000]yyyy-mm-dd")</f>
        <v/>
      </c>
      <c r="D2947" t="inlineStr">
        <is>
          <t>1325-12-21</t>
        </is>
      </c>
    </row>
    <row r="2948">
      <c r="A2948" s="1" t="n">
        <v>2947</v>
      </c>
      <c r="B2948">
        <f>TEXT(2947, "[$-170000]yyyy-mm-dd")</f>
        <v/>
      </c>
      <c r="C2948">
        <f>TEXT(2947, "[$-060000]yyyy-mm-dd")</f>
        <v/>
      </c>
      <c r="D2948" t="inlineStr">
        <is>
          <t>1325-12-22</t>
        </is>
      </c>
    </row>
    <row r="2949">
      <c r="A2949" s="1" t="n">
        <v>2948</v>
      </c>
      <c r="B2949">
        <f>TEXT(2948, "[$-170000]yyyy-mm-dd")</f>
        <v/>
      </c>
      <c r="C2949">
        <f>TEXT(2948, "[$-060000]yyyy-mm-dd")</f>
        <v/>
      </c>
      <c r="D2949" t="inlineStr">
        <is>
          <t>1325-12-23</t>
        </is>
      </c>
    </row>
    <row r="2950">
      <c r="A2950" s="1" t="n">
        <v>2949</v>
      </c>
      <c r="B2950">
        <f>TEXT(2949, "[$-170000]yyyy-mm-dd")</f>
        <v/>
      </c>
      <c r="C2950">
        <f>TEXT(2949, "[$-060000]yyyy-mm-dd")</f>
        <v/>
      </c>
      <c r="D2950" t="inlineStr">
        <is>
          <t>1325-12-24</t>
        </is>
      </c>
    </row>
    <row r="2951">
      <c r="A2951" s="1" t="n">
        <v>2950</v>
      </c>
      <c r="B2951">
        <f>TEXT(2950, "[$-170000]yyyy-mm-dd")</f>
        <v/>
      </c>
      <c r="C2951">
        <f>TEXT(2950, "[$-060000]yyyy-mm-dd")</f>
        <v/>
      </c>
      <c r="D2951" t="inlineStr">
        <is>
          <t>1325-12-25</t>
        </is>
      </c>
    </row>
    <row r="2952">
      <c r="A2952" s="1" t="n">
        <v>2951</v>
      </c>
      <c r="B2952">
        <f>TEXT(2951, "[$-170000]yyyy-mm-dd")</f>
        <v/>
      </c>
      <c r="C2952">
        <f>TEXT(2951, "[$-060000]yyyy-mm-dd")</f>
        <v/>
      </c>
      <c r="D2952" t="inlineStr">
        <is>
          <t>1325-12-26</t>
        </is>
      </c>
    </row>
    <row r="2953">
      <c r="A2953" s="1" t="n">
        <v>2952</v>
      </c>
      <c r="B2953">
        <f>TEXT(2952, "[$-170000]yyyy-mm-dd")</f>
        <v/>
      </c>
      <c r="C2953">
        <f>TEXT(2952, "[$-060000]yyyy-mm-dd")</f>
        <v/>
      </c>
      <c r="D2953" t="inlineStr">
        <is>
          <t>1325-12-27</t>
        </is>
      </c>
    </row>
    <row r="2954">
      <c r="A2954" s="1" t="n">
        <v>2953</v>
      </c>
      <c r="B2954">
        <f>TEXT(2953, "[$-170000]yyyy-mm-dd")</f>
        <v/>
      </c>
      <c r="C2954">
        <f>TEXT(2953, "[$-060000]yyyy-mm-dd")</f>
        <v/>
      </c>
      <c r="D2954" t="inlineStr">
        <is>
          <t>1325-12-28</t>
        </is>
      </c>
    </row>
    <row r="2955">
      <c r="A2955" s="1" t="n">
        <v>2954</v>
      </c>
      <c r="B2955">
        <f>TEXT(2954, "[$-170000]yyyy-mm-dd")</f>
        <v/>
      </c>
      <c r="C2955">
        <f>TEXT(2954, "[$-060000]yyyy-mm-dd")</f>
        <v/>
      </c>
      <c r="D2955" t="inlineStr">
        <is>
          <t>1325-12-29</t>
        </is>
      </c>
    </row>
    <row r="2956">
      <c r="A2956" s="1" t="n">
        <v>2955</v>
      </c>
      <c r="B2956">
        <f>TEXT(2955, "[$-170000]yyyy-mm-dd")</f>
        <v/>
      </c>
      <c r="C2956">
        <f>TEXT(2955, "[$-060000]yyyy-mm-dd")</f>
        <v/>
      </c>
      <c r="D2956" t="inlineStr">
        <is>
          <t>1325-12-30</t>
        </is>
      </c>
    </row>
    <row r="2957">
      <c r="A2957" s="1" t="n">
        <v>2956</v>
      </c>
      <c r="B2957">
        <f>TEXT(2956, "[$-170000]yyyy-mm-dd")</f>
        <v/>
      </c>
      <c r="C2957">
        <f>TEXT(2956, "[$-060000]yyyy-mm-dd")</f>
        <v/>
      </c>
      <c r="D2957" t="inlineStr">
        <is>
          <t>1326-01-01</t>
        </is>
      </c>
    </row>
    <row r="2958">
      <c r="A2958" s="1" t="n">
        <v>2957</v>
      </c>
      <c r="B2958">
        <f>TEXT(2957, "[$-170000]yyyy-mm-dd")</f>
        <v/>
      </c>
      <c r="C2958">
        <f>TEXT(2957, "[$-060000]yyyy-mm-dd")</f>
        <v/>
      </c>
      <c r="D2958" t="inlineStr">
        <is>
          <t>1326-01-02</t>
        </is>
      </c>
    </row>
    <row r="2959">
      <c r="A2959" s="1" t="n">
        <v>2958</v>
      </c>
      <c r="B2959">
        <f>TEXT(2958, "[$-170000]yyyy-mm-dd")</f>
        <v/>
      </c>
      <c r="C2959">
        <f>TEXT(2958, "[$-060000]yyyy-mm-dd")</f>
        <v/>
      </c>
      <c r="D2959" t="inlineStr">
        <is>
          <t>1326-01-03</t>
        </is>
      </c>
    </row>
    <row r="2960">
      <c r="A2960" s="1" t="n">
        <v>2959</v>
      </c>
      <c r="B2960">
        <f>TEXT(2959, "[$-170000]yyyy-mm-dd")</f>
        <v/>
      </c>
      <c r="C2960">
        <f>TEXT(2959, "[$-060000]yyyy-mm-dd")</f>
        <v/>
      </c>
      <c r="D2960" t="inlineStr">
        <is>
          <t>1326-01-04</t>
        </is>
      </c>
    </row>
    <row r="2961">
      <c r="A2961" s="1" t="n">
        <v>2960</v>
      </c>
      <c r="B2961">
        <f>TEXT(2960, "[$-170000]yyyy-mm-dd")</f>
        <v/>
      </c>
      <c r="C2961">
        <f>TEXT(2960, "[$-060000]yyyy-mm-dd")</f>
        <v/>
      </c>
      <c r="D2961" t="inlineStr">
        <is>
          <t>1326-01-05</t>
        </is>
      </c>
    </row>
    <row r="2962">
      <c r="A2962" s="1" t="n">
        <v>2961</v>
      </c>
      <c r="B2962">
        <f>TEXT(2961, "[$-170000]yyyy-mm-dd")</f>
        <v/>
      </c>
      <c r="C2962">
        <f>TEXT(2961, "[$-060000]yyyy-mm-dd")</f>
        <v/>
      </c>
      <c r="D2962" t="inlineStr">
        <is>
          <t>1326-01-06</t>
        </is>
      </c>
    </row>
    <row r="2963">
      <c r="A2963" s="1" t="n">
        <v>2962</v>
      </c>
      <c r="B2963">
        <f>TEXT(2962, "[$-170000]yyyy-mm-dd")</f>
        <v/>
      </c>
      <c r="C2963">
        <f>TEXT(2962, "[$-060000]yyyy-mm-dd")</f>
        <v/>
      </c>
      <c r="D2963" t="inlineStr">
        <is>
          <t>1326-01-07</t>
        </is>
      </c>
    </row>
    <row r="2964">
      <c r="A2964" s="1" t="n">
        <v>2963</v>
      </c>
      <c r="B2964">
        <f>TEXT(2963, "[$-170000]yyyy-mm-dd")</f>
        <v/>
      </c>
      <c r="C2964">
        <f>TEXT(2963, "[$-060000]yyyy-mm-dd")</f>
        <v/>
      </c>
      <c r="D2964" t="inlineStr">
        <is>
          <t>1326-01-08</t>
        </is>
      </c>
    </row>
    <row r="2965">
      <c r="A2965" s="1" t="n">
        <v>2964</v>
      </c>
      <c r="B2965">
        <f>TEXT(2964, "[$-170000]yyyy-mm-dd")</f>
        <v/>
      </c>
      <c r="C2965">
        <f>TEXT(2964, "[$-060000]yyyy-mm-dd")</f>
        <v/>
      </c>
      <c r="D2965" t="inlineStr">
        <is>
          <t>1326-01-09</t>
        </is>
      </c>
    </row>
    <row r="2966">
      <c r="A2966" s="1" t="n">
        <v>2965</v>
      </c>
      <c r="B2966">
        <f>TEXT(2965, "[$-170000]yyyy-mm-dd")</f>
        <v/>
      </c>
      <c r="C2966">
        <f>TEXT(2965, "[$-060000]yyyy-mm-dd")</f>
        <v/>
      </c>
      <c r="D2966" t="inlineStr">
        <is>
          <t>1326-01-10</t>
        </is>
      </c>
    </row>
    <row r="2967">
      <c r="A2967" s="1" t="n">
        <v>2966</v>
      </c>
      <c r="B2967">
        <f>TEXT(2966, "[$-170000]yyyy-mm-dd")</f>
        <v/>
      </c>
      <c r="C2967">
        <f>TEXT(2966, "[$-060000]yyyy-mm-dd")</f>
        <v/>
      </c>
      <c r="D2967" t="inlineStr">
        <is>
          <t>1326-01-11</t>
        </is>
      </c>
    </row>
    <row r="2968">
      <c r="A2968" s="1" t="n">
        <v>2967</v>
      </c>
      <c r="B2968">
        <f>TEXT(2967, "[$-170000]yyyy-mm-dd")</f>
        <v/>
      </c>
      <c r="C2968">
        <f>TEXT(2967, "[$-060000]yyyy-mm-dd")</f>
        <v/>
      </c>
      <c r="D2968" t="inlineStr">
        <is>
          <t>1326-01-12</t>
        </is>
      </c>
    </row>
    <row r="2969">
      <c r="A2969" s="1" t="n">
        <v>2968</v>
      </c>
      <c r="B2969">
        <f>TEXT(2968, "[$-170000]yyyy-mm-dd")</f>
        <v/>
      </c>
      <c r="C2969">
        <f>TEXT(2968, "[$-060000]yyyy-mm-dd")</f>
        <v/>
      </c>
      <c r="D2969" t="inlineStr">
        <is>
          <t>1326-01-13</t>
        </is>
      </c>
    </row>
    <row r="2970">
      <c r="A2970" s="1" t="n">
        <v>2969</v>
      </c>
      <c r="B2970">
        <f>TEXT(2969, "[$-170000]yyyy-mm-dd")</f>
        <v/>
      </c>
      <c r="C2970">
        <f>TEXT(2969, "[$-060000]yyyy-mm-dd")</f>
        <v/>
      </c>
      <c r="D2970" t="inlineStr">
        <is>
          <t>1326-01-14</t>
        </is>
      </c>
    </row>
    <row r="2971">
      <c r="A2971" s="1" t="n">
        <v>2970</v>
      </c>
      <c r="B2971">
        <f>TEXT(2970, "[$-170000]yyyy-mm-dd")</f>
        <v/>
      </c>
      <c r="C2971">
        <f>TEXT(2970, "[$-060000]yyyy-mm-dd")</f>
        <v/>
      </c>
      <c r="D2971" t="inlineStr">
        <is>
          <t>1326-01-15</t>
        </is>
      </c>
    </row>
    <row r="2972">
      <c r="A2972" s="1" t="n">
        <v>2971</v>
      </c>
      <c r="B2972">
        <f>TEXT(2971, "[$-170000]yyyy-mm-dd")</f>
        <v/>
      </c>
      <c r="C2972">
        <f>TEXT(2971, "[$-060000]yyyy-mm-dd")</f>
        <v/>
      </c>
      <c r="D2972" t="inlineStr">
        <is>
          <t>1326-01-16</t>
        </is>
      </c>
    </row>
    <row r="2973">
      <c r="A2973" s="1" t="n">
        <v>2972</v>
      </c>
      <c r="B2973">
        <f>TEXT(2972, "[$-170000]yyyy-mm-dd")</f>
        <v/>
      </c>
      <c r="C2973">
        <f>TEXT(2972, "[$-060000]yyyy-mm-dd")</f>
        <v/>
      </c>
      <c r="D2973" t="inlineStr">
        <is>
          <t>1326-01-17</t>
        </is>
      </c>
    </row>
    <row r="2974">
      <c r="A2974" s="1" t="n">
        <v>2973</v>
      </c>
      <c r="B2974">
        <f>TEXT(2973, "[$-170000]yyyy-mm-dd")</f>
        <v/>
      </c>
      <c r="C2974">
        <f>TEXT(2973, "[$-060000]yyyy-mm-dd")</f>
        <v/>
      </c>
      <c r="D2974" t="inlineStr">
        <is>
          <t>1326-01-18</t>
        </is>
      </c>
    </row>
    <row r="2975">
      <c r="A2975" s="1" t="n">
        <v>2974</v>
      </c>
      <c r="B2975">
        <f>TEXT(2974, "[$-170000]yyyy-mm-dd")</f>
        <v/>
      </c>
      <c r="C2975">
        <f>TEXT(2974, "[$-060000]yyyy-mm-dd")</f>
        <v/>
      </c>
      <c r="D2975" t="inlineStr">
        <is>
          <t>1326-01-19</t>
        </is>
      </c>
    </row>
    <row r="2976">
      <c r="A2976" s="1" t="n">
        <v>2975</v>
      </c>
      <c r="B2976">
        <f>TEXT(2975, "[$-170000]yyyy-mm-dd")</f>
        <v/>
      </c>
      <c r="C2976">
        <f>TEXT(2975, "[$-060000]yyyy-mm-dd")</f>
        <v/>
      </c>
      <c r="D2976" t="inlineStr">
        <is>
          <t>1326-01-20</t>
        </is>
      </c>
    </row>
    <row r="2977">
      <c r="A2977" s="1" t="n">
        <v>2976</v>
      </c>
      <c r="B2977">
        <f>TEXT(2976, "[$-170000]yyyy-mm-dd")</f>
        <v/>
      </c>
      <c r="C2977">
        <f>TEXT(2976, "[$-060000]yyyy-mm-dd")</f>
        <v/>
      </c>
      <c r="D2977" t="inlineStr">
        <is>
          <t>1326-01-21</t>
        </is>
      </c>
    </row>
    <row r="2978">
      <c r="A2978" s="1" t="n">
        <v>2977</v>
      </c>
      <c r="B2978">
        <f>TEXT(2977, "[$-170000]yyyy-mm-dd")</f>
        <v/>
      </c>
      <c r="C2978">
        <f>TEXT(2977, "[$-060000]yyyy-mm-dd")</f>
        <v/>
      </c>
      <c r="D2978" t="inlineStr">
        <is>
          <t>1326-01-22</t>
        </is>
      </c>
    </row>
    <row r="2979">
      <c r="A2979" s="1" t="n">
        <v>2978</v>
      </c>
      <c r="B2979">
        <f>TEXT(2978, "[$-170000]yyyy-mm-dd")</f>
        <v/>
      </c>
      <c r="C2979">
        <f>TEXT(2978, "[$-060000]yyyy-mm-dd")</f>
        <v/>
      </c>
      <c r="D2979" t="inlineStr">
        <is>
          <t>1326-01-23</t>
        </is>
      </c>
    </row>
    <row r="2980">
      <c r="A2980" s="1" t="n">
        <v>2979</v>
      </c>
      <c r="B2980">
        <f>TEXT(2979, "[$-170000]yyyy-mm-dd")</f>
        <v/>
      </c>
      <c r="C2980">
        <f>TEXT(2979, "[$-060000]yyyy-mm-dd")</f>
        <v/>
      </c>
      <c r="D2980" t="inlineStr">
        <is>
          <t>1326-01-24</t>
        </is>
      </c>
    </row>
    <row r="2981">
      <c r="A2981" s="1" t="n">
        <v>2980</v>
      </c>
      <c r="B2981">
        <f>TEXT(2980, "[$-170000]yyyy-mm-dd")</f>
        <v/>
      </c>
      <c r="C2981">
        <f>TEXT(2980, "[$-060000]yyyy-mm-dd")</f>
        <v/>
      </c>
      <c r="D2981" t="inlineStr">
        <is>
          <t>1326-01-25</t>
        </is>
      </c>
    </row>
    <row r="2982">
      <c r="A2982" s="1" t="n">
        <v>2981</v>
      </c>
      <c r="B2982">
        <f>TEXT(2981, "[$-170000]yyyy-mm-dd")</f>
        <v/>
      </c>
      <c r="C2982">
        <f>TEXT(2981, "[$-060000]yyyy-mm-dd")</f>
        <v/>
      </c>
      <c r="D2982" t="inlineStr">
        <is>
          <t>1326-01-26</t>
        </is>
      </c>
    </row>
    <row r="2983">
      <c r="A2983" s="1" t="n">
        <v>2982</v>
      </c>
      <c r="B2983">
        <f>TEXT(2982, "[$-170000]yyyy-mm-dd")</f>
        <v/>
      </c>
      <c r="C2983">
        <f>TEXT(2982, "[$-060000]yyyy-mm-dd")</f>
        <v/>
      </c>
      <c r="D2983" t="inlineStr">
        <is>
          <t>1326-01-27</t>
        </is>
      </c>
    </row>
    <row r="2984">
      <c r="A2984" s="1" t="n">
        <v>2983</v>
      </c>
      <c r="B2984">
        <f>TEXT(2983, "[$-170000]yyyy-mm-dd")</f>
        <v/>
      </c>
      <c r="C2984">
        <f>TEXT(2983, "[$-060000]yyyy-mm-dd")</f>
        <v/>
      </c>
      <c r="D2984" t="inlineStr">
        <is>
          <t>1326-01-28</t>
        </is>
      </c>
    </row>
    <row r="2985">
      <c r="A2985" s="1" t="n">
        <v>2984</v>
      </c>
      <c r="B2985">
        <f>TEXT(2984, "[$-170000]yyyy-mm-dd")</f>
        <v/>
      </c>
      <c r="C2985">
        <f>TEXT(2984, "[$-060000]yyyy-mm-dd")</f>
        <v/>
      </c>
      <c r="D2985" t="inlineStr">
        <is>
          <t>1326-01-29</t>
        </is>
      </c>
    </row>
    <row r="2986">
      <c r="A2986" s="1" t="n">
        <v>2985</v>
      </c>
      <c r="B2986">
        <f>TEXT(2985, "[$-170000]yyyy-mm-dd")</f>
        <v/>
      </c>
      <c r="C2986">
        <f>TEXT(2985, "[$-060000]yyyy-mm-dd")</f>
        <v/>
      </c>
      <c r="D2986" t="inlineStr">
        <is>
          <t>1326-01-30</t>
        </is>
      </c>
    </row>
    <row r="2987">
      <c r="A2987" s="1" t="n">
        <v>2986</v>
      </c>
      <c r="B2987">
        <f>TEXT(2986, "[$-170000]yyyy-mm-dd")</f>
        <v/>
      </c>
      <c r="C2987">
        <f>TEXT(2986, "[$-060000]yyyy-mm-dd")</f>
        <v/>
      </c>
      <c r="D2987" t="inlineStr">
        <is>
          <t>1326-02-01</t>
        </is>
      </c>
    </row>
    <row r="2988">
      <c r="A2988" s="1" t="n">
        <v>2987</v>
      </c>
      <c r="B2988">
        <f>TEXT(2987, "[$-170000]yyyy-mm-dd")</f>
        <v/>
      </c>
      <c r="C2988">
        <f>TEXT(2987, "[$-060000]yyyy-mm-dd")</f>
        <v/>
      </c>
      <c r="D2988" t="inlineStr">
        <is>
          <t>1326-02-02</t>
        </is>
      </c>
    </row>
    <row r="2989">
      <c r="A2989" s="1" t="n">
        <v>2988</v>
      </c>
      <c r="B2989">
        <f>TEXT(2988, "[$-170000]yyyy-mm-dd")</f>
        <v/>
      </c>
      <c r="C2989">
        <f>TEXT(2988, "[$-060000]yyyy-mm-dd")</f>
        <v/>
      </c>
      <c r="D2989" t="inlineStr">
        <is>
          <t>1326-02-03</t>
        </is>
      </c>
    </row>
    <row r="2990">
      <c r="A2990" s="1" t="n">
        <v>2989</v>
      </c>
      <c r="B2990">
        <f>TEXT(2989, "[$-170000]yyyy-mm-dd")</f>
        <v/>
      </c>
      <c r="C2990">
        <f>TEXT(2989, "[$-060000]yyyy-mm-dd")</f>
        <v/>
      </c>
      <c r="D2990" t="inlineStr">
        <is>
          <t>1326-02-04</t>
        </is>
      </c>
    </row>
    <row r="2991">
      <c r="A2991" s="1" t="n">
        <v>2990</v>
      </c>
      <c r="B2991">
        <f>TEXT(2990, "[$-170000]yyyy-mm-dd")</f>
        <v/>
      </c>
      <c r="C2991">
        <f>TEXT(2990, "[$-060000]yyyy-mm-dd")</f>
        <v/>
      </c>
      <c r="D2991" t="inlineStr">
        <is>
          <t>1326-02-05</t>
        </is>
      </c>
    </row>
    <row r="2992">
      <c r="A2992" s="1" t="n">
        <v>2991</v>
      </c>
      <c r="B2992">
        <f>TEXT(2991, "[$-170000]yyyy-mm-dd")</f>
        <v/>
      </c>
      <c r="C2992">
        <f>TEXT(2991, "[$-060000]yyyy-mm-dd")</f>
        <v/>
      </c>
      <c r="D2992" t="inlineStr">
        <is>
          <t>1326-02-06</t>
        </is>
      </c>
    </row>
    <row r="2993">
      <c r="A2993" s="1" t="n">
        <v>2992</v>
      </c>
      <c r="B2993">
        <f>TEXT(2992, "[$-170000]yyyy-mm-dd")</f>
        <v/>
      </c>
      <c r="C2993">
        <f>TEXT(2992, "[$-060000]yyyy-mm-dd")</f>
        <v/>
      </c>
      <c r="D2993" t="inlineStr">
        <is>
          <t>1326-02-07</t>
        </is>
      </c>
    </row>
    <row r="2994">
      <c r="A2994" s="1" t="n">
        <v>2993</v>
      </c>
      <c r="B2994">
        <f>TEXT(2993, "[$-170000]yyyy-mm-dd")</f>
        <v/>
      </c>
      <c r="C2994">
        <f>TEXT(2993, "[$-060000]yyyy-mm-dd")</f>
        <v/>
      </c>
      <c r="D2994" t="inlineStr">
        <is>
          <t>1326-02-08</t>
        </is>
      </c>
    </row>
    <row r="2995">
      <c r="A2995" s="1" t="n">
        <v>2994</v>
      </c>
      <c r="B2995">
        <f>TEXT(2994, "[$-170000]yyyy-mm-dd")</f>
        <v/>
      </c>
      <c r="C2995">
        <f>TEXT(2994, "[$-060000]yyyy-mm-dd")</f>
        <v/>
      </c>
      <c r="D2995" t="inlineStr">
        <is>
          <t>1326-02-09</t>
        </is>
      </c>
    </row>
    <row r="2996">
      <c r="A2996" s="1" t="n">
        <v>2995</v>
      </c>
      <c r="B2996">
        <f>TEXT(2995, "[$-170000]yyyy-mm-dd")</f>
        <v/>
      </c>
      <c r="C2996">
        <f>TEXT(2995, "[$-060000]yyyy-mm-dd")</f>
        <v/>
      </c>
      <c r="D2996" t="inlineStr">
        <is>
          <t>1326-02-10</t>
        </is>
      </c>
    </row>
    <row r="2997">
      <c r="A2997" s="1" t="n">
        <v>2996</v>
      </c>
      <c r="B2997">
        <f>TEXT(2996, "[$-170000]yyyy-mm-dd")</f>
        <v/>
      </c>
      <c r="C2997">
        <f>TEXT(2996, "[$-060000]yyyy-mm-dd")</f>
        <v/>
      </c>
      <c r="D2997" t="inlineStr">
        <is>
          <t>1326-02-11</t>
        </is>
      </c>
    </row>
    <row r="2998">
      <c r="A2998" s="1" t="n">
        <v>2997</v>
      </c>
      <c r="B2998">
        <f>TEXT(2997, "[$-170000]yyyy-mm-dd")</f>
        <v/>
      </c>
      <c r="C2998">
        <f>TEXT(2997, "[$-060000]yyyy-mm-dd")</f>
        <v/>
      </c>
      <c r="D2998" t="inlineStr">
        <is>
          <t>1326-02-12</t>
        </is>
      </c>
    </row>
    <row r="2999">
      <c r="A2999" s="1" t="n">
        <v>2998</v>
      </c>
      <c r="B2999">
        <f>TEXT(2998, "[$-170000]yyyy-mm-dd")</f>
        <v/>
      </c>
      <c r="C2999">
        <f>TEXT(2998, "[$-060000]yyyy-mm-dd")</f>
        <v/>
      </c>
      <c r="D2999" t="inlineStr">
        <is>
          <t>1326-02-13</t>
        </is>
      </c>
    </row>
    <row r="3000">
      <c r="A3000" s="1" t="n">
        <v>2999</v>
      </c>
      <c r="B3000">
        <f>TEXT(2999, "[$-170000]yyyy-mm-dd")</f>
        <v/>
      </c>
      <c r="C3000">
        <f>TEXT(2999, "[$-060000]yyyy-mm-dd")</f>
        <v/>
      </c>
      <c r="D3000" t="inlineStr">
        <is>
          <t>1326-02-14</t>
        </is>
      </c>
    </row>
    <row r="3001">
      <c r="A3001" s="1" t="n">
        <v>3000</v>
      </c>
      <c r="B3001">
        <f>TEXT(3000, "[$-170000]yyyy-mm-dd")</f>
        <v/>
      </c>
      <c r="C3001">
        <f>TEXT(3000, "[$-060000]yyyy-mm-dd")</f>
        <v/>
      </c>
      <c r="D3001" t="inlineStr">
        <is>
          <t>1326-02-15</t>
        </is>
      </c>
    </row>
    <row r="3002">
      <c r="A3002" s="1" t="n">
        <v>3001</v>
      </c>
      <c r="B3002">
        <f>TEXT(3001, "[$-170000]yyyy-mm-dd")</f>
        <v/>
      </c>
      <c r="C3002">
        <f>TEXT(3001, "[$-060000]yyyy-mm-dd")</f>
        <v/>
      </c>
      <c r="D3002" t="inlineStr">
        <is>
          <t>1326-02-16</t>
        </is>
      </c>
    </row>
    <row r="3003">
      <c r="A3003" s="1" t="n">
        <v>3002</v>
      </c>
      <c r="B3003">
        <f>TEXT(3002, "[$-170000]yyyy-mm-dd")</f>
        <v/>
      </c>
      <c r="C3003">
        <f>TEXT(3002, "[$-060000]yyyy-mm-dd")</f>
        <v/>
      </c>
      <c r="D3003" t="inlineStr">
        <is>
          <t>1326-02-17</t>
        </is>
      </c>
    </row>
    <row r="3004">
      <c r="A3004" s="1" t="n">
        <v>3003</v>
      </c>
      <c r="B3004">
        <f>TEXT(3003, "[$-170000]yyyy-mm-dd")</f>
        <v/>
      </c>
      <c r="C3004">
        <f>TEXT(3003, "[$-060000]yyyy-mm-dd")</f>
        <v/>
      </c>
      <c r="D3004" t="inlineStr">
        <is>
          <t>1326-02-18</t>
        </is>
      </c>
    </row>
    <row r="3005">
      <c r="A3005" s="1" t="n">
        <v>3004</v>
      </c>
      <c r="B3005">
        <f>TEXT(3004, "[$-170000]yyyy-mm-dd")</f>
        <v/>
      </c>
      <c r="C3005">
        <f>TEXT(3004, "[$-060000]yyyy-mm-dd")</f>
        <v/>
      </c>
      <c r="D3005" t="inlineStr">
        <is>
          <t>1326-02-19</t>
        </is>
      </c>
    </row>
    <row r="3006">
      <c r="A3006" s="1" t="n">
        <v>3005</v>
      </c>
      <c r="B3006">
        <f>TEXT(3005, "[$-170000]yyyy-mm-dd")</f>
        <v/>
      </c>
      <c r="C3006">
        <f>TEXT(3005, "[$-060000]yyyy-mm-dd")</f>
        <v/>
      </c>
      <c r="D3006" t="inlineStr">
        <is>
          <t>1326-02-20</t>
        </is>
      </c>
    </row>
    <row r="3007">
      <c r="A3007" s="1" t="n">
        <v>3006</v>
      </c>
      <c r="B3007">
        <f>TEXT(3006, "[$-170000]yyyy-mm-dd")</f>
        <v/>
      </c>
      <c r="C3007">
        <f>TEXT(3006, "[$-060000]yyyy-mm-dd")</f>
        <v/>
      </c>
      <c r="D3007" t="inlineStr">
        <is>
          <t>1326-02-21</t>
        </is>
      </c>
    </row>
    <row r="3008">
      <c r="A3008" s="1" t="n">
        <v>3007</v>
      </c>
      <c r="B3008">
        <f>TEXT(3007, "[$-170000]yyyy-mm-dd")</f>
        <v/>
      </c>
      <c r="C3008">
        <f>TEXT(3007, "[$-060000]yyyy-mm-dd")</f>
        <v/>
      </c>
      <c r="D3008" t="inlineStr">
        <is>
          <t>1326-02-22</t>
        </is>
      </c>
    </row>
    <row r="3009">
      <c r="A3009" s="1" t="n">
        <v>3008</v>
      </c>
      <c r="B3009">
        <f>TEXT(3008, "[$-170000]yyyy-mm-dd")</f>
        <v/>
      </c>
      <c r="C3009">
        <f>TEXT(3008, "[$-060000]yyyy-mm-dd")</f>
        <v/>
      </c>
      <c r="D3009" t="inlineStr">
        <is>
          <t>1326-02-23</t>
        </is>
      </c>
    </row>
    <row r="3010">
      <c r="A3010" s="1" t="n">
        <v>3009</v>
      </c>
      <c r="B3010">
        <f>TEXT(3009, "[$-170000]yyyy-mm-dd")</f>
        <v/>
      </c>
      <c r="C3010">
        <f>TEXT(3009, "[$-060000]yyyy-mm-dd")</f>
        <v/>
      </c>
      <c r="D3010" t="inlineStr">
        <is>
          <t>1326-02-24</t>
        </is>
      </c>
    </row>
    <row r="3011">
      <c r="A3011" s="1" t="n">
        <v>3010</v>
      </c>
      <c r="B3011">
        <f>TEXT(3010, "[$-170000]yyyy-mm-dd")</f>
        <v/>
      </c>
      <c r="C3011">
        <f>TEXT(3010, "[$-060000]yyyy-mm-dd")</f>
        <v/>
      </c>
      <c r="D3011" t="inlineStr">
        <is>
          <t>1326-02-25</t>
        </is>
      </c>
    </row>
    <row r="3012">
      <c r="A3012" s="1" t="n">
        <v>3011</v>
      </c>
      <c r="B3012">
        <f>TEXT(3011, "[$-170000]yyyy-mm-dd")</f>
        <v/>
      </c>
      <c r="C3012">
        <f>TEXT(3011, "[$-060000]yyyy-mm-dd")</f>
        <v/>
      </c>
      <c r="D3012" t="inlineStr">
        <is>
          <t>1326-02-26</t>
        </is>
      </c>
    </row>
    <row r="3013">
      <c r="A3013" s="1" t="n">
        <v>3012</v>
      </c>
      <c r="B3013">
        <f>TEXT(3012, "[$-170000]yyyy-mm-dd")</f>
        <v/>
      </c>
      <c r="C3013">
        <f>TEXT(3012, "[$-060000]yyyy-mm-dd")</f>
        <v/>
      </c>
      <c r="D3013" t="inlineStr">
        <is>
          <t>1326-02-27</t>
        </is>
      </c>
    </row>
    <row r="3014">
      <c r="A3014" s="1" t="n">
        <v>3013</v>
      </c>
      <c r="B3014">
        <f>TEXT(3013, "[$-170000]yyyy-mm-dd")</f>
        <v/>
      </c>
      <c r="C3014">
        <f>TEXT(3013, "[$-060000]yyyy-mm-dd")</f>
        <v/>
      </c>
      <c r="D3014" t="inlineStr">
        <is>
          <t>1326-02-28</t>
        </is>
      </c>
    </row>
    <row r="3015">
      <c r="A3015" s="1" t="n">
        <v>3014</v>
      </c>
      <c r="B3015">
        <f>TEXT(3014, "[$-170000]yyyy-mm-dd")</f>
        <v/>
      </c>
      <c r="C3015">
        <f>TEXT(3014, "[$-060000]yyyy-mm-dd")</f>
        <v/>
      </c>
      <c r="D3015" t="inlineStr">
        <is>
          <t>1326-02-29</t>
        </is>
      </c>
    </row>
    <row r="3016">
      <c r="A3016" s="1" t="n">
        <v>3015</v>
      </c>
      <c r="B3016">
        <f>TEXT(3015, "[$-170000]yyyy-mm-dd")</f>
        <v/>
      </c>
      <c r="C3016">
        <f>TEXT(3015, "[$-060000]yyyy-mm-dd")</f>
        <v/>
      </c>
      <c r="D3016" t="inlineStr">
        <is>
          <t>1326-03-01</t>
        </is>
      </c>
    </row>
    <row r="3017">
      <c r="A3017" s="1" t="n">
        <v>3016</v>
      </c>
      <c r="B3017">
        <f>TEXT(3016, "[$-170000]yyyy-mm-dd")</f>
        <v/>
      </c>
      <c r="C3017">
        <f>TEXT(3016, "[$-060000]yyyy-mm-dd")</f>
        <v/>
      </c>
      <c r="D3017" t="inlineStr">
        <is>
          <t>1326-03-02</t>
        </is>
      </c>
    </row>
    <row r="3018">
      <c r="A3018" s="1" t="n">
        <v>3017</v>
      </c>
      <c r="B3018">
        <f>TEXT(3017, "[$-170000]yyyy-mm-dd")</f>
        <v/>
      </c>
      <c r="C3018">
        <f>TEXT(3017, "[$-060000]yyyy-mm-dd")</f>
        <v/>
      </c>
      <c r="D3018" t="inlineStr">
        <is>
          <t>1326-03-03</t>
        </is>
      </c>
    </row>
    <row r="3019">
      <c r="A3019" s="1" t="n">
        <v>3018</v>
      </c>
      <c r="B3019">
        <f>TEXT(3018, "[$-170000]yyyy-mm-dd")</f>
        <v/>
      </c>
      <c r="C3019">
        <f>TEXT(3018, "[$-060000]yyyy-mm-dd")</f>
        <v/>
      </c>
      <c r="D3019" t="inlineStr">
        <is>
          <t>1326-03-04</t>
        </is>
      </c>
    </row>
    <row r="3020">
      <c r="A3020" s="1" t="n">
        <v>3019</v>
      </c>
      <c r="B3020">
        <f>TEXT(3019, "[$-170000]yyyy-mm-dd")</f>
        <v/>
      </c>
      <c r="C3020">
        <f>TEXT(3019, "[$-060000]yyyy-mm-dd")</f>
        <v/>
      </c>
      <c r="D3020" t="inlineStr">
        <is>
          <t>1326-03-05</t>
        </is>
      </c>
    </row>
    <row r="3021">
      <c r="A3021" s="1" t="n">
        <v>3020</v>
      </c>
      <c r="B3021">
        <f>TEXT(3020, "[$-170000]yyyy-mm-dd")</f>
        <v/>
      </c>
      <c r="C3021">
        <f>TEXT(3020, "[$-060000]yyyy-mm-dd")</f>
        <v/>
      </c>
      <c r="D3021" t="inlineStr">
        <is>
          <t>1326-03-06</t>
        </is>
      </c>
    </row>
    <row r="3022">
      <c r="A3022" s="1" t="n">
        <v>3021</v>
      </c>
      <c r="B3022">
        <f>TEXT(3021, "[$-170000]yyyy-mm-dd")</f>
        <v/>
      </c>
      <c r="C3022">
        <f>TEXT(3021, "[$-060000]yyyy-mm-dd")</f>
        <v/>
      </c>
      <c r="D3022" t="inlineStr">
        <is>
          <t>1326-03-07</t>
        </is>
      </c>
    </row>
    <row r="3023">
      <c r="A3023" s="1" t="n">
        <v>3022</v>
      </c>
      <c r="B3023">
        <f>TEXT(3022, "[$-170000]yyyy-mm-dd")</f>
        <v/>
      </c>
      <c r="C3023">
        <f>TEXT(3022, "[$-060000]yyyy-mm-dd")</f>
        <v/>
      </c>
      <c r="D3023" t="inlineStr">
        <is>
          <t>1326-03-08</t>
        </is>
      </c>
    </row>
    <row r="3024">
      <c r="A3024" s="1" t="n">
        <v>3023</v>
      </c>
      <c r="B3024">
        <f>TEXT(3023, "[$-170000]yyyy-mm-dd")</f>
        <v/>
      </c>
      <c r="C3024">
        <f>TEXT(3023, "[$-060000]yyyy-mm-dd")</f>
        <v/>
      </c>
      <c r="D3024" t="inlineStr">
        <is>
          <t>1326-03-09</t>
        </is>
      </c>
    </row>
    <row r="3025">
      <c r="A3025" s="1" t="n">
        <v>3024</v>
      </c>
      <c r="B3025">
        <f>TEXT(3024, "[$-170000]yyyy-mm-dd")</f>
        <v/>
      </c>
      <c r="C3025">
        <f>TEXT(3024, "[$-060000]yyyy-mm-dd")</f>
        <v/>
      </c>
      <c r="D3025" t="inlineStr">
        <is>
          <t>1326-03-10</t>
        </is>
      </c>
    </row>
    <row r="3026">
      <c r="A3026" s="1" t="n">
        <v>3025</v>
      </c>
      <c r="B3026">
        <f>TEXT(3025, "[$-170000]yyyy-mm-dd")</f>
        <v/>
      </c>
      <c r="C3026">
        <f>TEXT(3025, "[$-060000]yyyy-mm-dd")</f>
        <v/>
      </c>
      <c r="D3026" t="inlineStr">
        <is>
          <t>1326-03-11</t>
        </is>
      </c>
    </row>
    <row r="3027">
      <c r="A3027" s="1" t="n">
        <v>3026</v>
      </c>
      <c r="B3027">
        <f>TEXT(3026, "[$-170000]yyyy-mm-dd")</f>
        <v/>
      </c>
      <c r="C3027">
        <f>TEXT(3026, "[$-060000]yyyy-mm-dd")</f>
        <v/>
      </c>
      <c r="D3027" t="inlineStr">
        <is>
          <t>1326-03-12</t>
        </is>
      </c>
    </row>
    <row r="3028">
      <c r="A3028" s="1" t="n">
        <v>3027</v>
      </c>
      <c r="B3028">
        <f>TEXT(3027, "[$-170000]yyyy-mm-dd")</f>
        <v/>
      </c>
      <c r="C3028">
        <f>TEXT(3027, "[$-060000]yyyy-mm-dd")</f>
        <v/>
      </c>
      <c r="D3028" t="inlineStr">
        <is>
          <t>1326-03-13</t>
        </is>
      </c>
    </row>
    <row r="3029">
      <c r="A3029" s="1" t="n">
        <v>3028</v>
      </c>
      <c r="B3029">
        <f>TEXT(3028, "[$-170000]yyyy-mm-dd")</f>
        <v/>
      </c>
      <c r="C3029">
        <f>TEXT(3028, "[$-060000]yyyy-mm-dd")</f>
        <v/>
      </c>
      <c r="D3029" t="inlineStr">
        <is>
          <t>1326-03-14</t>
        </is>
      </c>
    </row>
    <row r="3030">
      <c r="A3030" s="1" t="n">
        <v>3029</v>
      </c>
      <c r="B3030">
        <f>TEXT(3029, "[$-170000]yyyy-mm-dd")</f>
        <v/>
      </c>
      <c r="C3030">
        <f>TEXT(3029, "[$-060000]yyyy-mm-dd")</f>
        <v/>
      </c>
      <c r="D3030" t="inlineStr">
        <is>
          <t>1326-03-15</t>
        </is>
      </c>
    </row>
    <row r="3031">
      <c r="A3031" s="1" t="n">
        <v>3030</v>
      </c>
      <c r="B3031">
        <f>TEXT(3030, "[$-170000]yyyy-mm-dd")</f>
        <v/>
      </c>
      <c r="C3031">
        <f>TEXT(3030, "[$-060000]yyyy-mm-dd")</f>
        <v/>
      </c>
      <c r="D3031" t="inlineStr">
        <is>
          <t>1326-03-16</t>
        </is>
      </c>
    </row>
    <row r="3032">
      <c r="A3032" s="1" t="n">
        <v>3031</v>
      </c>
      <c r="B3032">
        <f>TEXT(3031, "[$-170000]yyyy-mm-dd")</f>
        <v/>
      </c>
      <c r="C3032">
        <f>TEXT(3031, "[$-060000]yyyy-mm-dd")</f>
        <v/>
      </c>
      <c r="D3032" t="inlineStr">
        <is>
          <t>1326-03-17</t>
        </is>
      </c>
    </row>
    <row r="3033">
      <c r="A3033" s="1" t="n">
        <v>3032</v>
      </c>
      <c r="B3033">
        <f>TEXT(3032, "[$-170000]yyyy-mm-dd")</f>
        <v/>
      </c>
      <c r="C3033">
        <f>TEXT(3032, "[$-060000]yyyy-mm-dd")</f>
        <v/>
      </c>
      <c r="D3033" t="inlineStr">
        <is>
          <t>1326-03-18</t>
        </is>
      </c>
    </row>
    <row r="3034">
      <c r="A3034" s="1" t="n">
        <v>3033</v>
      </c>
      <c r="B3034">
        <f>TEXT(3033, "[$-170000]yyyy-mm-dd")</f>
        <v/>
      </c>
      <c r="C3034">
        <f>TEXT(3033, "[$-060000]yyyy-mm-dd")</f>
        <v/>
      </c>
      <c r="D3034" t="inlineStr">
        <is>
          <t>1326-03-19</t>
        </is>
      </c>
    </row>
    <row r="3035">
      <c r="A3035" s="1" t="n">
        <v>3034</v>
      </c>
      <c r="B3035">
        <f>TEXT(3034, "[$-170000]yyyy-mm-dd")</f>
        <v/>
      </c>
      <c r="C3035">
        <f>TEXT(3034, "[$-060000]yyyy-mm-dd")</f>
        <v/>
      </c>
      <c r="D3035" t="inlineStr">
        <is>
          <t>1326-03-20</t>
        </is>
      </c>
    </row>
    <row r="3036">
      <c r="A3036" s="1" t="n">
        <v>3035</v>
      </c>
      <c r="B3036">
        <f>TEXT(3035, "[$-170000]yyyy-mm-dd")</f>
        <v/>
      </c>
      <c r="C3036">
        <f>TEXT(3035, "[$-060000]yyyy-mm-dd")</f>
        <v/>
      </c>
      <c r="D3036" t="inlineStr">
        <is>
          <t>1326-03-21</t>
        </is>
      </c>
    </row>
    <row r="3037">
      <c r="A3037" s="1" t="n">
        <v>3036</v>
      </c>
      <c r="B3037">
        <f>TEXT(3036, "[$-170000]yyyy-mm-dd")</f>
        <v/>
      </c>
      <c r="C3037">
        <f>TEXT(3036, "[$-060000]yyyy-mm-dd")</f>
        <v/>
      </c>
      <c r="D3037" t="inlineStr">
        <is>
          <t>1326-03-22</t>
        </is>
      </c>
    </row>
    <row r="3038">
      <c r="A3038" s="1" t="n">
        <v>3037</v>
      </c>
      <c r="B3038">
        <f>TEXT(3037, "[$-170000]yyyy-mm-dd")</f>
        <v/>
      </c>
      <c r="C3038">
        <f>TEXT(3037, "[$-060000]yyyy-mm-dd")</f>
        <v/>
      </c>
      <c r="D3038" t="inlineStr">
        <is>
          <t>1326-03-23</t>
        </is>
      </c>
    </row>
    <row r="3039">
      <c r="A3039" s="1" t="n">
        <v>3038</v>
      </c>
      <c r="B3039">
        <f>TEXT(3038, "[$-170000]yyyy-mm-dd")</f>
        <v/>
      </c>
      <c r="C3039">
        <f>TEXT(3038, "[$-060000]yyyy-mm-dd")</f>
        <v/>
      </c>
      <c r="D3039" t="inlineStr">
        <is>
          <t>1326-03-24</t>
        </is>
      </c>
    </row>
    <row r="3040">
      <c r="A3040" s="1" t="n">
        <v>3039</v>
      </c>
      <c r="B3040">
        <f>TEXT(3039, "[$-170000]yyyy-mm-dd")</f>
        <v/>
      </c>
      <c r="C3040">
        <f>TEXT(3039, "[$-060000]yyyy-mm-dd")</f>
        <v/>
      </c>
      <c r="D3040" t="inlineStr">
        <is>
          <t>1326-03-25</t>
        </is>
      </c>
    </row>
    <row r="3041">
      <c r="A3041" s="1" t="n">
        <v>3040</v>
      </c>
      <c r="B3041">
        <f>TEXT(3040, "[$-170000]yyyy-mm-dd")</f>
        <v/>
      </c>
      <c r="C3041">
        <f>TEXT(3040, "[$-060000]yyyy-mm-dd")</f>
        <v/>
      </c>
      <c r="D3041" t="inlineStr">
        <is>
          <t>1326-03-26</t>
        </is>
      </c>
    </row>
    <row r="3042">
      <c r="A3042" s="1" t="n">
        <v>3041</v>
      </c>
      <c r="B3042">
        <f>TEXT(3041, "[$-170000]yyyy-mm-dd")</f>
        <v/>
      </c>
      <c r="C3042">
        <f>TEXT(3041, "[$-060000]yyyy-mm-dd")</f>
        <v/>
      </c>
      <c r="D3042" t="inlineStr">
        <is>
          <t>1326-03-27</t>
        </is>
      </c>
    </row>
    <row r="3043">
      <c r="A3043" s="1" t="n">
        <v>3042</v>
      </c>
      <c r="B3043">
        <f>TEXT(3042, "[$-170000]yyyy-mm-dd")</f>
        <v/>
      </c>
      <c r="C3043">
        <f>TEXT(3042, "[$-060000]yyyy-mm-dd")</f>
        <v/>
      </c>
      <c r="D3043" t="inlineStr">
        <is>
          <t>1326-03-28</t>
        </is>
      </c>
    </row>
    <row r="3044">
      <c r="A3044" s="1" t="n">
        <v>3043</v>
      </c>
      <c r="B3044">
        <f>TEXT(3043, "[$-170000]yyyy-mm-dd")</f>
        <v/>
      </c>
      <c r="C3044">
        <f>TEXT(3043, "[$-060000]yyyy-mm-dd")</f>
        <v/>
      </c>
      <c r="D3044" t="inlineStr">
        <is>
          <t>1326-03-29</t>
        </is>
      </c>
    </row>
    <row r="3045">
      <c r="A3045" s="1" t="n">
        <v>3044</v>
      </c>
      <c r="B3045">
        <f>TEXT(3044, "[$-170000]yyyy-mm-dd")</f>
        <v/>
      </c>
      <c r="C3045">
        <f>TEXT(3044, "[$-060000]yyyy-mm-dd")</f>
        <v/>
      </c>
      <c r="D3045" t="inlineStr">
        <is>
          <t>1326-03-30</t>
        </is>
      </c>
    </row>
    <row r="3046">
      <c r="A3046" s="1" t="n">
        <v>3045</v>
      </c>
      <c r="B3046">
        <f>TEXT(3045, "[$-170000]yyyy-mm-dd")</f>
        <v/>
      </c>
      <c r="C3046">
        <f>TEXT(3045, "[$-060000]yyyy-mm-dd")</f>
        <v/>
      </c>
      <c r="D3046" t="inlineStr">
        <is>
          <t>1326-04-01</t>
        </is>
      </c>
    </row>
    <row r="3047">
      <c r="A3047" s="1" t="n">
        <v>3046</v>
      </c>
      <c r="B3047">
        <f>TEXT(3046, "[$-170000]yyyy-mm-dd")</f>
        <v/>
      </c>
      <c r="C3047">
        <f>TEXT(3046, "[$-060000]yyyy-mm-dd")</f>
        <v/>
      </c>
      <c r="D3047" t="inlineStr">
        <is>
          <t>1326-04-02</t>
        </is>
      </c>
    </row>
    <row r="3048">
      <c r="A3048" s="1" t="n">
        <v>3047</v>
      </c>
      <c r="B3048">
        <f>TEXT(3047, "[$-170000]yyyy-mm-dd")</f>
        <v/>
      </c>
      <c r="C3048">
        <f>TEXT(3047, "[$-060000]yyyy-mm-dd")</f>
        <v/>
      </c>
      <c r="D3048" t="inlineStr">
        <is>
          <t>1326-04-03</t>
        </is>
      </c>
    </row>
    <row r="3049">
      <c r="A3049" s="1" t="n">
        <v>3048</v>
      </c>
      <c r="B3049">
        <f>TEXT(3048, "[$-170000]yyyy-mm-dd")</f>
        <v/>
      </c>
      <c r="C3049">
        <f>TEXT(3048, "[$-060000]yyyy-mm-dd")</f>
        <v/>
      </c>
      <c r="D3049" t="inlineStr">
        <is>
          <t>1326-04-04</t>
        </is>
      </c>
    </row>
    <row r="3050">
      <c r="A3050" s="1" t="n">
        <v>3049</v>
      </c>
      <c r="B3050">
        <f>TEXT(3049, "[$-170000]yyyy-mm-dd")</f>
        <v/>
      </c>
      <c r="C3050">
        <f>TEXT(3049, "[$-060000]yyyy-mm-dd")</f>
        <v/>
      </c>
      <c r="D3050" t="inlineStr">
        <is>
          <t>1326-04-05</t>
        </is>
      </c>
    </row>
    <row r="3051">
      <c r="A3051" s="1" t="n">
        <v>3050</v>
      </c>
      <c r="B3051">
        <f>TEXT(3050, "[$-170000]yyyy-mm-dd")</f>
        <v/>
      </c>
      <c r="C3051">
        <f>TEXT(3050, "[$-060000]yyyy-mm-dd")</f>
        <v/>
      </c>
      <c r="D3051" t="inlineStr">
        <is>
          <t>1326-04-06</t>
        </is>
      </c>
    </row>
    <row r="3052">
      <c r="A3052" s="1" t="n">
        <v>3051</v>
      </c>
      <c r="B3052">
        <f>TEXT(3051, "[$-170000]yyyy-mm-dd")</f>
        <v/>
      </c>
      <c r="C3052">
        <f>TEXT(3051, "[$-060000]yyyy-mm-dd")</f>
        <v/>
      </c>
      <c r="D3052" t="inlineStr">
        <is>
          <t>1326-04-07</t>
        </is>
      </c>
    </row>
    <row r="3053">
      <c r="A3053" s="1" t="n">
        <v>3052</v>
      </c>
      <c r="B3053">
        <f>TEXT(3052, "[$-170000]yyyy-mm-dd")</f>
        <v/>
      </c>
      <c r="C3053">
        <f>TEXT(3052, "[$-060000]yyyy-mm-dd")</f>
        <v/>
      </c>
      <c r="D3053" t="inlineStr">
        <is>
          <t>1326-04-08</t>
        </is>
      </c>
    </row>
    <row r="3054">
      <c r="A3054" s="1" t="n">
        <v>3053</v>
      </c>
      <c r="B3054">
        <f>TEXT(3053, "[$-170000]yyyy-mm-dd")</f>
        <v/>
      </c>
      <c r="C3054">
        <f>TEXT(3053, "[$-060000]yyyy-mm-dd")</f>
        <v/>
      </c>
      <c r="D3054" t="inlineStr">
        <is>
          <t>1326-04-09</t>
        </is>
      </c>
    </row>
    <row r="3055">
      <c r="A3055" s="1" t="n">
        <v>3054</v>
      </c>
      <c r="B3055">
        <f>TEXT(3054, "[$-170000]yyyy-mm-dd")</f>
        <v/>
      </c>
      <c r="C3055">
        <f>TEXT(3054, "[$-060000]yyyy-mm-dd")</f>
        <v/>
      </c>
      <c r="D3055" t="inlineStr">
        <is>
          <t>1326-04-10</t>
        </is>
      </c>
    </row>
    <row r="3056">
      <c r="A3056" s="1" t="n">
        <v>3055</v>
      </c>
      <c r="B3056">
        <f>TEXT(3055, "[$-170000]yyyy-mm-dd")</f>
        <v/>
      </c>
      <c r="C3056">
        <f>TEXT(3055, "[$-060000]yyyy-mm-dd")</f>
        <v/>
      </c>
      <c r="D3056" t="inlineStr">
        <is>
          <t>1326-04-11</t>
        </is>
      </c>
    </row>
    <row r="3057">
      <c r="A3057" s="1" t="n">
        <v>3056</v>
      </c>
      <c r="B3057">
        <f>TEXT(3056, "[$-170000]yyyy-mm-dd")</f>
        <v/>
      </c>
      <c r="C3057">
        <f>TEXT(3056, "[$-060000]yyyy-mm-dd")</f>
        <v/>
      </c>
      <c r="D3057" t="inlineStr">
        <is>
          <t>1326-04-12</t>
        </is>
      </c>
    </row>
    <row r="3058">
      <c r="A3058" s="1" t="n">
        <v>3057</v>
      </c>
      <c r="B3058">
        <f>TEXT(3057, "[$-170000]yyyy-mm-dd")</f>
        <v/>
      </c>
      <c r="C3058">
        <f>TEXT(3057, "[$-060000]yyyy-mm-dd")</f>
        <v/>
      </c>
      <c r="D3058" t="inlineStr">
        <is>
          <t>1326-04-13</t>
        </is>
      </c>
    </row>
    <row r="3059">
      <c r="A3059" s="1" t="n">
        <v>3058</v>
      </c>
      <c r="B3059">
        <f>TEXT(3058, "[$-170000]yyyy-mm-dd")</f>
        <v/>
      </c>
      <c r="C3059">
        <f>TEXT(3058, "[$-060000]yyyy-mm-dd")</f>
        <v/>
      </c>
      <c r="D3059" t="inlineStr">
        <is>
          <t>1326-04-14</t>
        </is>
      </c>
    </row>
    <row r="3060">
      <c r="A3060" s="1" t="n">
        <v>3059</v>
      </c>
      <c r="B3060">
        <f>TEXT(3059, "[$-170000]yyyy-mm-dd")</f>
        <v/>
      </c>
      <c r="C3060">
        <f>TEXT(3059, "[$-060000]yyyy-mm-dd")</f>
        <v/>
      </c>
      <c r="D3060" t="inlineStr">
        <is>
          <t>1326-04-15</t>
        </is>
      </c>
    </row>
    <row r="3061">
      <c r="A3061" s="1" t="n">
        <v>3060</v>
      </c>
      <c r="B3061">
        <f>TEXT(3060, "[$-170000]yyyy-mm-dd")</f>
        <v/>
      </c>
      <c r="C3061">
        <f>TEXT(3060, "[$-060000]yyyy-mm-dd")</f>
        <v/>
      </c>
      <c r="D3061" t="inlineStr">
        <is>
          <t>1326-04-16</t>
        </is>
      </c>
    </row>
    <row r="3062">
      <c r="A3062" s="1" t="n">
        <v>3061</v>
      </c>
      <c r="B3062">
        <f>TEXT(3061, "[$-170000]yyyy-mm-dd")</f>
        <v/>
      </c>
      <c r="C3062">
        <f>TEXT(3061, "[$-060000]yyyy-mm-dd")</f>
        <v/>
      </c>
      <c r="D3062" t="inlineStr">
        <is>
          <t>1326-04-17</t>
        </is>
      </c>
    </row>
    <row r="3063">
      <c r="A3063" s="1" t="n">
        <v>3062</v>
      </c>
      <c r="B3063">
        <f>TEXT(3062, "[$-170000]yyyy-mm-dd")</f>
        <v/>
      </c>
      <c r="C3063">
        <f>TEXT(3062, "[$-060000]yyyy-mm-dd")</f>
        <v/>
      </c>
      <c r="D3063" t="inlineStr">
        <is>
          <t>1326-04-18</t>
        </is>
      </c>
    </row>
    <row r="3064">
      <c r="A3064" s="1" t="n">
        <v>3063</v>
      </c>
      <c r="B3064">
        <f>TEXT(3063, "[$-170000]yyyy-mm-dd")</f>
        <v/>
      </c>
      <c r="C3064">
        <f>TEXT(3063, "[$-060000]yyyy-mm-dd")</f>
        <v/>
      </c>
      <c r="D3064" t="inlineStr">
        <is>
          <t>1326-04-19</t>
        </is>
      </c>
    </row>
    <row r="3065">
      <c r="A3065" s="1" t="n">
        <v>3064</v>
      </c>
      <c r="B3065">
        <f>TEXT(3064, "[$-170000]yyyy-mm-dd")</f>
        <v/>
      </c>
      <c r="C3065">
        <f>TEXT(3064, "[$-060000]yyyy-mm-dd")</f>
        <v/>
      </c>
      <c r="D3065" t="inlineStr">
        <is>
          <t>1326-04-20</t>
        </is>
      </c>
    </row>
    <row r="3066">
      <c r="A3066" s="1" t="n">
        <v>3065</v>
      </c>
      <c r="B3066">
        <f>TEXT(3065, "[$-170000]yyyy-mm-dd")</f>
        <v/>
      </c>
      <c r="C3066">
        <f>TEXT(3065, "[$-060000]yyyy-mm-dd")</f>
        <v/>
      </c>
      <c r="D3066" t="inlineStr">
        <is>
          <t>1326-04-21</t>
        </is>
      </c>
    </row>
    <row r="3067">
      <c r="A3067" s="1" t="n">
        <v>3066</v>
      </c>
      <c r="B3067">
        <f>TEXT(3066, "[$-170000]yyyy-mm-dd")</f>
        <v/>
      </c>
      <c r="C3067">
        <f>TEXT(3066, "[$-060000]yyyy-mm-dd")</f>
        <v/>
      </c>
      <c r="D3067" t="inlineStr">
        <is>
          <t>1326-04-22</t>
        </is>
      </c>
    </row>
    <row r="3068">
      <c r="A3068" s="1" t="n">
        <v>3067</v>
      </c>
      <c r="B3068">
        <f>TEXT(3067, "[$-170000]yyyy-mm-dd")</f>
        <v/>
      </c>
      <c r="C3068">
        <f>TEXT(3067, "[$-060000]yyyy-mm-dd")</f>
        <v/>
      </c>
      <c r="D3068" t="inlineStr">
        <is>
          <t>1326-04-23</t>
        </is>
      </c>
    </row>
    <row r="3069">
      <c r="A3069" s="1" t="n">
        <v>3068</v>
      </c>
      <c r="B3069">
        <f>TEXT(3068, "[$-170000]yyyy-mm-dd")</f>
        <v/>
      </c>
      <c r="C3069">
        <f>TEXT(3068, "[$-060000]yyyy-mm-dd")</f>
        <v/>
      </c>
      <c r="D3069" t="inlineStr">
        <is>
          <t>1326-04-24</t>
        </is>
      </c>
    </row>
    <row r="3070">
      <c r="A3070" s="1" t="n">
        <v>3069</v>
      </c>
      <c r="B3070">
        <f>TEXT(3069, "[$-170000]yyyy-mm-dd")</f>
        <v/>
      </c>
      <c r="C3070">
        <f>TEXT(3069, "[$-060000]yyyy-mm-dd")</f>
        <v/>
      </c>
      <c r="D3070" t="inlineStr">
        <is>
          <t>1326-04-25</t>
        </is>
      </c>
    </row>
    <row r="3071">
      <c r="A3071" s="1" t="n">
        <v>3070</v>
      </c>
      <c r="B3071">
        <f>TEXT(3070, "[$-170000]yyyy-mm-dd")</f>
        <v/>
      </c>
      <c r="C3071">
        <f>TEXT(3070, "[$-060000]yyyy-mm-dd")</f>
        <v/>
      </c>
      <c r="D3071" t="inlineStr">
        <is>
          <t>1326-04-26</t>
        </is>
      </c>
    </row>
    <row r="3072">
      <c r="A3072" s="1" t="n">
        <v>3071</v>
      </c>
      <c r="B3072">
        <f>TEXT(3071, "[$-170000]yyyy-mm-dd")</f>
        <v/>
      </c>
      <c r="C3072">
        <f>TEXT(3071, "[$-060000]yyyy-mm-dd")</f>
        <v/>
      </c>
      <c r="D3072" t="inlineStr">
        <is>
          <t>1326-04-27</t>
        </is>
      </c>
    </row>
    <row r="3073">
      <c r="A3073" s="1" t="n">
        <v>3072</v>
      </c>
      <c r="B3073">
        <f>TEXT(3072, "[$-170000]yyyy-mm-dd")</f>
        <v/>
      </c>
      <c r="C3073">
        <f>TEXT(3072, "[$-060000]yyyy-mm-dd")</f>
        <v/>
      </c>
      <c r="D3073" t="inlineStr">
        <is>
          <t>1326-04-28</t>
        </is>
      </c>
    </row>
    <row r="3074">
      <c r="A3074" s="1" t="n">
        <v>3073</v>
      </c>
      <c r="B3074">
        <f>TEXT(3073, "[$-170000]yyyy-mm-dd")</f>
        <v/>
      </c>
      <c r="C3074">
        <f>TEXT(3073, "[$-060000]yyyy-mm-dd")</f>
        <v/>
      </c>
      <c r="D3074" t="inlineStr">
        <is>
          <t>1326-04-29</t>
        </is>
      </c>
    </row>
    <row r="3075">
      <c r="A3075" s="1" t="n">
        <v>3074</v>
      </c>
      <c r="B3075">
        <f>TEXT(3074, "[$-170000]yyyy-mm-dd")</f>
        <v/>
      </c>
      <c r="C3075">
        <f>TEXT(3074, "[$-060000]yyyy-mm-dd")</f>
        <v/>
      </c>
      <c r="D3075" t="inlineStr">
        <is>
          <t>1326-05-01</t>
        </is>
      </c>
    </row>
    <row r="3076">
      <c r="A3076" s="1" t="n">
        <v>3075</v>
      </c>
      <c r="B3076">
        <f>TEXT(3075, "[$-170000]yyyy-mm-dd")</f>
        <v/>
      </c>
      <c r="C3076">
        <f>TEXT(3075, "[$-060000]yyyy-mm-dd")</f>
        <v/>
      </c>
      <c r="D3076" t="inlineStr">
        <is>
          <t>1326-05-02</t>
        </is>
      </c>
    </row>
    <row r="3077">
      <c r="A3077" s="1" t="n">
        <v>3076</v>
      </c>
      <c r="B3077">
        <f>TEXT(3076, "[$-170000]yyyy-mm-dd")</f>
        <v/>
      </c>
      <c r="C3077">
        <f>TEXT(3076, "[$-060000]yyyy-mm-dd")</f>
        <v/>
      </c>
      <c r="D3077" t="inlineStr">
        <is>
          <t>1326-05-03</t>
        </is>
      </c>
    </row>
    <row r="3078">
      <c r="A3078" s="1" t="n">
        <v>3077</v>
      </c>
      <c r="B3078">
        <f>TEXT(3077, "[$-170000]yyyy-mm-dd")</f>
        <v/>
      </c>
      <c r="C3078">
        <f>TEXT(3077, "[$-060000]yyyy-mm-dd")</f>
        <v/>
      </c>
      <c r="D3078" t="inlineStr">
        <is>
          <t>1326-05-04</t>
        </is>
      </c>
    </row>
    <row r="3079">
      <c r="A3079" s="1" t="n">
        <v>3078</v>
      </c>
      <c r="B3079">
        <f>TEXT(3078, "[$-170000]yyyy-mm-dd")</f>
        <v/>
      </c>
      <c r="C3079">
        <f>TEXT(3078, "[$-060000]yyyy-mm-dd")</f>
        <v/>
      </c>
      <c r="D3079" t="inlineStr">
        <is>
          <t>1326-05-05</t>
        </is>
      </c>
    </row>
    <row r="3080">
      <c r="A3080" s="1" t="n">
        <v>3079</v>
      </c>
      <c r="B3080">
        <f>TEXT(3079, "[$-170000]yyyy-mm-dd")</f>
        <v/>
      </c>
      <c r="C3080">
        <f>TEXT(3079, "[$-060000]yyyy-mm-dd")</f>
        <v/>
      </c>
      <c r="D3080" t="inlineStr">
        <is>
          <t>1326-05-06</t>
        </is>
      </c>
    </row>
    <row r="3081">
      <c r="A3081" s="1" t="n">
        <v>3080</v>
      </c>
      <c r="B3081">
        <f>TEXT(3080, "[$-170000]yyyy-mm-dd")</f>
        <v/>
      </c>
      <c r="C3081">
        <f>TEXT(3080, "[$-060000]yyyy-mm-dd")</f>
        <v/>
      </c>
      <c r="D3081" t="inlineStr">
        <is>
          <t>1326-05-07</t>
        </is>
      </c>
    </row>
    <row r="3082">
      <c r="A3082" s="1" t="n">
        <v>3081</v>
      </c>
      <c r="B3082">
        <f>TEXT(3081, "[$-170000]yyyy-mm-dd")</f>
        <v/>
      </c>
      <c r="C3082">
        <f>TEXT(3081, "[$-060000]yyyy-mm-dd")</f>
        <v/>
      </c>
      <c r="D3082" t="inlineStr">
        <is>
          <t>1326-05-08</t>
        </is>
      </c>
    </row>
    <row r="3083">
      <c r="A3083" s="1" t="n">
        <v>3082</v>
      </c>
      <c r="B3083">
        <f>TEXT(3082, "[$-170000]yyyy-mm-dd")</f>
        <v/>
      </c>
      <c r="C3083">
        <f>TEXT(3082, "[$-060000]yyyy-mm-dd")</f>
        <v/>
      </c>
      <c r="D3083" t="inlineStr">
        <is>
          <t>1326-05-09</t>
        </is>
      </c>
    </row>
    <row r="3084">
      <c r="A3084" s="1" t="n">
        <v>3083</v>
      </c>
      <c r="B3084">
        <f>TEXT(3083, "[$-170000]yyyy-mm-dd")</f>
        <v/>
      </c>
      <c r="C3084">
        <f>TEXT(3083, "[$-060000]yyyy-mm-dd")</f>
        <v/>
      </c>
      <c r="D3084" t="inlineStr">
        <is>
          <t>1326-05-10</t>
        </is>
      </c>
    </row>
    <row r="3085">
      <c r="A3085" s="1" t="n">
        <v>3084</v>
      </c>
      <c r="B3085">
        <f>TEXT(3084, "[$-170000]yyyy-mm-dd")</f>
        <v/>
      </c>
      <c r="C3085">
        <f>TEXT(3084, "[$-060000]yyyy-mm-dd")</f>
        <v/>
      </c>
      <c r="D3085" t="inlineStr">
        <is>
          <t>1326-05-11</t>
        </is>
      </c>
    </row>
    <row r="3086">
      <c r="A3086" s="1" t="n">
        <v>3085</v>
      </c>
      <c r="B3086">
        <f>TEXT(3085, "[$-170000]yyyy-mm-dd")</f>
        <v/>
      </c>
      <c r="C3086">
        <f>TEXT(3085, "[$-060000]yyyy-mm-dd")</f>
        <v/>
      </c>
      <c r="D3086" t="inlineStr">
        <is>
          <t>1326-05-12</t>
        </is>
      </c>
    </row>
    <row r="3087">
      <c r="A3087" s="1" t="n">
        <v>3086</v>
      </c>
      <c r="B3087">
        <f>TEXT(3086, "[$-170000]yyyy-mm-dd")</f>
        <v/>
      </c>
      <c r="C3087">
        <f>TEXT(3086, "[$-060000]yyyy-mm-dd")</f>
        <v/>
      </c>
      <c r="D3087" t="inlineStr">
        <is>
          <t>1326-05-13</t>
        </is>
      </c>
    </row>
    <row r="3088">
      <c r="A3088" s="1" t="n">
        <v>3087</v>
      </c>
      <c r="B3088">
        <f>TEXT(3087, "[$-170000]yyyy-mm-dd")</f>
        <v/>
      </c>
      <c r="C3088">
        <f>TEXT(3087, "[$-060000]yyyy-mm-dd")</f>
        <v/>
      </c>
      <c r="D3088" t="inlineStr">
        <is>
          <t>1326-05-14</t>
        </is>
      </c>
    </row>
    <row r="3089">
      <c r="A3089" s="1" t="n">
        <v>3088</v>
      </c>
      <c r="B3089">
        <f>TEXT(3088, "[$-170000]yyyy-mm-dd")</f>
        <v/>
      </c>
      <c r="C3089">
        <f>TEXT(3088, "[$-060000]yyyy-mm-dd")</f>
        <v/>
      </c>
      <c r="D3089" t="inlineStr">
        <is>
          <t>1326-05-15</t>
        </is>
      </c>
    </row>
    <row r="3090">
      <c r="A3090" s="1" t="n">
        <v>3089</v>
      </c>
      <c r="B3090">
        <f>TEXT(3089, "[$-170000]yyyy-mm-dd")</f>
        <v/>
      </c>
      <c r="C3090">
        <f>TEXT(3089, "[$-060000]yyyy-mm-dd")</f>
        <v/>
      </c>
      <c r="D3090" t="inlineStr">
        <is>
          <t>1326-05-16</t>
        </is>
      </c>
    </row>
    <row r="3091">
      <c r="A3091" s="1" t="n">
        <v>3090</v>
      </c>
      <c r="B3091">
        <f>TEXT(3090, "[$-170000]yyyy-mm-dd")</f>
        <v/>
      </c>
      <c r="C3091">
        <f>TEXT(3090, "[$-060000]yyyy-mm-dd")</f>
        <v/>
      </c>
      <c r="D3091" t="inlineStr">
        <is>
          <t>1326-05-17</t>
        </is>
      </c>
    </row>
    <row r="3092">
      <c r="A3092" s="1" t="n">
        <v>3091</v>
      </c>
      <c r="B3092">
        <f>TEXT(3091, "[$-170000]yyyy-mm-dd")</f>
        <v/>
      </c>
      <c r="C3092">
        <f>TEXT(3091, "[$-060000]yyyy-mm-dd")</f>
        <v/>
      </c>
      <c r="D3092" t="inlineStr">
        <is>
          <t>1326-05-18</t>
        </is>
      </c>
    </row>
    <row r="3093">
      <c r="A3093" s="1" t="n">
        <v>3092</v>
      </c>
      <c r="B3093">
        <f>TEXT(3092, "[$-170000]yyyy-mm-dd")</f>
        <v/>
      </c>
      <c r="C3093">
        <f>TEXT(3092, "[$-060000]yyyy-mm-dd")</f>
        <v/>
      </c>
      <c r="D3093" t="inlineStr">
        <is>
          <t>1326-05-19</t>
        </is>
      </c>
    </row>
    <row r="3094">
      <c r="A3094" s="1" t="n">
        <v>3093</v>
      </c>
      <c r="B3094">
        <f>TEXT(3093, "[$-170000]yyyy-mm-dd")</f>
        <v/>
      </c>
      <c r="C3094">
        <f>TEXT(3093, "[$-060000]yyyy-mm-dd")</f>
        <v/>
      </c>
      <c r="D3094" t="inlineStr">
        <is>
          <t>1326-05-20</t>
        </is>
      </c>
    </row>
    <row r="3095">
      <c r="A3095" s="1" t="n">
        <v>3094</v>
      </c>
      <c r="B3095">
        <f>TEXT(3094, "[$-170000]yyyy-mm-dd")</f>
        <v/>
      </c>
      <c r="C3095">
        <f>TEXT(3094, "[$-060000]yyyy-mm-dd")</f>
        <v/>
      </c>
      <c r="D3095" t="inlineStr">
        <is>
          <t>1326-05-21</t>
        </is>
      </c>
    </row>
    <row r="3096">
      <c r="A3096" s="1" t="n">
        <v>3095</v>
      </c>
      <c r="B3096">
        <f>TEXT(3095, "[$-170000]yyyy-mm-dd")</f>
        <v/>
      </c>
      <c r="C3096">
        <f>TEXT(3095, "[$-060000]yyyy-mm-dd")</f>
        <v/>
      </c>
      <c r="D3096" t="inlineStr">
        <is>
          <t>1326-05-22</t>
        </is>
      </c>
    </row>
    <row r="3097">
      <c r="A3097" s="1" t="n">
        <v>3096</v>
      </c>
      <c r="B3097">
        <f>TEXT(3096, "[$-170000]yyyy-mm-dd")</f>
        <v/>
      </c>
      <c r="C3097">
        <f>TEXT(3096, "[$-060000]yyyy-mm-dd")</f>
        <v/>
      </c>
      <c r="D3097" t="inlineStr">
        <is>
          <t>1326-05-23</t>
        </is>
      </c>
    </row>
    <row r="3098">
      <c r="A3098" s="1" t="n">
        <v>3097</v>
      </c>
      <c r="B3098">
        <f>TEXT(3097, "[$-170000]yyyy-mm-dd")</f>
        <v/>
      </c>
      <c r="C3098">
        <f>TEXT(3097, "[$-060000]yyyy-mm-dd")</f>
        <v/>
      </c>
      <c r="D3098" t="inlineStr">
        <is>
          <t>1326-05-24</t>
        </is>
      </c>
    </row>
    <row r="3099">
      <c r="A3099" s="1" t="n">
        <v>3098</v>
      </c>
      <c r="B3099">
        <f>TEXT(3098, "[$-170000]yyyy-mm-dd")</f>
        <v/>
      </c>
      <c r="C3099">
        <f>TEXT(3098, "[$-060000]yyyy-mm-dd")</f>
        <v/>
      </c>
      <c r="D3099" t="inlineStr">
        <is>
          <t>1326-05-25</t>
        </is>
      </c>
    </row>
    <row r="3100">
      <c r="A3100" s="1" t="n">
        <v>3099</v>
      </c>
      <c r="B3100">
        <f>TEXT(3099, "[$-170000]yyyy-mm-dd")</f>
        <v/>
      </c>
      <c r="C3100">
        <f>TEXT(3099, "[$-060000]yyyy-mm-dd")</f>
        <v/>
      </c>
      <c r="D3100" t="inlineStr">
        <is>
          <t>1326-05-26</t>
        </is>
      </c>
    </row>
    <row r="3101">
      <c r="A3101" s="1" t="n">
        <v>3100</v>
      </c>
      <c r="B3101">
        <f>TEXT(3100, "[$-170000]yyyy-mm-dd")</f>
        <v/>
      </c>
      <c r="C3101">
        <f>TEXT(3100, "[$-060000]yyyy-mm-dd")</f>
        <v/>
      </c>
      <c r="D3101" t="inlineStr">
        <is>
          <t>1326-05-27</t>
        </is>
      </c>
    </row>
    <row r="3102">
      <c r="A3102" s="1" t="n">
        <v>3101</v>
      </c>
      <c r="B3102">
        <f>TEXT(3101, "[$-170000]yyyy-mm-dd")</f>
        <v/>
      </c>
      <c r="C3102">
        <f>TEXT(3101, "[$-060000]yyyy-mm-dd")</f>
        <v/>
      </c>
      <c r="D3102" t="inlineStr">
        <is>
          <t>1326-05-28</t>
        </is>
      </c>
    </row>
    <row r="3103">
      <c r="A3103" s="1" t="n">
        <v>3102</v>
      </c>
      <c r="B3103">
        <f>TEXT(3102, "[$-170000]yyyy-mm-dd")</f>
        <v/>
      </c>
      <c r="C3103">
        <f>TEXT(3102, "[$-060000]yyyy-mm-dd")</f>
        <v/>
      </c>
      <c r="D3103" t="inlineStr">
        <is>
          <t>1326-05-29</t>
        </is>
      </c>
    </row>
    <row r="3104">
      <c r="A3104" s="1" t="n">
        <v>3103</v>
      </c>
      <c r="B3104">
        <f>TEXT(3103, "[$-170000]yyyy-mm-dd")</f>
        <v/>
      </c>
      <c r="C3104">
        <f>TEXT(3103, "[$-060000]yyyy-mm-dd")</f>
        <v/>
      </c>
      <c r="D3104" t="inlineStr">
        <is>
          <t>1326-05-30</t>
        </is>
      </c>
    </row>
    <row r="3105">
      <c r="A3105" s="1" t="n">
        <v>3104</v>
      </c>
      <c r="B3105">
        <f>TEXT(3104, "[$-170000]yyyy-mm-dd")</f>
        <v/>
      </c>
      <c r="C3105">
        <f>TEXT(3104, "[$-060000]yyyy-mm-dd")</f>
        <v/>
      </c>
      <c r="D3105" t="inlineStr">
        <is>
          <t>1326-06-01</t>
        </is>
      </c>
    </row>
    <row r="3106">
      <c r="A3106" s="1" t="n">
        <v>3105</v>
      </c>
      <c r="B3106">
        <f>TEXT(3105, "[$-170000]yyyy-mm-dd")</f>
        <v/>
      </c>
      <c r="C3106">
        <f>TEXT(3105, "[$-060000]yyyy-mm-dd")</f>
        <v/>
      </c>
      <c r="D3106" t="inlineStr">
        <is>
          <t>1326-06-02</t>
        </is>
      </c>
    </row>
    <row r="3107">
      <c r="A3107" s="1" t="n">
        <v>3106</v>
      </c>
      <c r="B3107">
        <f>TEXT(3106, "[$-170000]yyyy-mm-dd")</f>
        <v/>
      </c>
      <c r="C3107">
        <f>TEXT(3106, "[$-060000]yyyy-mm-dd")</f>
        <v/>
      </c>
      <c r="D3107" t="inlineStr">
        <is>
          <t>1326-06-03</t>
        </is>
      </c>
    </row>
    <row r="3108">
      <c r="A3108" s="1" t="n">
        <v>3107</v>
      </c>
      <c r="B3108">
        <f>TEXT(3107, "[$-170000]yyyy-mm-dd")</f>
        <v/>
      </c>
      <c r="C3108">
        <f>TEXT(3107, "[$-060000]yyyy-mm-dd")</f>
        <v/>
      </c>
      <c r="D3108" t="inlineStr">
        <is>
          <t>1326-06-04</t>
        </is>
      </c>
    </row>
    <row r="3109">
      <c r="A3109" s="1" t="n">
        <v>3108</v>
      </c>
      <c r="B3109">
        <f>TEXT(3108, "[$-170000]yyyy-mm-dd")</f>
        <v/>
      </c>
      <c r="C3109">
        <f>TEXT(3108, "[$-060000]yyyy-mm-dd")</f>
        <v/>
      </c>
      <c r="D3109" t="inlineStr">
        <is>
          <t>1326-06-05</t>
        </is>
      </c>
    </row>
    <row r="3110">
      <c r="A3110" s="1" t="n">
        <v>3109</v>
      </c>
      <c r="B3110">
        <f>TEXT(3109, "[$-170000]yyyy-mm-dd")</f>
        <v/>
      </c>
      <c r="C3110">
        <f>TEXT(3109, "[$-060000]yyyy-mm-dd")</f>
        <v/>
      </c>
      <c r="D3110" t="inlineStr">
        <is>
          <t>1326-06-06</t>
        </is>
      </c>
    </row>
    <row r="3111">
      <c r="A3111" s="1" t="n">
        <v>3110</v>
      </c>
      <c r="B3111">
        <f>TEXT(3110, "[$-170000]yyyy-mm-dd")</f>
        <v/>
      </c>
      <c r="C3111">
        <f>TEXT(3110, "[$-060000]yyyy-mm-dd")</f>
        <v/>
      </c>
      <c r="D3111" t="inlineStr">
        <is>
          <t>1326-06-07</t>
        </is>
      </c>
    </row>
    <row r="3112">
      <c r="A3112" s="1" t="n">
        <v>3111</v>
      </c>
      <c r="B3112">
        <f>TEXT(3111, "[$-170000]yyyy-mm-dd")</f>
        <v/>
      </c>
      <c r="C3112">
        <f>TEXT(3111, "[$-060000]yyyy-mm-dd")</f>
        <v/>
      </c>
      <c r="D3112" t="inlineStr">
        <is>
          <t>1326-06-08</t>
        </is>
      </c>
    </row>
    <row r="3113">
      <c r="A3113" s="1" t="n">
        <v>3112</v>
      </c>
      <c r="B3113">
        <f>TEXT(3112, "[$-170000]yyyy-mm-dd")</f>
        <v/>
      </c>
      <c r="C3113">
        <f>TEXT(3112, "[$-060000]yyyy-mm-dd")</f>
        <v/>
      </c>
      <c r="D3113" t="inlineStr">
        <is>
          <t>1326-06-09</t>
        </is>
      </c>
    </row>
    <row r="3114">
      <c r="A3114" s="1" t="n">
        <v>3113</v>
      </c>
      <c r="B3114">
        <f>TEXT(3113, "[$-170000]yyyy-mm-dd")</f>
        <v/>
      </c>
      <c r="C3114">
        <f>TEXT(3113, "[$-060000]yyyy-mm-dd")</f>
        <v/>
      </c>
      <c r="D3114" t="inlineStr">
        <is>
          <t>1326-06-10</t>
        </is>
      </c>
    </row>
    <row r="3115">
      <c r="A3115" s="1" t="n">
        <v>3114</v>
      </c>
      <c r="B3115">
        <f>TEXT(3114, "[$-170000]yyyy-mm-dd")</f>
        <v/>
      </c>
      <c r="C3115">
        <f>TEXT(3114, "[$-060000]yyyy-mm-dd")</f>
        <v/>
      </c>
      <c r="D3115" t="inlineStr">
        <is>
          <t>1326-06-11</t>
        </is>
      </c>
    </row>
    <row r="3116">
      <c r="A3116" s="1" t="n">
        <v>3115</v>
      </c>
      <c r="B3116">
        <f>TEXT(3115, "[$-170000]yyyy-mm-dd")</f>
        <v/>
      </c>
      <c r="C3116">
        <f>TEXT(3115, "[$-060000]yyyy-mm-dd")</f>
        <v/>
      </c>
      <c r="D3116" t="inlineStr">
        <is>
          <t>1326-06-12</t>
        </is>
      </c>
    </row>
    <row r="3117">
      <c r="A3117" s="1" t="n">
        <v>3116</v>
      </c>
      <c r="B3117">
        <f>TEXT(3116, "[$-170000]yyyy-mm-dd")</f>
        <v/>
      </c>
      <c r="C3117">
        <f>TEXT(3116, "[$-060000]yyyy-mm-dd")</f>
        <v/>
      </c>
      <c r="D3117" t="inlineStr">
        <is>
          <t>1326-06-13</t>
        </is>
      </c>
    </row>
    <row r="3118">
      <c r="A3118" s="1" t="n">
        <v>3117</v>
      </c>
      <c r="B3118">
        <f>TEXT(3117, "[$-170000]yyyy-mm-dd")</f>
        <v/>
      </c>
      <c r="C3118">
        <f>TEXT(3117, "[$-060000]yyyy-mm-dd")</f>
        <v/>
      </c>
      <c r="D3118" t="inlineStr">
        <is>
          <t>1326-06-14</t>
        </is>
      </c>
    </row>
    <row r="3119">
      <c r="A3119" s="1" t="n">
        <v>3118</v>
      </c>
      <c r="B3119">
        <f>TEXT(3118, "[$-170000]yyyy-mm-dd")</f>
        <v/>
      </c>
      <c r="C3119">
        <f>TEXT(3118, "[$-060000]yyyy-mm-dd")</f>
        <v/>
      </c>
      <c r="D3119" t="inlineStr">
        <is>
          <t>1326-06-15</t>
        </is>
      </c>
    </row>
    <row r="3120">
      <c r="A3120" s="1" t="n">
        <v>3119</v>
      </c>
      <c r="B3120">
        <f>TEXT(3119, "[$-170000]yyyy-mm-dd")</f>
        <v/>
      </c>
      <c r="C3120">
        <f>TEXT(3119, "[$-060000]yyyy-mm-dd")</f>
        <v/>
      </c>
      <c r="D3120" t="inlineStr">
        <is>
          <t>1326-06-16</t>
        </is>
      </c>
    </row>
    <row r="3121">
      <c r="A3121" s="1" t="n">
        <v>3120</v>
      </c>
      <c r="B3121">
        <f>TEXT(3120, "[$-170000]yyyy-mm-dd")</f>
        <v/>
      </c>
      <c r="C3121">
        <f>TEXT(3120, "[$-060000]yyyy-mm-dd")</f>
        <v/>
      </c>
      <c r="D3121" t="inlineStr">
        <is>
          <t>1326-06-17</t>
        </is>
      </c>
    </row>
    <row r="3122">
      <c r="A3122" s="1" t="n">
        <v>3121</v>
      </c>
      <c r="B3122">
        <f>TEXT(3121, "[$-170000]yyyy-mm-dd")</f>
        <v/>
      </c>
      <c r="C3122">
        <f>TEXT(3121, "[$-060000]yyyy-mm-dd")</f>
        <v/>
      </c>
      <c r="D3122" t="inlineStr">
        <is>
          <t>1326-06-18</t>
        </is>
      </c>
    </row>
    <row r="3123">
      <c r="A3123" s="1" t="n">
        <v>3122</v>
      </c>
      <c r="B3123">
        <f>TEXT(3122, "[$-170000]yyyy-mm-dd")</f>
        <v/>
      </c>
      <c r="C3123">
        <f>TEXT(3122, "[$-060000]yyyy-mm-dd")</f>
        <v/>
      </c>
      <c r="D3123" t="inlineStr">
        <is>
          <t>1326-06-19</t>
        </is>
      </c>
    </row>
    <row r="3124">
      <c r="A3124" s="1" t="n">
        <v>3123</v>
      </c>
      <c r="B3124">
        <f>TEXT(3123, "[$-170000]yyyy-mm-dd")</f>
        <v/>
      </c>
      <c r="C3124">
        <f>TEXT(3123, "[$-060000]yyyy-mm-dd")</f>
        <v/>
      </c>
      <c r="D3124" t="inlineStr">
        <is>
          <t>1326-06-20</t>
        </is>
      </c>
    </row>
    <row r="3125">
      <c r="A3125" s="1" t="n">
        <v>3124</v>
      </c>
      <c r="B3125">
        <f>TEXT(3124, "[$-170000]yyyy-mm-dd")</f>
        <v/>
      </c>
      <c r="C3125">
        <f>TEXT(3124, "[$-060000]yyyy-mm-dd")</f>
        <v/>
      </c>
      <c r="D3125" t="inlineStr">
        <is>
          <t>1326-06-21</t>
        </is>
      </c>
    </row>
    <row r="3126">
      <c r="A3126" s="1" t="n">
        <v>3125</v>
      </c>
      <c r="B3126">
        <f>TEXT(3125, "[$-170000]yyyy-mm-dd")</f>
        <v/>
      </c>
      <c r="C3126">
        <f>TEXT(3125, "[$-060000]yyyy-mm-dd")</f>
        <v/>
      </c>
      <c r="D3126" t="inlineStr">
        <is>
          <t>1326-06-22</t>
        </is>
      </c>
    </row>
    <row r="3127">
      <c r="A3127" s="1" t="n">
        <v>3126</v>
      </c>
      <c r="B3127">
        <f>TEXT(3126, "[$-170000]yyyy-mm-dd")</f>
        <v/>
      </c>
      <c r="C3127">
        <f>TEXT(3126, "[$-060000]yyyy-mm-dd")</f>
        <v/>
      </c>
      <c r="D3127" t="inlineStr">
        <is>
          <t>1326-06-23</t>
        </is>
      </c>
    </row>
    <row r="3128">
      <c r="A3128" s="1" t="n">
        <v>3127</v>
      </c>
      <c r="B3128">
        <f>TEXT(3127, "[$-170000]yyyy-mm-dd")</f>
        <v/>
      </c>
      <c r="C3128">
        <f>TEXT(3127, "[$-060000]yyyy-mm-dd")</f>
        <v/>
      </c>
      <c r="D3128" t="inlineStr">
        <is>
          <t>1326-06-24</t>
        </is>
      </c>
    </row>
    <row r="3129">
      <c r="A3129" s="1" t="n">
        <v>3128</v>
      </c>
      <c r="B3129">
        <f>TEXT(3128, "[$-170000]yyyy-mm-dd")</f>
        <v/>
      </c>
      <c r="C3129">
        <f>TEXT(3128, "[$-060000]yyyy-mm-dd")</f>
        <v/>
      </c>
      <c r="D3129" t="inlineStr">
        <is>
          <t>1326-06-25</t>
        </is>
      </c>
    </row>
    <row r="3130">
      <c r="A3130" s="1" t="n">
        <v>3129</v>
      </c>
      <c r="B3130">
        <f>TEXT(3129, "[$-170000]yyyy-mm-dd")</f>
        <v/>
      </c>
      <c r="C3130">
        <f>TEXT(3129, "[$-060000]yyyy-mm-dd")</f>
        <v/>
      </c>
      <c r="D3130" t="inlineStr">
        <is>
          <t>1326-06-26</t>
        </is>
      </c>
    </row>
    <row r="3131">
      <c r="A3131" s="1" t="n">
        <v>3130</v>
      </c>
      <c r="B3131">
        <f>TEXT(3130, "[$-170000]yyyy-mm-dd")</f>
        <v/>
      </c>
      <c r="C3131">
        <f>TEXT(3130, "[$-060000]yyyy-mm-dd")</f>
        <v/>
      </c>
      <c r="D3131" t="inlineStr">
        <is>
          <t>1326-06-27</t>
        </is>
      </c>
    </row>
    <row r="3132">
      <c r="A3132" s="1" t="n">
        <v>3131</v>
      </c>
      <c r="B3132">
        <f>TEXT(3131, "[$-170000]yyyy-mm-dd")</f>
        <v/>
      </c>
      <c r="C3132">
        <f>TEXT(3131, "[$-060000]yyyy-mm-dd")</f>
        <v/>
      </c>
      <c r="D3132" t="inlineStr">
        <is>
          <t>1326-06-28</t>
        </is>
      </c>
    </row>
    <row r="3133">
      <c r="A3133" s="1" t="n">
        <v>3132</v>
      </c>
      <c r="B3133">
        <f>TEXT(3132, "[$-170000]yyyy-mm-dd")</f>
        <v/>
      </c>
      <c r="C3133">
        <f>TEXT(3132, "[$-060000]yyyy-mm-dd")</f>
        <v/>
      </c>
      <c r="D3133" t="inlineStr">
        <is>
          <t>1326-06-29</t>
        </is>
      </c>
    </row>
    <row r="3134">
      <c r="A3134" s="1" t="n">
        <v>3133</v>
      </c>
      <c r="B3134">
        <f>TEXT(3133, "[$-170000]yyyy-mm-dd")</f>
        <v/>
      </c>
      <c r="C3134">
        <f>TEXT(3133, "[$-060000]yyyy-mm-dd")</f>
        <v/>
      </c>
      <c r="D3134" t="inlineStr">
        <is>
          <t>1326-07-01</t>
        </is>
      </c>
    </row>
    <row r="3135">
      <c r="A3135" s="1" t="n">
        <v>3134</v>
      </c>
      <c r="B3135">
        <f>TEXT(3134, "[$-170000]yyyy-mm-dd")</f>
        <v/>
      </c>
      <c r="C3135">
        <f>TEXT(3134, "[$-060000]yyyy-mm-dd")</f>
        <v/>
      </c>
      <c r="D3135" t="inlineStr">
        <is>
          <t>1326-07-02</t>
        </is>
      </c>
    </row>
    <row r="3136">
      <c r="A3136" s="1" t="n">
        <v>3135</v>
      </c>
      <c r="B3136">
        <f>TEXT(3135, "[$-170000]yyyy-mm-dd")</f>
        <v/>
      </c>
      <c r="C3136">
        <f>TEXT(3135, "[$-060000]yyyy-mm-dd")</f>
        <v/>
      </c>
      <c r="D3136" t="inlineStr">
        <is>
          <t>1326-07-03</t>
        </is>
      </c>
    </row>
    <row r="3137">
      <c r="A3137" s="1" t="n">
        <v>3136</v>
      </c>
      <c r="B3137">
        <f>TEXT(3136, "[$-170000]yyyy-mm-dd")</f>
        <v/>
      </c>
      <c r="C3137">
        <f>TEXT(3136, "[$-060000]yyyy-mm-dd")</f>
        <v/>
      </c>
      <c r="D3137" t="inlineStr">
        <is>
          <t>1326-07-04</t>
        </is>
      </c>
    </row>
    <row r="3138">
      <c r="A3138" s="1" t="n">
        <v>3137</v>
      </c>
      <c r="B3138">
        <f>TEXT(3137, "[$-170000]yyyy-mm-dd")</f>
        <v/>
      </c>
      <c r="C3138">
        <f>TEXT(3137, "[$-060000]yyyy-mm-dd")</f>
        <v/>
      </c>
      <c r="D3138" t="inlineStr">
        <is>
          <t>1326-07-05</t>
        </is>
      </c>
    </row>
    <row r="3139">
      <c r="A3139" s="1" t="n">
        <v>3138</v>
      </c>
      <c r="B3139">
        <f>TEXT(3138, "[$-170000]yyyy-mm-dd")</f>
        <v/>
      </c>
      <c r="C3139">
        <f>TEXT(3138, "[$-060000]yyyy-mm-dd")</f>
        <v/>
      </c>
      <c r="D3139" t="inlineStr">
        <is>
          <t>1326-07-06</t>
        </is>
      </c>
    </row>
    <row r="3140">
      <c r="A3140" s="1" t="n">
        <v>3139</v>
      </c>
      <c r="B3140">
        <f>TEXT(3139, "[$-170000]yyyy-mm-dd")</f>
        <v/>
      </c>
      <c r="C3140">
        <f>TEXT(3139, "[$-060000]yyyy-mm-dd")</f>
        <v/>
      </c>
      <c r="D3140" t="inlineStr">
        <is>
          <t>1326-07-07</t>
        </is>
      </c>
    </row>
    <row r="3141">
      <c r="A3141" s="1" t="n">
        <v>3140</v>
      </c>
      <c r="B3141">
        <f>TEXT(3140, "[$-170000]yyyy-mm-dd")</f>
        <v/>
      </c>
      <c r="C3141">
        <f>TEXT(3140, "[$-060000]yyyy-mm-dd")</f>
        <v/>
      </c>
      <c r="D3141" t="inlineStr">
        <is>
          <t>1326-07-08</t>
        </is>
      </c>
    </row>
    <row r="3142">
      <c r="A3142" s="1" t="n">
        <v>3141</v>
      </c>
      <c r="B3142">
        <f>TEXT(3141, "[$-170000]yyyy-mm-dd")</f>
        <v/>
      </c>
      <c r="C3142">
        <f>TEXT(3141, "[$-060000]yyyy-mm-dd")</f>
        <v/>
      </c>
      <c r="D3142" t="inlineStr">
        <is>
          <t>1326-07-09</t>
        </is>
      </c>
    </row>
    <row r="3143">
      <c r="A3143" s="1" t="n">
        <v>3142</v>
      </c>
      <c r="B3143">
        <f>TEXT(3142, "[$-170000]yyyy-mm-dd")</f>
        <v/>
      </c>
      <c r="C3143">
        <f>TEXT(3142, "[$-060000]yyyy-mm-dd")</f>
        <v/>
      </c>
      <c r="D3143" t="inlineStr">
        <is>
          <t>1326-07-10</t>
        </is>
      </c>
    </row>
    <row r="3144">
      <c r="A3144" s="1" t="n">
        <v>3143</v>
      </c>
      <c r="B3144">
        <f>TEXT(3143, "[$-170000]yyyy-mm-dd")</f>
        <v/>
      </c>
      <c r="C3144">
        <f>TEXT(3143, "[$-060000]yyyy-mm-dd")</f>
        <v/>
      </c>
      <c r="D3144" t="inlineStr">
        <is>
          <t>1326-07-11</t>
        </is>
      </c>
    </row>
    <row r="3145">
      <c r="A3145" s="1" t="n">
        <v>3144</v>
      </c>
      <c r="B3145">
        <f>TEXT(3144, "[$-170000]yyyy-mm-dd")</f>
        <v/>
      </c>
      <c r="C3145">
        <f>TEXT(3144, "[$-060000]yyyy-mm-dd")</f>
        <v/>
      </c>
      <c r="D3145" t="inlineStr">
        <is>
          <t>1326-07-12</t>
        </is>
      </c>
    </row>
    <row r="3146">
      <c r="A3146" s="1" t="n">
        <v>3145</v>
      </c>
      <c r="B3146">
        <f>TEXT(3145, "[$-170000]yyyy-mm-dd")</f>
        <v/>
      </c>
      <c r="C3146">
        <f>TEXT(3145, "[$-060000]yyyy-mm-dd")</f>
        <v/>
      </c>
      <c r="D3146" t="inlineStr">
        <is>
          <t>1326-07-13</t>
        </is>
      </c>
    </row>
    <row r="3147">
      <c r="A3147" s="1" t="n">
        <v>3146</v>
      </c>
      <c r="B3147">
        <f>TEXT(3146, "[$-170000]yyyy-mm-dd")</f>
        <v/>
      </c>
      <c r="C3147">
        <f>TEXT(3146, "[$-060000]yyyy-mm-dd")</f>
        <v/>
      </c>
      <c r="D3147" t="inlineStr">
        <is>
          <t>1326-07-14</t>
        </is>
      </c>
    </row>
    <row r="3148">
      <c r="A3148" s="1" t="n">
        <v>3147</v>
      </c>
      <c r="B3148">
        <f>TEXT(3147, "[$-170000]yyyy-mm-dd")</f>
        <v/>
      </c>
      <c r="C3148">
        <f>TEXT(3147, "[$-060000]yyyy-mm-dd")</f>
        <v/>
      </c>
      <c r="D3148" t="inlineStr">
        <is>
          <t>1326-07-15</t>
        </is>
      </c>
    </row>
    <row r="3149">
      <c r="A3149" s="1" t="n">
        <v>3148</v>
      </c>
      <c r="B3149">
        <f>TEXT(3148, "[$-170000]yyyy-mm-dd")</f>
        <v/>
      </c>
      <c r="C3149">
        <f>TEXT(3148, "[$-060000]yyyy-mm-dd")</f>
        <v/>
      </c>
      <c r="D3149" t="inlineStr">
        <is>
          <t>1326-07-16</t>
        </is>
      </c>
    </row>
    <row r="3150">
      <c r="A3150" s="1" t="n">
        <v>3149</v>
      </c>
      <c r="B3150">
        <f>TEXT(3149, "[$-170000]yyyy-mm-dd")</f>
        <v/>
      </c>
      <c r="C3150">
        <f>TEXT(3149, "[$-060000]yyyy-mm-dd")</f>
        <v/>
      </c>
      <c r="D3150" t="inlineStr">
        <is>
          <t>1326-07-17</t>
        </is>
      </c>
    </row>
    <row r="3151">
      <c r="A3151" s="1" t="n">
        <v>3150</v>
      </c>
      <c r="B3151">
        <f>TEXT(3150, "[$-170000]yyyy-mm-dd")</f>
        <v/>
      </c>
      <c r="C3151">
        <f>TEXT(3150, "[$-060000]yyyy-mm-dd")</f>
        <v/>
      </c>
      <c r="D3151" t="inlineStr">
        <is>
          <t>1326-07-18</t>
        </is>
      </c>
    </row>
    <row r="3152">
      <c r="A3152" s="1" t="n">
        <v>3151</v>
      </c>
      <c r="B3152">
        <f>TEXT(3151, "[$-170000]yyyy-mm-dd")</f>
        <v/>
      </c>
      <c r="C3152">
        <f>TEXT(3151, "[$-060000]yyyy-mm-dd")</f>
        <v/>
      </c>
      <c r="D3152" t="inlineStr">
        <is>
          <t>1326-07-19</t>
        </is>
      </c>
    </row>
    <row r="3153">
      <c r="A3153" s="1" t="n">
        <v>3152</v>
      </c>
      <c r="B3153">
        <f>TEXT(3152, "[$-170000]yyyy-mm-dd")</f>
        <v/>
      </c>
      <c r="C3153">
        <f>TEXT(3152, "[$-060000]yyyy-mm-dd")</f>
        <v/>
      </c>
      <c r="D3153" t="inlineStr">
        <is>
          <t>1326-07-20</t>
        </is>
      </c>
    </row>
    <row r="3154">
      <c r="A3154" s="1" t="n">
        <v>3153</v>
      </c>
      <c r="B3154">
        <f>TEXT(3153, "[$-170000]yyyy-mm-dd")</f>
        <v/>
      </c>
      <c r="C3154">
        <f>TEXT(3153, "[$-060000]yyyy-mm-dd")</f>
        <v/>
      </c>
      <c r="D3154" t="inlineStr">
        <is>
          <t>1326-07-21</t>
        </is>
      </c>
    </row>
    <row r="3155">
      <c r="A3155" s="1" t="n">
        <v>3154</v>
      </c>
      <c r="B3155">
        <f>TEXT(3154, "[$-170000]yyyy-mm-dd")</f>
        <v/>
      </c>
      <c r="C3155">
        <f>TEXT(3154, "[$-060000]yyyy-mm-dd")</f>
        <v/>
      </c>
      <c r="D3155" t="inlineStr">
        <is>
          <t>1326-07-22</t>
        </is>
      </c>
    </row>
    <row r="3156">
      <c r="A3156" s="1" t="n">
        <v>3155</v>
      </c>
      <c r="B3156">
        <f>TEXT(3155, "[$-170000]yyyy-mm-dd")</f>
        <v/>
      </c>
      <c r="C3156">
        <f>TEXT(3155, "[$-060000]yyyy-mm-dd")</f>
        <v/>
      </c>
      <c r="D3156" t="inlineStr">
        <is>
          <t>1326-07-23</t>
        </is>
      </c>
    </row>
    <row r="3157">
      <c r="A3157" s="1" t="n">
        <v>3156</v>
      </c>
      <c r="B3157">
        <f>TEXT(3156, "[$-170000]yyyy-mm-dd")</f>
        <v/>
      </c>
      <c r="C3157">
        <f>TEXT(3156, "[$-060000]yyyy-mm-dd")</f>
        <v/>
      </c>
      <c r="D3157" t="inlineStr">
        <is>
          <t>1326-07-24</t>
        </is>
      </c>
    </row>
    <row r="3158">
      <c r="A3158" s="1" t="n">
        <v>3157</v>
      </c>
      <c r="B3158">
        <f>TEXT(3157, "[$-170000]yyyy-mm-dd")</f>
        <v/>
      </c>
      <c r="C3158">
        <f>TEXT(3157, "[$-060000]yyyy-mm-dd")</f>
        <v/>
      </c>
      <c r="D3158" t="inlineStr">
        <is>
          <t>1326-07-25</t>
        </is>
      </c>
    </row>
    <row r="3159">
      <c r="A3159" s="1" t="n">
        <v>3158</v>
      </c>
      <c r="B3159">
        <f>TEXT(3158, "[$-170000]yyyy-mm-dd")</f>
        <v/>
      </c>
      <c r="C3159">
        <f>TEXT(3158, "[$-060000]yyyy-mm-dd")</f>
        <v/>
      </c>
      <c r="D3159" t="inlineStr">
        <is>
          <t>1326-07-26</t>
        </is>
      </c>
    </row>
    <row r="3160">
      <c r="A3160" s="1" t="n">
        <v>3159</v>
      </c>
      <c r="B3160">
        <f>TEXT(3159, "[$-170000]yyyy-mm-dd")</f>
        <v/>
      </c>
      <c r="C3160">
        <f>TEXT(3159, "[$-060000]yyyy-mm-dd")</f>
        <v/>
      </c>
      <c r="D3160" t="inlineStr">
        <is>
          <t>1326-07-27</t>
        </is>
      </c>
    </row>
    <row r="3161">
      <c r="A3161" s="1" t="n">
        <v>3160</v>
      </c>
      <c r="B3161">
        <f>TEXT(3160, "[$-170000]yyyy-mm-dd")</f>
        <v/>
      </c>
      <c r="C3161">
        <f>TEXT(3160, "[$-060000]yyyy-mm-dd")</f>
        <v/>
      </c>
      <c r="D3161" t="inlineStr">
        <is>
          <t>1326-07-28</t>
        </is>
      </c>
    </row>
    <row r="3162">
      <c r="A3162" s="1" t="n">
        <v>3161</v>
      </c>
      <c r="B3162">
        <f>TEXT(3161, "[$-170000]yyyy-mm-dd")</f>
        <v/>
      </c>
      <c r="C3162">
        <f>TEXT(3161, "[$-060000]yyyy-mm-dd")</f>
        <v/>
      </c>
      <c r="D3162" t="inlineStr">
        <is>
          <t>1326-07-29</t>
        </is>
      </c>
    </row>
    <row r="3163">
      <c r="A3163" s="1" t="n">
        <v>3162</v>
      </c>
      <c r="B3163">
        <f>TEXT(3162, "[$-170000]yyyy-mm-dd")</f>
        <v/>
      </c>
      <c r="C3163">
        <f>TEXT(3162, "[$-060000]yyyy-mm-dd")</f>
        <v/>
      </c>
      <c r="D3163" t="inlineStr">
        <is>
          <t>1326-07-30</t>
        </is>
      </c>
    </row>
    <row r="3164">
      <c r="A3164" s="1" t="n">
        <v>3163</v>
      </c>
      <c r="B3164">
        <f>TEXT(3163, "[$-170000]yyyy-mm-dd")</f>
        <v/>
      </c>
      <c r="C3164">
        <f>TEXT(3163, "[$-060000]yyyy-mm-dd")</f>
        <v/>
      </c>
      <c r="D3164" t="inlineStr">
        <is>
          <t>1326-08-01</t>
        </is>
      </c>
    </row>
    <row r="3165">
      <c r="A3165" s="1" t="n">
        <v>3164</v>
      </c>
      <c r="B3165">
        <f>TEXT(3164, "[$-170000]yyyy-mm-dd")</f>
        <v/>
      </c>
      <c r="C3165">
        <f>TEXT(3164, "[$-060000]yyyy-mm-dd")</f>
        <v/>
      </c>
      <c r="D3165" t="inlineStr">
        <is>
          <t>1326-08-02</t>
        </is>
      </c>
    </row>
    <row r="3166">
      <c r="A3166" s="1" t="n">
        <v>3165</v>
      </c>
      <c r="B3166">
        <f>TEXT(3165, "[$-170000]yyyy-mm-dd")</f>
        <v/>
      </c>
      <c r="C3166">
        <f>TEXT(3165, "[$-060000]yyyy-mm-dd")</f>
        <v/>
      </c>
      <c r="D3166" t="inlineStr">
        <is>
          <t>1326-08-03</t>
        </is>
      </c>
    </row>
    <row r="3167">
      <c r="A3167" s="1" t="n">
        <v>3166</v>
      </c>
      <c r="B3167">
        <f>TEXT(3166, "[$-170000]yyyy-mm-dd")</f>
        <v/>
      </c>
      <c r="C3167">
        <f>TEXT(3166, "[$-060000]yyyy-mm-dd")</f>
        <v/>
      </c>
      <c r="D3167" t="inlineStr">
        <is>
          <t>1326-08-04</t>
        </is>
      </c>
    </row>
    <row r="3168">
      <c r="A3168" s="1" t="n">
        <v>3167</v>
      </c>
      <c r="B3168">
        <f>TEXT(3167, "[$-170000]yyyy-mm-dd")</f>
        <v/>
      </c>
      <c r="C3168">
        <f>TEXT(3167, "[$-060000]yyyy-mm-dd")</f>
        <v/>
      </c>
      <c r="D3168" t="inlineStr">
        <is>
          <t>1326-08-05</t>
        </is>
      </c>
    </row>
    <row r="3169">
      <c r="A3169" s="1" t="n">
        <v>3168</v>
      </c>
      <c r="B3169">
        <f>TEXT(3168, "[$-170000]yyyy-mm-dd")</f>
        <v/>
      </c>
      <c r="C3169">
        <f>TEXT(3168, "[$-060000]yyyy-mm-dd")</f>
        <v/>
      </c>
      <c r="D3169" t="inlineStr">
        <is>
          <t>1326-08-06</t>
        </is>
      </c>
    </row>
    <row r="3170">
      <c r="A3170" s="1" t="n">
        <v>3169</v>
      </c>
      <c r="B3170">
        <f>TEXT(3169, "[$-170000]yyyy-mm-dd")</f>
        <v/>
      </c>
      <c r="C3170">
        <f>TEXT(3169, "[$-060000]yyyy-mm-dd")</f>
        <v/>
      </c>
      <c r="D3170" t="inlineStr">
        <is>
          <t>1326-08-07</t>
        </is>
      </c>
    </row>
    <row r="3171">
      <c r="A3171" s="1" t="n">
        <v>3170</v>
      </c>
      <c r="B3171">
        <f>TEXT(3170, "[$-170000]yyyy-mm-dd")</f>
        <v/>
      </c>
      <c r="C3171">
        <f>TEXT(3170, "[$-060000]yyyy-mm-dd")</f>
        <v/>
      </c>
      <c r="D3171" t="inlineStr">
        <is>
          <t>1326-08-08</t>
        </is>
      </c>
    </row>
    <row r="3172">
      <c r="A3172" s="1" t="n">
        <v>3171</v>
      </c>
      <c r="B3172">
        <f>TEXT(3171, "[$-170000]yyyy-mm-dd")</f>
        <v/>
      </c>
      <c r="C3172">
        <f>TEXT(3171, "[$-060000]yyyy-mm-dd")</f>
        <v/>
      </c>
      <c r="D3172" t="inlineStr">
        <is>
          <t>1326-08-09</t>
        </is>
      </c>
    </row>
    <row r="3173">
      <c r="A3173" s="1" t="n">
        <v>3172</v>
      </c>
      <c r="B3173">
        <f>TEXT(3172, "[$-170000]yyyy-mm-dd")</f>
        <v/>
      </c>
      <c r="C3173">
        <f>TEXT(3172, "[$-060000]yyyy-mm-dd")</f>
        <v/>
      </c>
      <c r="D3173" t="inlineStr">
        <is>
          <t>1326-08-10</t>
        </is>
      </c>
    </row>
    <row r="3174">
      <c r="A3174" s="1" t="n">
        <v>3173</v>
      </c>
      <c r="B3174">
        <f>TEXT(3173, "[$-170000]yyyy-mm-dd")</f>
        <v/>
      </c>
      <c r="C3174">
        <f>TEXT(3173, "[$-060000]yyyy-mm-dd")</f>
        <v/>
      </c>
      <c r="D3174" t="inlineStr">
        <is>
          <t>1326-08-11</t>
        </is>
      </c>
    </row>
    <row r="3175">
      <c r="A3175" s="1" t="n">
        <v>3174</v>
      </c>
      <c r="B3175">
        <f>TEXT(3174, "[$-170000]yyyy-mm-dd")</f>
        <v/>
      </c>
      <c r="C3175">
        <f>TEXT(3174, "[$-060000]yyyy-mm-dd")</f>
        <v/>
      </c>
      <c r="D3175" t="inlineStr">
        <is>
          <t>1326-08-12</t>
        </is>
      </c>
    </row>
    <row r="3176">
      <c r="A3176" s="1" t="n">
        <v>3175</v>
      </c>
      <c r="B3176">
        <f>TEXT(3175, "[$-170000]yyyy-mm-dd")</f>
        <v/>
      </c>
      <c r="C3176">
        <f>TEXT(3175, "[$-060000]yyyy-mm-dd")</f>
        <v/>
      </c>
      <c r="D3176" t="inlineStr">
        <is>
          <t>1326-08-13</t>
        </is>
      </c>
    </row>
    <row r="3177">
      <c r="A3177" s="1" t="n">
        <v>3176</v>
      </c>
      <c r="B3177">
        <f>TEXT(3176, "[$-170000]yyyy-mm-dd")</f>
        <v/>
      </c>
      <c r="C3177">
        <f>TEXT(3176, "[$-060000]yyyy-mm-dd")</f>
        <v/>
      </c>
      <c r="D3177" t="inlineStr">
        <is>
          <t>1326-08-14</t>
        </is>
      </c>
    </row>
    <row r="3178">
      <c r="A3178" s="1" t="n">
        <v>3177</v>
      </c>
      <c r="B3178">
        <f>TEXT(3177, "[$-170000]yyyy-mm-dd")</f>
        <v/>
      </c>
      <c r="C3178">
        <f>TEXT(3177, "[$-060000]yyyy-mm-dd")</f>
        <v/>
      </c>
      <c r="D3178" t="inlineStr">
        <is>
          <t>1326-08-15</t>
        </is>
      </c>
    </row>
    <row r="3179">
      <c r="A3179" s="1" t="n">
        <v>3178</v>
      </c>
      <c r="B3179">
        <f>TEXT(3178, "[$-170000]yyyy-mm-dd")</f>
        <v/>
      </c>
      <c r="C3179">
        <f>TEXT(3178, "[$-060000]yyyy-mm-dd")</f>
        <v/>
      </c>
      <c r="D3179" t="inlineStr">
        <is>
          <t>1326-08-16</t>
        </is>
      </c>
    </row>
    <row r="3180">
      <c r="A3180" s="1" t="n">
        <v>3179</v>
      </c>
      <c r="B3180">
        <f>TEXT(3179, "[$-170000]yyyy-mm-dd")</f>
        <v/>
      </c>
      <c r="C3180">
        <f>TEXT(3179, "[$-060000]yyyy-mm-dd")</f>
        <v/>
      </c>
      <c r="D3180" t="inlineStr">
        <is>
          <t>1326-08-17</t>
        </is>
      </c>
    </row>
    <row r="3181">
      <c r="A3181" s="1" t="n">
        <v>3180</v>
      </c>
      <c r="B3181">
        <f>TEXT(3180, "[$-170000]yyyy-mm-dd")</f>
        <v/>
      </c>
      <c r="C3181">
        <f>TEXT(3180, "[$-060000]yyyy-mm-dd")</f>
        <v/>
      </c>
      <c r="D3181" t="inlineStr">
        <is>
          <t>1326-08-18</t>
        </is>
      </c>
    </row>
    <row r="3182">
      <c r="A3182" s="1" t="n">
        <v>3181</v>
      </c>
      <c r="B3182">
        <f>TEXT(3181, "[$-170000]yyyy-mm-dd")</f>
        <v/>
      </c>
      <c r="C3182">
        <f>TEXT(3181, "[$-060000]yyyy-mm-dd")</f>
        <v/>
      </c>
      <c r="D3182" t="inlineStr">
        <is>
          <t>1326-08-19</t>
        </is>
      </c>
    </row>
    <row r="3183">
      <c r="A3183" s="1" t="n">
        <v>3182</v>
      </c>
      <c r="B3183">
        <f>TEXT(3182, "[$-170000]yyyy-mm-dd")</f>
        <v/>
      </c>
      <c r="C3183">
        <f>TEXT(3182, "[$-060000]yyyy-mm-dd")</f>
        <v/>
      </c>
      <c r="D3183" t="inlineStr">
        <is>
          <t>1326-08-20</t>
        </is>
      </c>
    </row>
    <row r="3184">
      <c r="A3184" s="1" t="n">
        <v>3183</v>
      </c>
      <c r="B3184">
        <f>TEXT(3183, "[$-170000]yyyy-mm-dd")</f>
        <v/>
      </c>
      <c r="C3184">
        <f>TEXT(3183, "[$-060000]yyyy-mm-dd")</f>
        <v/>
      </c>
      <c r="D3184" t="inlineStr">
        <is>
          <t>1326-08-21</t>
        </is>
      </c>
    </row>
    <row r="3185">
      <c r="A3185" s="1" t="n">
        <v>3184</v>
      </c>
      <c r="B3185">
        <f>TEXT(3184, "[$-170000]yyyy-mm-dd")</f>
        <v/>
      </c>
      <c r="C3185">
        <f>TEXT(3184, "[$-060000]yyyy-mm-dd")</f>
        <v/>
      </c>
      <c r="D3185" t="inlineStr">
        <is>
          <t>1326-08-22</t>
        </is>
      </c>
    </row>
    <row r="3186">
      <c r="A3186" s="1" t="n">
        <v>3185</v>
      </c>
      <c r="B3186">
        <f>TEXT(3185, "[$-170000]yyyy-mm-dd")</f>
        <v/>
      </c>
      <c r="C3186">
        <f>TEXT(3185, "[$-060000]yyyy-mm-dd")</f>
        <v/>
      </c>
      <c r="D3186" t="inlineStr">
        <is>
          <t>1326-08-23</t>
        </is>
      </c>
    </row>
    <row r="3187">
      <c r="A3187" s="1" t="n">
        <v>3186</v>
      </c>
      <c r="B3187">
        <f>TEXT(3186, "[$-170000]yyyy-mm-dd")</f>
        <v/>
      </c>
      <c r="C3187">
        <f>TEXT(3186, "[$-060000]yyyy-mm-dd")</f>
        <v/>
      </c>
      <c r="D3187" t="inlineStr">
        <is>
          <t>1326-08-24</t>
        </is>
      </c>
    </row>
    <row r="3188">
      <c r="A3188" s="1" t="n">
        <v>3187</v>
      </c>
      <c r="B3188">
        <f>TEXT(3187, "[$-170000]yyyy-mm-dd")</f>
        <v/>
      </c>
      <c r="C3188">
        <f>TEXT(3187, "[$-060000]yyyy-mm-dd")</f>
        <v/>
      </c>
      <c r="D3188" t="inlineStr">
        <is>
          <t>1326-08-25</t>
        </is>
      </c>
    </row>
    <row r="3189">
      <c r="A3189" s="1" t="n">
        <v>3188</v>
      </c>
      <c r="B3189">
        <f>TEXT(3188, "[$-170000]yyyy-mm-dd")</f>
        <v/>
      </c>
      <c r="C3189">
        <f>TEXT(3188, "[$-060000]yyyy-mm-dd")</f>
        <v/>
      </c>
      <c r="D3189" t="inlineStr">
        <is>
          <t>1326-08-26</t>
        </is>
      </c>
    </row>
    <row r="3190">
      <c r="A3190" s="1" t="n">
        <v>3189</v>
      </c>
      <c r="B3190">
        <f>TEXT(3189, "[$-170000]yyyy-mm-dd")</f>
        <v/>
      </c>
      <c r="C3190">
        <f>TEXT(3189, "[$-060000]yyyy-mm-dd")</f>
        <v/>
      </c>
      <c r="D3190" t="inlineStr">
        <is>
          <t>1326-08-27</t>
        </is>
      </c>
    </row>
    <row r="3191">
      <c r="A3191" s="1" t="n">
        <v>3190</v>
      </c>
      <c r="B3191">
        <f>TEXT(3190, "[$-170000]yyyy-mm-dd")</f>
        <v/>
      </c>
      <c r="C3191">
        <f>TEXT(3190, "[$-060000]yyyy-mm-dd")</f>
        <v/>
      </c>
      <c r="D3191" t="inlineStr">
        <is>
          <t>1326-08-28</t>
        </is>
      </c>
    </row>
    <row r="3192">
      <c r="A3192" s="1" t="n">
        <v>3191</v>
      </c>
      <c r="B3192">
        <f>TEXT(3191, "[$-170000]yyyy-mm-dd")</f>
        <v/>
      </c>
      <c r="C3192">
        <f>TEXT(3191, "[$-060000]yyyy-mm-dd")</f>
        <v/>
      </c>
      <c r="D3192" t="inlineStr">
        <is>
          <t>1326-08-29</t>
        </is>
      </c>
    </row>
    <row r="3193">
      <c r="A3193" s="1" t="n">
        <v>3192</v>
      </c>
      <c r="B3193">
        <f>TEXT(3192, "[$-170000]yyyy-mm-dd")</f>
        <v/>
      </c>
      <c r="C3193">
        <f>TEXT(3192, "[$-060000]yyyy-mm-dd")</f>
        <v/>
      </c>
      <c r="D3193" t="inlineStr">
        <is>
          <t>1326-09-01</t>
        </is>
      </c>
    </row>
    <row r="3194">
      <c r="A3194" s="1" t="n">
        <v>3193</v>
      </c>
      <c r="B3194">
        <f>TEXT(3193, "[$-170000]yyyy-mm-dd")</f>
        <v/>
      </c>
      <c r="C3194">
        <f>TEXT(3193, "[$-060000]yyyy-mm-dd")</f>
        <v/>
      </c>
      <c r="D3194" t="inlineStr">
        <is>
          <t>1326-09-02</t>
        </is>
      </c>
    </row>
    <row r="3195">
      <c r="A3195" s="1" t="n">
        <v>3194</v>
      </c>
      <c r="B3195">
        <f>TEXT(3194, "[$-170000]yyyy-mm-dd")</f>
        <v/>
      </c>
      <c r="C3195">
        <f>TEXT(3194, "[$-060000]yyyy-mm-dd")</f>
        <v/>
      </c>
      <c r="D3195" t="inlineStr">
        <is>
          <t>1326-09-03</t>
        </is>
      </c>
    </row>
    <row r="3196">
      <c r="A3196" s="1" t="n">
        <v>3195</v>
      </c>
      <c r="B3196">
        <f>TEXT(3195, "[$-170000]yyyy-mm-dd")</f>
        <v/>
      </c>
      <c r="C3196">
        <f>TEXT(3195, "[$-060000]yyyy-mm-dd")</f>
        <v/>
      </c>
      <c r="D3196" t="inlineStr">
        <is>
          <t>1326-09-04</t>
        </is>
      </c>
    </row>
    <row r="3197">
      <c r="A3197" s="1" t="n">
        <v>3196</v>
      </c>
      <c r="B3197">
        <f>TEXT(3196, "[$-170000]yyyy-mm-dd")</f>
        <v/>
      </c>
      <c r="C3197">
        <f>TEXT(3196, "[$-060000]yyyy-mm-dd")</f>
        <v/>
      </c>
      <c r="D3197" t="inlineStr">
        <is>
          <t>1326-09-05</t>
        </is>
      </c>
    </row>
    <row r="3198">
      <c r="A3198" s="1" t="n">
        <v>3197</v>
      </c>
      <c r="B3198">
        <f>TEXT(3197, "[$-170000]yyyy-mm-dd")</f>
        <v/>
      </c>
      <c r="C3198">
        <f>TEXT(3197, "[$-060000]yyyy-mm-dd")</f>
        <v/>
      </c>
      <c r="D3198" t="inlineStr">
        <is>
          <t>1326-09-06</t>
        </is>
      </c>
    </row>
    <row r="3199">
      <c r="A3199" s="1" t="n">
        <v>3198</v>
      </c>
      <c r="B3199">
        <f>TEXT(3198, "[$-170000]yyyy-mm-dd")</f>
        <v/>
      </c>
      <c r="C3199">
        <f>TEXT(3198, "[$-060000]yyyy-mm-dd")</f>
        <v/>
      </c>
      <c r="D3199" t="inlineStr">
        <is>
          <t>1326-09-07</t>
        </is>
      </c>
    </row>
    <row r="3200">
      <c r="A3200" s="1" t="n">
        <v>3199</v>
      </c>
      <c r="B3200">
        <f>TEXT(3199, "[$-170000]yyyy-mm-dd")</f>
        <v/>
      </c>
      <c r="C3200">
        <f>TEXT(3199, "[$-060000]yyyy-mm-dd")</f>
        <v/>
      </c>
      <c r="D3200" t="inlineStr">
        <is>
          <t>1326-09-08</t>
        </is>
      </c>
    </row>
    <row r="3201">
      <c r="A3201" s="1" t="n">
        <v>3200</v>
      </c>
      <c r="B3201">
        <f>TEXT(3200, "[$-170000]yyyy-mm-dd")</f>
        <v/>
      </c>
      <c r="C3201">
        <f>TEXT(3200, "[$-060000]yyyy-mm-dd")</f>
        <v/>
      </c>
      <c r="D3201" t="inlineStr">
        <is>
          <t>1326-09-09</t>
        </is>
      </c>
    </row>
    <row r="3202">
      <c r="A3202" s="1" t="n">
        <v>3201</v>
      </c>
      <c r="B3202">
        <f>TEXT(3201, "[$-170000]yyyy-mm-dd")</f>
        <v/>
      </c>
      <c r="C3202">
        <f>TEXT(3201, "[$-060000]yyyy-mm-dd")</f>
        <v/>
      </c>
      <c r="D3202" t="inlineStr">
        <is>
          <t>1326-09-10</t>
        </is>
      </c>
    </row>
    <row r="3203">
      <c r="A3203" s="1" t="n">
        <v>3202</v>
      </c>
      <c r="B3203">
        <f>TEXT(3202, "[$-170000]yyyy-mm-dd")</f>
        <v/>
      </c>
      <c r="C3203">
        <f>TEXT(3202, "[$-060000]yyyy-mm-dd")</f>
        <v/>
      </c>
      <c r="D3203" t="inlineStr">
        <is>
          <t>1326-09-11</t>
        </is>
      </c>
    </row>
    <row r="3204">
      <c r="A3204" s="1" t="n">
        <v>3203</v>
      </c>
      <c r="B3204">
        <f>TEXT(3203, "[$-170000]yyyy-mm-dd")</f>
        <v/>
      </c>
      <c r="C3204">
        <f>TEXT(3203, "[$-060000]yyyy-mm-dd")</f>
        <v/>
      </c>
      <c r="D3204" t="inlineStr">
        <is>
          <t>1326-09-12</t>
        </is>
      </c>
    </row>
    <row r="3205">
      <c r="A3205" s="1" t="n">
        <v>3204</v>
      </c>
      <c r="B3205">
        <f>TEXT(3204, "[$-170000]yyyy-mm-dd")</f>
        <v/>
      </c>
      <c r="C3205">
        <f>TEXT(3204, "[$-060000]yyyy-mm-dd")</f>
        <v/>
      </c>
      <c r="D3205" t="inlineStr">
        <is>
          <t>1326-09-13</t>
        </is>
      </c>
    </row>
    <row r="3206">
      <c r="A3206" s="1" t="n">
        <v>3205</v>
      </c>
      <c r="B3206">
        <f>TEXT(3205, "[$-170000]yyyy-mm-dd")</f>
        <v/>
      </c>
      <c r="C3206">
        <f>TEXT(3205, "[$-060000]yyyy-mm-dd")</f>
        <v/>
      </c>
      <c r="D3206" t="inlineStr">
        <is>
          <t>1326-09-14</t>
        </is>
      </c>
    </row>
    <row r="3207">
      <c r="A3207" s="1" t="n">
        <v>3206</v>
      </c>
      <c r="B3207">
        <f>TEXT(3206, "[$-170000]yyyy-mm-dd")</f>
        <v/>
      </c>
      <c r="C3207">
        <f>TEXT(3206, "[$-060000]yyyy-mm-dd")</f>
        <v/>
      </c>
      <c r="D3207" t="inlineStr">
        <is>
          <t>1326-09-15</t>
        </is>
      </c>
    </row>
    <row r="3208">
      <c r="A3208" s="1" t="n">
        <v>3207</v>
      </c>
      <c r="B3208">
        <f>TEXT(3207, "[$-170000]yyyy-mm-dd")</f>
        <v/>
      </c>
      <c r="C3208">
        <f>TEXT(3207, "[$-060000]yyyy-mm-dd")</f>
        <v/>
      </c>
      <c r="D3208" t="inlineStr">
        <is>
          <t>1326-09-16</t>
        </is>
      </c>
    </row>
    <row r="3209">
      <c r="A3209" s="1" t="n">
        <v>3208</v>
      </c>
      <c r="B3209">
        <f>TEXT(3208, "[$-170000]yyyy-mm-dd")</f>
        <v/>
      </c>
      <c r="C3209">
        <f>TEXT(3208, "[$-060000]yyyy-mm-dd")</f>
        <v/>
      </c>
      <c r="D3209" t="inlineStr">
        <is>
          <t>1326-09-17</t>
        </is>
      </c>
    </row>
    <row r="3210">
      <c r="A3210" s="1" t="n">
        <v>3209</v>
      </c>
      <c r="B3210">
        <f>TEXT(3209, "[$-170000]yyyy-mm-dd")</f>
        <v/>
      </c>
      <c r="C3210">
        <f>TEXT(3209, "[$-060000]yyyy-mm-dd")</f>
        <v/>
      </c>
      <c r="D3210" t="inlineStr">
        <is>
          <t>1326-09-18</t>
        </is>
      </c>
    </row>
    <row r="3211">
      <c r="A3211" s="1" t="n">
        <v>3210</v>
      </c>
      <c r="B3211">
        <f>TEXT(3210, "[$-170000]yyyy-mm-dd")</f>
        <v/>
      </c>
      <c r="C3211">
        <f>TEXT(3210, "[$-060000]yyyy-mm-dd")</f>
        <v/>
      </c>
      <c r="D3211" t="inlineStr">
        <is>
          <t>1326-09-19</t>
        </is>
      </c>
    </row>
    <row r="3212">
      <c r="A3212" s="1" t="n">
        <v>3211</v>
      </c>
      <c r="B3212">
        <f>TEXT(3211, "[$-170000]yyyy-mm-dd")</f>
        <v/>
      </c>
      <c r="C3212">
        <f>TEXT(3211, "[$-060000]yyyy-mm-dd")</f>
        <v/>
      </c>
      <c r="D3212" t="inlineStr">
        <is>
          <t>1326-09-20</t>
        </is>
      </c>
    </row>
    <row r="3213">
      <c r="A3213" s="1" t="n">
        <v>3212</v>
      </c>
      <c r="B3213">
        <f>TEXT(3212, "[$-170000]yyyy-mm-dd")</f>
        <v/>
      </c>
      <c r="C3213">
        <f>TEXT(3212, "[$-060000]yyyy-mm-dd")</f>
        <v/>
      </c>
      <c r="D3213" t="inlineStr">
        <is>
          <t>1326-09-21</t>
        </is>
      </c>
    </row>
    <row r="3214">
      <c r="A3214" s="1" t="n">
        <v>3213</v>
      </c>
      <c r="B3214">
        <f>TEXT(3213, "[$-170000]yyyy-mm-dd")</f>
        <v/>
      </c>
      <c r="C3214">
        <f>TEXT(3213, "[$-060000]yyyy-mm-dd")</f>
        <v/>
      </c>
      <c r="D3214" t="inlineStr">
        <is>
          <t>1326-09-22</t>
        </is>
      </c>
    </row>
    <row r="3215">
      <c r="A3215" s="1" t="n">
        <v>3214</v>
      </c>
      <c r="B3215">
        <f>TEXT(3214, "[$-170000]yyyy-mm-dd")</f>
        <v/>
      </c>
      <c r="C3215">
        <f>TEXT(3214, "[$-060000]yyyy-mm-dd")</f>
        <v/>
      </c>
      <c r="D3215" t="inlineStr">
        <is>
          <t>1326-09-23</t>
        </is>
      </c>
    </row>
    <row r="3216">
      <c r="A3216" s="1" t="n">
        <v>3215</v>
      </c>
      <c r="B3216">
        <f>TEXT(3215, "[$-170000]yyyy-mm-dd")</f>
        <v/>
      </c>
      <c r="C3216">
        <f>TEXT(3215, "[$-060000]yyyy-mm-dd")</f>
        <v/>
      </c>
      <c r="D3216" t="inlineStr">
        <is>
          <t>1326-09-24</t>
        </is>
      </c>
    </row>
    <row r="3217">
      <c r="A3217" s="1" t="n">
        <v>3216</v>
      </c>
      <c r="B3217">
        <f>TEXT(3216, "[$-170000]yyyy-mm-dd")</f>
        <v/>
      </c>
      <c r="C3217">
        <f>TEXT(3216, "[$-060000]yyyy-mm-dd")</f>
        <v/>
      </c>
      <c r="D3217" t="inlineStr">
        <is>
          <t>1326-09-25</t>
        </is>
      </c>
    </row>
    <row r="3218">
      <c r="A3218" s="1" t="n">
        <v>3217</v>
      </c>
      <c r="B3218">
        <f>TEXT(3217, "[$-170000]yyyy-mm-dd")</f>
        <v/>
      </c>
      <c r="C3218">
        <f>TEXT(3217, "[$-060000]yyyy-mm-dd")</f>
        <v/>
      </c>
      <c r="D3218" t="inlineStr">
        <is>
          <t>1326-09-26</t>
        </is>
      </c>
    </row>
    <row r="3219">
      <c r="A3219" s="1" t="n">
        <v>3218</v>
      </c>
      <c r="B3219">
        <f>TEXT(3218, "[$-170000]yyyy-mm-dd")</f>
        <v/>
      </c>
      <c r="C3219">
        <f>TEXT(3218, "[$-060000]yyyy-mm-dd")</f>
        <v/>
      </c>
      <c r="D3219" t="inlineStr">
        <is>
          <t>1326-09-27</t>
        </is>
      </c>
    </row>
    <row r="3220">
      <c r="A3220" s="1" t="n">
        <v>3219</v>
      </c>
      <c r="B3220">
        <f>TEXT(3219, "[$-170000]yyyy-mm-dd")</f>
        <v/>
      </c>
      <c r="C3220">
        <f>TEXT(3219, "[$-060000]yyyy-mm-dd")</f>
        <v/>
      </c>
      <c r="D3220" t="inlineStr">
        <is>
          <t>1326-09-28</t>
        </is>
      </c>
    </row>
    <row r="3221">
      <c r="A3221" s="1" t="n">
        <v>3220</v>
      </c>
      <c r="B3221">
        <f>TEXT(3220, "[$-170000]yyyy-mm-dd")</f>
        <v/>
      </c>
      <c r="C3221">
        <f>TEXT(3220, "[$-060000]yyyy-mm-dd")</f>
        <v/>
      </c>
      <c r="D3221" t="inlineStr">
        <is>
          <t>1326-09-29</t>
        </is>
      </c>
    </row>
    <row r="3222">
      <c r="A3222" s="1" t="n">
        <v>3221</v>
      </c>
      <c r="B3222">
        <f>TEXT(3221, "[$-170000]yyyy-mm-dd")</f>
        <v/>
      </c>
      <c r="C3222">
        <f>TEXT(3221, "[$-060000]yyyy-mm-dd")</f>
        <v/>
      </c>
      <c r="D3222" t="inlineStr">
        <is>
          <t>1326-09-30</t>
        </is>
      </c>
    </row>
    <row r="3223">
      <c r="A3223" s="1" t="n">
        <v>3222</v>
      </c>
      <c r="B3223">
        <f>TEXT(3222, "[$-170000]yyyy-mm-dd")</f>
        <v/>
      </c>
      <c r="C3223">
        <f>TEXT(3222, "[$-060000]yyyy-mm-dd")</f>
        <v/>
      </c>
      <c r="D3223" t="inlineStr">
        <is>
          <t>1326-10-01</t>
        </is>
      </c>
    </row>
    <row r="3224">
      <c r="A3224" s="1" t="n">
        <v>3223</v>
      </c>
      <c r="B3224">
        <f>TEXT(3223, "[$-170000]yyyy-mm-dd")</f>
        <v/>
      </c>
      <c r="C3224">
        <f>TEXT(3223, "[$-060000]yyyy-mm-dd")</f>
        <v/>
      </c>
      <c r="D3224" t="inlineStr">
        <is>
          <t>1326-10-02</t>
        </is>
      </c>
    </row>
    <row r="3225">
      <c r="A3225" s="1" t="n">
        <v>3224</v>
      </c>
      <c r="B3225">
        <f>TEXT(3224, "[$-170000]yyyy-mm-dd")</f>
        <v/>
      </c>
      <c r="C3225">
        <f>TEXT(3224, "[$-060000]yyyy-mm-dd")</f>
        <v/>
      </c>
      <c r="D3225" t="inlineStr">
        <is>
          <t>1326-10-03</t>
        </is>
      </c>
    </row>
    <row r="3226">
      <c r="A3226" s="1" t="n">
        <v>3225</v>
      </c>
      <c r="B3226">
        <f>TEXT(3225, "[$-170000]yyyy-mm-dd")</f>
        <v/>
      </c>
      <c r="C3226">
        <f>TEXT(3225, "[$-060000]yyyy-mm-dd")</f>
        <v/>
      </c>
      <c r="D3226" t="inlineStr">
        <is>
          <t>1326-10-04</t>
        </is>
      </c>
    </row>
    <row r="3227">
      <c r="A3227" s="1" t="n">
        <v>3226</v>
      </c>
      <c r="B3227">
        <f>TEXT(3226, "[$-170000]yyyy-mm-dd")</f>
        <v/>
      </c>
      <c r="C3227">
        <f>TEXT(3226, "[$-060000]yyyy-mm-dd")</f>
        <v/>
      </c>
      <c r="D3227" t="inlineStr">
        <is>
          <t>1326-10-05</t>
        </is>
      </c>
    </row>
    <row r="3228">
      <c r="A3228" s="1" t="n">
        <v>3227</v>
      </c>
      <c r="B3228">
        <f>TEXT(3227, "[$-170000]yyyy-mm-dd")</f>
        <v/>
      </c>
      <c r="C3228">
        <f>TEXT(3227, "[$-060000]yyyy-mm-dd")</f>
        <v/>
      </c>
      <c r="D3228" t="inlineStr">
        <is>
          <t>1326-10-06</t>
        </is>
      </c>
    </row>
    <row r="3229">
      <c r="A3229" s="1" t="n">
        <v>3228</v>
      </c>
      <c r="B3229">
        <f>TEXT(3228, "[$-170000]yyyy-mm-dd")</f>
        <v/>
      </c>
      <c r="C3229">
        <f>TEXT(3228, "[$-060000]yyyy-mm-dd")</f>
        <v/>
      </c>
      <c r="D3229" t="inlineStr">
        <is>
          <t>1326-10-07</t>
        </is>
      </c>
    </row>
    <row r="3230">
      <c r="A3230" s="1" t="n">
        <v>3229</v>
      </c>
      <c r="B3230">
        <f>TEXT(3229, "[$-170000]yyyy-mm-dd")</f>
        <v/>
      </c>
      <c r="C3230">
        <f>TEXT(3229, "[$-060000]yyyy-mm-dd")</f>
        <v/>
      </c>
      <c r="D3230" t="inlineStr">
        <is>
          <t>1326-10-08</t>
        </is>
      </c>
    </row>
    <row r="3231">
      <c r="A3231" s="1" t="n">
        <v>3230</v>
      </c>
      <c r="B3231">
        <f>TEXT(3230, "[$-170000]yyyy-mm-dd")</f>
        <v/>
      </c>
      <c r="C3231">
        <f>TEXT(3230, "[$-060000]yyyy-mm-dd")</f>
        <v/>
      </c>
      <c r="D3231" t="inlineStr">
        <is>
          <t>1326-10-09</t>
        </is>
      </c>
    </row>
    <row r="3232">
      <c r="A3232" s="1" t="n">
        <v>3231</v>
      </c>
      <c r="B3232">
        <f>TEXT(3231, "[$-170000]yyyy-mm-dd")</f>
        <v/>
      </c>
      <c r="C3232">
        <f>TEXT(3231, "[$-060000]yyyy-mm-dd")</f>
        <v/>
      </c>
      <c r="D3232" t="inlineStr">
        <is>
          <t>1326-10-10</t>
        </is>
      </c>
    </row>
    <row r="3233">
      <c r="A3233" s="1" t="n">
        <v>3232</v>
      </c>
      <c r="B3233">
        <f>TEXT(3232, "[$-170000]yyyy-mm-dd")</f>
        <v/>
      </c>
      <c r="C3233">
        <f>TEXT(3232, "[$-060000]yyyy-mm-dd")</f>
        <v/>
      </c>
      <c r="D3233" t="inlineStr">
        <is>
          <t>1326-10-11</t>
        </is>
      </c>
    </row>
    <row r="3234">
      <c r="A3234" s="1" t="n">
        <v>3233</v>
      </c>
      <c r="B3234">
        <f>TEXT(3233, "[$-170000]yyyy-mm-dd")</f>
        <v/>
      </c>
      <c r="C3234">
        <f>TEXT(3233, "[$-060000]yyyy-mm-dd")</f>
        <v/>
      </c>
      <c r="D3234" t="inlineStr">
        <is>
          <t>1326-10-12</t>
        </is>
      </c>
    </row>
    <row r="3235">
      <c r="A3235" s="1" t="n">
        <v>3234</v>
      </c>
      <c r="B3235">
        <f>TEXT(3234, "[$-170000]yyyy-mm-dd")</f>
        <v/>
      </c>
      <c r="C3235">
        <f>TEXT(3234, "[$-060000]yyyy-mm-dd")</f>
        <v/>
      </c>
      <c r="D3235" t="inlineStr">
        <is>
          <t>1326-10-13</t>
        </is>
      </c>
    </row>
    <row r="3236">
      <c r="A3236" s="1" t="n">
        <v>3235</v>
      </c>
      <c r="B3236">
        <f>TEXT(3235, "[$-170000]yyyy-mm-dd")</f>
        <v/>
      </c>
      <c r="C3236">
        <f>TEXT(3235, "[$-060000]yyyy-mm-dd")</f>
        <v/>
      </c>
      <c r="D3236" t="inlineStr">
        <is>
          <t>1326-10-14</t>
        </is>
      </c>
    </row>
    <row r="3237">
      <c r="A3237" s="1" t="n">
        <v>3236</v>
      </c>
      <c r="B3237">
        <f>TEXT(3236, "[$-170000]yyyy-mm-dd")</f>
        <v/>
      </c>
      <c r="C3237">
        <f>TEXT(3236, "[$-060000]yyyy-mm-dd")</f>
        <v/>
      </c>
      <c r="D3237" t="inlineStr">
        <is>
          <t>1326-10-15</t>
        </is>
      </c>
    </row>
    <row r="3238">
      <c r="A3238" s="1" t="n">
        <v>3237</v>
      </c>
      <c r="B3238">
        <f>TEXT(3237, "[$-170000]yyyy-mm-dd")</f>
        <v/>
      </c>
      <c r="C3238">
        <f>TEXT(3237, "[$-060000]yyyy-mm-dd")</f>
        <v/>
      </c>
      <c r="D3238" t="inlineStr">
        <is>
          <t>1326-10-16</t>
        </is>
      </c>
    </row>
    <row r="3239">
      <c r="A3239" s="1" t="n">
        <v>3238</v>
      </c>
      <c r="B3239">
        <f>TEXT(3238, "[$-170000]yyyy-mm-dd")</f>
        <v/>
      </c>
      <c r="C3239">
        <f>TEXT(3238, "[$-060000]yyyy-mm-dd")</f>
        <v/>
      </c>
      <c r="D3239" t="inlineStr">
        <is>
          <t>1326-10-17</t>
        </is>
      </c>
    </row>
    <row r="3240">
      <c r="A3240" s="1" t="n">
        <v>3239</v>
      </c>
      <c r="B3240">
        <f>TEXT(3239, "[$-170000]yyyy-mm-dd")</f>
        <v/>
      </c>
      <c r="C3240">
        <f>TEXT(3239, "[$-060000]yyyy-mm-dd")</f>
        <v/>
      </c>
      <c r="D3240" t="inlineStr">
        <is>
          <t>1326-10-18</t>
        </is>
      </c>
    </row>
    <row r="3241">
      <c r="A3241" s="1" t="n">
        <v>3240</v>
      </c>
      <c r="B3241">
        <f>TEXT(3240, "[$-170000]yyyy-mm-dd")</f>
        <v/>
      </c>
      <c r="C3241">
        <f>TEXT(3240, "[$-060000]yyyy-mm-dd")</f>
        <v/>
      </c>
      <c r="D3241" t="inlineStr">
        <is>
          <t>1326-10-19</t>
        </is>
      </c>
    </row>
    <row r="3242">
      <c r="A3242" s="1" t="n">
        <v>3241</v>
      </c>
      <c r="B3242">
        <f>TEXT(3241, "[$-170000]yyyy-mm-dd")</f>
        <v/>
      </c>
      <c r="C3242">
        <f>TEXT(3241, "[$-060000]yyyy-mm-dd")</f>
        <v/>
      </c>
      <c r="D3242" t="inlineStr">
        <is>
          <t>1326-10-20</t>
        </is>
      </c>
    </row>
    <row r="3243">
      <c r="A3243" s="1" t="n">
        <v>3242</v>
      </c>
      <c r="B3243">
        <f>TEXT(3242, "[$-170000]yyyy-mm-dd")</f>
        <v/>
      </c>
      <c r="C3243">
        <f>TEXT(3242, "[$-060000]yyyy-mm-dd")</f>
        <v/>
      </c>
      <c r="D3243" t="inlineStr">
        <is>
          <t>1326-10-21</t>
        </is>
      </c>
    </row>
    <row r="3244">
      <c r="A3244" s="1" t="n">
        <v>3243</v>
      </c>
      <c r="B3244">
        <f>TEXT(3243, "[$-170000]yyyy-mm-dd")</f>
        <v/>
      </c>
      <c r="C3244">
        <f>TEXT(3243, "[$-060000]yyyy-mm-dd")</f>
        <v/>
      </c>
      <c r="D3244" t="inlineStr">
        <is>
          <t>1326-10-22</t>
        </is>
      </c>
    </row>
    <row r="3245">
      <c r="A3245" s="1" t="n">
        <v>3244</v>
      </c>
      <c r="B3245">
        <f>TEXT(3244, "[$-170000]yyyy-mm-dd")</f>
        <v/>
      </c>
      <c r="C3245">
        <f>TEXT(3244, "[$-060000]yyyy-mm-dd")</f>
        <v/>
      </c>
      <c r="D3245" t="inlineStr">
        <is>
          <t>1326-10-23</t>
        </is>
      </c>
    </row>
    <row r="3246">
      <c r="A3246" s="1" t="n">
        <v>3245</v>
      </c>
      <c r="B3246">
        <f>TEXT(3245, "[$-170000]yyyy-mm-dd")</f>
        <v/>
      </c>
      <c r="C3246">
        <f>TEXT(3245, "[$-060000]yyyy-mm-dd")</f>
        <v/>
      </c>
      <c r="D3246" t="inlineStr">
        <is>
          <t>1326-10-24</t>
        </is>
      </c>
    </row>
    <row r="3247">
      <c r="A3247" s="1" t="n">
        <v>3246</v>
      </c>
      <c r="B3247">
        <f>TEXT(3246, "[$-170000]yyyy-mm-dd")</f>
        <v/>
      </c>
      <c r="C3247">
        <f>TEXT(3246, "[$-060000]yyyy-mm-dd")</f>
        <v/>
      </c>
      <c r="D3247" t="inlineStr">
        <is>
          <t>1326-10-25</t>
        </is>
      </c>
    </row>
    <row r="3248">
      <c r="A3248" s="1" t="n">
        <v>3247</v>
      </c>
      <c r="B3248">
        <f>TEXT(3247, "[$-170000]yyyy-mm-dd")</f>
        <v/>
      </c>
      <c r="C3248">
        <f>TEXT(3247, "[$-060000]yyyy-mm-dd")</f>
        <v/>
      </c>
      <c r="D3248" t="inlineStr">
        <is>
          <t>1326-10-26</t>
        </is>
      </c>
    </row>
    <row r="3249">
      <c r="A3249" s="1" t="n">
        <v>3248</v>
      </c>
      <c r="B3249">
        <f>TEXT(3248, "[$-170000]yyyy-mm-dd")</f>
        <v/>
      </c>
      <c r="C3249">
        <f>TEXT(3248, "[$-060000]yyyy-mm-dd")</f>
        <v/>
      </c>
      <c r="D3249" t="inlineStr">
        <is>
          <t>1326-10-27</t>
        </is>
      </c>
    </row>
    <row r="3250">
      <c r="A3250" s="1" t="n">
        <v>3249</v>
      </c>
      <c r="B3250">
        <f>TEXT(3249, "[$-170000]yyyy-mm-dd")</f>
        <v/>
      </c>
      <c r="C3250">
        <f>TEXT(3249, "[$-060000]yyyy-mm-dd")</f>
        <v/>
      </c>
      <c r="D3250" t="inlineStr">
        <is>
          <t>1326-10-28</t>
        </is>
      </c>
    </row>
    <row r="3251">
      <c r="A3251" s="1" t="n">
        <v>3250</v>
      </c>
      <c r="B3251">
        <f>TEXT(3250, "[$-170000]yyyy-mm-dd")</f>
        <v/>
      </c>
      <c r="C3251">
        <f>TEXT(3250, "[$-060000]yyyy-mm-dd")</f>
        <v/>
      </c>
      <c r="D3251" t="inlineStr">
        <is>
          <t>1326-10-29</t>
        </is>
      </c>
    </row>
    <row r="3252">
      <c r="A3252" s="1" t="n">
        <v>3251</v>
      </c>
      <c r="B3252">
        <f>TEXT(3251, "[$-170000]yyyy-mm-dd")</f>
        <v/>
      </c>
      <c r="C3252">
        <f>TEXT(3251, "[$-060000]yyyy-mm-dd")</f>
        <v/>
      </c>
      <c r="D3252" t="inlineStr">
        <is>
          <t>1326-11-01</t>
        </is>
      </c>
    </row>
    <row r="3253">
      <c r="A3253" s="1" t="n">
        <v>3252</v>
      </c>
      <c r="B3253">
        <f>TEXT(3252, "[$-170000]yyyy-mm-dd")</f>
        <v/>
      </c>
      <c r="C3253">
        <f>TEXT(3252, "[$-060000]yyyy-mm-dd")</f>
        <v/>
      </c>
      <c r="D3253" t="inlineStr">
        <is>
          <t>1326-11-02</t>
        </is>
      </c>
    </row>
    <row r="3254">
      <c r="A3254" s="1" t="n">
        <v>3253</v>
      </c>
      <c r="B3254">
        <f>TEXT(3253, "[$-170000]yyyy-mm-dd")</f>
        <v/>
      </c>
      <c r="C3254">
        <f>TEXT(3253, "[$-060000]yyyy-mm-dd")</f>
        <v/>
      </c>
      <c r="D3254" t="inlineStr">
        <is>
          <t>1326-11-03</t>
        </is>
      </c>
    </row>
    <row r="3255">
      <c r="A3255" s="1" t="n">
        <v>3254</v>
      </c>
      <c r="B3255">
        <f>TEXT(3254, "[$-170000]yyyy-mm-dd")</f>
        <v/>
      </c>
      <c r="C3255">
        <f>TEXT(3254, "[$-060000]yyyy-mm-dd")</f>
        <v/>
      </c>
      <c r="D3255" t="inlineStr">
        <is>
          <t>1326-11-04</t>
        </is>
      </c>
    </row>
    <row r="3256">
      <c r="A3256" s="1" t="n">
        <v>3255</v>
      </c>
      <c r="B3256">
        <f>TEXT(3255, "[$-170000]yyyy-mm-dd")</f>
        <v/>
      </c>
      <c r="C3256">
        <f>TEXT(3255, "[$-060000]yyyy-mm-dd")</f>
        <v/>
      </c>
      <c r="D3256" t="inlineStr">
        <is>
          <t>1326-11-05</t>
        </is>
      </c>
    </row>
    <row r="3257">
      <c r="A3257" s="1" t="n">
        <v>3256</v>
      </c>
      <c r="B3257">
        <f>TEXT(3256, "[$-170000]yyyy-mm-dd")</f>
        <v/>
      </c>
      <c r="C3257">
        <f>TEXT(3256, "[$-060000]yyyy-mm-dd")</f>
        <v/>
      </c>
      <c r="D3257" t="inlineStr">
        <is>
          <t>1326-11-06</t>
        </is>
      </c>
    </row>
    <row r="3258">
      <c r="A3258" s="1" t="n">
        <v>3257</v>
      </c>
      <c r="B3258">
        <f>TEXT(3257, "[$-170000]yyyy-mm-dd")</f>
        <v/>
      </c>
      <c r="C3258">
        <f>TEXT(3257, "[$-060000]yyyy-mm-dd")</f>
        <v/>
      </c>
      <c r="D3258" t="inlineStr">
        <is>
          <t>1326-11-07</t>
        </is>
      </c>
    </row>
    <row r="3259">
      <c r="A3259" s="1" t="n">
        <v>3258</v>
      </c>
      <c r="B3259">
        <f>TEXT(3258, "[$-170000]yyyy-mm-dd")</f>
        <v/>
      </c>
      <c r="C3259">
        <f>TEXT(3258, "[$-060000]yyyy-mm-dd")</f>
        <v/>
      </c>
      <c r="D3259" t="inlineStr">
        <is>
          <t>1326-11-08</t>
        </is>
      </c>
    </row>
    <row r="3260">
      <c r="A3260" s="1" t="n">
        <v>3259</v>
      </c>
      <c r="B3260">
        <f>TEXT(3259, "[$-170000]yyyy-mm-dd")</f>
        <v/>
      </c>
      <c r="C3260">
        <f>TEXT(3259, "[$-060000]yyyy-mm-dd")</f>
        <v/>
      </c>
      <c r="D3260" t="inlineStr">
        <is>
          <t>1326-11-09</t>
        </is>
      </c>
    </row>
    <row r="3261">
      <c r="A3261" s="1" t="n">
        <v>3260</v>
      </c>
      <c r="B3261">
        <f>TEXT(3260, "[$-170000]yyyy-mm-dd")</f>
        <v/>
      </c>
      <c r="C3261">
        <f>TEXT(3260, "[$-060000]yyyy-mm-dd")</f>
        <v/>
      </c>
      <c r="D3261" t="inlineStr">
        <is>
          <t>1326-11-10</t>
        </is>
      </c>
    </row>
    <row r="3262">
      <c r="A3262" s="1" t="n">
        <v>3261</v>
      </c>
      <c r="B3262">
        <f>TEXT(3261, "[$-170000]yyyy-mm-dd")</f>
        <v/>
      </c>
      <c r="C3262">
        <f>TEXT(3261, "[$-060000]yyyy-mm-dd")</f>
        <v/>
      </c>
      <c r="D3262" t="inlineStr">
        <is>
          <t>1326-11-11</t>
        </is>
      </c>
    </row>
    <row r="3263">
      <c r="A3263" s="1" t="n">
        <v>3262</v>
      </c>
      <c r="B3263">
        <f>TEXT(3262, "[$-170000]yyyy-mm-dd")</f>
        <v/>
      </c>
      <c r="C3263">
        <f>TEXT(3262, "[$-060000]yyyy-mm-dd")</f>
        <v/>
      </c>
      <c r="D3263" t="inlineStr">
        <is>
          <t>1326-11-12</t>
        </is>
      </c>
    </row>
    <row r="3264">
      <c r="A3264" s="1" t="n">
        <v>3263</v>
      </c>
      <c r="B3264">
        <f>TEXT(3263, "[$-170000]yyyy-mm-dd")</f>
        <v/>
      </c>
      <c r="C3264">
        <f>TEXT(3263, "[$-060000]yyyy-mm-dd")</f>
        <v/>
      </c>
      <c r="D3264" t="inlineStr">
        <is>
          <t>1326-11-13</t>
        </is>
      </c>
    </row>
    <row r="3265">
      <c r="A3265" s="1" t="n">
        <v>3264</v>
      </c>
      <c r="B3265">
        <f>TEXT(3264, "[$-170000]yyyy-mm-dd")</f>
        <v/>
      </c>
      <c r="C3265">
        <f>TEXT(3264, "[$-060000]yyyy-mm-dd")</f>
        <v/>
      </c>
      <c r="D3265" t="inlineStr">
        <is>
          <t>1326-11-14</t>
        </is>
      </c>
    </row>
    <row r="3266">
      <c r="A3266" s="1" t="n">
        <v>3265</v>
      </c>
      <c r="B3266">
        <f>TEXT(3265, "[$-170000]yyyy-mm-dd")</f>
        <v/>
      </c>
      <c r="C3266">
        <f>TEXT(3265, "[$-060000]yyyy-mm-dd")</f>
        <v/>
      </c>
      <c r="D3266" t="inlineStr">
        <is>
          <t>1326-11-15</t>
        </is>
      </c>
    </row>
    <row r="3267">
      <c r="A3267" s="1" t="n">
        <v>3266</v>
      </c>
      <c r="B3267">
        <f>TEXT(3266, "[$-170000]yyyy-mm-dd")</f>
        <v/>
      </c>
      <c r="C3267">
        <f>TEXT(3266, "[$-060000]yyyy-mm-dd")</f>
        <v/>
      </c>
      <c r="D3267" t="inlineStr">
        <is>
          <t>1326-11-16</t>
        </is>
      </c>
    </row>
    <row r="3268">
      <c r="A3268" s="1" t="n">
        <v>3267</v>
      </c>
      <c r="B3268">
        <f>TEXT(3267, "[$-170000]yyyy-mm-dd")</f>
        <v/>
      </c>
      <c r="C3268">
        <f>TEXT(3267, "[$-060000]yyyy-mm-dd")</f>
        <v/>
      </c>
      <c r="D3268" t="inlineStr">
        <is>
          <t>1326-11-17</t>
        </is>
      </c>
    </row>
    <row r="3269">
      <c r="A3269" s="1" t="n">
        <v>3268</v>
      </c>
      <c r="B3269">
        <f>TEXT(3268, "[$-170000]yyyy-mm-dd")</f>
        <v/>
      </c>
      <c r="C3269">
        <f>TEXT(3268, "[$-060000]yyyy-mm-dd")</f>
        <v/>
      </c>
      <c r="D3269" t="inlineStr">
        <is>
          <t>1326-11-18</t>
        </is>
      </c>
    </row>
    <row r="3270">
      <c r="A3270" s="1" t="n">
        <v>3269</v>
      </c>
      <c r="B3270">
        <f>TEXT(3269, "[$-170000]yyyy-mm-dd")</f>
        <v/>
      </c>
      <c r="C3270">
        <f>TEXT(3269, "[$-060000]yyyy-mm-dd")</f>
        <v/>
      </c>
      <c r="D3270" t="inlineStr">
        <is>
          <t>1326-11-19</t>
        </is>
      </c>
    </row>
    <row r="3271">
      <c r="A3271" s="1" t="n">
        <v>3270</v>
      </c>
      <c r="B3271">
        <f>TEXT(3270, "[$-170000]yyyy-mm-dd")</f>
        <v/>
      </c>
      <c r="C3271">
        <f>TEXT(3270, "[$-060000]yyyy-mm-dd")</f>
        <v/>
      </c>
      <c r="D3271" t="inlineStr">
        <is>
          <t>1326-11-20</t>
        </is>
      </c>
    </row>
    <row r="3272">
      <c r="A3272" s="1" t="n">
        <v>3271</v>
      </c>
      <c r="B3272">
        <f>TEXT(3271, "[$-170000]yyyy-mm-dd")</f>
        <v/>
      </c>
      <c r="C3272">
        <f>TEXT(3271, "[$-060000]yyyy-mm-dd")</f>
        <v/>
      </c>
      <c r="D3272" t="inlineStr">
        <is>
          <t>1326-11-21</t>
        </is>
      </c>
    </row>
    <row r="3273">
      <c r="A3273" s="1" t="n">
        <v>3272</v>
      </c>
      <c r="B3273">
        <f>TEXT(3272, "[$-170000]yyyy-mm-dd")</f>
        <v/>
      </c>
      <c r="C3273">
        <f>TEXT(3272, "[$-060000]yyyy-mm-dd")</f>
        <v/>
      </c>
      <c r="D3273" t="inlineStr">
        <is>
          <t>1326-11-22</t>
        </is>
      </c>
    </row>
    <row r="3274">
      <c r="A3274" s="1" t="n">
        <v>3273</v>
      </c>
      <c r="B3274">
        <f>TEXT(3273, "[$-170000]yyyy-mm-dd")</f>
        <v/>
      </c>
      <c r="C3274">
        <f>TEXT(3273, "[$-060000]yyyy-mm-dd")</f>
        <v/>
      </c>
      <c r="D3274" t="inlineStr">
        <is>
          <t>1326-11-23</t>
        </is>
      </c>
    </row>
    <row r="3275">
      <c r="A3275" s="1" t="n">
        <v>3274</v>
      </c>
      <c r="B3275">
        <f>TEXT(3274, "[$-170000]yyyy-mm-dd")</f>
        <v/>
      </c>
      <c r="C3275">
        <f>TEXT(3274, "[$-060000]yyyy-mm-dd")</f>
        <v/>
      </c>
      <c r="D3275" t="inlineStr">
        <is>
          <t>1326-11-24</t>
        </is>
      </c>
    </row>
    <row r="3276">
      <c r="A3276" s="1" t="n">
        <v>3275</v>
      </c>
      <c r="B3276">
        <f>TEXT(3275, "[$-170000]yyyy-mm-dd")</f>
        <v/>
      </c>
      <c r="C3276">
        <f>TEXT(3275, "[$-060000]yyyy-mm-dd")</f>
        <v/>
      </c>
      <c r="D3276" t="inlineStr">
        <is>
          <t>1326-11-25</t>
        </is>
      </c>
    </row>
    <row r="3277">
      <c r="A3277" s="1" t="n">
        <v>3276</v>
      </c>
      <c r="B3277">
        <f>TEXT(3276, "[$-170000]yyyy-mm-dd")</f>
        <v/>
      </c>
      <c r="C3277">
        <f>TEXT(3276, "[$-060000]yyyy-mm-dd")</f>
        <v/>
      </c>
      <c r="D3277" t="inlineStr">
        <is>
          <t>1326-11-26</t>
        </is>
      </c>
    </row>
    <row r="3278">
      <c r="A3278" s="1" t="n">
        <v>3277</v>
      </c>
      <c r="B3278">
        <f>TEXT(3277, "[$-170000]yyyy-mm-dd")</f>
        <v/>
      </c>
      <c r="C3278">
        <f>TEXT(3277, "[$-060000]yyyy-mm-dd")</f>
        <v/>
      </c>
      <c r="D3278" t="inlineStr">
        <is>
          <t>1326-11-27</t>
        </is>
      </c>
    </row>
    <row r="3279">
      <c r="A3279" s="1" t="n">
        <v>3278</v>
      </c>
      <c r="B3279">
        <f>TEXT(3278, "[$-170000]yyyy-mm-dd")</f>
        <v/>
      </c>
      <c r="C3279">
        <f>TEXT(3278, "[$-060000]yyyy-mm-dd")</f>
        <v/>
      </c>
      <c r="D3279" t="inlineStr">
        <is>
          <t>1326-11-28</t>
        </is>
      </c>
    </row>
    <row r="3280">
      <c r="A3280" s="1" t="n">
        <v>3279</v>
      </c>
      <c r="B3280">
        <f>TEXT(3279, "[$-170000]yyyy-mm-dd")</f>
        <v/>
      </c>
      <c r="C3280">
        <f>TEXT(3279, "[$-060000]yyyy-mm-dd")</f>
        <v/>
      </c>
      <c r="D3280" t="inlineStr">
        <is>
          <t>1326-11-29</t>
        </is>
      </c>
    </row>
    <row r="3281">
      <c r="A3281" s="1" t="n">
        <v>3280</v>
      </c>
      <c r="B3281">
        <f>TEXT(3280, "[$-170000]yyyy-mm-dd")</f>
        <v/>
      </c>
      <c r="C3281">
        <f>TEXT(3280, "[$-060000]yyyy-mm-dd")</f>
        <v/>
      </c>
      <c r="D3281" t="inlineStr">
        <is>
          <t>1326-11-30</t>
        </is>
      </c>
    </row>
    <row r="3282">
      <c r="A3282" s="1" t="n">
        <v>3281</v>
      </c>
      <c r="B3282">
        <f>TEXT(3281, "[$-170000]yyyy-mm-dd")</f>
        <v/>
      </c>
      <c r="C3282">
        <f>TEXT(3281, "[$-060000]yyyy-mm-dd")</f>
        <v/>
      </c>
      <c r="D3282" t="inlineStr">
        <is>
          <t>1326-12-01</t>
        </is>
      </c>
    </row>
    <row r="3283">
      <c r="A3283" s="1" t="n">
        <v>3282</v>
      </c>
      <c r="B3283">
        <f>TEXT(3282, "[$-170000]yyyy-mm-dd")</f>
        <v/>
      </c>
      <c r="C3283">
        <f>TEXT(3282, "[$-060000]yyyy-mm-dd")</f>
        <v/>
      </c>
      <c r="D3283" t="inlineStr">
        <is>
          <t>1326-12-02</t>
        </is>
      </c>
    </row>
    <row r="3284">
      <c r="A3284" s="1" t="n">
        <v>3283</v>
      </c>
      <c r="B3284">
        <f>TEXT(3283, "[$-170000]yyyy-mm-dd")</f>
        <v/>
      </c>
      <c r="C3284">
        <f>TEXT(3283, "[$-060000]yyyy-mm-dd")</f>
        <v/>
      </c>
      <c r="D3284" t="inlineStr">
        <is>
          <t>1326-12-03</t>
        </is>
      </c>
    </row>
    <row r="3285">
      <c r="A3285" s="1" t="n">
        <v>3284</v>
      </c>
      <c r="B3285">
        <f>TEXT(3284, "[$-170000]yyyy-mm-dd")</f>
        <v/>
      </c>
      <c r="C3285">
        <f>TEXT(3284, "[$-060000]yyyy-mm-dd")</f>
        <v/>
      </c>
      <c r="D3285" t="inlineStr">
        <is>
          <t>1326-12-04</t>
        </is>
      </c>
    </row>
    <row r="3286">
      <c r="A3286" s="1" t="n">
        <v>3285</v>
      </c>
      <c r="B3286">
        <f>TEXT(3285, "[$-170000]yyyy-mm-dd")</f>
        <v/>
      </c>
      <c r="C3286">
        <f>TEXT(3285, "[$-060000]yyyy-mm-dd")</f>
        <v/>
      </c>
      <c r="D3286" t="inlineStr">
        <is>
          <t>1326-12-05</t>
        </is>
      </c>
    </row>
    <row r="3287">
      <c r="A3287" s="1" t="n">
        <v>3286</v>
      </c>
      <c r="B3287">
        <f>TEXT(3286, "[$-170000]yyyy-mm-dd")</f>
        <v/>
      </c>
      <c r="C3287">
        <f>TEXT(3286, "[$-060000]yyyy-mm-dd")</f>
        <v/>
      </c>
      <c r="D3287" t="inlineStr">
        <is>
          <t>1326-12-06</t>
        </is>
      </c>
    </row>
    <row r="3288">
      <c r="A3288" s="1" t="n">
        <v>3287</v>
      </c>
      <c r="B3288">
        <f>TEXT(3287, "[$-170000]yyyy-mm-dd")</f>
        <v/>
      </c>
      <c r="C3288">
        <f>TEXT(3287, "[$-060000]yyyy-mm-dd")</f>
        <v/>
      </c>
      <c r="D3288" t="inlineStr">
        <is>
          <t>1326-12-07</t>
        </is>
      </c>
    </row>
    <row r="3289">
      <c r="A3289" s="1" t="n">
        <v>3288</v>
      </c>
      <c r="B3289">
        <f>TEXT(3288, "[$-170000]yyyy-mm-dd")</f>
        <v/>
      </c>
      <c r="C3289">
        <f>TEXT(3288, "[$-060000]yyyy-mm-dd")</f>
        <v/>
      </c>
      <c r="D3289" t="inlineStr">
        <is>
          <t>1326-12-08</t>
        </is>
      </c>
    </row>
    <row r="3290">
      <c r="A3290" s="1" t="n">
        <v>3289</v>
      </c>
      <c r="B3290">
        <f>TEXT(3289, "[$-170000]yyyy-mm-dd")</f>
        <v/>
      </c>
      <c r="C3290">
        <f>TEXT(3289, "[$-060000]yyyy-mm-dd")</f>
        <v/>
      </c>
      <c r="D3290" t="inlineStr">
        <is>
          <t>1326-12-09</t>
        </is>
      </c>
    </row>
    <row r="3291">
      <c r="A3291" s="1" t="n">
        <v>3290</v>
      </c>
      <c r="B3291">
        <f>TEXT(3290, "[$-170000]yyyy-mm-dd")</f>
        <v/>
      </c>
      <c r="C3291">
        <f>TEXT(3290, "[$-060000]yyyy-mm-dd")</f>
        <v/>
      </c>
      <c r="D3291" t="inlineStr">
        <is>
          <t>1326-12-10</t>
        </is>
      </c>
    </row>
    <row r="3292">
      <c r="A3292" s="1" t="n">
        <v>3291</v>
      </c>
      <c r="B3292">
        <f>TEXT(3291, "[$-170000]yyyy-mm-dd")</f>
        <v/>
      </c>
      <c r="C3292">
        <f>TEXT(3291, "[$-060000]yyyy-mm-dd")</f>
        <v/>
      </c>
      <c r="D3292" t="inlineStr">
        <is>
          <t>1326-12-11</t>
        </is>
      </c>
    </row>
    <row r="3293">
      <c r="A3293" s="1" t="n">
        <v>3292</v>
      </c>
      <c r="B3293">
        <f>TEXT(3292, "[$-170000]yyyy-mm-dd")</f>
        <v/>
      </c>
      <c r="C3293">
        <f>TEXT(3292, "[$-060000]yyyy-mm-dd")</f>
        <v/>
      </c>
      <c r="D3293" t="inlineStr">
        <is>
          <t>1326-12-12</t>
        </is>
      </c>
    </row>
    <row r="3294">
      <c r="A3294" s="1" t="n">
        <v>3293</v>
      </c>
      <c r="B3294">
        <f>TEXT(3293, "[$-170000]yyyy-mm-dd")</f>
        <v/>
      </c>
      <c r="C3294">
        <f>TEXT(3293, "[$-060000]yyyy-mm-dd")</f>
        <v/>
      </c>
      <c r="D3294" t="inlineStr">
        <is>
          <t>1326-12-13</t>
        </is>
      </c>
    </row>
    <row r="3295">
      <c r="A3295" s="1" t="n">
        <v>3294</v>
      </c>
      <c r="B3295">
        <f>TEXT(3294, "[$-170000]yyyy-mm-dd")</f>
        <v/>
      </c>
      <c r="C3295">
        <f>TEXT(3294, "[$-060000]yyyy-mm-dd")</f>
        <v/>
      </c>
      <c r="D3295" t="inlineStr">
        <is>
          <t>1326-12-14</t>
        </is>
      </c>
    </row>
    <row r="3296">
      <c r="A3296" s="1" t="n">
        <v>3295</v>
      </c>
      <c r="B3296">
        <f>TEXT(3295, "[$-170000]yyyy-mm-dd")</f>
        <v/>
      </c>
      <c r="C3296">
        <f>TEXT(3295, "[$-060000]yyyy-mm-dd")</f>
        <v/>
      </c>
      <c r="D3296" t="inlineStr">
        <is>
          <t>1326-12-15</t>
        </is>
      </c>
    </row>
    <row r="3297">
      <c r="A3297" s="1" t="n">
        <v>3296</v>
      </c>
      <c r="B3297">
        <f>TEXT(3296, "[$-170000]yyyy-mm-dd")</f>
        <v/>
      </c>
      <c r="C3297">
        <f>TEXT(3296, "[$-060000]yyyy-mm-dd")</f>
        <v/>
      </c>
      <c r="D3297" t="inlineStr">
        <is>
          <t>1326-12-16</t>
        </is>
      </c>
    </row>
    <row r="3298">
      <c r="A3298" s="1" t="n">
        <v>3297</v>
      </c>
      <c r="B3298">
        <f>TEXT(3297, "[$-170000]yyyy-mm-dd")</f>
        <v/>
      </c>
      <c r="C3298">
        <f>TEXT(3297, "[$-060000]yyyy-mm-dd")</f>
        <v/>
      </c>
      <c r="D3298" t="inlineStr">
        <is>
          <t>1326-12-17</t>
        </is>
      </c>
    </row>
    <row r="3299">
      <c r="A3299" s="1" t="n">
        <v>3298</v>
      </c>
      <c r="B3299">
        <f>TEXT(3298, "[$-170000]yyyy-mm-dd")</f>
        <v/>
      </c>
      <c r="C3299">
        <f>TEXT(3298, "[$-060000]yyyy-mm-dd")</f>
        <v/>
      </c>
      <c r="D3299" t="inlineStr">
        <is>
          <t>1326-12-18</t>
        </is>
      </c>
    </row>
    <row r="3300">
      <c r="A3300" s="1" t="n">
        <v>3299</v>
      </c>
      <c r="B3300">
        <f>TEXT(3299, "[$-170000]yyyy-mm-dd")</f>
        <v/>
      </c>
      <c r="C3300">
        <f>TEXT(3299, "[$-060000]yyyy-mm-dd")</f>
        <v/>
      </c>
      <c r="D3300" t="inlineStr">
        <is>
          <t>1326-12-19</t>
        </is>
      </c>
    </row>
    <row r="3301">
      <c r="A3301" s="1" t="n">
        <v>3300</v>
      </c>
      <c r="B3301">
        <f>TEXT(3300, "[$-170000]yyyy-mm-dd")</f>
        <v/>
      </c>
      <c r="C3301">
        <f>TEXT(3300, "[$-060000]yyyy-mm-dd")</f>
        <v/>
      </c>
      <c r="D3301" t="inlineStr">
        <is>
          <t>1326-12-20</t>
        </is>
      </c>
    </row>
    <row r="3302">
      <c r="A3302" s="1" t="n">
        <v>3301</v>
      </c>
      <c r="B3302">
        <f>TEXT(3301, "[$-170000]yyyy-mm-dd")</f>
        <v/>
      </c>
      <c r="C3302">
        <f>TEXT(3301, "[$-060000]yyyy-mm-dd")</f>
        <v/>
      </c>
      <c r="D3302" t="inlineStr">
        <is>
          <t>1326-12-21</t>
        </is>
      </c>
    </row>
    <row r="3303">
      <c r="A3303" s="1" t="n">
        <v>3302</v>
      </c>
      <c r="B3303">
        <f>TEXT(3302, "[$-170000]yyyy-mm-dd")</f>
        <v/>
      </c>
      <c r="C3303">
        <f>TEXT(3302, "[$-060000]yyyy-mm-dd")</f>
        <v/>
      </c>
      <c r="D3303" t="inlineStr">
        <is>
          <t>1326-12-22</t>
        </is>
      </c>
    </row>
    <row r="3304">
      <c r="A3304" s="1" t="n">
        <v>3303</v>
      </c>
      <c r="B3304">
        <f>TEXT(3303, "[$-170000]yyyy-mm-dd")</f>
        <v/>
      </c>
      <c r="C3304">
        <f>TEXT(3303, "[$-060000]yyyy-mm-dd")</f>
        <v/>
      </c>
      <c r="D3304" t="inlineStr">
        <is>
          <t>1326-12-23</t>
        </is>
      </c>
    </row>
    <row r="3305">
      <c r="A3305" s="1" t="n">
        <v>3304</v>
      </c>
      <c r="B3305">
        <f>TEXT(3304, "[$-170000]yyyy-mm-dd")</f>
        <v/>
      </c>
      <c r="C3305">
        <f>TEXT(3304, "[$-060000]yyyy-mm-dd")</f>
        <v/>
      </c>
      <c r="D3305" t="inlineStr">
        <is>
          <t>1326-12-24</t>
        </is>
      </c>
    </row>
    <row r="3306">
      <c r="A3306" s="1" t="n">
        <v>3305</v>
      </c>
      <c r="B3306">
        <f>TEXT(3305, "[$-170000]yyyy-mm-dd")</f>
        <v/>
      </c>
      <c r="C3306">
        <f>TEXT(3305, "[$-060000]yyyy-mm-dd")</f>
        <v/>
      </c>
      <c r="D3306" t="inlineStr">
        <is>
          <t>1326-12-25</t>
        </is>
      </c>
    </row>
    <row r="3307">
      <c r="A3307" s="1" t="n">
        <v>3306</v>
      </c>
      <c r="B3307">
        <f>TEXT(3306, "[$-170000]yyyy-mm-dd")</f>
        <v/>
      </c>
      <c r="C3307">
        <f>TEXT(3306, "[$-060000]yyyy-mm-dd")</f>
        <v/>
      </c>
      <c r="D3307" t="inlineStr">
        <is>
          <t>1326-12-26</t>
        </is>
      </c>
    </row>
    <row r="3308">
      <c r="A3308" s="1" t="n">
        <v>3307</v>
      </c>
      <c r="B3308">
        <f>TEXT(3307, "[$-170000]yyyy-mm-dd")</f>
        <v/>
      </c>
      <c r="C3308">
        <f>TEXT(3307, "[$-060000]yyyy-mm-dd")</f>
        <v/>
      </c>
      <c r="D3308" t="inlineStr">
        <is>
          <t>1326-12-27</t>
        </is>
      </c>
    </row>
    <row r="3309">
      <c r="A3309" s="1" t="n">
        <v>3308</v>
      </c>
      <c r="B3309">
        <f>TEXT(3308, "[$-170000]yyyy-mm-dd")</f>
        <v/>
      </c>
      <c r="C3309">
        <f>TEXT(3308, "[$-060000]yyyy-mm-dd")</f>
        <v/>
      </c>
      <c r="D3309" t="inlineStr">
        <is>
          <t>1326-12-28</t>
        </is>
      </c>
    </row>
    <row r="3310">
      <c r="A3310" s="1" t="n">
        <v>3309</v>
      </c>
      <c r="B3310">
        <f>TEXT(3309, "[$-170000]yyyy-mm-dd")</f>
        <v/>
      </c>
      <c r="C3310">
        <f>TEXT(3309, "[$-060000]yyyy-mm-dd")</f>
        <v/>
      </c>
      <c r="D3310" t="inlineStr">
        <is>
          <t>1326-12-29</t>
        </is>
      </c>
    </row>
    <row r="3311">
      <c r="A3311" s="1" t="n">
        <v>3310</v>
      </c>
      <c r="B3311">
        <f>TEXT(3310, "[$-170000]yyyy-mm-dd")</f>
        <v/>
      </c>
      <c r="C3311">
        <f>TEXT(3310, "[$-060000]yyyy-mm-dd")</f>
        <v/>
      </c>
      <c r="D3311" t="inlineStr">
        <is>
          <t>1327-01-01</t>
        </is>
      </c>
    </row>
    <row r="3312">
      <c r="A3312" s="1" t="n">
        <v>3311</v>
      </c>
      <c r="B3312">
        <f>TEXT(3311, "[$-170000]yyyy-mm-dd")</f>
        <v/>
      </c>
      <c r="C3312">
        <f>TEXT(3311, "[$-060000]yyyy-mm-dd")</f>
        <v/>
      </c>
      <c r="D3312" t="inlineStr">
        <is>
          <t>1327-01-02</t>
        </is>
      </c>
    </row>
    <row r="3313">
      <c r="A3313" s="1" t="n">
        <v>3312</v>
      </c>
      <c r="B3313">
        <f>TEXT(3312, "[$-170000]yyyy-mm-dd")</f>
        <v/>
      </c>
      <c r="C3313">
        <f>TEXT(3312, "[$-060000]yyyy-mm-dd")</f>
        <v/>
      </c>
      <c r="D3313" t="inlineStr">
        <is>
          <t>1327-01-03</t>
        </is>
      </c>
    </row>
    <row r="3314">
      <c r="A3314" s="1" t="n">
        <v>3313</v>
      </c>
      <c r="B3314">
        <f>TEXT(3313, "[$-170000]yyyy-mm-dd")</f>
        <v/>
      </c>
      <c r="C3314">
        <f>TEXT(3313, "[$-060000]yyyy-mm-dd")</f>
        <v/>
      </c>
      <c r="D3314" t="inlineStr">
        <is>
          <t>1327-01-04</t>
        </is>
      </c>
    </row>
    <row r="3315">
      <c r="A3315" s="1" t="n">
        <v>3314</v>
      </c>
      <c r="B3315">
        <f>TEXT(3314, "[$-170000]yyyy-mm-dd")</f>
        <v/>
      </c>
      <c r="C3315">
        <f>TEXT(3314, "[$-060000]yyyy-mm-dd")</f>
        <v/>
      </c>
      <c r="D3315" t="inlineStr">
        <is>
          <t>1327-01-05</t>
        </is>
      </c>
    </row>
    <row r="3316">
      <c r="A3316" s="1" t="n">
        <v>3315</v>
      </c>
      <c r="B3316">
        <f>TEXT(3315, "[$-170000]yyyy-mm-dd")</f>
        <v/>
      </c>
      <c r="C3316">
        <f>TEXT(3315, "[$-060000]yyyy-mm-dd")</f>
        <v/>
      </c>
      <c r="D3316" t="inlineStr">
        <is>
          <t>1327-01-06</t>
        </is>
      </c>
    </row>
    <row r="3317">
      <c r="A3317" s="1" t="n">
        <v>3316</v>
      </c>
      <c r="B3317">
        <f>TEXT(3316, "[$-170000]yyyy-mm-dd")</f>
        <v/>
      </c>
      <c r="C3317">
        <f>TEXT(3316, "[$-060000]yyyy-mm-dd")</f>
        <v/>
      </c>
      <c r="D3317" t="inlineStr">
        <is>
          <t>1327-01-07</t>
        </is>
      </c>
    </row>
    <row r="3318">
      <c r="A3318" s="1" t="n">
        <v>3317</v>
      </c>
      <c r="B3318">
        <f>TEXT(3317, "[$-170000]yyyy-mm-dd")</f>
        <v/>
      </c>
      <c r="C3318">
        <f>TEXT(3317, "[$-060000]yyyy-mm-dd")</f>
        <v/>
      </c>
      <c r="D3318" t="inlineStr">
        <is>
          <t>1327-01-08</t>
        </is>
      </c>
    </row>
    <row r="3319">
      <c r="A3319" s="1" t="n">
        <v>3318</v>
      </c>
      <c r="B3319">
        <f>TEXT(3318, "[$-170000]yyyy-mm-dd")</f>
        <v/>
      </c>
      <c r="C3319">
        <f>TEXT(3318, "[$-060000]yyyy-mm-dd")</f>
        <v/>
      </c>
      <c r="D3319" t="inlineStr">
        <is>
          <t>1327-01-09</t>
        </is>
      </c>
    </row>
    <row r="3320">
      <c r="A3320" s="1" t="n">
        <v>3319</v>
      </c>
      <c r="B3320">
        <f>TEXT(3319, "[$-170000]yyyy-mm-dd")</f>
        <v/>
      </c>
      <c r="C3320">
        <f>TEXT(3319, "[$-060000]yyyy-mm-dd")</f>
        <v/>
      </c>
      <c r="D3320" t="inlineStr">
        <is>
          <t>1327-01-10</t>
        </is>
      </c>
    </row>
    <row r="3321">
      <c r="A3321" s="1" t="n">
        <v>3320</v>
      </c>
      <c r="B3321">
        <f>TEXT(3320, "[$-170000]yyyy-mm-dd")</f>
        <v/>
      </c>
      <c r="C3321">
        <f>TEXT(3320, "[$-060000]yyyy-mm-dd")</f>
        <v/>
      </c>
      <c r="D3321" t="inlineStr">
        <is>
          <t>1327-01-11</t>
        </is>
      </c>
    </row>
    <row r="3322">
      <c r="A3322" s="1" t="n">
        <v>3321</v>
      </c>
      <c r="B3322">
        <f>TEXT(3321, "[$-170000]yyyy-mm-dd")</f>
        <v/>
      </c>
      <c r="C3322">
        <f>TEXT(3321, "[$-060000]yyyy-mm-dd")</f>
        <v/>
      </c>
      <c r="D3322" t="inlineStr">
        <is>
          <t>1327-01-12</t>
        </is>
      </c>
    </row>
    <row r="3323">
      <c r="A3323" s="1" t="n">
        <v>3322</v>
      </c>
      <c r="B3323">
        <f>TEXT(3322, "[$-170000]yyyy-mm-dd")</f>
        <v/>
      </c>
      <c r="C3323">
        <f>TEXT(3322, "[$-060000]yyyy-mm-dd")</f>
        <v/>
      </c>
      <c r="D3323" t="inlineStr">
        <is>
          <t>1327-01-13</t>
        </is>
      </c>
    </row>
    <row r="3324">
      <c r="A3324" s="1" t="n">
        <v>3323</v>
      </c>
      <c r="B3324">
        <f>TEXT(3323, "[$-170000]yyyy-mm-dd")</f>
        <v/>
      </c>
      <c r="C3324">
        <f>TEXT(3323, "[$-060000]yyyy-mm-dd")</f>
        <v/>
      </c>
      <c r="D3324" t="inlineStr">
        <is>
          <t>1327-01-14</t>
        </is>
      </c>
    </row>
    <row r="3325">
      <c r="A3325" s="1" t="n">
        <v>3324</v>
      </c>
      <c r="B3325">
        <f>TEXT(3324, "[$-170000]yyyy-mm-dd")</f>
        <v/>
      </c>
      <c r="C3325">
        <f>TEXT(3324, "[$-060000]yyyy-mm-dd")</f>
        <v/>
      </c>
      <c r="D3325" t="inlineStr">
        <is>
          <t>1327-01-15</t>
        </is>
      </c>
    </row>
    <row r="3326">
      <c r="A3326" s="1" t="n">
        <v>3325</v>
      </c>
      <c r="B3326">
        <f>TEXT(3325, "[$-170000]yyyy-mm-dd")</f>
        <v/>
      </c>
      <c r="C3326">
        <f>TEXT(3325, "[$-060000]yyyy-mm-dd")</f>
        <v/>
      </c>
      <c r="D3326" t="inlineStr">
        <is>
          <t>1327-01-16</t>
        </is>
      </c>
    </row>
    <row r="3327">
      <c r="A3327" s="1" t="n">
        <v>3326</v>
      </c>
      <c r="B3327">
        <f>TEXT(3326, "[$-170000]yyyy-mm-dd")</f>
        <v/>
      </c>
      <c r="C3327">
        <f>TEXT(3326, "[$-060000]yyyy-mm-dd")</f>
        <v/>
      </c>
      <c r="D3327" t="inlineStr">
        <is>
          <t>1327-01-17</t>
        </is>
      </c>
    </row>
    <row r="3328">
      <c r="A3328" s="1" t="n">
        <v>3327</v>
      </c>
      <c r="B3328">
        <f>TEXT(3327, "[$-170000]yyyy-mm-dd")</f>
        <v/>
      </c>
      <c r="C3328">
        <f>TEXT(3327, "[$-060000]yyyy-mm-dd")</f>
        <v/>
      </c>
      <c r="D3328" t="inlineStr">
        <is>
          <t>1327-01-18</t>
        </is>
      </c>
    </row>
    <row r="3329">
      <c r="A3329" s="1" t="n">
        <v>3328</v>
      </c>
      <c r="B3329">
        <f>TEXT(3328, "[$-170000]yyyy-mm-dd")</f>
        <v/>
      </c>
      <c r="C3329">
        <f>TEXT(3328, "[$-060000]yyyy-mm-dd")</f>
        <v/>
      </c>
      <c r="D3329" t="inlineStr">
        <is>
          <t>1327-01-19</t>
        </is>
      </c>
    </row>
    <row r="3330">
      <c r="A3330" s="1" t="n">
        <v>3329</v>
      </c>
      <c r="B3330">
        <f>TEXT(3329, "[$-170000]yyyy-mm-dd")</f>
        <v/>
      </c>
      <c r="C3330">
        <f>TEXT(3329, "[$-060000]yyyy-mm-dd")</f>
        <v/>
      </c>
      <c r="D3330" t="inlineStr">
        <is>
          <t>1327-01-20</t>
        </is>
      </c>
    </row>
    <row r="3331">
      <c r="A3331" s="1" t="n">
        <v>3330</v>
      </c>
      <c r="B3331">
        <f>TEXT(3330, "[$-170000]yyyy-mm-dd")</f>
        <v/>
      </c>
      <c r="C3331">
        <f>TEXT(3330, "[$-060000]yyyy-mm-dd")</f>
        <v/>
      </c>
      <c r="D3331" t="inlineStr">
        <is>
          <t>1327-01-21</t>
        </is>
      </c>
    </row>
    <row r="3332">
      <c r="A3332" s="1" t="n">
        <v>3331</v>
      </c>
      <c r="B3332">
        <f>TEXT(3331, "[$-170000]yyyy-mm-dd")</f>
        <v/>
      </c>
      <c r="C3332">
        <f>TEXT(3331, "[$-060000]yyyy-mm-dd")</f>
        <v/>
      </c>
      <c r="D3332" t="inlineStr">
        <is>
          <t>1327-01-22</t>
        </is>
      </c>
    </row>
    <row r="3333">
      <c r="A3333" s="1" t="n">
        <v>3332</v>
      </c>
      <c r="B3333">
        <f>TEXT(3332, "[$-170000]yyyy-mm-dd")</f>
        <v/>
      </c>
      <c r="C3333">
        <f>TEXT(3332, "[$-060000]yyyy-mm-dd")</f>
        <v/>
      </c>
      <c r="D3333" t="inlineStr">
        <is>
          <t>1327-01-23</t>
        </is>
      </c>
    </row>
    <row r="3334">
      <c r="A3334" s="1" t="n">
        <v>3333</v>
      </c>
      <c r="B3334">
        <f>TEXT(3333, "[$-170000]yyyy-mm-dd")</f>
        <v/>
      </c>
      <c r="C3334">
        <f>TEXT(3333, "[$-060000]yyyy-mm-dd")</f>
        <v/>
      </c>
      <c r="D3334" t="inlineStr">
        <is>
          <t>1327-01-24</t>
        </is>
      </c>
    </row>
    <row r="3335">
      <c r="A3335" s="1" t="n">
        <v>3334</v>
      </c>
      <c r="B3335">
        <f>TEXT(3334, "[$-170000]yyyy-mm-dd")</f>
        <v/>
      </c>
      <c r="C3335">
        <f>TEXT(3334, "[$-060000]yyyy-mm-dd")</f>
        <v/>
      </c>
      <c r="D3335" t="inlineStr">
        <is>
          <t>1327-01-25</t>
        </is>
      </c>
    </row>
    <row r="3336">
      <c r="A3336" s="1" t="n">
        <v>3335</v>
      </c>
      <c r="B3336">
        <f>TEXT(3335, "[$-170000]yyyy-mm-dd")</f>
        <v/>
      </c>
      <c r="C3336">
        <f>TEXT(3335, "[$-060000]yyyy-mm-dd")</f>
        <v/>
      </c>
      <c r="D3336" t="inlineStr">
        <is>
          <t>1327-01-26</t>
        </is>
      </c>
    </row>
    <row r="3337">
      <c r="A3337" s="1" t="n">
        <v>3336</v>
      </c>
      <c r="B3337">
        <f>TEXT(3336, "[$-170000]yyyy-mm-dd")</f>
        <v/>
      </c>
      <c r="C3337">
        <f>TEXT(3336, "[$-060000]yyyy-mm-dd")</f>
        <v/>
      </c>
      <c r="D3337" t="inlineStr">
        <is>
          <t>1327-01-27</t>
        </is>
      </c>
    </row>
    <row r="3338">
      <c r="A3338" s="1" t="n">
        <v>3337</v>
      </c>
      <c r="B3338">
        <f>TEXT(3337, "[$-170000]yyyy-mm-dd")</f>
        <v/>
      </c>
      <c r="C3338">
        <f>TEXT(3337, "[$-060000]yyyy-mm-dd")</f>
        <v/>
      </c>
      <c r="D3338" t="inlineStr">
        <is>
          <t>1327-01-28</t>
        </is>
      </c>
    </row>
    <row r="3339">
      <c r="A3339" s="1" t="n">
        <v>3338</v>
      </c>
      <c r="B3339">
        <f>TEXT(3338, "[$-170000]yyyy-mm-dd")</f>
        <v/>
      </c>
      <c r="C3339">
        <f>TEXT(3338, "[$-060000]yyyy-mm-dd")</f>
        <v/>
      </c>
      <c r="D3339" t="inlineStr">
        <is>
          <t>1327-01-29</t>
        </is>
      </c>
    </row>
    <row r="3340">
      <c r="A3340" s="1" t="n">
        <v>3339</v>
      </c>
      <c r="B3340">
        <f>TEXT(3339, "[$-170000]yyyy-mm-dd")</f>
        <v/>
      </c>
      <c r="C3340">
        <f>TEXT(3339, "[$-060000]yyyy-mm-dd")</f>
        <v/>
      </c>
      <c r="D3340" t="inlineStr">
        <is>
          <t>1327-01-30</t>
        </is>
      </c>
    </row>
    <row r="3341">
      <c r="A3341" s="1" t="n">
        <v>3340</v>
      </c>
      <c r="B3341">
        <f>TEXT(3340, "[$-170000]yyyy-mm-dd")</f>
        <v/>
      </c>
      <c r="C3341">
        <f>TEXT(3340, "[$-060000]yyyy-mm-dd")</f>
        <v/>
      </c>
      <c r="D3341" t="inlineStr">
        <is>
          <t>1327-02-01</t>
        </is>
      </c>
    </row>
    <row r="3342">
      <c r="A3342" s="1" t="n">
        <v>3341</v>
      </c>
      <c r="B3342">
        <f>TEXT(3341, "[$-170000]yyyy-mm-dd")</f>
        <v/>
      </c>
      <c r="C3342">
        <f>TEXT(3341, "[$-060000]yyyy-mm-dd")</f>
        <v/>
      </c>
      <c r="D3342" t="inlineStr">
        <is>
          <t>1327-02-02</t>
        </is>
      </c>
    </row>
    <row r="3343">
      <c r="A3343" s="1" t="n">
        <v>3342</v>
      </c>
      <c r="B3343">
        <f>TEXT(3342, "[$-170000]yyyy-mm-dd")</f>
        <v/>
      </c>
      <c r="C3343">
        <f>TEXT(3342, "[$-060000]yyyy-mm-dd")</f>
        <v/>
      </c>
      <c r="D3343" t="inlineStr">
        <is>
          <t>1327-02-03</t>
        </is>
      </c>
    </row>
    <row r="3344">
      <c r="A3344" s="1" t="n">
        <v>3343</v>
      </c>
      <c r="B3344">
        <f>TEXT(3343, "[$-170000]yyyy-mm-dd")</f>
        <v/>
      </c>
      <c r="C3344">
        <f>TEXT(3343, "[$-060000]yyyy-mm-dd")</f>
        <v/>
      </c>
      <c r="D3344" t="inlineStr">
        <is>
          <t>1327-02-04</t>
        </is>
      </c>
    </row>
    <row r="3345">
      <c r="A3345" s="1" t="n">
        <v>3344</v>
      </c>
      <c r="B3345">
        <f>TEXT(3344, "[$-170000]yyyy-mm-dd")</f>
        <v/>
      </c>
      <c r="C3345">
        <f>TEXT(3344, "[$-060000]yyyy-mm-dd")</f>
        <v/>
      </c>
      <c r="D3345" t="inlineStr">
        <is>
          <t>1327-02-05</t>
        </is>
      </c>
    </row>
    <row r="3346">
      <c r="A3346" s="1" t="n">
        <v>3345</v>
      </c>
      <c r="B3346">
        <f>TEXT(3345, "[$-170000]yyyy-mm-dd")</f>
        <v/>
      </c>
      <c r="C3346">
        <f>TEXT(3345, "[$-060000]yyyy-mm-dd")</f>
        <v/>
      </c>
      <c r="D3346" t="inlineStr">
        <is>
          <t>1327-02-06</t>
        </is>
      </c>
    </row>
    <row r="3347">
      <c r="A3347" s="1" t="n">
        <v>3346</v>
      </c>
      <c r="B3347">
        <f>TEXT(3346, "[$-170000]yyyy-mm-dd")</f>
        <v/>
      </c>
      <c r="C3347">
        <f>TEXT(3346, "[$-060000]yyyy-mm-dd")</f>
        <v/>
      </c>
      <c r="D3347" t="inlineStr">
        <is>
          <t>1327-02-07</t>
        </is>
      </c>
    </row>
    <row r="3348">
      <c r="A3348" s="1" t="n">
        <v>3347</v>
      </c>
      <c r="B3348">
        <f>TEXT(3347, "[$-170000]yyyy-mm-dd")</f>
        <v/>
      </c>
      <c r="C3348">
        <f>TEXT(3347, "[$-060000]yyyy-mm-dd")</f>
        <v/>
      </c>
      <c r="D3348" t="inlineStr">
        <is>
          <t>1327-02-08</t>
        </is>
      </c>
    </row>
    <row r="3349">
      <c r="A3349" s="1" t="n">
        <v>3348</v>
      </c>
      <c r="B3349">
        <f>TEXT(3348, "[$-170000]yyyy-mm-dd")</f>
        <v/>
      </c>
      <c r="C3349">
        <f>TEXT(3348, "[$-060000]yyyy-mm-dd")</f>
        <v/>
      </c>
      <c r="D3349" t="inlineStr">
        <is>
          <t>1327-02-09</t>
        </is>
      </c>
    </row>
    <row r="3350">
      <c r="A3350" s="1" t="n">
        <v>3349</v>
      </c>
      <c r="B3350">
        <f>TEXT(3349, "[$-170000]yyyy-mm-dd")</f>
        <v/>
      </c>
      <c r="C3350">
        <f>TEXT(3349, "[$-060000]yyyy-mm-dd")</f>
        <v/>
      </c>
      <c r="D3350" t="inlineStr">
        <is>
          <t>1327-02-10</t>
        </is>
      </c>
    </row>
    <row r="3351">
      <c r="A3351" s="1" t="n">
        <v>3350</v>
      </c>
      <c r="B3351">
        <f>TEXT(3350, "[$-170000]yyyy-mm-dd")</f>
        <v/>
      </c>
      <c r="C3351">
        <f>TEXT(3350, "[$-060000]yyyy-mm-dd")</f>
        <v/>
      </c>
      <c r="D3351" t="inlineStr">
        <is>
          <t>1327-02-11</t>
        </is>
      </c>
    </row>
    <row r="3352">
      <c r="A3352" s="1" t="n">
        <v>3351</v>
      </c>
      <c r="B3352">
        <f>TEXT(3351, "[$-170000]yyyy-mm-dd")</f>
        <v/>
      </c>
      <c r="C3352">
        <f>TEXT(3351, "[$-060000]yyyy-mm-dd")</f>
        <v/>
      </c>
      <c r="D3352" t="inlineStr">
        <is>
          <t>1327-02-12</t>
        </is>
      </c>
    </row>
    <row r="3353">
      <c r="A3353" s="1" t="n">
        <v>3352</v>
      </c>
      <c r="B3353">
        <f>TEXT(3352, "[$-170000]yyyy-mm-dd")</f>
        <v/>
      </c>
      <c r="C3353">
        <f>TEXT(3352, "[$-060000]yyyy-mm-dd")</f>
        <v/>
      </c>
      <c r="D3353" t="inlineStr">
        <is>
          <t>1327-02-13</t>
        </is>
      </c>
    </row>
    <row r="3354">
      <c r="A3354" s="1" t="n">
        <v>3353</v>
      </c>
      <c r="B3354">
        <f>TEXT(3353, "[$-170000]yyyy-mm-dd")</f>
        <v/>
      </c>
      <c r="C3354">
        <f>TEXT(3353, "[$-060000]yyyy-mm-dd")</f>
        <v/>
      </c>
      <c r="D3354" t="inlineStr">
        <is>
          <t>1327-02-14</t>
        </is>
      </c>
    </row>
    <row r="3355">
      <c r="A3355" s="1" t="n">
        <v>3354</v>
      </c>
      <c r="B3355">
        <f>TEXT(3354, "[$-170000]yyyy-mm-dd")</f>
        <v/>
      </c>
      <c r="C3355">
        <f>TEXT(3354, "[$-060000]yyyy-mm-dd")</f>
        <v/>
      </c>
      <c r="D3355" t="inlineStr">
        <is>
          <t>1327-02-15</t>
        </is>
      </c>
    </row>
    <row r="3356">
      <c r="A3356" s="1" t="n">
        <v>3355</v>
      </c>
      <c r="B3356">
        <f>TEXT(3355, "[$-170000]yyyy-mm-dd")</f>
        <v/>
      </c>
      <c r="C3356">
        <f>TEXT(3355, "[$-060000]yyyy-mm-dd")</f>
        <v/>
      </c>
      <c r="D3356" t="inlineStr">
        <is>
          <t>1327-02-16</t>
        </is>
      </c>
    </row>
    <row r="3357">
      <c r="A3357" s="1" t="n">
        <v>3356</v>
      </c>
      <c r="B3357">
        <f>TEXT(3356, "[$-170000]yyyy-mm-dd")</f>
        <v/>
      </c>
      <c r="C3357">
        <f>TEXT(3356, "[$-060000]yyyy-mm-dd")</f>
        <v/>
      </c>
      <c r="D3357" t="inlineStr">
        <is>
          <t>1327-02-17</t>
        </is>
      </c>
    </row>
    <row r="3358">
      <c r="A3358" s="1" t="n">
        <v>3357</v>
      </c>
      <c r="B3358">
        <f>TEXT(3357, "[$-170000]yyyy-mm-dd")</f>
        <v/>
      </c>
      <c r="C3358">
        <f>TEXT(3357, "[$-060000]yyyy-mm-dd")</f>
        <v/>
      </c>
      <c r="D3358" t="inlineStr">
        <is>
          <t>1327-02-18</t>
        </is>
      </c>
    </row>
    <row r="3359">
      <c r="A3359" s="1" t="n">
        <v>3358</v>
      </c>
      <c r="B3359">
        <f>TEXT(3358, "[$-170000]yyyy-mm-dd")</f>
        <v/>
      </c>
      <c r="C3359">
        <f>TEXT(3358, "[$-060000]yyyy-mm-dd")</f>
        <v/>
      </c>
      <c r="D3359" t="inlineStr">
        <is>
          <t>1327-02-19</t>
        </is>
      </c>
    </row>
    <row r="3360">
      <c r="A3360" s="1" t="n">
        <v>3359</v>
      </c>
      <c r="B3360">
        <f>TEXT(3359, "[$-170000]yyyy-mm-dd")</f>
        <v/>
      </c>
      <c r="C3360">
        <f>TEXT(3359, "[$-060000]yyyy-mm-dd")</f>
        <v/>
      </c>
      <c r="D3360" t="inlineStr">
        <is>
          <t>1327-02-20</t>
        </is>
      </c>
    </row>
    <row r="3361">
      <c r="A3361" s="1" t="n">
        <v>3360</v>
      </c>
      <c r="B3361">
        <f>TEXT(3360, "[$-170000]yyyy-mm-dd")</f>
        <v/>
      </c>
      <c r="C3361">
        <f>TEXT(3360, "[$-060000]yyyy-mm-dd")</f>
        <v/>
      </c>
      <c r="D3361" t="inlineStr">
        <is>
          <t>1327-02-21</t>
        </is>
      </c>
    </row>
    <row r="3362">
      <c r="A3362" s="1" t="n">
        <v>3361</v>
      </c>
      <c r="B3362">
        <f>TEXT(3361, "[$-170000]yyyy-mm-dd")</f>
        <v/>
      </c>
      <c r="C3362">
        <f>TEXT(3361, "[$-060000]yyyy-mm-dd")</f>
        <v/>
      </c>
      <c r="D3362" t="inlineStr">
        <is>
          <t>1327-02-22</t>
        </is>
      </c>
    </row>
    <row r="3363">
      <c r="A3363" s="1" t="n">
        <v>3362</v>
      </c>
      <c r="B3363">
        <f>TEXT(3362, "[$-170000]yyyy-mm-dd")</f>
        <v/>
      </c>
      <c r="C3363">
        <f>TEXT(3362, "[$-060000]yyyy-mm-dd")</f>
        <v/>
      </c>
      <c r="D3363" t="inlineStr">
        <is>
          <t>1327-02-23</t>
        </is>
      </c>
    </row>
    <row r="3364">
      <c r="A3364" s="1" t="n">
        <v>3363</v>
      </c>
      <c r="B3364">
        <f>TEXT(3363, "[$-170000]yyyy-mm-dd")</f>
        <v/>
      </c>
      <c r="C3364">
        <f>TEXT(3363, "[$-060000]yyyy-mm-dd")</f>
        <v/>
      </c>
      <c r="D3364" t="inlineStr">
        <is>
          <t>1327-02-24</t>
        </is>
      </c>
    </row>
    <row r="3365">
      <c r="A3365" s="1" t="n">
        <v>3364</v>
      </c>
      <c r="B3365">
        <f>TEXT(3364, "[$-170000]yyyy-mm-dd")</f>
        <v/>
      </c>
      <c r="C3365">
        <f>TEXT(3364, "[$-060000]yyyy-mm-dd")</f>
        <v/>
      </c>
      <c r="D3365" t="inlineStr">
        <is>
          <t>1327-02-25</t>
        </is>
      </c>
    </row>
    <row r="3366">
      <c r="A3366" s="1" t="n">
        <v>3365</v>
      </c>
      <c r="B3366">
        <f>TEXT(3365, "[$-170000]yyyy-mm-dd")</f>
        <v/>
      </c>
      <c r="C3366">
        <f>TEXT(3365, "[$-060000]yyyy-mm-dd")</f>
        <v/>
      </c>
      <c r="D3366" t="inlineStr">
        <is>
          <t>1327-02-26</t>
        </is>
      </c>
    </row>
    <row r="3367">
      <c r="A3367" s="1" t="n">
        <v>3366</v>
      </c>
      <c r="B3367">
        <f>TEXT(3366, "[$-170000]yyyy-mm-dd")</f>
        <v/>
      </c>
      <c r="C3367">
        <f>TEXT(3366, "[$-060000]yyyy-mm-dd")</f>
        <v/>
      </c>
      <c r="D3367" t="inlineStr">
        <is>
          <t>1327-02-27</t>
        </is>
      </c>
    </row>
    <row r="3368">
      <c r="A3368" s="1" t="n">
        <v>3367</v>
      </c>
      <c r="B3368">
        <f>TEXT(3367, "[$-170000]yyyy-mm-dd")</f>
        <v/>
      </c>
      <c r="C3368">
        <f>TEXT(3367, "[$-060000]yyyy-mm-dd")</f>
        <v/>
      </c>
      <c r="D3368" t="inlineStr">
        <is>
          <t>1327-02-28</t>
        </is>
      </c>
    </row>
    <row r="3369">
      <c r="A3369" s="1" t="n">
        <v>3368</v>
      </c>
      <c r="B3369">
        <f>TEXT(3368, "[$-170000]yyyy-mm-dd")</f>
        <v/>
      </c>
      <c r="C3369">
        <f>TEXT(3368, "[$-060000]yyyy-mm-dd")</f>
        <v/>
      </c>
      <c r="D3369" t="inlineStr">
        <is>
          <t>1327-02-29</t>
        </is>
      </c>
    </row>
    <row r="3370">
      <c r="A3370" s="1" t="n">
        <v>3369</v>
      </c>
      <c r="B3370">
        <f>TEXT(3369, "[$-170000]yyyy-mm-dd")</f>
        <v/>
      </c>
      <c r="C3370">
        <f>TEXT(3369, "[$-060000]yyyy-mm-dd")</f>
        <v/>
      </c>
      <c r="D3370" t="inlineStr">
        <is>
          <t>1327-03-01</t>
        </is>
      </c>
    </row>
    <row r="3371">
      <c r="A3371" s="1" t="n">
        <v>3370</v>
      </c>
      <c r="B3371">
        <f>TEXT(3370, "[$-170000]yyyy-mm-dd")</f>
        <v/>
      </c>
      <c r="C3371">
        <f>TEXT(3370, "[$-060000]yyyy-mm-dd")</f>
        <v/>
      </c>
      <c r="D3371" t="inlineStr">
        <is>
          <t>1327-03-02</t>
        </is>
      </c>
    </row>
    <row r="3372">
      <c r="A3372" s="1" t="n">
        <v>3371</v>
      </c>
      <c r="B3372">
        <f>TEXT(3371, "[$-170000]yyyy-mm-dd")</f>
        <v/>
      </c>
      <c r="C3372">
        <f>TEXT(3371, "[$-060000]yyyy-mm-dd")</f>
        <v/>
      </c>
      <c r="D3372" t="inlineStr">
        <is>
          <t>1327-03-03</t>
        </is>
      </c>
    </row>
    <row r="3373">
      <c r="A3373" s="1" t="n">
        <v>3372</v>
      </c>
      <c r="B3373">
        <f>TEXT(3372, "[$-170000]yyyy-mm-dd")</f>
        <v/>
      </c>
      <c r="C3373">
        <f>TEXT(3372, "[$-060000]yyyy-mm-dd")</f>
        <v/>
      </c>
      <c r="D3373" t="inlineStr">
        <is>
          <t>1327-03-04</t>
        </is>
      </c>
    </row>
    <row r="3374">
      <c r="A3374" s="1" t="n">
        <v>3373</v>
      </c>
      <c r="B3374">
        <f>TEXT(3373, "[$-170000]yyyy-mm-dd")</f>
        <v/>
      </c>
      <c r="C3374">
        <f>TEXT(3373, "[$-060000]yyyy-mm-dd")</f>
        <v/>
      </c>
      <c r="D3374" t="inlineStr">
        <is>
          <t>1327-03-05</t>
        </is>
      </c>
    </row>
    <row r="3375">
      <c r="A3375" s="1" t="n">
        <v>3374</v>
      </c>
      <c r="B3375">
        <f>TEXT(3374, "[$-170000]yyyy-mm-dd")</f>
        <v/>
      </c>
      <c r="C3375">
        <f>TEXT(3374, "[$-060000]yyyy-mm-dd")</f>
        <v/>
      </c>
      <c r="D3375" t="inlineStr">
        <is>
          <t>1327-03-06</t>
        </is>
      </c>
    </row>
    <row r="3376">
      <c r="A3376" s="1" t="n">
        <v>3375</v>
      </c>
      <c r="B3376">
        <f>TEXT(3375, "[$-170000]yyyy-mm-dd")</f>
        <v/>
      </c>
      <c r="C3376">
        <f>TEXT(3375, "[$-060000]yyyy-mm-dd")</f>
        <v/>
      </c>
      <c r="D3376" t="inlineStr">
        <is>
          <t>1327-03-07</t>
        </is>
      </c>
    </row>
    <row r="3377">
      <c r="A3377" s="1" t="n">
        <v>3376</v>
      </c>
      <c r="B3377">
        <f>TEXT(3376, "[$-170000]yyyy-mm-dd")</f>
        <v/>
      </c>
      <c r="C3377">
        <f>TEXT(3376, "[$-060000]yyyy-mm-dd")</f>
        <v/>
      </c>
      <c r="D3377" t="inlineStr">
        <is>
          <t>1327-03-08</t>
        </is>
      </c>
    </row>
    <row r="3378">
      <c r="A3378" s="1" t="n">
        <v>3377</v>
      </c>
      <c r="B3378">
        <f>TEXT(3377, "[$-170000]yyyy-mm-dd")</f>
        <v/>
      </c>
      <c r="C3378">
        <f>TEXT(3377, "[$-060000]yyyy-mm-dd")</f>
        <v/>
      </c>
      <c r="D3378" t="inlineStr">
        <is>
          <t>1327-03-09</t>
        </is>
      </c>
    </row>
    <row r="3379">
      <c r="A3379" s="1" t="n">
        <v>3378</v>
      </c>
      <c r="B3379">
        <f>TEXT(3378, "[$-170000]yyyy-mm-dd")</f>
        <v/>
      </c>
      <c r="C3379">
        <f>TEXT(3378, "[$-060000]yyyy-mm-dd")</f>
        <v/>
      </c>
      <c r="D3379" t="inlineStr">
        <is>
          <t>1327-03-10</t>
        </is>
      </c>
    </row>
    <row r="3380">
      <c r="A3380" s="1" t="n">
        <v>3379</v>
      </c>
      <c r="B3380">
        <f>TEXT(3379, "[$-170000]yyyy-mm-dd")</f>
        <v/>
      </c>
      <c r="C3380">
        <f>TEXT(3379, "[$-060000]yyyy-mm-dd")</f>
        <v/>
      </c>
      <c r="D3380" t="inlineStr">
        <is>
          <t>1327-03-11</t>
        </is>
      </c>
    </row>
    <row r="3381">
      <c r="A3381" s="1" t="n">
        <v>3380</v>
      </c>
      <c r="B3381">
        <f>TEXT(3380, "[$-170000]yyyy-mm-dd")</f>
        <v/>
      </c>
      <c r="C3381">
        <f>TEXT(3380, "[$-060000]yyyy-mm-dd")</f>
        <v/>
      </c>
      <c r="D3381" t="inlineStr">
        <is>
          <t>1327-03-12</t>
        </is>
      </c>
    </row>
    <row r="3382">
      <c r="A3382" s="1" t="n">
        <v>3381</v>
      </c>
      <c r="B3382">
        <f>TEXT(3381, "[$-170000]yyyy-mm-dd")</f>
        <v/>
      </c>
      <c r="C3382">
        <f>TEXT(3381, "[$-060000]yyyy-mm-dd")</f>
        <v/>
      </c>
      <c r="D3382" t="inlineStr">
        <is>
          <t>1327-03-13</t>
        </is>
      </c>
    </row>
    <row r="3383">
      <c r="A3383" s="1" t="n">
        <v>3382</v>
      </c>
      <c r="B3383">
        <f>TEXT(3382, "[$-170000]yyyy-mm-dd")</f>
        <v/>
      </c>
      <c r="C3383">
        <f>TEXT(3382, "[$-060000]yyyy-mm-dd")</f>
        <v/>
      </c>
      <c r="D3383" t="inlineStr">
        <is>
          <t>1327-03-14</t>
        </is>
      </c>
    </row>
    <row r="3384">
      <c r="A3384" s="1" t="n">
        <v>3383</v>
      </c>
      <c r="B3384">
        <f>TEXT(3383, "[$-170000]yyyy-mm-dd")</f>
        <v/>
      </c>
      <c r="C3384">
        <f>TEXT(3383, "[$-060000]yyyy-mm-dd")</f>
        <v/>
      </c>
      <c r="D3384" t="inlineStr">
        <is>
          <t>1327-03-15</t>
        </is>
      </c>
    </row>
    <row r="3385">
      <c r="A3385" s="1" t="n">
        <v>3384</v>
      </c>
      <c r="B3385">
        <f>TEXT(3384, "[$-170000]yyyy-mm-dd")</f>
        <v/>
      </c>
      <c r="C3385">
        <f>TEXT(3384, "[$-060000]yyyy-mm-dd")</f>
        <v/>
      </c>
      <c r="D3385" t="inlineStr">
        <is>
          <t>1327-03-16</t>
        </is>
      </c>
    </row>
    <row r="3386">
      <c r="A3386" s="1" t="n">
        <v>3385</v>
      </c>
      <c r="B3386">
        <f>TEXT(3385, "[$-170000]yyyy-mm-dd")</f>
        <v/>
      </c>
      <c r="C3386">
        <f>TEXT(3385, "[$-060000]yyyy-mm-dd")</f>
        <v/>
      </c>
      <c r="D3386" t="inlineStr">
        <is>
          <t>1327-03-17</t>
        </is>
      </c>
    </row>
    <row r="3387">
      <c r="A3387" s="1" t="n">
        <v>3386</v>
      </c>
      <c r="B3387">
        <f>TEXT(3386, "[$-170000]yyyy-mm-dd")</f>
        <v/>
      </c>
      <c r="C3387">
        <f>TEXT(3386, "[$-060000]yyyy-mm-dd")</f>
        <v/>
      </c>
      <c r="D3387" t="inlineStr">
        <is>
          <t>1327-03-18</t>
        </is>
      </c>
    </row>
    <row r="3388">
      <c r="A3388" s="1" t="n">
        <v>3387</v>
      </c>
      <c r="B3388">
        <f>TEXT(3387, "[$-170000]yyyy-mm-dd")</f>
        <v/>
      </c>
      <c r="C3388">
        <f>TEXT(3387, "[$-060000]yyyy-mm-dd")</f>
        <v/>
      </c>
      <c r="D3388" t="inlineStr">
        <is>
          <t>1327-03-19</t>
        </is>
      </c>
    </row>
    <row r="3389">
      <c r="A3389" s="1" t="n">
        <v>3388</v>
      </c>
      <c r="B3389">
        <f>TEXT(3388, "[$-170000]yyyy-mm-dd")</f>
        <v/>
      </c>
      <c r="C3389">
        <f>TEXT(3388, "[$-060000]yyyy-mm-dd")</f>
        <v/>
      </c>
      <c r="D3389" t="inlineStr">
        <is>
          <t>1327-03-20</t>
        </is>
      </c>
    </row>
    <row r="3390">
      <c r="A3390" s="1" t="n">
        <v>3389</v>
      </c>
      <c r="B3390">
        <f>TEXT(3389, "[$-170000]yyyy-mm-dd")</f>
        <v/>
      </c>
      <c r="C3390">
        <f>TEXT(3389, "[$-060000]yyyy-mm-dd")</f>
        <v/>
      </c>
      <c r="D3390" t="inlineStr">
        <is>
          <t>1327-03-21</t>
        </is>
      </c>
    </row>
    <row r="3391">
      <c r="A3391" s="1" t="n">
        <v>3390</v>
      </c>
      <c r="B3391">
        <f>TEXT(3390, "[$-170000]yyyy-mm-dd")</f>
        <v/>
      </c>
      <c r="C3391">
        <f>TEXT(3390, "[$-060000]yyyy-mm-dd")</f>
        <v/>
      </c>
      <c r="D3391" t="inlineStr">
        <is>
          <t>1327-03-22</t>
        </is>
      </c>
    </row>
    <row r="3392">
      <c r="A3392" s="1" t="n">
        <v>3391</v>
      </c>
      <c r="B3392">
        <f>TEXT(3391, "[$-170000]yyyy-mm-dd")</f>
        <v/>
      </c>
      <c r="C3392">
        <f>TEXT(3391, "[$-060000]yyyy-mm-dd")</f>
        <v/>
      </c>
      <c r="D3392" t="inlineStr">
        <is>
          <t>1327-03-23</t>
        </is>
      </c>
    </row>
    <row r="3393">
      <c r="A3393" s="1" t="n">
        <v>3392</v>
      </c>
      <c r="B3393">
        <f>TEXT(3392, "[$-170000]yyyy-mm-dd")</f>
        <v/>
      </c>
      <c r="C3393">
        <f>TEXT(3392, "[$-060000]yyyy-mm-dd")</f>
        <v/>
      </c>
      <c r="D3393" t="inlineStr">
        <is>
          <t>1327-03-24</t>
        </is>
      </c>
    </row>
    <row r="3394">
      <c r="A3394" s="1" t="n">
        <v>3393</v>
      </c>
      <c r="B3394">
        <f>TEXT(3393, "[$-170000]yyyy-mm-dd")</f>
        <v/>
      </c>
      <c r="C3394">
        <f>TEXT(3393, "[$-060000]yyyy-mm-dd")</f>
        <v/>
      </c>
      <c r="D3394" t="inlineStr">
        <is>
          <t>1327-03-25</t>
        </is>
      </c>
    </row>
    <row r="3395">
      <c r="A3395" s="1" t="n">
        <v>3394</v>
      </c>
      <c r="B3395">
        <f>TEXT(3394, "[$-170000]yyyy-mm-dd")</f>
        <v/>
      </c>
      <c r="C3395">
        <f>TEXT(3394, "[$-060000]yyyy-mm-dd")</f>
        <v/>
      </c>
      <c r="D3395" t="inlineStr">
        <is>
          <t>1327-03-26</t>
        </is>
      </c>
    </row>
    <row r="3396">
      <c r="A3396" s="1" t="n">
        <v>3395</v>
      </c>
      <c r="B3396">
        <f>TEXT(3395, "[$-170000]yyyy-mm-dd")</f>
        <v/>
      </c>
      <c r="C3396">
        <f>TEXT(3395, "[$-060000]yyyy-mm-dd")</f>
        <v/>
      </c>
      <c r="D3396" t="inlineStr">
        <is>
          <t>1327-03-27</t>
        </is>
      </c>
    </row>
    <row r="3397">
      <c r="A3397" s="1" t="n">
        <v>3396</v>
      </c>
      <c r="B3397">
        <f>TEXT(3396, "[$-170000]yyyy-mm-dd")</f>
        <v/>
      </c>
      <c r="C3397">
        <f>TEXT(3396, "[$-060000]yyyy-mm-dd")</f>
        <v/>
      </c>
      <c r="D3397" t="inlineStr">
        <is>
          <t>1327-03-28</t>
        </is>
      </c>
    </row>
    <row r="3398">
      <c r="A3398" s="1" t="n">
        <v>3397</v>
      </c>
      <c r="B3398">
        <f>TEXT(3397, "[$-170000]yyyy-mm-dd")</f>
        <v/>
      </c>
      <c r="C3398">
        <f>TEXT(3397, "[$-060000]yyyy-mm-dd")</f>
        <v/>
      </c>
      <c r="D3398" t="inlineStr">
        <is>
          <t>1327-03-29</t>
        </is>
      </c>
    </row>
    <row r="3399">
      <c r="A3399" s="1" t="n">
        <v>3398</v>
      </c>
      <c r="B3399">
        <f>TEXT(3398, "[$-170000]yyyy-mm-dd")</f>
        <v/>
      </c>
      <c r="C3399">
        <f>TEXT(3398, "[$-060000]yyyy-mm-dd")</f>
        <v/>
      </c>
      <c r="D3399" t="inlineStr">
        <is>
          <t>1327-03-30</t>
        </is>
      </c>
    </row>
    <row r="3400">
      <c r="A3400" s="1" t="n">
        <v>3399</v>
      </c>
      <c r="B3400">
        <f>TEXT(3399, "[$-170000]yyyy-mm-dd")</f>
        <v/>
      </c>
      <c r="C3400">
        <f>TEXT(3399, "[$-060000]yyyy-mm-dd")</f>
        <v/>
      </c>
      <c r="D3400" t="inlineStr">
        <is>
          <t>1327-04-01</t>
        </is>
      </c>
    </row>
    <row r="3401">
      <c r="A3401" s="1" t="n">
        <v>3400</v>
      </c>
      <c r="B3401">
        <f>TEXT(3400, "[$-170000]yyyy-mm-dd")</f>
        <v/>
      </c>
      <c r="C3401">
        <f>TEXT(3400, "[$-060000]yyyy-mm-dd")</f>
        <v/>
      </c>
      <c r="D3401" t="inlineStr">
        <is>
          <t>1327-04-02</t>
        </is>
      </c>
    </row>
    <row r="3402">
      <c r="A3402" s="1" t="n">
        <v>3401</v>
      </c>
      <c r="B3402">
        <f>TEXT(3401, "[$-170000]yyyy-mm-dd")</f>
        <v/>
      </c>
      <c r="C3402">
        <f>TEXT(3401, "[$-060000]yyyy-mm-dd")</f>
        <v/>
      </c>
      <c r="D3402" t="inlineStr">
        <is>
          <t>1327-04-03</t>
        </is>
      </c>
    </row>
    <row r="3403">
      <c r="A3403" s="1" t="n">
        <v>3402</v>
      </c>
      <c r="B3403">
        <f>TEXT(3402, "[$-170000]yyyy-mm-dd")</f>
        <v/>
      </c>
      <c r="C3403">
        <f>TEXT(3402, "[$-060000]yyyy-mm-dd")</f>
        <v/>
      </c>
      <c r="D3403" t="inlineStr">
        <is>
          <t>1327-04-04</t>
        </is>
      </c>
    </row>
    <row r="3404">
      <c r="A3404" s="1" t="n">
        <v>3403</v>
      </c>
      <c r="B3404">
        <f>TEXT(3403, "[$-170000]yyyy-mm-dd")</f>
        <v/>
      </c>
      <c r="C3404">
        <f>TEXT(3403, "[$-060000]yyyy-mm-dd")</f>
        <v/>
      </c>
      <c r="D3404" t="inlineStr">
        <is>
          <t>1327-04-05</t>
        </is>
      </c>
    </row>
    <row r="3405">
      <c r="A3405" s="1" t="n">
        <v>3404</v>
      </c>
      <c r="B3405">
        <f>TEXT(3404, "[$-170000]yyyy-mm-dd")</f>
        <v/>
      </c>
      <c r="C3405">
        <f>TEXT(3404, "[$-060000]yyyy-mm-dd")</f>
        <v/>
      </c>
      <c r="D3405" t="inlineStr">
        <is>
          <t>1327-04-06</t>
        </is>
      </c>
    </row>
    <row r="3406">
      <c r="A3406" s="1" t="n">
        <v>3405</v>
      </c>
      <c r="B3406">
        <f>TEXT(3405, "[$-170000]yyyy-mm-dd")</f>
        <v/>
      </c>
      <c r="C3406">
        <f>TEXT(3405, "[$-060000]yyyy-mm-dd")</f>
        <v/>
      </c>
      <c r="D3406" t="inlineStr">
        <is>
          <t>1327-04-07</t>
        </is>
      </c>
    </row>
    <row r="3407">
      <c r="A3407" s="1" t="n">
        <v>3406</v>
      </c>
      <c r="B3407">
        <f>TEXT(3406, "[$-170000]yyyy-mm-dd")</f>
        <v/>
      </c>
      <c r="C3407">
        <f>TEXT(3406, "[$-060000]yyyy-mm-dd")</f>
        <v/>
      </c>
      <c r="D3407" t="inlineStr">
        <is>
          <t>1327-04-08</t>
        </is>
      </c>
    </row>
    <row r="3408">
      <c r="A3408" s="1" t="n">
        <v>3407</v>
      </c>
      <c r="B3408">
        <f>TEXT(3407, "[$-170000]yyyy-mm-dd")</f>
        <v/>
      </c>
      <c r="C3408">
        <f>TEXT(3407, "[$-060000]yyyy-mm-dd")</f>
        <v/>
      </c>
      <c r="D3408" t="inlineStr">
        <is>
          <t>1327-04-09</t>
        </is>
      </c>
    </row>
    <row r="3409">
      <c r="A3409" s="1" t="n">
        <v>3408</v>
      </c>
      <c r="B3409">
        <f>TEXT(3408, "[$-170000]yyyy-mm-dd")</f>
        <v/>
      </c>
      <c r="C3409">
        <f>TEXT(3408, "[$-060000]yyyy-mm-dd")</f>
        <v/>
      </c>
      <c r="D3409" t="inlineStr">
        <is>
          <t>1327-04-10</t>
        </is>
      </c>
    </row>
    <row r="3410">
      <c r="A3410" s="1" t="n">
        <v>3409</v>
      </c>
      <c r="B3410">
        <f>TEXT(3409, "[$-170000]yyyy-mm-dd")</f>
        <v/>
      </c>
      <c r="C3410">
        <f>TEXT(3409, "[$-060000]yyyy-mm-dd")</f>
        <v/>
      </c>
      <c r="D3410" t="inlineStr">
        <is>
          <t>1327-04-11</t>
        </is>
      </c>
    </row>
    <row r="3411">
      <c r="A3411" s="1" t="n">
        <v>3410</v>
      </c>
      <c r="B3411">
        <f>TEXT(3410, "[$-170000]yyyy-mm-dd")</f>
        <v/>
      </c>
      <c r="C3411">
        <f>TEXT(3410, "[$-060000]yyyy-mm-dd")</f>
        <v/>
      </c>
      <c r="D3411" t="inlineStr">
        <is>
          <t>1327-04-12</t>
        </is>
      </c>
    </row>
    <row r="3412">
      <c r="A3412" s="1" t="n">
        <v>3411</v>
      </c>
      <c r="B3412">
        <f>TEXT(3411, "[$-170000]yyyy-mm-dd")</f>
        <v/>
      </c>
      <c r="C3412">
        <f>TEXT(3411, "[$-060000]yyyy-mm-dd")</f>
        <v/>
      </c>
      <c r="D3412" t="inlineStr">
        <is>
          <t>1327-04-13</t>
        </is>
      </c>
    </row>
    <row r="3413">
      <c r="A3413" s="1" t="n">
        <v>3412</v>
      </c>
      <c r="B3413">
        <f>TEXT(3412, "[$-170000]yyyy-mm-dd")</f>
        <v/>
      </c>
      <c r="C3413">
        <f>TEXT(3412, "[$-060000]yyyy-mm-dd")</f>
        <v/>
      </c>
      <c r="D3413" t="inlineStr">
        <is>
          <t>1327-04-14</t>
        </is>
      </c>
    </row>
    <row r="3414">
      <c r="A3414" s="1" t="n">
        <v>3413</v>
      </c>
      <c r="B3414">
        <f>TEXT(3413, "[$-170000]yyyy-mm-dd")</f>
        <v/>
      </c>
      <c r="C3414">
        <f>TEXT(3413, "[$-060000]yyyy-mm-dd")</f>
        <v/>
      </c>
      <c r="D3414" t="inlineStr">
        <is>
          <t>1327-04-15</t>
        </is>
      </c>
    </row>
    <row r="3415">
      <c r="A3415" s="1" t="n">
        <v>3414</v>
      </c>
      <c r="B3415">
        <f>TEXT(3414, "[$-170000]yyyy-mm-dd")</f>
        <v/>
      </c>
      <c r="C3415">
        <f>TEXT(3414, "[$-060000]yyyy-mm-dd")</f>
        <v/>
      </c>
      <c r="D3415" t="inlineStr">
        <is>
          <t>1327-04-16</t>
        </is>
      </c>
    </row>
    <row r="3416">
      <c r="A3416" s="1" t="n">
        <v>3415</v>
      </c>
      <c r="B3416">
        <f>TEXT(3415, "[$-170000]yyyy-mm-dd")</f>
        <v/>
      </c>
      <c r="C3416">
        <f>TEXT(3415, "[$-060000]yyyy-mm-dd")</f>
        <v/>
      </c>
      <c r="D3416" t="inlineStr">
        <is>
          <t>1327-04-17</t>
        </is>
      </c>
    </row>
    <row r="3417">
      <c r="A3417" s="1" t="n">
        <v>3416</v>
      </c>
      <c r="B3417">
        <f>TEXT(3416, "[$-170000]yyyy-mm-dd")</f>
        <v/>
      </c>
      <c r="C3417">
        <f>TEXT(3416, "[$-060000]yyyy-mm-dd")</f>
        <v/>
      </c>
      <c r="D3417" t="inlineStr">
        <is>
          <t>1327-04-18</t>
        </is>
      </c>
    </row>
    <row r="3418">
      <c r="A3418" s="1" t="n">
        <v>3417</v>
      </c>
      <c r="B3418">
        <f>TEXT(3417, "[$-170000]yyyy-mm-dd")</f>
        <v/>
      </c>
      <c r="C3418">
        <f>TEXT(3417, "[$-060000]yyyy-mm-dd")</f>
        <v/>
      </c>
      <c r="D3418" t="inlineStr">
        <is>
          <t>1327-04-19</t>
        </is>
      </c>
    </row>
    <row r="3419">
      <c r="A3419" s="1" t="n">
        <v>3418</v>
      </c>
      <c r="B3419">
        <f>TEXT(3418, "[$-170000]yyyy-mm-dd")</f>
        <v/>
      </c>
      <c r="C3419">
        <f>TEXT(3418, "[$-060000]yyyy-mm-dd")</f>
        <v/>
      </c>
      <c r="D3419" t="inlineStr">
        <is>
          <t>1327-04-20</t>
        </is>
      </c>
    </row>
    <row r="3420">
      <c r="A3420" s="1" t="n">
        <v>3419</v>
      </c>
      <c r="B3420">
        <f>TEXT(3419, "[$-170000]yyyy-mm-dd")</f>
        <v/>
      </c>
      <c r="C3420">
        <f>TEXT(3419, "[$-060000]yyyy-mm-dd")</f>
        <v/>
      </c>
      <c r="D3420" t="inlineStr">
        <is>
          <t>1327-04-21</t>
        </is>
      </c>
    </row>
    <row r="3421">
      <c r="A3421" s="1" t="n">
        <v>3420</v>
      </c>
      <c r="B3421">
        <f>TEXT(3420, "[$-170000]yyyy-mm-dd")</f>
        <v/>
      </c>
      <c r="C3421">
        <f>TEXT(3420, "[$-060000]yyyy-mm-dd")</f>
        <v/>
      </c>
      <c r="D3421" t="inlineStr">
        <is>
          <t>1327-04-22</t>
        </is>
      </c>
    </row>
    <row r="3422">
      <c r="A3422" s="1" t="n">
        <v>3421</v>
      </c>
      <c r="B3422">
        <f>TEXT(3421, "[$-170000]yyyy-mm-dd")</f>
        <v/>
      </c>
      <c r="C3422">
        <f>TEXT(3421, "[$-060000]yyyy-mm-dd")</f>
        <v/>
      </c>
      <c r="D3422" t="inlineStr">
        <is>
          <t>1327-04-23</t>
        </is>
      </c>
    </row>
    <row r="3423">
      <c r="A3423" s="1" t="n">
        <v>3422</v>
      </c>
      <c r="B3423">
        <f>TEXT(3422, "[$-170000]yyyy-mm-dd")</f>
        <v/>
      </c>
      <c r="C3423">
        <f>TEXT(3422, "[$-060000]yyyy-mm-dd")</f>
        <v/>
      </c>
      <c r="D3423" t="inlineStr">
        <is>
          <t>1327-04-24</t>
        </is>
      </c>
    </row>
    <row r="3424">
      <c r="A3424" s="1" t="n">
        <v>3423</v>
      </c>
      <c r="B3424">
        <f>TEXT(3423, "[$-170000]yyyy-mm-dd")</f>
        <v/>
      </c>
      <c r="C3424">
        <f>TEXT(3423, "[$-060000]yyyy-mm-dd")</f>
        <v/>
      </c>
      <c r="D3424" t="inlineStr">
        <is>
          <t>1327-04-25</t>
        </is>
      </c>
    </row>
    <row r="3425">
      <c r="A3425" s="1" t="n">
        <v>3424</v>
      </c>
      <c r="B3425">
        <f>TEXT(3424, "[$-170000]yyyy-mm-dd")</f>
        <v/>
      </c>
      <c r="C3425">
        <f>TEXT(3424, "[$-060000]yyyy-mm-dd")</f>
        <v/>
      </c>
      <c r="D3425" t="inlineStr">
        <is>
          <t>1327-04-26</t>
        </is>
      </c>
    </row>
    <row r="3426">
      <c r="A3426" s="1" t="n">
        <v>3425</v>
      </c>
      <c r="B3426">
        <f>TEXT(3425, "[$-170000]yyyy-mm-dd")</f>
        <v/>
      </c>
      <c r="C3426">
        <f>TEXT(3425, "[$-060000]yyyy-mm-dd")</f>
        <v/>
      </c>
      <c r="D3426" t="inlineStr">
        <is>
          <t>1327-04-27</t>
        </is>
      </c>
    </row>
    <row r="3427">
      <c r="A3427" s="1" t="n">
        <v>3426</v>
      </c>
      <c r="B3427">
        <f>TEXT(3426, "[$-170000]yyyy-mm-dd")</f>
        <v/>
      </c>
      <c r="C3427">
        <f>TEXT(3426, "[$-060000]yyyy-mm-dd")</f>
        <v/>
      </c>
      <c r="D3427" t="inlineStr">
        <is>
          <t>1327-04-28</t>
        </is>
      </c>
    </row>
    <row r="3428">
      <c r="A3428" s="1" t="n">
        <v>3427</v>
      </c>
      <c r="B3428">
        <f>TEXT(3427, "[$-170000]yyyy-mm-dd")</f>
        <v/>
      </c>
      <c r="C3428">
        <f>TEXT(3427, "[$-060000]yyyy-mm-dd")</f>
        <v/>
      </c>
      <c r="D3428" t="inlineStr">
        <is>
          <t>1327-04-29</t>
        </is>
      </c>
    </row>
    <row r="3429">
      <c r="A3429" s="1" t="n">
        <v>3428</v>
      </c>
      <c r="B3429">
        <f>TEXT(3428, "[$-170000]yyyy-mm-dd")</f>
        <v/>
      </c>
      <c r="C3429">
        <f>TEXT(3428, "[$-060000]yyyy-mm-dd")</f>
        <v/>
      </c>
      <c r="D3429" t="inlineStr">
        <is>
          <t>1327-05-01</t>
        </is>
      </c>
    </row>
    <row r="3430">
      <c r="A3430" s="1" t="n">
        <v>3429</v>
      </c>
      <c r="B3430">
        <f>TEXT(3429, "[$-170000]yyyy-mm-dd")</f>
        <v/>
      </c>
      <c r="C3430">
        <f>TEXT(3429, "[$-060000]yyyy-mm-dd")</f>
        <v/>
      </c>
      <c r="D3430" t="inlineStr">
        <is>
          <t>1327-05-02</t>
        </is>
      </c>
    </row>
    <row r="3431">
      <c r="A3431" s="1" t="n">
        <v>3430</v>
      </c>
      <c r="B3431">
        <f>TEXT(3430, "[$-170000]yyyy-mm-dd")</f>
        <v/>
      </c>
      <c r="C3431">
        <f>TEXT(3430, "[$-060000]yyyy-mm-dd")</f>
        <v/>
      </c>
      <c r="D3431" t="inlineStr">
        <is>
          <t>1327-05-03</t>
        </is>
      </c>
    </row>
    <row r="3432">
      <c r="A3432" s="1" t="n">
        <v>3431</v>
      </c>
      <c r="B3432">
        <f>TEXT(3431, "[$-170000]yyyy-mm-dd")</f>
        <v/>
      </c>
      <c r="C3432">
        <f>TEXT(3431, "[$-060000]yyyy-mm-dd")</f>
        <v/>
      </c>
      <c r="D3432" t="inlineStr">
        <is>
          <t>1327-05-04</t>
        </is>
      </c>
    </row>
    <row r="3433">
      <c r="A3433" s="1" t="n">
        <v>3432</v>
      </c>
      <c r="B3433">
        <f>TEXT(3432, "[$-170000]yyyy-mm-dd")</f>
        <v/>
      </c>
      <c r="C3433">
        <f>TEXT(3432, "[$-060000]yyyy-mm-dd")</f>
        <v/>
      </c>
      <c r="D3433" t="inlineStr">
        <is>
          <t>1327-05-05</t>
        </is>
      </c>
    </row>
    <row r="3434">
      <c r="A3434" s="1" t="n">
        <v>3433</v>
      </c>
      <c r="B3434">
        <f>TEXT(3433, "[$-170000]yyyy-mm-dd")</f>
        <v/>
      </c>
      <c r="C3434">
        <f>TEXT(3433, "[$-060000]yyyy-mm-dd")</f>
        <v/>
      </c>
      <c r="D3434" t="inlineStr">
        <is>
          <t>1327-05-06</t>
        </is>
      </c>
    </row>
    <row r="3435">
      <c r="A3435" s="1" t="n">
        <v>3434</v>
      </c>
      <c r="B3435">
        <f>TEXT(3434, "[$-170000]yyyy-mm-dd")</f>
        <v/>
      </c>
      <c r="C3435">
        <f>TEXT(3434, "[$-060000]yyyy-mm-dd")</f>
        <v/>
      </c>
      <c r="D3435" t="inlineStr">
        <is>
          <t>1327-05-07</t>
        </is>
      </c>
    </row>
    <row r="3436">
      <c r="A3436" s="1" t="n">
        <v>3435</v>
      </c>
      <c r="B3436">
        <f>TEXT(3435, "[$-170000]yyyy-mm-dd")</f>
        <v/>
      </c>
      <c r="C3436">
        <f>TEXT(3435, "[$-060000]yyyy-mm-dd")</f>
        <v/>
      </c>
      <c r="D3436" t="inlineStr">
        <is>
          <t>1327-05-08</t>
        </is>
      </c>
    </row>
    <row r="3437">
      <c r="A3437" s="1" t="n">
        <v>3436</v>
      </c>
      <c r="B3437">
        <f>TEXT(3436, "[$-170000]yyyy-mm-dd")</f>
        <v/>
      </c>
      <c r="C3437">
        <f>TEXT(3436, "[$-060000]yyyy-mm-dd")</f>
        <v/>
      </c>
      <c r="D3437" t="inlineStr">
        <is>
          <t>1327-05-09</t>
        </is>
      </c>
    </row>
    <row r="3438">
      <c r="A3438" s="1" t="n">
        <v>3437</v>
      </c>
      <c r="B3438">
        <f>TEXT(3437, "[$-170000]yyyy-mm-dd")</f>
        <v/>
      </c>
      <c r="C3438">
        <f>TEXT(3437, "[$-060000]yyyy-mm-dd")</f>
        <v/>
      </c>
      <c r="D3438" t="inlineStr">
        <is>
          <t>1327-05-10</t>
        </is>
      </c>
    </row>
    <row r="3439">
      <c r="A3439" s="1" t="n">
        <v>3438</v>
      </c>
      <c r="B3439">
        <f>TEXT(3438, "[$-170000]yyyy-mm-dd")</f>
        <v/>
      </c>
      <c r="C3439">
        <f>TEXT(3438, "[$-060000]yyyy-mm-dd")</f>
        <v/>
      </c>
      <c r="D3439" t="inlineStr">
        <is>
          <t>1327-05-11</t>
        </is>
      </c>
    </row>
    <row r="3440">
      <c r="A3440" s="1" t="n">
        <v>3439</v>
      </c>
      <c r="B3440">
        <f>TEXT(3439, "[$-170000]yyyy-mm-dd")</f>
        <v/>
      </c>
      <c r="C3440">
        <f>TEXT(3439, "[$-060000]yyyy-mm-dd")</f>
        <v/>
      </c>
      <c r="D3440" t="inlineStr">
        <is>
          <t>1327-05-12</t>
        </is>
      </c>
    </row>
    <row r="3441">
      <c r="A3441" s="1" t="n">
        <v>3440</v>
      </c>
      <c r="B3441">
        <f>TEXT(3440, "[$-170000]yyyy-mm-dd")</f>
        <v/>
      </c>
      <c r="C3441">
        <f>TEXT(3440, "[$-060000]yyyy-mm-dd")</f>
        <v/>
      </c>
      <c r="D3441" t="inlineStr">
        <is>
          <t>1327-05-13</t>
        </is>
      </c>
    </row>
    <row r="3442">
      <c r="A3442" s="1" t="n">
        <v>3441</v>
      </c>
      <c r="B3442">
        <f>TEXT(3441, "[$-170000]yyyy-mm-dd")</f>
        <v/>
      </c>
      <c r="C3442">
        <f>TEXT(3441, "[$-060000]yyyy-mm-dd")</f>
        <v/>
      </c>
      <c r="D3442" t="inlineStr">
        <is>
          <t>1327-05-14</t>
        </is>
      </c>
    </row>
    <row r="3443">
      <c r="A3443" s="1" t="n">
        <v>3442</v>
      </c>
      <c r="B3443">
        <f>TEXT(3442, "[$-170000]yyyy-mm-dd")</f>
        <v/>
      </c>
      <c r="C3443">
        <f>TEXT(3442, "[$-060000]yyyy-mm-dd")</f>
        <v/>
      </c>
      <c r="D3443" t="inlineStr">
        <is>
          <t>1327-05-15</t>
        </is>
      </c>
    </row>
    <row r="3444">
      <c r="A3444" s="1" t="n">
        <v>3443</v>
      </c>
      <c r="B3444">
        <f>TEXT(3443, "[$-170000]yyyy-mm-dd")</f>
        <v/>
      </c>
      <c r="C3444">
        <f>TEXT(3443, "[$-060000]yyyy-mm-dd")</f>
        <v/>
      </c>
      <c r="D3444" t="inlineStr">
        <is>
          <t>1327-05-16</t>
        </is>
      </c>
    </row>
    <row r="3445">
      <c r="A3445" s="1" t="n">
        <v>3444</v>
      </c>
      <c r="B3445">
        <f>TEXT(3444, "[$-170000]yyyy-mm-dd")</f>
        <v/>
      </c>
      <c r="C3445">
        <f>TEXT(3444, "[$-060000]yyyy-mm-dd")</f>
        <v/>
      </c>
      <c r="D3445" t="inlineStr">
        <is>
          <t>1327-05-17</t>
        </is>
      </c>
    </row>
    <row r="3446">
      <c r="A3446" s="1" t="n">
        <v>3445</v>
      </c>
      <c r="B3446">
        <f>TEXT(3445, "[$-170000]yyyy-mm-dd")</f>
        <v/>
      </c>
      <c r="C3446">
        <f>TEXT(3445, "[$-060000]yyyy-mm-dd")</f>
        <v/>
      </c>
      <c r="D3446" t="inlineStr">
        <is>
          <t>1327-05-18</t>
        </is>
      </c>
    </row>
    <row r="3447">
      <c r="A3447" s="1" t="n">
        <v>3446</v>
      </c>
      <c r="B3447">
        <f>TEXT(3446, "[$-170000]yyyy-mm-dd")</f>
        <v/>
      </c>
      <c r="C3447">
        <f>TEXT(3446, "[$-060000]yyyy-mm-dd")</f>
        <v/>
      </c>
      <c r="D3447" t="inlineStr">
        <is>
          <t>1327-05-19</t>
        </is>
      </c>
    </row>
    <row r="3448">
      <c r="A3448" s="1" t="n">
        <v>3447</v>
      </c>
      <c r="B3448">
        <f>TEXT(3447, "[$-170000]yyyy-mm-dd")</f>
        <v/>
      </c>
      <c r="C3448">
        <f>TEXT(3447, "[$-060000]yyyy-mm-dd")</f>
        <v/>
      </c>
      <c r="D3448" t="inlineStr">
        <is>
          <t>1327-05-20</t>
        </is>
      </c>
    </row>
    <row r="3449">
      <c r="A3449" s="1" t="n">
        <v>3448</v>
      </c>
      <c r="B3449">
        <f>TEXT(3448, "[$-170000]yyyy-mm-dd")</f>
        <v/>
      </c>
      <c r="C3449">
        <f>TEXT(3448, "[$-060000]yyyy-mm-dd")</f>
        <v/>
      </c>
      <c r="D3449" t="inlineStr">
        <is>
          <t>1327-05-21</t>
        </is>
      </c>
    </row>
    <row r="3450">
      <c r="A3450" s="1" t="n">
        <v>3449</v>
      </c>
      <c r="B3450">
        <f>TEXT(3449, "[$-170000]yyyy-mm-dd")</f>
        <v/>
      </c>
      <c r="C3450">
        <f>TEXT(3449, "[$-060000]yyyy-mm-dd")</f>
        <v/>
      </c>
      <c r="D3450" t="inlineStr">
        <is>
          <t>1327-05-22</t>
        </is>
      </c>
    </row>
    <row r="3451">
      <c r="A3451" s="1" t="n">
        <v>3450</v>
      </c>
      <c r="B3451">
        <f>TEXT(3450, "[$-170000]yyyy-mm-dd")</f>
        <v/>
      </c>
      <c r="C3451">
        <f>TEXT(3450, "[$-060000]yyyy-mm-dd")</f>
        <v/>
      </c>
      <c r="D3451" t="inlineStr">
        <is>
          <t>1327-05-23</t>
        </is>
      </c>
    </row>
    <row r="3452">
      <c r="A3452" s="1" t="n">
        <v>3451</v>
      </c>
      <c r="B3452">
        <f>TEXT(3451, "[$-170000]yyyy-mm-dd")</f>
        <v/>
      </c>
      <c r="C3452">
        <f>TEXT(3451, "[$-060000]yyyy-mm-dd")</f>
        <v/>
      </c>
      <c r="D3452" t="inlineStr">
        <is>
          <t>1327-05-24</t>
        </is>
      </c>
    </row>
    <row r="3453">
      <c r="A3453" s="1" t="n">
        <v>3452</v>
      </c>
      <c r="B3453">
        <f>TEXT(3452, "[$-170000]yyyy-mm-dd")</f>
        <v/>
      </c>
      <c r="C3453">
        <f>TEXT(3452, "[$-060000]yyyy-mm-dd")</f>
        <v/>
      </c>
      <c r="D3453" t="inlineStr">
        <is>
          <t>1327-05-25</t>
        </is>
      </c>
    </row>
    <row r="3454">
      <c r="A3454" s="1" t="n">
        <v>3453</v>
      </c>
      <c r="B3454">
        <f>TEXT(3453, "[$-170000]yyyy-mm-dd")</f>
        <v/>
      </c>
      <c r="C3454">
        <f>TEXT(3453, "[$-060000]yyyy-mm-dd")</f>
        <v/>
      </c>
      <c r="D3454" t="inlineStr">
        <is>
          <t>1327-05-26</t>
        </is>
      </c>
    </row>
    <row r="3455">
      <c r="A3455" s="1" t="n">
        <v>3454</v>
      </c>
      <c r="B3455">
        <f>TEXT(3454, "[$-170000]yyyy-mm-dd")</f>
        <v/>
      </c>
      <c r="C3455">
        <f>TEXT(3454, "[$-060000]yyyy-mm-dd")</f>
        <v/>
      </c>
      <c r="D3455" t="inlineStr">
        <is>
          <t>1327-05-27</t>
        </is>
      </c>
    </row>
    <row r="3456">
      <c r="A3456" s="1" t="n">
        <v>3455</v>
      </c>
      <c r="B3456">
        <f>TEXT(3455, "[$-170000]yyyy-mm-dd")</f>
        <v/>
      </c>
      <c r="C3456">
        <f>TEXT(3455, "[$-060000]yyyy-mm-dd")</f>
        <v/>
      </c>
      <c r="D3456" t="inlineStr">
        <is>
          <t>1327-05-28</t>
        </is>
      </c>
    </row>
    <row r="3457">
      <c r="A3457" s="1" t="n">
        <v>3456</v>
      </c>
      <c r="B3457">
        <f>TEXT(3456, "[$-170000]yyyy-mm-dd")</f>
        <v/>
      </c>
      <c r="C3457">
        <f>TEXT(3456, "[$-060000]yyyy-mm-dd")</f>
        <v/>
      </c>
      <c r="D3457" t="inlineStr">
        <is>
          <t>1327-05-29</t>
        </is>
      </c>
    </row>
    <row r="3458">
      <c r="A3458" s="1" t="n">
        <v>3457</v>
      </c>
      <c r="B3458">
        <f>TEXT(3457, "[$-170000]yyyy-mm-dd")</f>
        <v/>
      </c>
      <c r="C3458">
        <f>TEXT(3457, "[$-060000]yyyy-mm-dd")</f>
        <v/>
      </c>
      <c r="D3458" t="inlineStr">
        <is>
          <t>1327-05-30</t>
        </is>
      </c>
    </row>
    <row r="3459">
      <c r="A3459" s="1" t="n">
        <v>3458</v>
      </c>
      <c r="B3459">
        <f>TEXT(3458, "[$-170000]yyyy-mm-dd")</f>
        <v/>
      </c>
      <c r="C3459">
        <f>TEXT(3458, "[$-060000]yyyy-mm-dd")</f>
        <v/>
      </c>
      <c r="D3459" t="inlineStr">
        <is>
          <t>1327-06-01</t>
        </is>
      </c>
    </row>
    <row r="3460">
      <c r="A3460" s="1" t="n">
        <v>3459</v>
      </c>
      <c r="B3460">
        <f>TEXT(3459, "[$-170000]yyyy-mm-dd")</f>
        <v/>
      </c>
      <c r="C3460">
        <f>TEXT(3459, "[$-060000]yyyy-mm-dd")</f>
        <v/>
      </c>
      <c r="D3460" t="inlineStr">
        <is>
          <t>1327-06-02</t>
        </is>
      </c>
    </row>
    <row r="3461">
      <c r="A3461" s="1" t="n">
        <v>3460</v>
      </c>
      <c r="B3461">
        <f>TEXT(3460, "[$-170000]yyyy-mm-dd")</f>
        <v/>
      </c>
      <c r="C3461">
        <f>TEXT(3460, "[$-060000]yyyy-mm-dd")</f>
        <v/>
      </c>
      <c r="D3461" t="inlineStr">
        <is>
          <t>1327-06-03</t>
        </is>
      </c>
    </row>
    <row r="3462">
      <c r="A3462" s="1" t="n">
        <v>3461</v>
      </c>
      <c r="B3462">
        <f>TEXT(3461, "[$-170000]yyyy-mm-dd")</f>
        <v/>
      </c>
      <c r="C3462">
        <f>TEXT(3461, "[$-060000]yyyy-mm-dd")</f>
        <v/>
      </c>
      <c r="D3462" t="inlineStr">
        <is>
          <t>1327-06-04</t>
        </is>
      </c>
    </row>
    <row r="3463">
      <c r="A3463" s="1" t="n">
        <v>3462</v>
      </c>
      <c r="B3463">
        <f>TEXT(3462, "[$-170000]yyyy-mm-dd")</f>
        <v/>
      </c>
      <c r="C3463">
        <f>TEXT(3462, "[$-060000]yyyy-mm-dd")</f>
        <v/>
      </c>
      <c r="D3463" t="inlineStr">
        <is>
          <t>1327-06-05</t>
        </is>
      </c>
    </row>
    <row r="3464">
      <c r="A3464" s="1" t="n">
        <v>3463</v>
      </c>
      <c r="B3464">
        <f>TEXT(3463, "[$-170000]yyyy-mm-dd")</f>
        <v/>
      </c>
      <c r="C3464">
        <f>TEXT(3463, "[$-060000]yyyy-mm-dd")</f>
        <v/>
      </c>
      <c r="D3464" t="inlineStr">
        <is>
          <t>1327-06-06</t>
        </is>
      </c>
    </row>
    <row r="3465">
      <c r="A3465" s="1" t="n">
        <v>3464</v>
      </c>
      <c r="B3465">
        <f>TEXT(3464, "[$-170000]yyyy-mm-dd")</f>
        <v/>
      </c>
      <c r="C3465">
        <f>TEXT(3464, "[$-060000]yyyy-mm-dd")</f>
        <v/>
      </c>
      <c r="D3465" t="inlineStr">
        <is>
          <t>1327-06-07</t>
        </is>
      </c>
    </row>
    <row r="3466">
      <c r="A3466" s="1" t="n">
        <v>3465</v>
      </c>
      <c r="B3466">
        <f>TEXT(3465, "[$-170000]yyyy-mm-dd")</f>
        <v/>
      </c>
      <c r="C3466">
        <f>TEXT(3465, "[$-060000]yyyy-mm-dd")</f>
        <v/>
      </c>
      <c r="D3466" t="inlineStr">
        <is>
          <t>1327-06-08</t>
        </is>
      </c>
    </row>
    <row r="3467">
      <c r="A3467" s="1" t="n">
        <v>3466</v>
      </c>
      <c r="B3467">
        <f>TEXT(3466, "[$-170000]yyyy-mm-dd")</f>
        <v/>
      </c>
      <c r="C3467">
        <f>TEXT(3466, "[$-060000]yyyy-mm-dd")</f>
        <v/>
      </c>
      <c r="D3467" t="inlineStr">
        <is>
          <t>1327-06-09</t>
        </is>
      </c>
    </row>
    <row r="3468">
      <c r="A3468" s="1" t="n">
        <v>3467</v>
      </c>
      <c r="B3468">
        <f>TEXT(3467, "[$-170000]yyyy-mm-dd")</f>
        <v/>
      </c>
      <c r="C3468">
        <f>TEXT(3467, "[$-060000]yyyy-mm-dd")</f>
        <v/>
      </c>
      <c r="D3468" t="inlineStr">
        <is>
          <t>1327-06-10</t>
        </is>
      </c>
    </row>
    <row r="3469">
      <c r="A3469" s="1" t="n">
        <v>3468</v>
      </c>
      <c r="B3469">
        <f>TEXT(3468, "[$-170000]yyyy-mm-dd")</f>
        <v/>
      </c>
      <c r="C3469">
        <f>TEXT(3468, "[$-060000]yyyy-mm-dd")</f>
        <v/>
      </c>
      <c r="D3469" t="inlineStr">
        <is>
          <t>1327-06-11</t>
        </is>
      </c>
    </row>
    <row r="3470">
      <c r="A3470" s="1" t="n">
        <v>3469</v>
      </c>
      <c r="B3470">
        <f>TEXT(3469, "[$-170000]yyyy-mm-dd")</f>
        <v/>
      </c>
      <c r="C3470">
        <f>TEXT(3469, "[$-060000]yyyy-mm-dd")</f>
        <v/>
      </c>
      <c r="D3470" t="inlineStr">
        <is>
          <t>1327-06-12</t>
        </is>
      </c>
    </row>
    <row r="3471">
      <c r="A3471" s="1" t="n">
        <v>3470</v>
      </c>
      <c r="B3471">
        <f>TEXT(3470, "[$-170000]yyyy-mm-dd")</f>
        <v/>
      </c>
      <c r="C3471">
        <f>TEXT(3470, "[$-060000]yyyy-mm-dd")</f>
        <v/>
      </c>
      <c r="D3471" t="inlineStr">
        <is>
          <t>1327-06-13</t>
        </is>
      </c>
    </row>
    <row r="3472">
      <c r="A3472" s="1" t="n">
        <v>3471</v>
      </c>
      <c r="B3472">
        <f>TEXT(3471, "[$-170000]yyyy-mm-dd")</f>
        <v/>
      </c>
      <c r="C3472">
        <f>TEXT(3471, "[$-060000]yyyy-mm-dd")</f>
        <v/>
      </c>
      <c r="D3472" t="inlineStr">
        <is>
          <t>1327-06-14</t>
        </is>
      </c>
    </row>
    <row r="3473">
      <c r="A3473" s="1" t="n">
        <v>3472</v>
      </c>
      <c r="B3473">
        <f>TEXT(3472, "[$-170000]yyyy-mm-dd")</f>
        <v/>
      </c>
      <c r="C3473">
        <f>TEXT(3472, "[$-060000]yyyy-mm-dd")</f>
        <v/>
      </c>
      <c r="D3473" t="inlineStr">
        <is>
          <t>1327-06-15</t>
        </is>
      </c>
    </row>
    <row r="3474">
      <c r="A3474" s="1" t="n">
        <v>3473</v>
      </c>
      <c r="B3474">
        <f>TEXT(3473, "[$-170000]yyyy-mm-dd")</f>
        <v/>
      </c>
      <c r="C3474">
        <f>TEXT(3473, "[$-060000]yyyy-mm-dd")</f>
        <v/>
      </c>
      <c r="D3474" t="inlineStr">
        <is>
          <t>1327-06-16</t>
        </is>
      </c>
    </row>
    <row r="3475">
      <c r="A3475" s="1" t="n">
        <v>3474</v>
      </c>
      <c r="B3475">
        <f>TEXT(3474, "[$-170000]yyyy-mm-dd")</f>
        <v/>
      </c>
      <c r="C3475">
        <f>TEXT(3474, "[$-060000]yyyy-mm-dd")</f>
        <v/>
      </c>
      <c r="D3475" t="inlineStr">
        <is>
          <t>1327-06-17</t>
        </is>
      </c>
    </row>
    <row r="3476">
      <c r="A3476" s="1" t="n">
        <v>3475</v>
      </c>
      <c r="B3476">
        <f>TEXT(3475, "[$-170000]yyyy-mm-dd")</f>
        <v/>
      </c>
      <c r="C3476">
        <f>TEXT(3475, "[$-060000]yyyy-mm-dd")</f>
        <v/>
      </c>
      <c r="D3476" t="inlineStr">
        <is>
          <t>1327-06-18</t>
        </is>
      </c>
    </row>
    <row r="3477">
      <c r="A3477" s="1" t="n">
        <v>3476</v>
      </c>
      <c r="B3477">
        <f>TEXT(3476, "[$-170000]yyyy-mm-dd")</f>
        <v/>
      </c>
      <c r="C3477">
        <f>TEXT(3476, "[$-060000]yyyy-mm-dd")</f>
        <v/>
      </c>
      <c r="D3477" t="inlineStr">
        <is>
          <t>1327-06-19</t>
        </is>
      </c>
    </row>
    <row r="3478">
      <c r="A3478" s="1" t="n">
        <v>3477</v>
      </c>
      <c r="B3478">
        <f>TEXT(3477, "[$-170000]yyyy-mm-dd")</f>
        <v/>
      </c>
      <c r="C3478">
        <f>TEXT(3477, "[$-060000]yyyy-mm-dd")</f>
        <v/>
      </c>
      <c r="D3478" t="inlineStr">
        <is>
          <t>1327-06-20</t>
        </is>
      </c>
    </row>
    <row r="3479">
      <c r="A3479" s="1" t="n">
        <v>3478</v>
      </c>
      <c r="B3479">
        <f>TEXT(3478, "[$-170000]yyyy-mm-dd")</f>
        <v/>
      </c>
      <c r="C3479">
        <f>TEXT(3478, "[$-060000]yyyy-mm-dd")</f>
        <v/>
      </c>
      <c r="D3479" t="inlineStr">
        <is>
          <t>1327-06-21</t>
        </is>
      </c>
    </row>
    <row r="3480">
      <c r="A3480" s="1" t="n">
        <v>3479</v>
      </c>
      <c r="B3480">
        <f>TEXT(3479, "[$-170000]yyyy-mm-dd")</f>
        <v/>
      </c>
      <c r="C3480">
        <f>TEXT(3479, "[$-060000]yyyy-mm-dd")</f>
        <v/>
      </c>
      <c r="D3480" t="inlineStr">
        <is>
          <t>1327-06-22</t>
        </is>
      </c>
    </row>
    <row r="3481">
      <c r="A3481" s="1" t="n">
        <v>3480</v>
      </c>
      <c r="B3481">
        <f>TEXT(3480, "[$-170000]yyyy-mm-dd")</f>
        <v/>
      </c>
      <c r="C3481">
        <f>TEXT(3480, "[$-060000]yyyy-mm-dd")</f>
        <v/>
      </c>
      <c r="D3481" t="inlineStr">
        <is>
          <t>1327-06-23</t>
        </is>
      </c>
    </row>
    <row r="3482">
      <c r="A3482" s="1" t="n">
        <v>3481</v>
      </c>
      <c r="B3482">
        <f>TEXT(3481, "[$-170000]yyyy-mm-dd")</f>
        <v/>
      </c>
      <c r="C3482">
        <f>TEXT(3481, "[$-060000]yyyy-mm-dd")</f>
        <v/>
      </c>
      <c r="D3482" t="inlineStr">
        <is>
          <t>1327-06-24</t>
        </is>
      </c>
    </row>
    <row r="3483">
      <c r="A3483" s="1" t="n">
        <v>3482</v>
      </c>
      <c r="B3483">
        <f>TEXT(3482, "[$-170000]yyyy-mm-dd")</f>
        <v/>
      </c>
      <c r="C3483">
        <f>TEXT(3482, "[$-060000]yyyy-mm-dd")</f>
        <v/>
      </c>
      <c r="D3483" t="inlineStr">
        <is>
          <t>1327-06-25</t>
        </is>
      </c>
    </row>
    <row r="3484">
      <c r="A3484" s="1" t="n">
        <v>3483</v>
      </c>
      <c r="B3484">
        <f>TEXT(3483, "[$-170000]yyyy-mm-dd")</f>
        <v/>
      </c>
      <c r="C3484">
        <f>TEXT(3483, "[$-060000]yyyy-mm-dd")</f>
        <v/>
      </c>
      <c r="D3484" t="inlineStr">
        <is>
          <t>1327-06-26</t>
        </is>
      </c>
    </row>
    <row r="3485">
      <c r="A3485" s="1" t="n">
        <v>3484</v>
      </c>
      <c r="B3485">
        <f>TEXT(3484, "[$-170000]yyyy-mm-dd")</f>
        <v/>
      </c>
      <c r="C3485">
        <f>TEXT(3484, "[$-060000]yyyy-mm-dd")</f>
        <v/>
      </c>
      <c r="D3485" t="inlineStr">
        <is>
          <t>1327-06-27</t>
        </is>
      </c>
    </row>
    <row r="3486">
      <c r="A3486" s="1" t="n">
        <v>3485</v>
      </c>
      <c r="B3486">
        <f>TEXT(3485, "[$-170000]yyyy-mm-dd")</f>
        <v/>
      </c>
      <c r="C3486">
        <f>TEXT(3485, "[$-060000]yyyy-mm-dd")</f>
        <v/>
      </c>
      <c r="D3486" t="inlineStr">
        <is>
          <t>1327-06-28</t>
        </is>
      </c>
    </row>
    <row r="3487">
      <c r="A3487" s="1" t="n">
        <v>3486</v>
      </c>
      <c r="B3487">
        <f>TEXT(3486, "[$-170000]yyyy-mm-dd")</f>
        <v/>
      </c>
      <c r="C3487">
        <f>TEXT(3486, "[$-060000]yyyy-mm-dd")</f>
        <v/>
      </c>
      <c r="D3487" t="inlineStr">
        <is>
          <t>1327-06-29</t>
        </is>
      </c>
    </row>
    <row r="3488">
      <c r="A3488" s="1" t="n">
        <v>3487</v>
      </c>
      <c r="B3488">
        <f>TEXT(3487, "[$-170000]yyyy-mm-dd")</f>
        <v/>
      </c>
      <c r="C3488">
        <f>TEXT(3487, "[$-060000]yyyy-mm-dd")</f>
        <v/>
      </c>
      <c r="D3488" t="inlineStr">
        <is>
          <t>1327-07-01</t>
        </is>
      </c>
    </row>
    <row r="3489">
      <c r="A3489" s="1" t="n">
        <v>3488</v>
      </c>
      <c r="B3489">
        <f>TEXT(3488, "[$-170000]yyyy-mm-dd")</f>
        <v/>
      </c>
      <c r="C3489">
        <f>TEXT(3488, "[$-060000]yyyy-mm-dd")</f>
        <v/>
      </c>
      <c r="D3489" t="inlineStr">
        <is>
          <t>1327-07-02</t>
        </is>
      </c>
    </row>
    <row r="3490">
      <c r="A3490" s="1" t="n">
        <v>3489</v>
      </c>
      <c r="B3490">
        <f>TEXT(3489, "[$-170000]yyyy-mm-dd")</f>
        <v/>
      </c>
      <c r="C3490">
        <f>TEXT(3489, "[$-060000]yyyy-mm-dd")</f>
        <v/>
      </c>
      <c r="D3490" t="inlineStr">
        <is>
          <t>1327-07-03</t>
        </is>
      </c>
    </row>
    <row r="3491">
      <c r="A3491" s="1" t="n">
        <v>3490</v>
      </c>
      <c r="B3491">
        <f>TEXT(3490, "[$-170000]yyyy-mm-dd")</f>
        <v/>
      </c>
      <c r="C3491">
        <f>TEXT(3490, "[$-060000]yyyy-mm-dd")</f>
        <v/>
      </c>
      <c r="D3491" t="inlineStr">
        <is>
          <t>1327-07-04</t>
        </is>
      </c>
    </row>
    <row r="3492">
      <c r="A3492" s="1" t="n">
        <v>3491</v>
      </c>
      <c r="B3492">
        <f>TEXT(3491, "[$-170000]yyyy-mm-dd")</f>
        <v/>
      </c>
      <c r="C3492">
        <f>TEXT(3491, "[$-060000]yyyy-mm-dd")</f>
        <v/>
      </c>
      <c r="D3492" t="inlineStr">
        <is>
          <t>1327-07-05</t>
        </is>
      </c>
    </row>
    <row r="3493">
      <c r="A3493" s="1" t="n">
        <v>3492</v>
      </c>
      <c r="B3493">
        <f>TEXT(3492, "[$-170000]yyyy-mm-dd")</f>
        <v/>
      </c>
      <c r="C3493">
        <f>TEXT(3492, "[$-060000]yyyy-mm-dd")</f>
        <v/>
      </c>
      <c r="D3493" t="inlineStr">
        <is>
          <t>1327-07-06</t>
        </is>
      </c>
    </row>
    <row r="3494">
      <c r="A3494" s="1" t="n">
        <v>3493</v>
      </c>
      <c r="B3494">
        <f>TEXT(3493, "[$-170000]yyyy-mm-dd")</f>
        <v/>
      </c>
      <c r="C3494">
        <f>TEXT(3493, "[$-060000]yyyy-mm-dd")</f>
        <v/>
      </c>
      <c r="D3494" t="inlineStr">
        <is>
          <t>1327-07-07</t>
        </is>
      </c>
    </row>
    <row r="3495">
      <c r="A3495" s="1" t="n">
        <v>3494</v>
      </c>
      <c r="B3495">
        <f>TEXT(3494, "[$-170000]yyyy-mm-dd")</f>
        <v/>
      </c>
      <c r="C3495">
        <f>TEXT(3494, "[$-060000]yyyy-mm-dd")</f>
        <v/>
      </c>
      <c r="D3495" t="inlineStr">
        <is>
          <t>1327-07-08</t>
        </is>
      </c>
    </row>
    <row r="3496">
      <c r="A3496" s="1" t="n">
        <v>3495</v>
      </c>
      <c r="B3496">
        <f>TEXT(3495, "[$-170000]yyyy-mm-dd")</f>
        <v/>
      </c>
      <c r="C3496">
        <f>TEXT(3495, "[$-060000]yyyy-mm-dd")</f>
        <v/>
      </c>
      <c r="D3496" t="inlineStr">
        <is>
          <t>1327-07-09</t>
        </is>
      </c>
    </row>
    <row r="3497">
      <c r="A3497" s="1" t="n">
        <v>3496</v>
      </c>
      <c r="B3497">
        <f>TEXT(3496, "[$-170000]yyyy-mm-dd")</f>
        <v/>
      </c>
      <c r="C3497">
        <f>TEXT(3496, "[$-060000]yyyy-mm-dd")</f>
        <v/>
      </c>
      <c r="D3497" t="inlineStr">
        <is>
          <t>1327-07-10</t>
        </is>
      </c>
    </row>
    <row r="3498">
      <c r="A3498" s="1" t="n">
        <v>3497</v>
      </c>
      <c r="B3498">
        <f>TEXT(3497, "[$-170000]yyyy-mm-dd")</f>
        <v/>
      </c>
      <c r="C3498">
        <f>TEXT(3497, "[$-060000]yyyy-mm-dd")</f>
        <v/>
      </c>
      <c r="D3498" t="inlineStr">
        <is>
          <t>1327-07-11</t>
        </is>
      </c>
    </row>
    <row r="3499">
      <c r="A3499" s="1" t="n">
        <v>3498</v>
      </c>
      <c r="B3499">
        <f>TEXT(3498, "[$-170000]yyyy-mm-dd")</f>
        <v/>
      </c>
      <c r="C3499">
        <f>TEXT(3498, "[$-060000]yyyy-mm-dd")</f>
        <v/>
      </c>
      <c r="D3499" t="inlineStr">
        <is>
          <t>1327-07-12</t>
        </is>
      </c>
    </row>
    <row r="3500">
      <c r="A3500" s="1" t="n">
        <v>3499</v>
      </c>
      <c r="B3500">
        <f>TEXT(3499, "[$-170000]yyyy-mm-dd")</f>
        <v/>
      </c>
      <c r="C3500">
        <f>TEXT(3499, "[$-060000]yyyy-mm-dd")</f>
        <v/>
      </c>
      <c r="D3500" t="inlineStr">
        <is>
          <t>1327-07-13</t>
        </is>
      </c>
    </row>
    <row r="3501">
      <c r="A3501" s="1" t="n">
        <v>3500</v>
      </c>
      <c r="B3501">
        <f>TEXT(3500, "[$-170000]yyyy-mm-dd")</f>
        <v/>
      </c>
      <c r="C3501">
        <f>TEXT(3500, "[$-060000]yyyy-mm-dd")</f>
        <v/>
      </c>
      <c r="D3501" t="inlineStr">
        <is>
          <t>1327-07-14</t>
        </is>
      </c>
    </row>
    <row r="3502">
      <c r="A3502" s="1" t="n">
        <v>3501</v>
      </c>
      <c r="B3502">
        <f>TEXT(3501, "[$-170000]yyyy-mm-dd")</f>
        <v/>
      </c>
      <c r="C3502">
        <f>TEXT(3501, "[$-060000]yyyy-mm-dd")</f>
        <v/>
      </c>
      <c r="D3502" t="inlineStr">
        <is>
          <t>1327-07-15</t>
        </is>
      </c>
    </row>
    <row r="3503">
      <c r="A3503" s="1" t="n">
        <v>3502</v>
      </c>
      <c r="B3503">
        <f>TEXT(3502, "[$-170000]yyyy-mm-dd")</f>
        <v/>
      </c>
      <c r="C3503">
        <f>TEXT(3502, "[$-060000]yyyy-mm-dd")</f>
        <v/>
      </c>
      <c r="D3503" t="inlineStr">
        <is>
          <t>1327-07-16</t>
        </is>
      </c>
    </row>
    <row r="3504">
      <c r="A3504" s="1" t="n">
        <v>3503</v>
      </c>
      <c r="B3504">
        <f>TEXT(3503, "[$-170000]yyyy-mm-dd")</f>
        <v/>
      </c>
      <c r="C3504">
        <f>TEXT(3503, "[$-060000]yyyy-mm-dd")</f>
        <v/>
      </c>
      <c r="D3504" t="inlineStr">
        <is>
          <t>1327-07-17</t>
        </is>
      </c>
    </row>
    <row r="3505">
      <c r="A3505" s="1" t="n">
        <v>3504</v>
      </c>
      <c r="B3505">
        <f>TEXT(3504, "[$-170000]yyyy-mm-dd")</f>
        <v/>
      </c>
      <c r="C3505">
        <f>TEXT(3504, "[$-060000]yyyy-mm-dd")</f>
        <v/>
      </c>
      <c r="D3505" t="inlineStr">
        <is>
          <t>1327-07-18</t>
        </is>
      </c>
    </row>
    <row r="3506">
      <c r="A3506" s="1" t="n">
        <v>3505</v>
      </c>
      <c r="B3506">
        <f>TEXT(3505, "[$-170000]yyyy-mm-dd")</f>
        <v/>
      </c>
      <c r="C3506">
        <f>TEXT(3505, "[$-060000]yyyy-mm-dd")</f>
        <v/>
      </c>
      <c r="D3506" t="inlineStr">
        <is>
          <t>1327-07-19</t>
        </is>
      </c>
    </row>
    <row r="3507">
      <c r="A3507" s="1" t="n">
        <v>3506</v>
      </c>
      <c r="B3507">
        <f>TEXT(3506, "[$-170000]yyyy-mm-dd")</f>
        <v/>
      </c>
      <c r="C3507">
        <f>TEXT(3506, "[$-060000]yyyy-mm-dd")</f>
        <v/>
      </c>
      <c r="D3507" t="inlineStr">
        <is>
          <t>1327-07-20</t>
        </is>
      </c>
    </row>
    <row r="3508">
      <c r="A3508" s="1" t="n">
        <v>3507</v>
      </c>
      <c r="B3508">
        <f>TEXT(3507, "[$-170000]yyyy-mm-dd")</f>
        <v/>
      </c>
      <c r="C3508">
        <f>TEXT(3507, "[$-060000]yyyy-mm-dd")</f>
        <v/>
      </c>
      <c r="D3508" t="inlineStr">
        <is>
          <t>1327-07-21</t>
        </is>
      </c>
    </row>
    <row r="3509">
      <c r="A3509" s="1" t="n">
        <v>3508</v>
      </c>
      <c r="B3509">
        <f>TEXT(3508, "[$-170000]yyyy-mm-dd")</f>
        <v/>
      </c>
      <c r="C3509">
        <f>TEXT(3508, "[$-060000]yyyy-mm-dd")</f>
        <v/>
      </c>
      <c r="D3509" t="inlineStr">
        <is>
          <t>1327-07-22</t>
        </is>
      </c>
    </row>
    <row r="3510">
      <c r="A3510" s="1" t="n">
        <v>3509</v>
      </c>
      <c r="B3510">
        <f>TEXT(3509, "[$-170000]yyyy-mm-dd")</f>
        <v/>
      </c>
      <c r="C3510">
        <f>TEXT(3509, "[$-060000]yyyy-mm-dd")</f>
        <v/>
      </c>
      <c r="D3510" t="inlineStr">
        <is>
          <t>1327-07-23</t>
        </is>
      </c>
    </row>
    <row r="3511">
      <c r="A3511" s="1" t="n">
        <v>3510</v>
      </c>
      <c r="B3511">
        <f>TEXT(3510, "[$-170000]yyyy-mm-dd")</f>
        <v/>
      </c>
      <c r="C3511">
        <f>TEXT(3510, "[$-060000]yyyy-mm-dd")</f>
        <v/>
      </c>
      <c r="D3511" t="inlineStr">
        <is>
          <t>1327-07-24</t>
        </is>
      </c>
    </row>
    <row r="3512">
      <c r="A3512" s="1" t="n">
        <v>3511</v>
      </c>
      <c r="B3512">
        <f>TEXT(3511, "[$-170000]yyyy-mm-dd")</f>
        <v/>
      </c>
      <c r="C3512">
        <f>TEXT(3511, "[$-060000]yyyy-mm-dd")</f>
        <v/>
      </c>
      <c r="D3512" t="inlineStr">
        <is>
          <t>1327-07-25</t>
        </is>
      </c>
    </row>
    <row r="3513">
      <c r="A3513" s="1" t="n">
        <v>3512</v>
      </c>
      <c r="B3513">
        <f>TEXT(3512, "[$-170000]yyyy-mm-dd")</f>
        <v/>
      </c>
      <c r="C3513">
        <f>TEXT(3512, "[$-060000]yyyy-mm-dd")</f>
        <v/>
      </c>
      <c r="D3513" t="inlineStr">
        <is>
          <t>1327-07-26</t>
        </is>
      </c>
    </row>
    <row r="3514">
      <c r="A3514" s="1" t="n">
        <v>3513</v>
      </c>
      <c r="B3514">
        <f>TEXT(3513, "[$-170000]yyyy-mm-dd")</f>
        <v/>
      </c>
      <c r="C3514">
        <f>TEXT(3513, "[$-060000]yyyy-mm-dd")</f>
        <v/>
      </c>
      <c r="D3514" t="inlineStr">
        <is>
          <t>1327-07-27</t>
        </is>
      </c>
    </row>
    <row r="3515">
      <c r="A3515" s="1" t="n">
        <v>3514</v>
      </c>
      <c r="B3515">
        <f>TEXT(3514, "[$-170000]yyyy-mm-dd")</f>
        <v/>
      </c>
      <c r="C3515">
        <f>TEXT(3514, "[$-060000]yyyy-mm-dd")</f>
        <v/>
      </c>
      <c r="D3515" t="inlineStr">
        <is>
          <t>1327-07-28</t>
        </is>
      </c>
    </row>
    <row r="3516">
      <c r="A3516" s="1" t="n">
        <v>3515</v>
      </c>
      <c r="B3516">
        <f>TEXT(3515, "[$-170000]yyyy-mm-dd")</f>
        <v/>
      </c>
      <c r="C3516">
        <f>TEXT(3515, "[$-060000]yyyy-mm-dd")</f>
        <v/>
      </c>
      <c r="D3516" t="inlineStr">
        <is>
          <t>1327-07-29</t>
        </is>
      </c>
    </row>
    <row r="3517">
      <c r="A3517" s="1" t="n">
        <v>3516</v>
      </c>
      <c r="B3517">
        <f>TEXT(3516, "[$-170000]yyyy-mm-dd")</f>
        <v/>
      </c>
      <c r="C3517">
        <f>TEXT(3516, "[$-060000]yyyy-mm-dd")</f>
        <v/>
      </c>
      <c r="D3517" t="inlineStr">
        <is>
          <t>1327-07-30</t>
        </is>
      </c>
    </row>
    <row r="3518">
      <c r="A3518" s="1" t="n">
        <v>3517</v>
      </c>
      <c r="B3518">
        <f>TEXT(3517, "[$-170000]yyyy-mm-dd")</f>
        <v/>
      </c>
      <c r="C3518">
        <f>TEXT(3517, "[$-060000]yyyy-mm-dd")</f>
        <v/>
      </c>
      <c r="D3518" t="inlineStr">
        <is>
          <t>1327-08-01</t>
        </is>
      </c>
    </row>
    <row r="3519">
      <c r="A3519" s="1" t="n">
        <v>3518</v>
      </c>
      <c r="B3519">
        <f>TEXT(3518, "[$-170000]yyyy-mm-dd")</f>
        <v/>
      </c>
      <c r="C3519">
        <f>TEXT(3518, "[$-060000]yyyy-mm-dd")</f>
        <v/>
      </c>
      <c r="D3519" t="inlineStr">
        <is>
          <t>1327-08-02</t>
        </is>
      </c>
    </row>
    <row r="3520">
      <c r="A3520" s="1" t="n">
        <v>3519</v>
      </c>
      <c r="B3520">
        <f>TEXT(3519, "[$-170000]yyyy-mm-dd")</f>
        <v/>
      </c>
      <c r="C3520">
        <f>TEXT(3519, "[$-060000]yyyy-mm-dd")</f>
        <v/>
      </c>
      <c r="D3520" t="inlineStr">
        <is>
          <t>1327-08-03</t>
        </is>
      </c>
    </row>
    <row r="3521">
      <c r="A3521" s="1" t="n">
        <v>3520</v>
      </c>
      <c r="B3521">
        <f>TEXT(3520, "[$-170000]yyyy-mm-dd")</f>
        <v/>
      </c>
      <c r="C3521">
        <f>TEXT(3520, "[$-060000]yyyy-mm-dd")</f>
        <v/>
      </c>
      <c r="D3521" t="inlineStr">
        <is>
          <t>1327-08-04</t>
        </is>
      </c>
    </row>
    <row r="3522">
      <c r="A3522" s="1" t="n">
        <v>3521</v>
      </c>
      <c r="B3522">
        <f>TEXT(3521, "[$-170000]yyyy-mm-dd")</f>
        <v/>
      </c>
      <c r="C3522">
        <f>TEXT(3521, "[$-060000]yyyy-mm-dd")</f>
        <v/>
      </c>
      <c r="D3522" t="inlineStr">
        <is>
          <t>1327-08-05</t>
        </is>
      </c>
    </row>
    <row r="3523">
      <c r="A3523" s="1" t="n">
        <v>3522</v>
      </c>
      <c r="B3523">
        <f>TEXT(3522, "[$-170000]yyyy-mm-dd")</f>
        <v/>
      </c>
      <c r="C3523">
        <f>TEXT(3522, "[$-060000]yyyy-mm-dd")</f>
        <v/>
      </c>
      <c r="D3523" t="inlineStr">
        <is>
          <t>1327-08-06</t>
        </is>
      </c>
    </row>
    <row r="3524">
      <c r="A3524" s="1" t="n">
        <v>3523</v>
      </c>
      <c r="B3524">
        <f>TEXT(3523, "[$-170000]yyyy-mm-dd")</f>
        <v/>
      </c>
      <c r="C3524">
        <f>TEXT(3523, "[$-060000]yyyy-mm-dd")</f>
        <v/>
      </c>
      <c r="D3524" t="inlineStr">
        <is>
          <t>1327-08-07</t>
        </is>
      </c>
    </row>
    <row r="3525">
      <c r="A3525" s="1" t="n">
        <v>3524</v>
      </c>
      <c r="B3525">
        <f>TEXT(3524, "[$-170000]yyyy-mm-dd")</f>
        <v/>
      </c>
      <c r="C3525">
        <f>TEXT(3524, "[$-060000]yyyy-mm-dd")</f>
        <v/>
      </c>
      <c r="D3525" t="inlineStr">
        <is>
          <t>1327-08-08</t>
        </is>
      </c>
    </row>
    <row r="3526">
      <c r="A3526" s="1" t="n">
        <v>3525</v>
      </c>
      <c r="B3526">
        <f>TEXT(3525, "[$-170000]yyyy-mm-dd")</f>
        <v/>
      </c>
      <c r="C3526">
        <f>TEXT(3525, "[$-060000]yyyy-mm-dd")</f>
        <v/>
      </c>
      <c r="D3526" t="inlineStr">
        <is>
          <t>1327-08-09</t>
        </is>
      </c>
    </row>
    <row r="3527">
      <c r="A3527" s="1" t="n">
        <v>3526</v>
      </c>
      <c r="B3527">
        <f>TEXT(3526, "[$-170000]yyyy-mm-dd")</f>
        <v/>
      </c>
      <c r="C3527">
        <f>TEXT(3526, "[$-060000]yyyy-mm-dd")</f>
        <v/>
      </c>
      <c r="D3527" t="inlineStr">
        <is>
          <t>1327-08-10</t>
        </is>
      </c>
    </row>
    <row r="3528">
      <c r="A3528" s="1" t="n">
        <v>3527</v>
      </c>
      <c r="B3528">
        <f>TEXT(3527, "[$-170000]yyyy-mm-dd")</f>
        <v/>
      </c>
      <c r="C3528">
        <f>TEXT(3527, "[$-060000]yyyy-mm-dd")</f>
        <v/>
      </c>
      <c r="D3528" t="inlineStr">
        <is>
          <t>1327-08-11</t>
        </is>
      </c>
    </row>
    <row r="3529">
      <c r="A3529" s="1" t="n">
        <v>3528</v>
      </c>
      <c r="B3529">
        <f>TEXT(3528, "[$-170000]yyyy-mm-dd")</f>
        <v/>
      </c>
      <c r="C3529">
        <f>TEXT(3528, "[$-060000]yyyy-mm-dd")</f>
        <v/>
      </c>
      <c r="D3529" t="inlineStr">
        <is>
          <t>1327-08-12</t>
        </is>
      </c>
    </row>
    <row r="3530">
      <c r="A3530" s="1" t="n">
        <v>3529</v>
      </c>
      <c r="B3530">
        <f>TEXT(3529, "[$-170000]yyyy-mm-dd")</f>
        <v/>
      </c>
      <c r="C3530">
        <f>TEXT(3529, "[$-060000]yyyy-mm-dd")</f>
        <v/>
      </c>
      <c r="D3530" t="inlineStr">
        <is>
          <t>1327-08-13</t>
        </is>
      </c>
    </row>
    <row r="3531">
      <c r="A3531" s="1" t="n">
        <v>3530</v>
      </c>
      <c r="B3531">
        <f>TEXT(3530, "[$-170000]yyyy-mm-dd")</f>
        <v/>
      </c>
      <c r="C3531">
        <f>TEXT(3530, "[$-060000]yyyy-mm-dd")</f>
        <v/>
      </c>
      <c r="D3531" t="inlineStr">
        <is>
          <t>1327-08-14</t>
        </is>
      </c>
    </row>
    <row r="3532">
      <c r="A3532" s="1" t="n">
        <v>3531</v>
      </c>
      <c r="B3532">
        <f>TEXT(3531, "[$-170000]yyyy-mm-dd")</f>
        <v/>
      </c>
      <c r="C3532">
        <f>TEXT(3531, "[$-060000]yyyy-mm-dd")</f>
        <v/>
      </c>
      <c r="D3532" t="inlineStr">
        <is>
          <t>1327-08-15</t>
        </is>
      </c>
    </row>
    <row r="3533">
      <c r="A3533" s="1" t="n">
        <v>3532</v>
      </c>
      <c r="B3533">
        <f>TEXT(3532, "[$-170000]yyyy-mm-dd")</f>
        <v/>
      </c>
      <c r="C3533">
        <f>TEXT(3532, "[$-060000]yyyy-mm-dd")</f>
        <v/>
      </c>
      <c r="D3533" t="inlineStr">
        <is>
          <t>1327-08-16</t>
        </is>
      </c>
    </row>
    <row r="3534">
      <c r="A3534" s="1" t="n">
        <v>3533</v>
      </c>
      <c r="B3534">
        <f>TEXT(3533, "[$-170000]yyyy-mm-dd")</f>
        <v/>
      </c>
      <c r="C3534">
        <f>TEXT(3533, "[$-060000]yyyy-mm-dd")</f>
        <v/>
      </c>
      <c r="D3534" t="inlineStr">
        <is>
          <t>1327-08-17</t>
        </is>
      </c>
    </row>
    <row r="3535">
      <c r="A3535" s="1" t="n">
        <v>3534</v>
      </c>
      <c r="B3535">
        <f>TEXT(3534, "[$-170000]yyyy-mm-dd")</f>
        <v/>
      </c>
      <c r="C3535">
        <f>TEXT(3534, "[$-060000]yyyy-mm-dd")</f>
        <v/>
      </c>
      <c r="D3535" t="inlineStr">
        <is>
          <t>1327-08-18</t>
        </is>
      </c>
    </row>
    <row r="3536">
      <c r="A3536" s="1" t="n">
        <v>3535</v>
      </c>
      <c r="B3536">
        <f>TEXT(3535, "[$-170000]yyyy-mm-dd")</f>
        <v/>
      </c>
      <c r="C3536">
        <f>TEXT(3535, "[$-060000]yyyy-mm-dd")</f>
        <v/>
      </c>
      <c r="D3536" t="inlineStr">
        <is>
          <t>1327-08-19</t>
        </is>
      </c>
    </row>
    <row r="3537">
      <c r="A3537" s="1" t="n">
        <v>3536</v>
      </c>
      <c r="B3537">
        <f>TEXT(3536, "[$-170000]yyyy-mm-dd")</f>
        <v/>
      </c>
      <c r="C3537">
        <f>TEXT(3536, "[$-060000]yyyy-mm-dd")</f>
        <v/>
      </c>
      <c r="D3537" t="inlineStr">
        <is>
          <t>1327-08-20</t>
        </is>
      </c>
    </row>
    <row r="3538">
      <c r="A3538" s="1" t="n">
        <v>3537</v>
      </c>
      <c r="B3538">
        <f>TEXT(3537, "[$-170000]yyyy-mm-dd")</f>
        <v/>
      </c>
      <c r="C3538">
        <f>TEXT(3537, "[$-060000]yyyy-mm-dd")</f>
        <v/>
      </c>
      <c r="D3538" t="inlineStr">
        <is>
          <t>1327-08-21</t>
        </is>
      </c>
    </row>
    <row r="3539">
      <c r="A3539" s="1" t="n">
        <v>3538</v>
      </c>
      <c r="B3539">
        <f>TEXT(3538, "[$-170000]yyyy-mm-dd")</f>
        <v/>
      </c>
      <c r="C3539">
        <f>TEXT(3538, "[$-060000]yyyy-mm-dd")</f>
        <v/>
      </c>
      <c r="D3539" t="inlineStr">
        <is>
          <t>1327-08-22</t>
        </is>
      </c>
    </row>
    <row r="3540">
      <c r="A3540" s="1" t="n">
        <v>3539</v>
      </c>
      <c r="B3540">
        <f>TEXT(3539, "[$-170000]yyyy-mm-dd")</f>
        <v/>
      </c>
      <c r="C3540">
        <f>TEXT(3539, "[$-060000]yyyy-mm-dd")</f>
        <v/>
      </c>
      <c r="D3540" t="inlineStr">
        <is>
          <t>1327-08-23</t>
        </is>
      </c>
    </row>
    <row r="3541">
      <c r="A3541" s="1" t="n">
        <v>3540</v>
      </c>
      <c r="B3541">
        <f>TEXT(3540, "[$-170000]yyyy-mm-dd")</f>
        <v/>
      </c>
      <c r="C3541">
        <f>TEXT(3540, "[$-060000]yyyy-mm-dd")</f>
        <v/>
      </c>
      <c r="D3541" t="inlineStr">
        <is>
          <t>1327-08-24</t>
        </is>
      </c>
    </row>
    <row r="3542">
      <c r="A3542" s="1" t="n">
        <v>3541</v>
      </c>
      <c r="B3542">
        <f>TEXT(3541, "[$-170000]yyyy-mm-dd")</f>
        <v/>
      </c>
      <c r="C3542">
        <f>TEXT(3541, "[$-060000]yyyy-mm-dd")</f>
        <v/>
      </c>
      <c r="D3542" t="inlineStr">
        <is>
          <t>1327-08-25</t>
        </is>
      </c>
    </row>
    <row r="3543">
      <c r="A3543" s="1" t="n">
        <v>3542</v>
      </c>
      <c r="B3543">
        <f>TEXT(3542, "[$-170000]yyyy-mm-dd")</f>
        <v/>
      </c>
      <c r="C3543">
        <f>TEXT(3542, "[$-060000]yyyy-mm-dd")</f>
        <v/>
      </c>
      <c r="D3543" t="inlineStr">
        <is>
          <t>1327-08-26</t>
        </is>
      </c>
    </row>
    <row r="3544">
      <c r="A3544" s="1" t="n">
        <v>3543</v>
      </c>
      <c r="B3544">
        <f>TEXT(3543, "[$-170000]yyyy-mm-dd")</f>
        <v/>
      </c>
      <c r="C3544">
        <f>TEXT(3543, "[$-060000]yyyy-mm-dd")</f>
        <v/>
      </c>
      <c r="D3544" t="inlineStr">
        <is>
          <t>1327-08-27</t>
        </is>
      </c>
    </row>
    <row r="3545">
      <c r="A3545" s="1" t="n">
        <v>3544</v>
      </c>
      <c r="B3545">
        <f>TEXT(3544, "[$-170000]yyyy-mm-dd")</f>
        <v/>
      </c>
      <c r="C3545">
        <f>TEXT(3544, "[$-060000]yyyy-mm-dd")</f>
        <v/>
      </c>
      <c r="D3545" t="inlineStr">
        <is>
          <t>1327-08-28</t>
        </is>
      </c>
    </row>
    <row r="3546">
      <c r="A3546" s="1" t="n">
        <v>3545</v>
      </c>
      <c r="B3546">
        <f>TEXT(3545, "[$-170000]yyyy-mm-dd")</f>
        <v/>
      </c>
      <c r="C3546">
        <f>TEXT(3545, "[$-060000]yyyy-mm-dd")</f>
        <v/>
      </c>
      <c r="D3546" t="inlineStr">
        <is>
          <t>1327-08-29</t>
        </is>
      </c>
    </row>
    <row r="3547">
      <c r="A3547" s="1" t="n">
        <v>3546</v>
      </c>
      <c r="B3547">
        <f>TEXT(3546, "[$-170000]yyyy-mm-dd")</f>
        <v/>
      </c>
      <c r="C3547">
        <f>TEXT(3546, "[$-060000]yyyy-mm-dd")</f>
        <v/>
      </c>
      <c r="D3547" t="inlineStr">
        <is>
          <t>1327-09-01</t>
        </is>
      </c>
    </row>
    <row r="3548">
      <c r="A3548" s="1" t="n">
        <v>3547</v>
      </c>
      <c r="B3548">
        <f>TEXT(3547, "[$-170000]yyyy-mm-dd")</f>
        <v/>
      </c>
      <c r="C3548">
        <f>TEXT(3547, "[$-060000]yyyy-mm-dd")</f>
        <v/>
      </c>
      <c r="D3548" t="inlineStr">
        <is>
          <t>1327-09-02</t>
        </is>
      </c>
    </row>
    <row r="3549">
      <c r="A3549" s="1" t="n">
        <v>3548</v>
      </c>
      <c r="B3549">
        <f>TEXT(3548, "[$-170000]yyyy-mm-dd")</f>
        <v/>
      </c>
      <c r="C3549">
        <f>TEXT(3548, "[$-060000]yyyy-mm-dd")</f>
        <v/>
      </c>
      <c r="D3549" t="inlineStr">
        <is>
          <t>1327-09-03</t>
        </is>
      </c>
    </row>
    <row r="3550">
      <c r="A3550" s="1" t="n">
        <v>3549</v>
      </c>
      <c r="B3550">
        <f>TEXT(3549, "[$-170000]yyyy-mm-dd")</f>
        <v/>
      </c>
      <c r="C3550">
        <f>TEXT(3549, "[$-060000]yyyy-mm-dd")</f>
        <v/>
      </c>
      <c r="D3550" t="inlineStr">
        <is>
          <t>1327-09-04</t>
        </is>
      </c>
    </row>
    <row r="3551">
      <c r="A3551" s="1" t="n">
        <v>3550</v>
      </c>
      <c r="B3551">
        <f>TEXT(3550, "[$-170000]yyyy-mm-dd")</f>
        <v/>
      </c>
      <c r="C3551">
        <f>TEXT(3550, "[$-060000]yyyy-mm-dd")</f>
        <v/>
      </c>
      <c r="D3551" t="inlineStr">
        <is>
          <t>1327-09-05</t>
        </is>
      </c>
    </row>
    <row r="3552">
      <c r="A3552" s="1" t="n">
        <v>3551</v>
      </c>
      <c r="B3552">
        <f>TEXT(3551, "[$-170000]yyyy-mm-dd")</f>
        <v/>
      </c>
      <c r="C3552">
        <f>TEXT(3551, "[$-060000]yyyy-mm-dd")</f>
        <v/>
      </c>
      <c r="D3552" t="inlineStr">
        <is>
          <t>1327-09-06</t>
        </is>
      </c>
    </row>
    <row r="3553">
      <c r="A3553" s="1" t="n">
        <v>3552</v>
      </c>
      <c r="B3553">
        <f>TEXT(3552, "[$-170000]yyyy-mm-dd")</f>
        <v/>
      </c>
      <c r="C3553">
        <f>TEXT(3552, "[$-060000]yyyy-mm-dd")</f>
        <v/>
      </c>
      <c r="D3553" t="inlineStr">
        <is>
          <t>1327-09-07</t>
        </is>
      </c>
    </row>
    <row r="3554">
      <c r="A3554" s="1" t="n">
        <v>3553</v>
      </c>
      <c r="B3554">
        <f>TEXT(3553, "[$-170000]yyyy-mm-dd")</f>
        <v/>
      </c>
      <c r="C3554">
        <f>TEXT(3553, "[$-060000]yyyy-mm-dd")</f>
        <v/>
      </c>
      <c r="D3554" t="inlineStr">
        <is>
          <t>1327-09-08</t>
        </is>
      </c>
    </row>
    <row r="3555">
      <c r="A3555" s="1" t="n">
        <v>3554</v>
      </c>
      <c r="B3555">
        <f>TEXT(3554, "[$-170000]yyyy-mm-dd")</f>
        <v/>
      </c>
      <c r="C3555">
        <f>TEXT(3554, "[$-060000]yyyy-mm-dd")</f>
        <v/>
      </c>
      <c r="D3555" t="inlineStr">
        <is>
          <t>1327-09-09</t>
        </is>
      </c>
    </row>
    <row r="3556">
      <c r="A3556" s="1" t="n">
        <v>3555</v>
      </c>
      <c r="B3556">
        <f>TEXT(3555, "[$-170000]yyyy-mm-dd")</f>
        <v/>
      </c>
      <c r="C3556">
        <f>TEXT(3555, "[$-060000]yyyy-mm-dd")</f>
        <v/>
      </c>
      <c r="D3556" t="inlineStr">
        <is>
          <t>1327-09-10</t>
        </is>
      </c>
    </row>
    <row r="3557">
      <c r="A3557" s="1" t="n">
        <v>3556</v>
      </c>
      <c r="B3557">
        <f>TEXT(3556, "[$-170000]yyyy-mm-dd")</f>
        <v/>
      </c>
      <c r="C3557">
        <f>TEXT(3556, "[$-060000]yyyy-mm-dd")</f>
        <v/>
      </c>
      <c r="D3557" t="inlineStr">
        <is>
          <t>1327-09-11</t>
        </is>
      </c>
    </row>
    <row r="3558">
      <c r="A3558" s="1" t="n">
        <v>3557</v>
      </c>
      <c r="B3558">
        <f>TEXT(3557, "[$-170000]yyyy-mm-dd")</f>
        <v/>
      </c>
      <c r="C3558">
        <f>TEXT(3557, "[$-060000]yyyy-mm-dd")</f>
        <v/>
      </c>
      <c r="D3558" t="inlineStr">
        <is>
          <t>1327-09-12</t>
        </is>
      </c>
    </row>
    <row r="3559">
      <c r="A3559" s="1" t="n">
        <v>3558</v>
      </c>
      <c r="B3559">
        <f>TEXT(3558, "[$-170000]yyyy-mm-dd")</f>
        <v/>
      </c>
      <c r="C3559">
        <f>TEXT(3558, "[$-060000]yyyy-mm-dd")</f>
        <v/>
      </c>
      <c r="D3559" t="inlineStr">
        <is>
          <t>1327-09-13</t>
        </is>
      </c>
    </row>
    <row r="3560">
      <c r="A3560" s="1" t="n">
        <v>3559</v>
      </c>
      <c r="B3560">
        <f>TEXT(3559, "[$-170000]yyyy-mm-dd")</f>
        <v/>
      </c>
      <c r="C3560">
        <f>TEXT(3559, "[$-060000]yyyy-mm-dd")</f>
        <v/>
      </c>
      <c r="D3560" t="inlineStr">
        <is>
          <t>1327-09-14</t>
        </is>
      </c>
    </row>
    <row r="3561">
      <c r="A3561" s="1" t="n">
        <v>3560</v>
      </c>
      <c r="B3561">
        <f>TEXT(3560, "[$-170000]yyyy-mm-dd")</f>
        <v/>
      </c>
      <c r="C3561">
        <f>TEXT(3560, "[$-060000]yyyy-mm-dd")</f>
        <v/>
      </c>
      <c r="D3561" t="inlineStr">
        <is>
          <t>1327-09-15</t>
        </is>
      </c>
    </row>
    <row r="3562">
      <c r="A3562" s="1" t="n">
        <v>3561</v>
      </c>
      <c r="B3562">
        <f>TEXT(3561, "[$-170000]yyyy-mm-dd")</f>
        <v/>
      </c>
      <c r="C3562">
        <f>TEXT(3561, "[$-060000]yyyy-mm-dd")</f>
        <v/>
      </c>
      <c r="D3562" t="inlineStr">
        <is>
          <t>1327-09-16</t>
        </is>
      </c>
    </row>
    <row r="3563">
      <c r="A3563" s="1" t="n">
        <v>3562</v>
      </c>
      <c r="B3563">
        <f>TEXT(3562, "[$-170000]yyyy-mm-dd")</f>
        <v/>
      </c>
      <c r="C3563">
        <f>TEXT(3562, "[$-060000]yyyy-mm-dd")</f>
        <v/>
      </c>
      <c r="D3563" t="inlineStr">
        <is>
          <t>1327-09-17</t>
        </is>
      </c>
    </row>
    <row r="3564">
      <c r="A3564" s="1" t="n">
        <v>3563</v>
      </c>
      <c r="B3564">
        <f>TEXT(3563, "[$-170000]yyyy-mm-dd")</f>
        <v/>
      </c>
      <c r="C3564">
        <f>TEXT(3563, "[$-060000]yyyy-mm-dd")</f>
        <v/>
      </c>
      <c r="D3564" t="inlineStr">
        <is>
          <t>1327-09-18</t>
        </is>
      </c>
    </row>
    <row r="3565">
      <c r="A3565" s="1" t="n">
        <v>3564</v>
      </c>
      <c r="B3565">
        <f>TEXT(3564, "[$-170000]yyyy-mm-dd")</f>
        <v/>
      </c>
      <c r="C3565">
        <f>TEXT(3564, "[$-060000]yyyy-mm-dd")</f>
        <v/>
      </c>
      <c r="D3565" t="inlineStr">
        <is>
          <t>1327-09-19</t>
        </is>
      </c>
    </row>
    <row r="3566">
      <c r="A3566" s="1" t="n">
        <v>3565</v>
      </c>
      <c r="B3566">
        <f>TEXT(3565, "[$-170000]yyyy-mm-dd")</f>
        <v/>
      </c>
      <c r="C3566">
        <f>TEXT(3565, "[$-060000]yyyy-mm-dd")</f>
        <v/>
      </c>
      <c r="D3566" t="inlineStr">
        <is>
          <t>1327-09-20</t>
        </is>
      </c>
    </row>
    <row r="3567">
      <c r="A3567" s="1" t="n">
        <v>3566</v>
      </c>
      <c r="B3567">
        <f>TEXT(3566, "[$-170000]yyyy-mm-dd")</f>
        <v/>
      </c>
      <c r="C3567">
        <f>TEXT(3566, "[$-060000]yyyy-mm-dd")</f>
        <v/>
      </c>
      <c r="D3567" t="inlineStr">
        <is>
          <t>1327-09-21</t>
        </is>
      </c>
    </row>
    <row r="3568">
      <c r="A3568" s="1" t="n">
        <v>3567</v>
      </c>
      <c r="B3568">
        <f>TEXT(3567, "[$-170000]yyyy-mm-dd")</f>
        <v/>
      </c>
      <c r="C3568">
        <f>TEXT(3567, "[$-060000]yyyy-mm-dd")</f>
        <v/>
      </c>
      <c r="D3568" t="inlineStr">
        <is>
          <t>1327-09-22</t>
        </is>
      </c>
    </row>
    <row r="3569">
      <c r="A3569" s="1" t="n">
        <v>3568</v>
      </c>
      <c r="B3569">
        <f>TEXT(3568, "[$-170000]yyyy-mm-dd")</f>
        <v/>
      </c>
      <c r="C3569">
        <f>TEXT(3568, "[$-060000]yyyy-mm-dd")</f>
        <v/>
      </c>
      <c r="D3569" t="inlineStr">
        <is>
          <t>1327-09-23</t>
        </is>
      </c>
    </row>
    <row r="3570">
      <c r="A3570" s="1" t="n">
        <v>3569</v>
      </c>
      <c r="B3570">
        <f>TEXT(3569, "[$-170000]yyyy-mm-dd")</f>
        <v/>
      </c>
      <c r="C3570">
        <f>TEXT(3569, "[$-060000]yyyy-mm-dd")</f>
        <v/>
      </c>
      <c r="D3570" t="inlineStr">
        <is>
          <t>1327-09-24</t>
        </is>
      </c>
    </row>
    <row r="3571">
      <c r="A3571" s="1" t="n">
        <v>3570</v>
      </c>
      <c r="B3571">
        <f>TEXT(3570, "[$-170000]yyyy-mm-dd")</f>
        <v/>
      </c>
      <c r="C3571">
        <f>TEXT(3570, "[$-060000]yyyy-mm-dd")</f>
        <v/>
      </c>
      <c r="D3571" t="inlineStr">
        <is>
          <t>1327-09-25</t>
        </is>
      </c>
    </row>
    <row r="3572">
      <c r="A3572" s="1" t="n">
        <v>3571</v>
      </c>
      <c r="B3572">
        <f>TEXT(3571, "[$-170000]yyyy-mm-dd")</f>
        <v/>
      </c>
      <c r="C3572">
        <f>TEXT(3571, "[$-060000]yyyy-mm-dd")</f>
        <v/>
      </c>
      <c r="D3572" t="inlineStr">
        <is>
          <t>1327-09-26</t>
        </is>
      </c>
    </row>
    <row r="3573">
      <c r="A3573" s="1" t="n">
        <v>3572</v>
      </c>
      <c r="B3573">
        <f>TEXT(3572, "[$-170000]yyyy-mm-dd")</f>
        <v/>
      </c>
      <c r="C3573">
        <f>TEXT(3572, "[$-060000]yyyy-mm-dd")</f>
        <v/>
      </c>
      <c r="D3573" t="inlineStr">
        <is>
          <t>1327-09-27</t>
        </is>
      </c>
    </row>
    <row r="3574">
      <c r="A3574" s="1" t="n">
        <v>3573</v>
      </c>
      <c r="B3574">
        <f>TEXT(3573, "[$-170000]yyyy-mm-dd")</f>
        <v/>
      </c>
      <c r="C3574">
        <f>TEXT(3573, "[$-060000]yyyy-mm-dd")</f>
        <v/>
      </c>
      <c r="D3574" t="inlineStr">
        <is>
          <t>1327-09-28</t>
        </is>
      </c>
    </row>
    <row r="3575">
      <c r="A3575" s="1" t="n">
        <v>3574</v>
      </c>
      <c r="B3575">
        <f>TEXT(3574, "[$-170000]yyyy-mm-dd")</f>
        <v/>
      </c>
      <c r="C3575">
        <f>TEXT(3574, "[$-060000]yyyy-mm-dd")</f>
        <v/>
      </c>
      <c r="D3575" t="inlineStr">
        <is>
          <t>1327-09-29</t>
        </is>
      </c>
    </row>
    <row r="3576">
      <c r="A3576" s="1" t="n">
        <v>3575</v>
      </c>
      <c r="B3576">
        <f>TEXT(3575, "[$-170000]yyyy-mm-dd")</f>
        <v/>
      </c>
      <c r="C3576">
        <f>TEXT(3575, "[$-060000]yyyy-mm-dd")</f>
        <v/>
      </c>
      <c r="D3576" t="inlineStr">
        <is>
          <t>1327-09-30</t>
        </is>
      </c>
    </row>
    <row r="3577">
      <c r="A3577" s="1" t="n">
        <v>3576</v>
      </c>
      <c r="B3577">
        <f>TEXT(3576, "[$-170000]yyyy-mm-dd")</f>
        <v/>
      </c>
      <c r="C3577">
        <f>TEXT(3576, "[$-060000]yyyy-mm-dd")</f>
        <v/>
      </c>
      <c r="D3577" t="inlineStr">
        <is>
          <t>1327-10-01</t>
        </is>
      </c>
    </row>
    <row r="3578">
      <c r="A3578" s="1" t="n">
        <v>3577</v>
      </c>
      <c r="B3578">
        <f>TEXT(3577, "[$-170000]yyyy-mm-dd")</f>
        <v/>
      </c>
      <c r="C3578">
        <f>TEXT(3577, "[$-060000]yyyy-mm-dd")</f>
        <v/>
      </c>
      <c r="D3578" t="inlineStr">
        <is>
          <t>1327-10-02</t>
        </is>
      </c>
    </row>
    <row r="3579">
      <c r="A3579" s="1" t="n">
        <v>3578</v>
      </c>
      <c r="B3579">
        <f>TEXT(3578, "[$-170000]yyyy-mm-dd")</f>
        <v/>
      </c>
      <c r="C3579">
        <f>TEXT(3578, "[$-060000]yyyy-mm-dd")</f>
        <v/>
      </c>
      <c r="D3579" t="inlineStr">
        <is>
          <t>1327-10-03</t>
        </is>
      </c>
    </row>
    <row r="3580">
      <c r="A3580" s="1" t="n">
        <v>3579</v>
      </c>
      <c r="B3580">
        <f>TEXT(3579, "[$-170000]yyyy-mm-dd")</f>
        <v/>
      </c>
      <c r="C3580">
        <f>TEXT(3579, "[$-060000]yyyy-mm-dd")</f>
        <v/>
      </c>
      <c r="D3580" t="inlineStr">
        <is>
          <t>1327-10-04</t>
        </is>
      </c>
    </row>
    <row r="3581">
      <c r="A3581" s="1" t="n">
        <v>3580</v>
      </c>
      <c r="B3581">
        <f>TEXT(3580, "[$-170000]yyyy-mm-dd")</f>
        <v/>
      </c>
      <c r="C3581">
        <f>TEXT(3580, "[$-060000]yyyy-mm-dd")</f>
        <v/>
      </c>
      <c r="D3581" t="inlineStr">
        <is>
          <t>1327-10-05</t>
        </is>
      </c>
    </row>
    <row r="3582">
      <c r="A3582" s="1" t="n">
        <v>3581</v>
      </c>
      <c r="B3582">
        <f>TEXT(3581, "[$-170000]yyyy-mm-dd")</f>
        <v/>
      </c>
      <c r="C3582">
        <f>TEXT(3581, "[$-060000]yyyy-mm-dd")</f>
        <v/>
      </c>
      <c r="D3582" t="inlineStr">
        <is>
          <t>1327-10-06</t>
        </is>
      </c>
    </row>
    <row r="3583">
      <c r="A3583" s="1" t="n">
        <v>3582</v>
      </c>
      <c r="B3583">
        <f>TEXT(3582, "[$-170000]yyyy-mm-dd")</f>
        <v/>
      </c>
      <c r="C3583">
        <f>TEXT(3582, "[$-060000]yyyy-mm-dd")</f>
        <v/>
      </c>
      <c r="D3583" t="inlineStr">
        <is>
          <t>1327-10-07</t>
        </is>
      </c>
    </row>
    <row r="3584">
      <c r="A3584" s="1" t="n">
        <v>3583</v>
      </c>
      <c r="B3584">
        <f>TEXT(3583, "[$-170000]yyyy-mm-dd")</f>
        <v/>
      </c>
      <c r="C3584">
        <f>TEXT(3583, "[$-060000]yyyy-mm-dd")</f>
        <v/>
      </c>
      <c r="D3584" t="inlineStr">
        <is>
          <t>1327-10-08</t>
        </is>
      </c>
    </row>
    <row r="3585">
      <c r="A3585" s="1" t="n">
        <v>3584</v>
      </c>
      <c r="B3585">
        <f>TEXT(3584, "[$-170000]yyyy-mm-dd")</f>
        <v/>
      </c>
      <c r="C3585">
        <f>TEXT(3584, "[$-060000]yyyy-mm-dd")</f>
        <v/>
      </c>
      <c r="D3585" t="inlineStr">
        <is>
          <t>1327-10-09</t>
        </is>
      </c>
    </row>
    <row r="3586">
      <c r="A3586" s="1" t="n">
        <v>3585</v>
      </c>
      <c r="B3586">
        <f>TEXT(3585, "[$-170000]yyyy-mm-dd")</f>
        <v/>
      </c>
      <c r="C3586">
        <f>TEXT(3585, "[$-060000]yyyy-mm-dd")</f>
        <v/>
      </c>
      <c r="D3586" t="inlineStr">
        <is>
          <t>1327-10-10</t>
        </is>
      </c>
    </row>
    <row r="3587">
      <c r="A3587" s="1" t="n">
        <v>3586</v>
      </c>
      <c r="B3587">
        <f>TEXT(3586, "[$-170000]yyyy-mm-dd")</f>
        <v/>
      </c>
      <c r="C3587">
        <f>TEXT(3586, "[$-060000]yyyy-mm-dd")</f>
        <v/>
      </c>
      <c r="D3587" t="inlineStr">
        <is>
          <t>1327-10-11</t>
        </is>
      </c>
    </row>
    <row r="3588">
      <c r="A3588" s="1" t="n">
        <v>3587</v>
      </c>
      <c r="B3588">
        <f>TEXT(3587, "[$-170000]yyyy-mm-dd")</f>
        <v/>
      </c>
      <c r="C3588">
        <f>TEXT(3587, "[$-060000]yyyy-mm-dd")</f>
        <v/>
      </c>
      <c r="D3588" t="inlineStr">
        <is>
          <t>1327-10-12</t>
        </is>
      </c>
    </row>
    <row r="3589">
      <c r="A3589" s="1" t="n">
        <v>3588</v>
      </c>
      <c r="B3589">
        <f>TEXT(3588, "[$-170000]yyyy-mm-dd")</f>
        <v/>
      </c>
      <c r="C3589">
        <f>TEXT(3588, "[$-060000]yyyy-mm-dd")</f>
        <v/>
      </c>
      <c r="D3589" t="inlineStr">
        <is>
          <t>1327-10-13</t>
        </is>
      </c>
    </row>
    <row r="3590">
      <c r="A3590" s="1" t="n">
        <v>3589</v>
      </c>
      <c r="B3590">
        <f>TEXT(3589, "[$-170000]yyyy-mm-dd")</f>
        <v/>
      </c>
      <c r="C3590">
        <f>TEXT(3589, "[$-060000]yyyy-mm-dd")</f>
        <v/>
      </c>
      <c r="D3590" t="inlineStr">
        <is>
          <t>1327-10-14</t>
        </is>
      </c>
    </row>
    <row r="3591">
      <c r="A3591" s="1" t="n">
        <v>3590</v>
      </c>
      <c r="B3591">
        <f>TEXT(3590, "[$-170000]yyyy-mm-dd")</f>
        <v/>
      </c>
      <c r="C3591">
        <f>TEXT(3590, "[$-060000]yyyy-mm-dd")</f>
        <v/>
      </c>
      <c r="D3591" t="inlineStr">
        <is>
          <t>1327-10-15</t>
        </is>
      </c>
    </row>
    <row r="3592">
      <c r="A3592" s="1" t="n">
        <v>3591</v>
      </c>
      <c r="B3592">
        <f>TEXT(3591, "[$-170000]yyyy-mm-dd")</f>
        <v/>
      </c>
      <c r="C3592">
        <f>TEXT(3591, "[$-060000]yyyy-mm-dd")</f>
        <v/>
      </c>
      <c r="D3592" t="inlineStr">
        <is>
          <t>1327-10-16</t>
        </is>
      </c>
    </row>
    <row r="3593">
      <c r="A3593" s="1" t="n">
        <v>3592</v>
      </c>
      <c r="B3593">
        <f>TEXT(3592, "[$-170000]yyyy-mm-dd")</f>
        <v/>
      </c>
      <c r="C3593">
        <f>TEXT(3592, "[$-060000]yyyy-mm-dd")</f>
        <v/>
      </c>
      <c r="D3593" t="inlineStr">
        <is>
          <t>1327-10-17</t>
        </is>
      </c>
    </row>
    <row r="3594">
      <c r="A3594" s="1" t="n">
        <v>3593</v>
      </c>
      <c r="B3594">
        <f>TEXT(3593, "[$-170000]yyyy-mm-dd")</f>
        <v/>
      </c>
      <c r="C3594">
        <f>TEXT(3593, "[$-060000]yyyy-mm-dd")</f>
        <v/>
      </c>
      <c r="D3594" t="inlineStr">
        <is>
          <t>1327-10-18</t>
        </is>
      </c>
    </row>
    <row r="3595">
      <c r="A3595" s="1" t="n">
        <v>3594</v>
      </c>
      <c r="B3595">
        <f>TEXT(3594, "[$-170000]yyyy-mm-dd")</f>
        <v/>
      </c>
      <c r="C3595">
        <f>TEXT(3594, "[$-060000]yyyy-mm-dd")</f>
        <v/>
      </c>
      <c r="D3595" t="inlineStr">
        <is>
          <t>1327-10-19</t>
        </is>
      </c>
    </row>
    <row r="3596">
      <c r="A3596" s="1" t="n">
        <v>3595</v>
      </c>
      <c r="B3596">
        <f>TEXT(3595, "[$-170000]yyyy-mm-dd")</f>
        <v/>
      </c>
      <c r="C3596">
        <f>TEXT(3595, "[$-060000]yyyy-mm-dd")</f>
        <v/>
      </c>
      <c r="D3596" t="inlineStr">
        <is>
          <t>1327-10-20</t>
        </is>
      </c>
    </row>
    <row r="3597">
      <c r="A3597" s="1" t="n">
        <v>3596</v>
      </c>
      <c r="B3597">
        <f>TEXT(3596, "[$-170000]yyyy-mm-dd")</f>
        <v/>
      </c>
      <c r="C3597">
        <f>TEXT(3596, "[$-060000]yyyy-mm-dd")</f>
        <v/>
      </c>
      <c r="D3597" t="inlineStr">
        <is>
          <t>1327-10-21</t>
        </is>
      </c>
    </row>
    <row r="3598">
      <c r="A3598" s="1" t="n">
        <v>3597</v>
      </c>
      <c r="B3598">
        <f>TEXT(3597, "[$-170000]yyyy-mm-dd")</f>
        <v/>
      </c>
      <c r="C3598">
        <f>TEXT(3597, "[$-060000]yyyy-mm-dd")</f>
        <v/>
      </c>
      <c r="D3598" t="inlineStr">
        <is>
          <t>1327-10-22</t>
        </is>
      </c>
    </row>
    <row r="3599">
      <c r="A3599" s="1" t="n">
        <v>3598</v>
      </c>
      <c r="B3599">
        <f>TEXT(3598, "[$-170000]yyyy-mm-dd")</f>
        <v/>
      </c>
      <c r="C3599">
        <f>TEXT(3598, "[$-060000]yyyy-mm-dd")</f>
        <v/>
      </c>
      <c r="D3599" t="inlineStr">
        <is>
          <t>1327-10-23</t>
        </is>
      </c>
    </row>
    <row r="3600">
      <c r="A3600" s="1" t="n">
        <v>3599</v>
      </c>
      <c r="B3600">
        <f>TEXT(3599, "[$-170000]yyyy-mm-dd")</f>
        <v/>
      </c>
      <c r="C3600">
        <f>TEXT(3599, "[$-060000]yyyy-mm-dd")</f>
        <v/>
      </c>
      <c r="D3600" t="inlineStr">
        <is>
          <t>1327-10-24</t>
        </is>
      </c>
    </row>
    <row r="3601">
      <c r="A3601" s="1" t="n">
        <v>3600</v>
      </c>
      <c r="B3601">
        <f>TEXT(3600, "[$-170000]yyyy-mm-dd")</f>
        <v/>
      </c>
      <c r="C3601">
        <f>TEXT(3600, "[$-060000]yyyy-mm-dd")</f>
        <v/>
      </c>
      <c r="D3601" t="inlineStr">
        <is>
          <t>1327-10-25</t>
        </is>
      </c>
    </row>
    <row r="3602">
      <c r="A3602" s="1" t="n">
        <v>3601</v>
      </c>
      <c r="B3602">
        <f>TEXT(3601, "[$-170000]yyyy-mm-dd")</f>
        <v/>
      </c>
      <c r="C3602">
        <f>TEXT(3601, "[$-060000]yyyy-mm-dd")</f>
        <v/>
      </c>
      <c r="D3602" t="inlineStr">
        <is>
          <t>1327-10-26</t>
        </is>
      </c>
    </row>
    <row r="3603">
      <c r="A3603" s="1" t="n">
        <v>3602</v>
      </c>
      <c r="B3603">
        <f>TEXT(3602, "[$-170000]yyyy-mm-dd")</f>
        <v/>
      </c>
      <c r="C3603">
        <f>TEXT(3602, "[$-060000]yyyy-mm-dd")</f>
        <v/>
      </c>
      <c r="D3603" t="inlineStr">
        <is>
          <t>1327-10-27</t>
        </is>
      </c>
    </row>
    <row r="3604">
      <c r="A3604" s="1" t="n">
        <v>3603</v>
      </c>
      <c r="B3604">
        <f>TEXT(3603, "[$-170000]yyyy-mm-dd")</f>
        <v/>
      </c>
      <c r="C3604">
        <f>TEXT(3603, "[$-060000]yyyy-mm-dd")</f>
        <v/>
      </c>
      <c r="D3604" t="inlineStr">
        <is>
          <t>1327-10-28</t>
        </is>
      </c>
    </row>
    <row r="3605">
      <c r="A3605" s="1" t="n">
        <v>3604</v>
      </c>
      <c r="B3605">
        <f>TEXT(3604, "[$-170000]yyyy-mm-dd")</f>
        <v/>
      </c>
      <c r="C3605">
        <f>TEXT(3604, "[$-060000]yyyy-mm-dd")</f>
        <v/>
      </c>
      <c r="D3605" t="inlineStr">
        <is>
          <t>1327-10-29</t>
        </is>
      </c>
    </row>
    <row r="3606">
      <c r="A3606" s="1" t="n">
        <v>3605</v>
      </c>
      <c r="B3606">
        <f>TEXT(3605, "[$-170000]yyyy-mm-dd")</f>
        <v/>
      </c>
      <c r="C3606">
        <f>TEXT(3605, "[$-060000]yyyy-mm-dd")</f>
        <v/>
      </c>
      <c r="D3606" t="inlineStr">
        <is>
          <t>1327-11-01</t>
        </is>
      </c>
    </row>
    <row r="3607">
      <c r="A3607" s="1" t="n">
        <v>3606</v>
      </c>
      <c r="B3607">
        <f>TEXT(3606, "[$-170000]yyyy-mm-dd")</f>
        <v/>
      </c>
      <c r="C3607">
        <f>TEXT(3606, "[$-060000]yyyy-mm-dd")</f>
        <v/>
      </c>
      <c r="D3607" t="inlineStr">
        <is>
          <t>1327-11-02</t>
        </is>
      </c>
    </row>
    <row r="3608">
      <c r="A3608" s="1" t="n">
        <v>3607</v>
      </c>
      <c r="B3608">
        <f>TEXT(3607, "[$-170000]yyyy-mm-dd")</f>
        <v/>
      </c>
      <c r="C3608">
        <f>TEXT(3607, "[$-060000]yyyy-mm-dd")</f>
        <v/>
      </c>
      <c r="D3608" t="inlineStr">
        <is>
          <t>1327-11-03</t>
        </is>
      </c>
    </row>
    <row r="3609">
      <c r="A3609" s="1" t="n">
        <v>3608</v>
      </c>
      <c r="B3609">
        <f>TEXT(3608, "[$-170000]yyyy-mm-dd")</f>
        <v/>
      </c>
      <c r="C3609">
        <f>TEXT(3608, "[$-060000]yyyy-mm-dd")</f>
        <v/>
      </c>
      <c r="D3609" t="inlineStr">
        <is>
          <t>1327-11-04</t>
        </is>
      </c>
    </row>
    <row r="3610">
      <c r="A3610" s="1" t="n">
        <v>3609</v>
      </c>
      <c r="B3610">
        <f>TEXT(3609, "[$-170000]yyyy-mm-dd")</f>
        <v/>
      </c>
      <c r="C3610">
        <f>TEXT(3609, "[$-060000]yyyy-mm-dd")</f>
        <v/>
      </c>
      <c r="D3610" t="inlineStr">
        <is>
          <t>1327-11-05</t>
        </is>
      </c>
    </row>
    <row r="3611">
      <c r="A3611" s="1" t="n">
        <v>3610</v>
      </c>
      <c r="B3611">
        <f>TEXT(3610, "[$-170000]yyyy-mm-dd")</f>
        <v/>
      </c>
      <c r="C3611">
        <f>TEXT(3610, "[$-060000]yyyy-mm-dd")</f>
        <v/>
      </c>
      <c r="D3611" t="inlineStr">
        <is>
          <t>1327-11-06</t>
        </is>
      </c>
    </row>
    <row r="3612">
      <c r="A3612" s="1" t="n">
        <v>3611</v>
      </c>
      <c r="B3612">
        <f>TEXT(3611, "[$-170000]yyyy-mm-dd")</f>
        <v/>
      </c>
      <c r="C3612">
        <f>TEXT(3611, "[$-060000]yyyy-mm-dd")</f>
        <v/>
      </c>
      <c r="D3612" t="inlineStr">
        <is>
          <t>1327-11-07</t>
        </is>
      </c>
    </row>
    <row r="3613">
      <c r="A3613" s="1" t="n">
        <v>3612</v>
      </c>
      <c r="B3613">
        <f>TEXT(3612, "[$-170000]yyyy-mm-dd")</f>
        <v/>
      </c>
      <c r="C3613">
        <f>TEXT(3612, "[$-060000]yyyy-mm-dd")</f>
        <v/>
      </c>
      <c r="D3613" t="inlineStr">
        <is>
          <t>1327-11-08</t>
        </is>
      </c>
    </row>
    <row r="3614">
      <c r="A3614" s="1" t="n">
        <v>3613</v>
      </c>
      <c r="B3614">
        <f>TEXT(3613, "[$-170000]yyyy-mm-dd")</f>
        <v/>
      </c>
      <c r="C3614">
        <f>TEXT(3613, "[$-060000]yyyy-mm-dd")</f>
        <v/>
      </c>
      <c r="D3614" t="inlineStr">
        <is>
          <t>1327-11-09</t>
        </is>
      </c>
    </row>
    <row r="3615">
      <c r="A3615" s="1" t="n">
        <v>3614</v>
      </c>
      <c r="B3615">
        <f>TEXT(3614, "[$-170000]yyyy-mm-dd")</f>
        <v/>
      </c>
      <c r="C3615">
        <f>TEXT(3614, "[$-060000]yyyy-mm-dd")</f>
        <v/>
      </c>
      <c r="D3615" t="inlineStr">
        <is>
          <t>1327-11-10</t>
        </is>
      </c>
    </row>
    <row r="3616">
      <c r="A3616" s="1" t="n">
        <v>3615</v>
      </c>
      <c r="B3616">
        <f>TEXT(3615, "[$-170000]yyyy-mm-dd")</f>
        <v/>
      </c>
      <c r="C3616">
        <f>TEXT(3615, "[$-060000]yyyy-mm-dd")</f>
        <v/>
      </c>
      <c r="D3616" t="inlineStr">
        <is>
          <t>1327-11-11</t>
        </is>
      </c>
    </row>
    <row r="3617">
      <c r="A3617" s="1" t="n">
        <v>3616</v>
      </c>
      <c r="B3617">
        <f>TEXT(3616, "[$-170000]yyyy-mm-dd")</f>
        <v/>
      </c>
      <c r="C3617">
        <f>TEXT(3616, "[$-060000]yyyy-mm-dd")</f>
        <v/>
      </c>
      <c r="D3617" t="inlineStr">
        <is>
          <t>1327-11-12</t>
        </is>
      </c>
    </row>
    <row r="3618">
      <c r="A3618" s="1" t="n">
        <v>3617</v>
      </c>
      <c r="B3618">
        <f>TEXT(3617, "[$-170000]yyyy-mm-dd")</f>
        <v/>
      </c>
      <c r="C3618">
        <f>TEXT(3617, "[$-060000]yyyy-mm-dd")</f>
        <v/>
      </c>
      <c r="D3618" t="inlineStr">
        <is>
          <t>1327-11-13</t>
        </is>
      </c>
    </row>
    <row r="3619">
      <c r="A3619" s="1" t="n">
        <v>3618</v>
      </c>
      <c r="B3619">
        <f>TEXT(3618, "[$-170000]yyyy-mm-dd")</f>
        <v/>
      </c>
      <c r="C3619">
        <f>TEXT(3618, "[$-060000]yyyy-mm-dd")</f>
        <v/>
      </c>
      <c r="D3619" t="inlineStr">
        <is>
          <t>1327-11-14</t>
        </is>
      </c>
    </row>
    <row r="3620">
      <c r="A3620" s="1" t="n">
        <v>3619</v>
      </c>
      <c r="B3620">
        <f>TEXT(3619, "[$-170000]yyyy-mm-dd")</f>
        <v/>
      </c>
      <c r="C3620">
        <f>TEXT(3619, "[$-060000]yyyy-mm-dd")</f>
        <v/>
      </c>
      <c r="D3620" t="inlineStr">
        <is>
          <t>1327-11-15</t>
        </is>
      </c>
    </row>
    <row r="3621">
      <c r="A3621" s="1" t="n">
        <v>3620</v>
      </c>
      <c r="B3621">
        <f>TEXT(3620, "[$-170000]yyyy-mm-dd")</f>
        <v/>
      </c>
      <c r="C3621">
        <f>TEXT(3620, "[$-060000]yyyy-mm-dd")</f>
        <v/>
      </c>
      <c r="D3621" t="inlineStr">
        <is>
          <t>1327-11-16</t>
        </is>
      </c>
    </row>
    <row r="3622">
      <c r="A3622" s="1" t="n">
        <v>3621</v>
      </c>
      <c r="B3622">
        <f>TEXT(3621, "[$-170000]yyyy-mm-dd")</f>
        <v/>
      </c>
      <c r="C3622">
        <f>TEXT(3621, "[$-060000]yyyy-mm-dd")</f>
        <v/>
      </c>
      <c r="D3622" t="inlineStr">
        <is>
          <t>1327-11-17</t>
        </is>
      </c>
    </row>
    <row r="3623">
      <c r="A3623" s="1" t="n">
        <v>3622</v>
      </c>
      <c r="B3623">
        <f>TEXT(3622, "[$-170000]yyyy-mm-dd")</f>
        <v/>
      </c>
      <c r="C3623">
        <f>TEXT(3622, "[$-060000]yyyy-mm-dd")</f>
        <v/>
      </c>
      <c r="D3623" t="inlineStr">
        <is>
          <t>1327-11-18</t>
        </is>
      </c>
    </row>
    <row r="3624">
      <c r="A3624" s="1" t="n">
        <v>3623</v>
      </c>
      <c r="B3624">
        <f>TEXT(3623, "[$-170000]yyyy-mm-dd")</f>
        <v/>
      </c>
      <c r="C3624">
        <f>TEXT(3623, "[$-060000]yyyy-mm-dd")</f>
        <v/>
      </c>
      <c r="D3624" t="inlineStr">
        <is>
          <t>1327-11-19</t>
        </is>
      </c>
    </row>
    <row r="3625">
      <c r="A3625" s="1" t="n">
        <v>3624</v>
      </c>
      <c r="B3625">
        <f>TEXT(3624, "[$-170000]yyyy-mm-dd")</f>
        <v/>
      </c>
      <c r="C3625">
        <f>TEXT(3624, "[$-060000]yyyy-mm-dd")</f>
        <v/>
      </c>
      <c r="D3625" t="inlineStr">
        <is>
          <t>1327-11-20</t>
        </is>
      </c>
    </row>
    <row r="3626">
      <c r="A3626" s="1" t="n">
        <v>3625</v>
      </c>
      <c r="B3626">
        <f>TEXT(3625, "[$-170000]yyyy-mm-dd")</f>
        <v/>
      </c>
      <c r="C3626">
        <f>TEXT(3625, "[$-060000]yyyy-mm-dd")</f>
        <v/>
      </c>
      <c r="D3626" t="inlineStr">
        <is>
          <t>1327-11-21</t>
        </is>
      </c>
    </row>
    <row r="3627">
      <c r="A3627" s="1" t="n">
        <v>3626</v>
      </c>
      <c r="B3627">
        <f>TEXT(3626, "[$-170000]yyyy-mm-dd")</f>
        <v/>
      </c>
      <c r="C3627">
        <f>TEXT(3626, "[$-060000]yyyy-mm-dd")</f>
        <v/>
      </c>
      <c r="D3627" t="inlineStr">
        <is>
          <t>1327-11-22</t>
        </is>
      </c>
    </row>
    <row r="3628">
      <c r="A3628" s="1" t="n">
        <v>3627</v>
      </c>
      <c r="B3628">
        <f>TEXT(3627, "[$-170000]yyyy-mm-dd")</f>
        <v/>
      </c>
      <c r="C3628">
        <f>TEXT(3627, "[$-060000]yyyy-mm-dd")</f>
        <v/>
      </c>
      <c r="D3628" t="inlineStr">
        <is>
          <t>1327-11-23</t>
        </is>
      </c>
    </row>
    <row r="3629">
      <c r="A3629" s="1" t="n">
        <v>3628</v>
      </c>
      <c r="B3629">
        <f>TEXT(3628, "[$-170000]yyyy-mm-dd")</f>
        <v/>
      </c>
      <c r="C3629">
        <f>TEXT(3628, "[$-060000]yyyy-mm-dd")</f>
        <v/>
      </c>
      <c r="D3629" t="inlineStr">
        <is>
          <t>1327-11-24</t>
        </is>
      </c>
    </row>
    <row r="3630">
      <c r="A3630" s="1" t="n">
        <v>3629</v>
      </c>
      <c r="B3630">
        <f>TEXT(3629, "[$-170000]yyyy-mm-dd")</f>
        <v/>
      </c>
      <c r="C3630">
        <f>TEXT(3629, "[$-060000]yyyy-mm-dd")</f>
        <v/>
      </c>
      <c r="D3630" t="inlineStr">
        <is>
          <t>1327-11-25</t>
        </is>
      </c>
    </row>
    <row r="3631">
      <c r="A3631" s="1" t="n">
        <v>3630</v>
      </c>
      <c r="B3631">
        <f>TEXT(3630, "[$-170000]yyyy-mm-dd")</f>
        <v/>
      </c>
      <c r="C3631">
        <f>TEXT(3630, "[$-060000]yyyy-mm-dd")</f>
        <v/>
      </c>
      <c r="D3631" t="inlineStr">
        <is>
          <t>1327-11-26</t>
        </is>
      </c>
    </row>
    <row r="3632">
      <c r="A3632" s="1" t="n">
        <v>3631</v>
      </c>
      <c r="B3632">
        <f>TEXT(3631, "[$-170000]yyyy-mm-dd")</f>
        <v/>
      </c>
      <c r="C3632">
        <f>TEXT(3631, "[$-060000]yyyy-mm-dd")</f>
        <v/>
      </c>
      <c r="D3632" t="inlineStr">
        <is>
          <t>1327-11-27</t>
        </is>
      </c>
    </row>
    <row r="3633">
      <c r="A3633" s="1" t="n">
        <v>3632</v>
      </c>
      <c r="B3633">
        <f>TEXT(3632, "[$-170000]yyyy-mm-dd")</f>
        <v/>
      </c>
      <c r="C3633">
        <f>TEXT(3632, "[$-060000]yyyy-mm-dd")</f>
        <v/>
      </c>
      <c r="D3633" t="inlineStr">
        <is>
          <t>1327-11-28</t>
        </is>
      </c>
    </row>
    <row r="3634">
      <c r="A3634" s="1" t="n">
        <v>3633</v>
      </c>
      <c r="B3634">
        <f>TEXT(3633, "[$-170000]yyyy-mm-dd")</f>
        <v/>
      </c>
      <c r="C3634">
        <f>TEXT(3633, "[$-060000]yyyy-mm-dd")</f>
        <v/>
      </c>
      <c r="D3634" t="inlineStr">
        <is>
          <t>1327-11-29</t>
        </is>
      </c>
    </row>
    <row r="3635">
      <c r="A3635" s="1" t="n">
        <v>3634</v>
      </c>
      <c r="B3635">
        <f>TEXT(3634, "[$-170000]yyyy-mm-dd")</f>
        <v/>
      </c>
      <c r="C3635">
        <f>TEXT(3634, "[$-060000]yyyy-mm-dd")</f>
        <v/>
      </c>
      <c r="D3635" t="inlineStr">
        <is>
          <t>1327-11-30</t>
        </is>
      </c>
    </row>
    <row r="3636">
      <c r="A3636" s="1" t="n">
        <v>3635</v>
      </c>
      <c r="B3636">
        <f>TEXT(3635, "[$-170000]yyyy-mm-dd")</f>
        <v/>
      </c>
      <c r="C3636">
        <f>TEXT(3635, "[$-060000]yyyy-mm-dd")</f>
        <v/>
      </c>
      <c r="D3636" t="inlineStr">
        <is>
          <t>1327-12-01</t>
        </is>
      </c>
    </row>
    <row r="3637">
      <c r="A3637" s="1" t="n">
        <v>3636</v>
      </c>
      <c r="B3637">
        <f>TEXT(3636, "[$-170000]yyyy-mm-dd")</f>
        <v/>
      </c>
      <c r="C3637">
        <f>TEXT(3636, "[$-060000]yyyy-mm-dd")</f>
        <v/>
      </c>
      <c r="D3637" t="inlineStr">
        <is>
          <t>1327-12-02</t>
        </is>
      </c>
    </row>
    <row r="3638">
      <c r="A3638" s="1" t="n">
        <v>3637</v>
      </c>
      <c r="B3638">
        <f>TEXT(3637, "[$-170000]yyyy-mm-dd")</f>
        <v/>
      </c>
      <c r="C3638">
        <f>TEXT(3637, "[$-060000]yyyy-mm-dd")</f>
        <v/>
      </c>
      <c r="D3638" t="inlineStr">
        <is>
          <t>1327-12-03</t>
        </is>
      </c>
    </row>
    <row r="3639">
      <c r="A3639" s="1" t="n">
        <v>3638</v>
      </c>
      <c r="B3639">
        <f>TEXT(3638, "[$-170000]yyyy-mm-dd")</f>
        <v/>
      </c>
      <c r="C3639">
        <f>TEXT(3638, "[$-060000]yyyy-mm-dd")</f>
        <v/>
      </c>
      <c r="D3639" t="inlineStr">
        <is>
          <t>1327-12-04</t>
        </is>
      </c>
    </row>
    <row r="3640">
      <c r="A3640" s="1" t="n">
        <v>3639</v>
      </c>
      <c r="B3640">
        <f>TEXT(3639, "[$-170000]yyyy-mm-dd")</f>
        <v/>
      </c>
      <c r="C3640">
        <f>TEXT(3639, "[$-060000]yyyy-mm-dd")</f>
        <v/>
      </c>
      <c r="D3640" t="inlineStr">
        <is>
          <t>1327-12-05</t>
        </is>
      </c>
    </row>
    <row r="3641">
      <c r="A3641" s="1" t="n">
        <v>3640</v>
      </c>
      <c r="B3641">
        <f>TEXT(3640, "[$-170000]yyyy-mm-dd")</f>
        <v/>
      </c>
      <c r="C3641">
        <f>TEXT(3640, "[$-060000]yyyy-mm-dd")</f>
        <v/>
      </c>
      <c r="D3641" t="inlineStr">
        <is>
          <t>1327-12-06</t>
        </is>
      </c>
    </row>
    <row r="3642">
      <c r="A3642" s="1" t="n">
        <v>3641</v>
      </c>
      <c r="B3642">
        <f>TEXT(3641, "[$-170000]yyyy-mm-dd")</f>
        <v/>
      </c>
      <c r="C3642">
        <f>TEXT(3641, "[$-060000]yyyy-mm-dd")</f>
        <v/>
      </c>
      <c r="D3642" t="inlineStr">
        <is>
          <t>1327-12-07</t>
        </is>
      </c>
    </row>
    <row r="3643">
      <c r="A3643" s="1" t="n">
        <v>3642</v>
      </c>
      <c r="B3643">
        <f>TEXT(3642, "[$-170000]yyyy-mm-dd")</f>
        <v/>
      </c>
      <c r="C3643">
        <f>TEXT(3642, "[$-060000]yyyy-mm-dd")</f>
        <v/>
      </c>
      <c r="D3643" t="inlineStr">
        <is>
          <t>1327-12-08</t>
        </is>
      </c>
    </row>
    <row r="3644">
      <c r="A3644" s="1" t="n">
        <v>3643</v>
      </c>
      <c r="B3644">
        <f>TEXT(3643, "[$-170000]yyyy-mm-dd")</f>
        <v/>
      </c>
      <c r="C3644">
        <f>TEXT(3643, "[$-060000]yyyy-mm-dd")</f>
        <v/>
      </c>
      <c r="D3644" t="inlineStr">
        <is>
          <t>1327-12-09</t>
        </is>
      </c>
    </row>
    <row r="3645">
      <c r="A3645" s="1" t="n">
        <v>3644</v>
      </c>
      <c r="B3645">
        <f>TEXT(3644, "[$-170000]yyyy-mm-dd")</f>
        <v/>
      </c>
      <c r="C3645">
        <f>TEXT(3644, "[$-060000]yyyy-mm-dd")</f>
        <v/>
      </c>
      <c r="D3645" t="inlineStr">
        <is>
          <t>1327-12-10</t>
        </is>
      </c>
    </row>
    <row r="3646">
      <c r="A3646" s="1" t="n">
        <v>3645</v>
      </c>
      <c r="B3646">
        <f>TEXT(3645, "[$-170000]yyyy-mm-dd")</f>
        <v/>
      </c>
      <c r="C3646">
        <f>TEXT(3645, "[$-060000]yyyy-mm-dd")</f>
        <v/>
      </c>
      <c r="D3646" t="inlineStr">
        <is>
          <t>1327-12-11</t>
        </is>
      </c>
    </row>
    <row r="3647">
      <c r="A3647" s="1" t="n">
        <v>3646</v>
      </c>
      <c r="B3647">
        <f>TEXT(3646, "[$-170000]yyyy-mm-dd")</f>
        <v/>
      </c>
      <c r="C3647">
        <f>TEXT(3646, "[$-060000]yyyy-mm-dd")</f>
        <v/>
      </c>
      <c r="D3647" t="inlineStr">
        <is>
          <t>1327-12-12</t>
        </is>
      </c>
    </row>
    <row r="3648">
      <c r="A3648" s="1" t="n">
        <v>3647</v>
      </c>
      <c r="B3648">
        <f>TEXT(3647, "[$-170000]yyyy-mm-dd")</f>
        <v/>
      </c>
      <c r="C3648">
        <f>TEXT(3647, "[$-060000]yyyy-mm-dd")</f>
        <v/>
      </c>
      <c r="D3648" t="inlineStr">
        <is>
          <t>1327-12-13</t>
        </is>
      </c>
    </row>
    <row r="3649">
      <c r="A3649" s="1" t="n">
        <v>3648</v>
      </c>
      <c r="B3649">
        <f>TEXT(3648, "[$-170000]yyyy-mm-dd")</f>
        <v/>
      </c>
      <c r="C3649">
        <f>TEXT(3648, "[$-060000]yyyy-mm-dd")</f>
        <v/>
      </c>
      <c r="D3649" t="inlineStr">
        <is>
          <t>1327-12-14</t>
        </is>
      </c>
    </row>
    <row r="3650">
      <c r="A3650" s="1" t="n">
        <v>3649</v>
      </c>
      <c r="B3650">
        <f>TEXT(3649, "[$-170000]yyyy-mm-dd")</f>
        <v/>
      </c>
      <c r="C3650">
        <f>TEXT(3649, "[$-060000]yyyy-mm-dd")</f>
        <v/>
      </c>
      <c r="D3650" t="inlineStr">
        <is>
          <t>1327-12-15</t>
        </is>
      </c>
    </row>
    <row r="3651">
      <c r="A3651" s="1" t="n">
        <v>3650</v>
      </c>
      <c r="B3651">
        <f>TEXT(3650, "[$-170000]yyyy-mm-dd")</f>
        <v/>
      </c>
      <c r="C3651">
        <f>TEXT(3650, "[$-060000]yyyy-mm-dd")</f>
        <v/>
      </c>
      <c r="D3651" t="inlineStr">
        <is>
          <t>1327-12-16</t>
        </is>
      </c>
    </row>
    <row r="3652">
      <c r="A3652" s="1" t="n">
        <v>3651</v>
      </c>
      <c r="B3652">
        <f>TEXT(3651, "[$-170000]yyyy-mm-dd")</f>
        <v/>
      </c>
      <c r="C3652">
        <f>TEXT(3651, "[$-060000]yyyy-mm-dd")</f>
        <v/>
      </c>
      <c r="D3652" t="inlineStr">
        <is>
          <t>1327-12-17</t>
        </is>
      </c>
    </row>
    <row r="3653">
      <c r="A3653" s="1" t="n">
        <v>3652</v>
      </c>
      <c r="B3653">
        <f>TEXT(3652, "[$-170000]yyyy-mm-dd")</f>
        <v/>
      </c>
      <c r="C3653">
        <f>TEXT(3652, "[$-060000]yyyy-mm-dd")</f>
        <v/>
      </c>
      <c r="D3653" t="inlineStr">
        <is>
          <t>1327-12-18</t>
        </is>
      </c>
    </row>
    <row r="3654">
      <c r="A3654" s="1" t="n">
        <v>3653</v>
      </c>
      <c r="B3654">
        <f>TEXT(3653, "[$-170000]yyyy-mm-dd")</f>
        <v/>
      </c>
      <c r="C3654">
        <f>TEXT(3653, "[$-060000]yyyy-mm-dd")</f>
        <v/>
      </c>
      <c r="D3654" t="inlineStr">
        <is>
          <t>1327-12-19</t>
        </is>
      </c>
    </row>
    <row r="3655">
      <c r="A3655" s="1" t="n">
        <v>3654</v>
      </c>
      <c r="B3655">
        <f>TEXT(3654, "[$-170000]yyyy-mm-dd")</f>
        <v/>
      </c>
      <c r="C3655">
        <f>TEXT(3654, "[$-060000]yyyy-mm-dd")</f>
        <v/>
      </c>
      <c r="D3655" t="inlineStr">
        <is>
          <t>1327-12-20</t>
        </is>
      </c>
    </row>
    <row r="3656">
      <c r="A3656" s="1" t="n">
        <v>3655</v>
      </c>
      <c r="B3656">
        <f>TEXT(3655, "[$-170000]yyyy-mm-dd")</f>
        <v/>
      </c>
      <c r="C3656">
        <f>TEXT(3655, "[$-060000]yyyy-mm-dd")</f>
        <v/>
      </c>
      <c r="D3656" t="inlineStr">
        <is>
          <t>1327-12-21</t>
        </is>
      </c>
    </row>
    <row r="3657">
      <c r="A3657" s="1" t="n">
        <v>3656</v>
      </c>
      <c r="B3657">
        <f>TEXT(3656, "[$-170000]yyyy-mm-dd")</f>
        <v/>
      </c>
      <c r="C3657">
        <f>TEXT(3656, "[$-060000]yyyy-mm-dd")</f>
        <v/>
      </c>
      <c r="D3657" t="inlineStr">
        <is>
          <t>1327-12-22</t>
        </is>
      </c>
    </row>
    <row r="3658">
      <c r="A3658" s="1" t="n">
        <v>3657</v>
      </c>
      <c r="B3658">
        <f>TEXT(3657, "[$-170000]yyyy-mm-dd")</f>
        <v/>
      </c>
      <c r="C3658">
        <f>TEXT(3657, "[$-060000]yyyy-mm-dd")</f>
        <v/>
      </c>
      <c r="D3658" t="inlineStr">
        <is>
          <t>1327-12-23</t>
        </is>
      </c>
    </row>
    <row r="3659">
      <c r="A3659" s="1" t="n">
        <v>3658</v>
      </c>
      <c r="B3659">
        <f>TEXT(3658, "[$-170000]yyyy-mm-dd")</f>
        <v/>
      </c>
      <c r="C3659">
        <f>TEXT(3658, "[$-060000]yyyy-mm-dd")</f>
        <v/>
      </c>
      <c r="D3659" t="inlineStr">
        <is>
          <t>1327-12-24</t>
        </is>
      </c>
    </row>
    <row r="3660">
      <c r="A3660" s="1" t="n">
        <v>3659</v>
      </c>
      <c r="B3660">
        <f>TEXT(3659, "[$-170000]yyyy-mm-dd")</f>
        <v/>
      </c>
      <c r="C3660">
        <f>TEXT(3659, "[$-060000]yyyy-mm-dd")</f>
        <v/>
      </c>
      <c r="D3660" t="inlineStr">
        <is>
          <t>1327-12-25</t>
        </is>
      </c>
    </row>
    <row r="3661">
      <c r="A3661" s="1" t="n">
        <v>3660</v>
      </c>
      <c r="B3661">
        <f>TEXT(3660, "[$-170000]yyyy-mm-dd")</f>
        <v/>
      </c>
      <c r="C3661">
        <f>TEXT(3660, "[$-060000]yyyy-mm-dd")</f>
        <v/>
      </c>
      <c r="D3661" t="inlineStr">
        <is>
          <t>1327-12-26</t>
        </is>
      </c>
    </row>
    <row r="3662">
      <c r="A3662" s="1" t="n">
        <v>3661</v>
      </c>
      <c r="B3662">
        <f>TEXT(3661, "[$-170000]yyyy-mm-dd")</f>
        <v/>
      </c>
      <c r="C3662">
        <f>TEXT(3661, "[$-060000]yyyy-mm-dd")</f>
        <v/>
      </c>
      <c r="D3662" t="inlineStr">
        <is>
          <t>1327-12-27</t>
        </is>
      </c>
    </row>
    <row r="3663">
      <c r="A3663" s="1" t="n">
        <v>3662</v>
      </c>
      <c r="B3663">
        <f>TEXT(3662, "[$-170000]yyyy-mm-dd")</f>
        <v/>
      </c>
      <c r="C3663">
        <f>TEXT(3662, "[$-060000]yyyy-mm-dd")</f>
        <v/>
      </c>
      <c r="D3663" t="inlineStr">
        <is>
          <t>1327-12-28</t>
        </is>
      </c>
    </row>
    <row r="3664">
      <c r="A3664" s="1" t="n">
        <v>3663</v>
      </c>
      <c r="B3664">
        <f>TEXT(3663, "[$-170000]yyyy-mm-dd")</f>
        <v/>
      </c>
      <c r="C3664">
        <f>TEXT(3663, "[$-060000]yyyy-mm-dd")</f>
        <v/>
      </c>
      <c r="D3664" t="inlineStr">
        <is>
          <t>1327-12-29</t>
        </is>
      </c>
    </row>
    <row r="3665">
      <c r="A3665" s="1" t="n">
        <v>3664</v>
      </c>
      <c r="B3665">
        <f>TEXT(3664, "[$-170000]yyyy-mm-dd")</f>
        <v/>
      </c>
      <c r="C3665">
        <f>TEXT(3664, "[$-060000]yyyy-mm-dd")</f>
        <v/>
      </c>
      <c r="D3665" t="inlineStr">
        <is>
          <t>1327-12-30</t>
        </is>
      </c>
    </row>
    <row r="3666">
      <c r="A3666" s="1" t="n">
        <v>3665</v>
      </c>
      <c r="B3666">
        <f>TEXT(3665, "[$-170000]yyyy-mm-dd")</f>
        <v/>
      </c>
      <c r="C3666">
        <f>TEXT(3665, "[$-060000]yyyy-mm-dd")</f>
        <v/>
      </c>
      <c r="D3666" t="inlineStr">
        <is>
          <t>1328-01-01</t>
        </is>
      </c>
    </row>
    <row r="3667">
      <c r="A3667" s="1" t="n">
        <v>3666</v>
      </c>
      <c r="B3667">
        <f>TEXT(3666, "[$-170000]yyyy-mm-dd")</f>
        <v/>
      </c>
      <c r="C3667">
        <f>TEXT(3666, "[$-060000]yyyy-mm-dd")</f>
        <v/>
      </c>
      <c r="D3667" t="inlineStr">
        <is>
          <t>1328-01-02</t>
        </is>
      </c>
    </row>
    <row r="3668">
      <c r="A3668" s="1" t="n">
        <v>3667</v>
      </c>
      <c r="B3668">
        <f>TEXT(3667, "[$-170000]yyyy-mm-dd")</f>
        <v/>
      </c>
      <c r="C3668">
        <f>TEXT(3667, "[$-060000]yyyy-mm-dd")</f>
        <v/>
      </c>
      <c r="D3668" t="inlineStr">
        <is>
          <t>1328-01-03</t>
        </is>
      </c>
    </row>
    <row r="3669">
      <c r="A3669" s="1" t="n">
        <v>3668</v>
      </c>
      <c r="B3669">
        <f>TEXT(3668, "[$-170000]yyyy-mm-dd")</f>
        <v/>
      </c>
      <c r="C3669">
        <f>TEXT(3668, "[$-060000]yyyy-mm-dd")</f>
        <v/>
      </c>
      <c r="D3669" t="inlineStr">
        <is>
          <t>1328-01-04</t>
        </is>
      </c>
    </row>
    <row r="3670">
      <c r="A3670" s="1" t="n">
        <v>3669</v>
      </c>
      <c r="B3670">
        <f>TEXT(3669, "[$-170000]yyyy-mm-dd")</f>
        <v/>
      </c>
      <c r="C3670">
        <f>TEXT(3669, "[$-060000]yyyy-mm-dd")</f>
        <v/>
      </c>
      <c r="D3670" t="inlineStr">
        <is>
          <t>1328-01-05</t>
        </is>
      </c>
    </row>
    <row r="3671">
      <c r="A3671" s="1" t="n">
        <v>3670</v>
      </c>
      <c r="B3671">
        <f>TEXT(3670, "[$-170000]yyyy-mm-dd")</f>
        <v/>
      </c>
      <c r="C3671">
        <f>TEXT(3670, "[$-060000]yyyy-mm-dd")</f>
        <v/>
      </c>
      <c r="D3671" t="inlineStr">
        <is>
          <t>1328-01-06</t>
        </is>
      </c>
    </row>
    <row r="3672">
      <c r="A3672" s="1" t="n">
        <v>3671</v>
      </c>
      <c r="B3672">
        <f>TEXT(3671, "[$-170000]yyyy-mm-dd")</f>
        <v/>
      </c>
      <c r="C3672">
        <f>TEXT(3671, "[$-060000]yyyy-mm-dd")</f>
        <v/>
      </c>
      <c r="D3672" t="inlineStr">
        <is>
          <t>1328-01-07</t>
        </is>
      </c>
    </row>
    <row r="3673">
      <c r="A3673" s="1" t="n">
        <v>3672</v>
      </c>
      <c r="B3673">
        <f>TEXT(3672, "[$-170000]yyyy-mm-dd")</f>
        <v/>
      </c>
      <c r="C3673">
        <f>TEXT(3672, "[$-060000]yyyy-mm-dd")</f>
        <v/>
      </c>
      <c r="D3673" t="inlineStr">
        <is>
          <t>1328-01-08</t>
        </is>
      </c>
    </row>
    <row r="3674">
      <c r="A3674" s="1" t="n">
        <v>3673</v>
      </c>
      <c r="B3674">
        <f>TEXT(3673, "[$-170000]yyyy-mm-dd")</f>
        <v/>
      </c>
      <c r="C3674">
        <f>TEXT(3673, "[$-060000]yyyy-mm-dd")</f>
        <v/>
      </c>
      <c r="D3674" t="inlineStr">
        <is>
          <t>1328-01-09</t>
        </is>
      </c>
    </row>
    <row r="3675">
      <c r="A3675" s="1" t="n">
        <v>3674</v>
      </c>
      <c r="B3675">
        <f>TEXT(3674, "[$-170000]yyyy-mm-dd")</f>
        <v/>
      </c>
      <c r="C3675">
        <f>TEXT(3674, "[$-060000]yyyy-mm-dd")</f>
        <v/>
      </c>
      <c r="D3675" t="inlineStr">
        <is>
          <t>1328-01-10</t>
        </is>
      </c>
    </row>
    <row r="3676">
      <c r="A3676" s="1" t="n">
        <v>3675</v>
      </c>
      <c r="B3676">
        <f>TEXT(3675, "[$-170000]yyyy-mm-dd")</f>
        <v/>
      </c>
      <c r="C3676">
        <f>TEXT(3675, "[$-060000]yyyy-mm-dd")</f>
        <v/>
      </c>
      <c r="D3676" t="inlineStr">
        <is>
          <t>1328-01-11</t>
        </is>
      </c>
    </row>
    <row r="3677">
      <c r="A3677" s="1" t="n">
        <v>3676</v>
      </c>
      <c r="B3677">
        <f>TEXT(3676, "[$-170000]yyyy-mm-dd")</f>
        <v/>
      </c>
      <c r="C3677">
        <f>TEXT(3676, "[$-060000]yyyy-mm-dd")</f>
        <v/>
      </c>
      <c r="D3677" t="inlineStr">
        <is>
          <t>1328-01-12</t>
        </is>
      </c>
    </row>
    <row r="3678">
      <c r="A3678" s="1" t="n">
        <v>3677</v>
      </c>
      <c r="B3678">
        <f>TEXT(3677, "[$-170000]yyyy-mm-dd")</f>
        <v/>
      </c>
      <c r="C3678">
        <f>TEXT(3677, "[$-060000]yyyy-mm-dd")</f>
        <v/>
      </c>
      <c r="D3678" t="inlineStr">
        <is>
          <t>1328-01-13</t>
        </is>
      </c>
    </row>
    <row r="3679">
      <c r="A3679" s="1" t="n">
        <v>3678</v>
      </c>
      <c r="B3679">
        <f>TEXT(3678, "[$-170000]yyyy-mm-dd")</f>
        <v/>
      </c>
      <c r="C3679">
        <f>TEXT(3678, "[$-060000]yyyy-mm-dd")</f>
        <v/>
      </c>
      <c r="D3679" t="inlineStr">
        <is>
          <t>1328-01-14</t>
        </is>
      </c>
    </row>
    <row r="3680">
      <c r="A3680" s="1" t="n">
        <v>3679</v>
      </c>
      <c r="B3680">
        <f>TEXT(3679, "[$-170000]yyyy-mm-dd")</f>
        <v/>
      </c>
      <c r="C3680">
        <f>TEXT(3679, "[$-060000]yyyy-mm-dd")</f>
        <v/>
      </c>
      <c r="D3680" t="inlineStr">
        <is>
          <t>1328-01-15</t>
        </is>
      </c>
    </row>
    <row r="3681">
      <c r="A3681" s="1" t="n">
        <v>3680</v>
      </c>
      <c r="B3681">
        <f>TEXT(3680, "[$-170000]yyyy-mm-dd")</f>
        <v/>
      </c>
      <c r="C3681">
        <f>TEXT(3680, "[$-060000]yyyy-mm-dd")</f>
        <v/>
      </c>
      <c r="D3681" t="inlineStr">
        <is>
          <t>1328-01-16</t>
        </is>
      </c>
    </row>
    <row r="3682">
      <c r="A3682" s="1" t="n">
        <v>3681</v>
      </c>
      <c r="B3682">
        <f>TEXT(3681, "[$-170000]yyyy-mm-dd")</f>
        <v/>
      </c>
      <c r="C3682">
        <f>TEXT(3681, "[$-060000]yyyy-mm-dd")</f>
        <v/>
      </c>
      <c r="D3682" t="inlineStr">
        <is>
          <t>1328-01-17</t>
        </is>
      </c>
    </row>
    <row r="3683">
      <c r="A3683" s="1" t="n">
        <v>3682</v>
      </c>
      <c r="B3683">
        <f>TEXT(3682, "[$-170000]yyyy-mm-dd")</f>
        <v/>
      </c>
      <c r="C3683">
        <f>TEXT(3682, "[$-060000]yyyy-mm-dd")</f>
        <v/>
      </c>
      <c r="D3683" t="inlineStr">
        <is>
          <t>1328-01-18</t>
        </is>
      </c>
    </row>
    <row r="3684">
      <c r="A3684" s="1" t="n">
        <v>3683</v>
      </c>
      <c r="B3684">
        <f>TEXT(3683, "[$-170000]yyyy-mm-dd")</f>
        <v/>
      </c>
      <c r="C3684">
        <f>TEXT(3683, "[$-060000]yyyy-mm-dd")</f>
        <v/>
      </c>
      <c r="D3684" t="inlineStr">
        <is>
          <t>1328-01-19</t>
        </is>
      </c>
    </row>
    <row r="3685">
      <c r="A3685" s="1" t="n">
        <v>3684</v>
      </c>
      <c r="B3685">
        <f>TEXT(3684, "[$-170000]yyyy-mm-dd")</f>
        <v/>
      </c>
      <c r="C3685">
        <f>TEXT(3684, "[$-060000]yyyy-mm-dd")</f>
        <v/>
      </c>
      <c r="D3685" t="inlineStr">
        <is>
          <t>1328-01-20</t>
        </is>
      </c>
    </row>
    <row r="3686">
      <c r="A3686" s="1" t="n">
        <v>3685</v>
      </c>
      <c r="B3686">
        <f>TEXT(3685, "[$-170000]yyyy-mm-dd")</f>
        <v/>
      </c>
      <c r="C3686">
        <f>TEXT(3685, "[$-060000]yyyy-mm-dd")</f>
        <v/>
      </c>
      <c r="D3686" t="inlineStr">
        <is>
          <t>1328-01-21</t>
        </is>
      </c>
    </row>
    <row r="3687">
      <c r="A3687" s="1" t="n">
        <v>3686</v>
      </c>
      <c r="B3687">
        <f>TEXT(3686, "[$-170000]yyyy-mm-dd")</f>
        <v/>
      </c>
      <c r="C3687">
        <f>TEXT(3686, "[$-060000]yyyy-mm-dd")</f>
        <v/>
      </c>
      <c r="D3687" t="inlineStr">
        <is>
          <t>1328-01-22</t>
        </is>
      </c>
    </row>
    <row r="3688">
      <c r="A3688" s="1" t="n">
        <v>3687</v>
      </c>
      <c r="B3688">
        <f>TEXT(3687, "[$-170000]yyyy-mm-dd")</f>
        <v/>
      </c>
      <c r="C3688">
        <f>TEXT(3687, "[$-060000]yyyy-mm-dd")</f>
        <v/>
      </c>
      <c r="D3688" t="inlineStr">
        <is>
          <t>1328-01-23</t>
        </is>
      </c>
    </row>
    <row r="3689">
      <c r="A3689" s="1" t="n">
        <v>3688</v>
      </c>
      <c r="B3689">
        <f>TEXT(3688, "[$-170000]yyyy-mm-dd")</f>
        <v/>
      </c>
      <c r="C3689">
        <f>TEXT(3688, "[$-060000]yyyy-mm-dd")</f>
        <v/>
      </c>
      <c r="D3689" t="inlineStr">
        <is>
          <t>1328-01-24</t>
        </is>
      </c>
    </row>
    <row r="3690">
      <c r="A3690" s="1" t="n">
        <v>3689</v>
      </c>
      <c r="B3690">
        <f>TEXT(3689, "[$-170000]yyyy-mm-dd")</f>
        <v/>
      </c>
      <c r="C3690">
        <f>TEXT(3689, "[$-060000]yyyy-mm-dd")</f>
        <v/>
      </c>
      <c r="D3690" t="inlineStr">
        <is>
          <t>1328-01-25</t>
        </is>
      </c>
    </row>
    <row r="3691">
      <c r="A3691" s="1" t="n">
        <v>3690</v>
      </c>
      <c r="B3691">
        <f>TEXT(3690, "[$-170000]yyyy-mm-dd")</f>
        <v/>
      </c>
      <c r="C3691">
        <f>TEXT(3690, "[$-060000]yyyy-mm-dd")</f>
        <v/>
      </c>
      <c r="D3691" t="inlineStr">
        <is>
          <t>1328-01-26</t>
        </is>
      </c>
    </row>
    <row r="3692">
      <c r="A3692" s="1" t="n">
        <v>3691</v>
      </c>
      <c r="B3692">
        <f>TEXT(3691, "[$-170000]yyyy-mm-dd")</f>
        <v/>
      </c>
      <c r="C3692">
        <f>TEXT(3691, "[$-060000]yyyy-mm-dd")</f>
        <v/>
      </c>
      <c r="D3692" t="inlineStr">
        <is>
          <t>1328-01-27</t>
        </is>
      </c>
    </row>
    <row r="3693">
      <c r="A3693" s="1" t="n">
        <v>3692</v>
      </c>
      <c r="B3693">
        <f>TEXT(3692, "[$-170000]yyyy-mm-dd")</f>
        <v/>
      </c>
      <c r="C3693">
        <f>TEXT(3692, "[$-060000]yyyy-mm-dd")</f>
        <v/>
      </c>
      <c r="D3693" t="inlineStr">
        <is>
          <t>1328-01-28</t>
        </is>
      </c>
    </row>
    <row r="3694">
      <c r="A3694" s="1" t="n">
        <v>3693</v>
      </c>
      <c r="B3694">
        <f>TEXT(3693, "[$-170000]yyyy-mm-dd")</f>
        <v/>
      </c>
      <c r="C3694">
        <f>TEXT(3693, "[$-060000]yyyy-mm-dd")</f>
        <v/>
      </c>
      <c r="D3694" t="inlineStr">
        <is>
          <t>1328-01-29</t>
        </is>
      </c>
    </row>
    <row r="3695">
      <c r="A3695" s="1" t="n">
        <v>3694</v>
      </c>
      <c r="B3695">
        <f>TEXT(3694, "[$-170000]yyyy-mm-dd")</f>
        <v/>
      </c>
      <c r="C3695">
        <f>TEXT(3694, "[$-060000]yyyy-mm-dd")</f>
        <v/>
      </c>
      <c r="D3695" t="inlineStr">
        <is>
          <t>1328-01-30</t>
        </is>
      </c>
    </row>
    <row r="3696">
      <c r="A3696" s="1" t="n">
        <v>3695</v>
      </c>
      <c r="B3696">
        <f>TEXT(3695, "[$-170000]yyyy-mm-dd")</f>
        <v/>
      </c>
      <c r="C3696">
        <f>TEXT(3695, "[$-060000]yyyy-mm-dd")</f>
        <v/>
      </c>
      <c r="D3696" t="inlineStr">
        <is>
          <t>1328-02-01</t>
        </is>
      </c>
    </row>
    <row r="3697">
      <c r="A3697" s="1" t="n">
        <v>3696</v>
      </c>
      <c r="B3697">
        <f>TEXT(3696, "[$-170000]yyyy-mm-dd")</f>
        <v/>
      </c>
      <c r="C3697">
        <f>TEXT(3696, "[$-060000]yyyy-mm-dd")</f>
        <v/>
      </c>
      <c r="D3697" t="inlineStr">
        <is>
          <t>1328-02-02</t>
        </is>
      </c>
    </row>
    <row r="3698">
      <c r="A3698" s="1" t="n">
        <v>3697</v>
      </c>
      <c r="B3698">
        <f>TEXT(3697, "[$-170000]yyyy-mm-dd")</f>
        <v/>
      </c>
      <c r="C3698">
        <f>TEXT(3697, "[$-060000]yyyy-mm-dd")</f>
        <v/>
      </c>
      <c r="D3698" t="inlineStr">
        <is>
          <t>1328-02-03</t>
        </is>
      </c>
    </row>
    <row r="3699">
      <c r="A3699" s="1" t="n">
        <v>3698</v>
      </c>
      <c r="B3699">
        <f>TEXT(3698, "[$-170000]yyyy-mm-dd")</f>
        <v/>
      </c>
      <c r="C3699">
        <f>TEXT(3698, "[$-060000]yyyy-mm-dd")</f>
        <v/>
      </c>
      <c r="D3699" t="inlineStr">
        <is>
          <t>1328-02-04</t>
        </is>
      </c>
    </row>
    <row r="3700">
      <c r="A3700" s="1" t="n">
        <v>3699</v>
      </c>
      <c r="B3700">
        <f>TEXT(3699, "[$-170000]yyyy-mm-dd")</f>
        <v/>
      </c>
      <c r="C3700">
        <f>TEXT(3699, "[$-060000]yyyy-mm-dd")</f>
        <v/>
      </c>
      <c r="D3700" t="inlineStr">
        <is>
          <t>1328-02-05</t>
        </is>
      </c>
    </row>
    <row r="3701">
      <c r="A3701" s="1" t="n">
        <v>3700</v>
      </c>
      <c r="B3701">
        <f>TEXT(3700, "[$-170000]yyyy-mm-dd")</f>
        <v/>
      </c>
      <c r="C3701">
        <f>TEXT(3700, "[$-060000]yyyy-mm-dd")</f>
        <v/>
      </c>
      <c r="D3701" t="inlineStr">
        <is>
          <t>1328-02-06</t>
        </is>
      </c>
    </row>
    <row r="3702">
      <c r="A3702" s="1" t="n">
        <v>3701</v>
      </c>
      <c r="B3702">
        <f>TEXT(3701, "[$-170000]yyyy-mm-dd")</f>
        <v/>
      </c>
      <c r="C3702">
        <f>TEXT(3701, "[$-060000]yyyy-mm-dd")</f>
        <v/>
      </c>
      <c r="D3702" t="inlineStr">
        <is>
          <t>1328-02-07</t>
        </is>
      </c>
    </row>
    <row r="3703">
      <c r="A3703" s="1" t="n">
        <v>3702</v>
      </c>
      <c r="B3703">
        <f>TEXT(3702, "[$-170000]yyyy-mm-dd")</f>
        <v/>
      </c>
      <c r="C3703">
        <f>TEXT(3702, "[$-060000]yyyy-mm-dd")</f>
        <v/>
      </c>
      <c r="D3703" t="inlineStr">
        <is>
          <t>1328-02-08</t>
        </is>
      </c>
    </row>
    <row r="3704">
      <c r="A3704" s="1" t="n">
        <v>3703</v>
      </c>
      <c r="B3704">
        <f>TEXT(3703, "[$-170000]yyyy-mm-dd")</f>
        <v/>
      </c>
      <c r="C3704">
        <f>TEXT(3703, "[$-060000]yyyy-mm-dd")</f>
        <v/>
      </c>
      <c r="D3704" t="inlineStr">
        <is>
          <t>1328-02-09</t>
        </is>
      </c>
    </row>
    <row r="3705">
      <c r="A3705" s="1" t="n">
        <v>3704</v>
      </c>
      <c r="B3705">
        <f>TEXT(3704, "[$-170000]yyyy-mm-dd")</f>
        <v/>
      </c>
      <c r="C3705">
        <f>TEXT(3704, "[$-060000]yyyy-mm-dd")</f>
        <v/>
      </c>
      <c r="D3705" t="inlineStr">
        <is>
          <t>1328-02-10</t>
        </is>
      </c>
    </row>
    <row r="3706">
      <c r="A3706" s="1" t="n">
        <v>3705</v>
      </c>
      <c r="B3706">
        <f>TEXT(3705, "[$-170000]yyyy-mm-dd")</f>
        <v/>
      </c>
      <c r="C3706">
        <f>TEXT(3705, "[$-060000]yyyy-mm-dd")</f>
        <v/>
      </c>
      <c r="D3706" t="inlineStr">
        <is>
          <t>1328-02-11</t>
        </is>
      </c>
    </row>
    <row r="3707">
      <c r="A3707" s="1" t="n">
        <v>3706</v>
      </c>
      <c r="B3707">
        <f>TEXT(3706, "[$-170000]yyyy-mm-dd")</f>
        <v/>
      </c>
      <c r="C3707">
        <f>TEXT(3706, "[$-060000]yyyy-mm-dd")</f>
        <v/>
      </c>
      <c r="D3707" t="inlineStr">
        <is>
          <t>1328-02-12</t>
        </is>
      </c>
    </row>
    <row r="3708">
      <c r="A3708" s="1" t="n">
        <v>3707</v>
      </c>
      <c r="B3708">
        <f>TEXT(3707, "[$-170000]yyyy-mm-dd")</f>
        <v/>
      </c>
      <c r="C3708">
        <f>TEXT(3707, "[$-060000]yyyy-mm-dd")</f>
        <v/>
      </c>
      <c r="D3708" t="inlineStr">
        <is>
          <t>1328-02-13</t>
        </is>
      </c>
    </row>
    <row r="3709">
      <c r="A3709" s="1" t="n">
        <v>3708</v>
      </c>
      <c r="B3709">
        <f>TEXT(3708, "[$-170000]yyyy-mm-dd")</f>
        <v/>
      </c>
      <c r="C3709">
        <f>TEXT(3708, "[$-060000]yyyy-mm-dd")</f>
        <v/>
      </c>
      <c r="D3709" t="inlineStr">
        <is>
          <t>1328-02-14</t>
        </is>
      </c>
    </row>
    <row r="3710">
      <c r="A3710" s="1" t="n">
        <v>3709</v>
      </c>
      <c r="B3710">
        <f>TEXT(3709, "[$-170000]yyyy-mm-dd")</f>
        <v/>
      </c>
      <c r="C3710">
        <f>TEXT(3709, "[$-060000]yyyy-mm-dd")</f>
        <v/>
      </c>
      <c r="D3710" t="inlineStr">
        <is>
          <t>1328-02-15</t>
        </is>
      </c>
    </row>
    <row r="3711">
      <c r="A3711" s="1" t="n">
        <v>3710</v>
      </c>
      <c r="B3711">
        <f>TEXT(3710, "[$-170000]yyyy-mm-dd")</f>
        <v/>
      </c>
      <c r="C3711">
        <f>TEXT(3710, "[$-060000]yyyy-mm-dd")</f>
        <v/>
      </c>
      <c r="D3711" t="inlineStr">
        <is>
          <t>1328-02-16</t>
        </is>
      </c>
    </row>
    <row r="3712">
      <c r="A3712" s="1" t="n">
        <v>3711</v>
      </c>
      <c r="B3712">
        <f>TEXT(3711, "[$-170000]yyyy-mm-dd")</f>
        <v/>
      </c>
      <c r="C3712">
        <f>TEXT(3711, "[$-060000]yyyy-mm-dd")</f>
        <v/>
      </c>
      <c r="D3712" t="inlineStr">
        <is>
          <t>1328-02-17</t>
        </is>
      </c>
    </row>
    <row r="3713">
      <c r="A3713" s="1" t="n">
        <v>3712</v>
      </c>
      <c r="B3713">
        <f>TEXT(3712, "[$-170000]yyyy-mm-dd")</f>
        <v/>
      </c>
      <c r="C3713">
        <f>TEXT(3712, "[$-060000]yyyy-mm-dd")</f>
        <v/>
      </c>
      <c r="D3713" t="inlineStr">
        <is>
          <t>1328-02-18</t>
        </is>
      </c>
    </row>
    <row r="3714">
      <c r="A3714" s="1" t="n">
        <v>3713</v>
      </c>
      <c r="B3714">
        <f>TEXT(3713, "[$-170000]yyyy-mm-dd")</f>
        <v/>
      </c>
      <c r="C3714">
        <f>TEXT(3713, "[$-060000]yyyy-mm-dd")</f>
        <v/>
      </c>
      <c r="D3714" t="inlineStr">
        <is>
          <t>1328-02-19</t>
        </is>
      </c>
    </row>
    <row r="3715">
      <c r="A3715" s="1" t="n">
        <v>3714</v>
      </c>
      <c r="B3715">
        <f>TEXT(3714, "[$-170000]yyyy-mm-dd")</f>
        <v/>
      </c>
      <c r="C3715">
        <f>TEXT(3714, "[$-060000]yyyy-mm-dd")</f>
        <v/>
      </c>
      <c r="D3715" t="inlineStr">
        <is>
          <t>1328-02-20</t>
        </is>
      </c>
    </row>
    <row r="3716">
      <c r="A3716" s="1" t="n">
        <v>3715</v>
      </c>
      <c r="B3716">
        <f>TEXT(3715, "[$-170000]yyyy-mm-dd")</f>
        <v/>
      </c>
      <c r="C3716">
        <f>TEXT(3715, "[$-060000]yyyy-mm-dd")</f>
        <v/>
      </c>
      <c r="D3716" t="inlineStr">
        <is>
          <t>1328-02-21</t>
        </is>
      </c>
    </row>
    <row r="3717">
      <c r="A3717" s="1" t="n">
        <v>3716</v>
      </c>
      <c r="B3717">
        <f>TEXT(3716, "[$-170000]yyyy-mm-dd")</f>
        <v/>
      </c>
      <c r="C3717">
        <f>TEXT(3716, "[$-060000]yyyy-mm-dd")</f>
        <v/>
      </c>
      <c r="D3717" t="inlineStr">
        <is>
          <t>1328-02-22</t>
        </is>
      </c>
    </row>
    <row r="3718">
      <c r="A3718" s="1" t="n">
        <v>3717</v>
      </c>
      <c r="B3718">
        <f>TEXT(3717, "[$-170000]yyyy-mm-dd")</f>
        <v/>
      </c>
      <c r="C3718">
        <f>TEXT(3717, "[$-060000]yyyy-mm-dd")</f>
        <v/>
      </c>
      <c r="D3718" t="inlineStr">
        <is>
          <t>1328-02-23</t>
        </is>
      </c>
    </row>
    <row r="3719">
      <c r="A3719" s="1" t="n">
        <v>3718</v>
      </c>
      <c r="B3719">
        <f>TEXT(3718, "[$-170000]yyyy-mm-dd")</f>
        <v/>
      </c>
      <c r="C3719">
        <f>TEXT(3718, "[$-060000]yyyy-mm-dd")</f>
        <v/>
      </c>
      <c r="D3719" t="inlineStr">
        <is>
          <t>1328-02-24</t>
        </is>
      </c>
    </row>
    <row r="3720">
      <c r="A3720" s="1" t="n">
        <v>3719</v>
      </c>
      <c r="B3720">
        <f>TEXT(3719, "[$-170000]yyyy-mm-dd")</f>
        <v/>
      </c>
      <c r="C3720">
        <f>TEXT(3719, "[$-060000]yyyy-mm-dd")</f>
        <v/>
      </c>
      <c r="D3720" t="inlineStr">
        <is>
          <t>1328-02-25</t>
        </is>
      </c>
    </row>
    <row r="3721">
      <c r="A3721" s="1" t="n">
        <v>3720</v>
      </c>
      <c r="B3721">
        <f>TEXT(3720, "[$-170000]yyyy-mm-dd")</f>
        <v/>
      </c>
      <c r="C3721">
        <f>TEXT(3720, "[$-060000]yyyy-mm-dd")</f>
        <v/>
      </c>
      <c r="D3721" t="inlineStr">
        <is>
          <t>1328-02-26</t>
        </is>
      </c>
    </row>
    <row r="3722">
      <c r="A3722" s="1" t="n">
        <v>3721</v>
      </c>
      <c r="B3722">
        <f>TEXT(3721, "[$-170000]yyyy-mm-dd")</f>
        <v/>
      </c>
      <c r="C3722">
        <f>TEXT(3721, "[$-060000]yyyy-mm-dd")</f>
        <v/>
      </c>
      <c r="D3722" t="inlineStr">
        <is>
          <t>1328-02-27</t>
        </is>
      </c>
    </row>
    <row r="3723">
      <c r="A3723" s="1" t="n">
        <v>3722</v>
      </c>
      <c r="B3723">
        <f>TEXT(3722, "[$-170000]yyyy-mm-dd")</f>
        <v/>
      </c>
      <c r="C3723">
        <f>TEXT(3722, "[$-060000]yyyy-mm-dd")</f>
        <v/>
      </c>
      <c r="D3723" t="inlineStr">
        <is>
          <t>1328-02-28</t>
        </is>
      </c>
    </row>
    <row r="3724">
      <c r="A3724" s="1" t="n">
        <v>3723</v>
      </c>
      <c r="B3724">
        <f>TEXT(3723, "[$-170000]yyyy-mm-dd")</f>
        <v/>
      </c>
      <c r="C3724">
        <f>TEXT(3723, "[$-060000]yyyy-mm-dd")</f>
        <v/>
      </c>
      <c r="D3724" t="inlineStr">
        <is>
          <t>1328-02-29</t>
        </is>
      </c>
    </row>
    <row r="3725">
      <c r="A3725" s="1" t="n">
        <v>3724</v>
      </c>
      <c r="B3725">
        <f>TEXT(3724, "[$-170000]yyyy-mm-dd")</f>
        <v/>
      </c>
      <c r="C3725">
        <f>TEXT(3724, "[$-060000]yyyy-mm-dd")</f>
        <v/>
      </c>
      <c r="D3725" t="inlineStr">
        <is>
          <t>1328-03-01</t>
        </is>
      </c>
    </row>
    <row r="3726">
      <c r="A3726" s="1" t="n">
        <v>3725</v>
      </c>
      <c r="B3726">
        <f>TEXT(3725, "[$-170000]yyyy-mm-dd")</f>
        <v/>
      </c>
      <c r="C3726">
        <f>TEXT(3725, "[$-060000]yyyy-mm-dd")</f>
        <v/>
      </c>
      <c r="D3726" t="inlineStr">
        <is>
          <t>1328-03-02</t>
        </is>
      </c>
    </row>
    <row r="3727">
      <c r="A3727" s="1" t="n">
        <v>3726</v>
      </c>
      <c r="B3727">
        <f>TEXT(3726, "[$-170000]yyyy-mm-dd")</f>
        <v/>
      </c>
      <c r="C3727">
        <f>TEXT(3726, "[$-060000]yyyy-mm-dd")</f>
        <v/>
      </c>
      <c r="D3727" t="inlineStr">
        <is>
          <t>1328-03-03</t>
        </is>
      </c>
    </row>
    <row r="3728">
      <c r="A3728" s="1" t="n">
        <v>3727</v>
      </c>
      <c r="B3728">
        <f>TEXT(3727, "[$-170000]yyyy-mm-dd")</f>
        <v/>
      </c>
      <c r="C3728">
        <f>TEXT(3727, "[$-060000]yyyy-mm-dd")</f>
        <v/>
      </c>
      <c r="D3728" t="inlineStr">
        <is>
          <t>1328-03-04</t>
        </is>
      </c>
    </row>
    <row r="3729">
      <c r="A3729" s="1" t="n">
        <v>3728</v>
      </c>
      <c r="B3729">
        <f>TEXT(3728, "[$-170000]yyyy-mm-dd")</f>
        <v/>
      </c>
      <c r="C3729">
        <f>TEXT(3728, "[$-060000]yyyy-mm-dd")</f>
        <v/>
      </c>
      <c r="D3729" t="inlineStr">
        <is>
          <t>1328-03-05</t>
        </is>
      </c>
    </row>
    <row r="3730">
      <c r="A3730" s="1" t="n">
        <v>3729</v>
      </c>
      <c r="B3730">
        <f>TEXT(3729, "[$-170000]yyyy-mm-dd")</f>
        <v/>
      </c>
      <c r="C3730">
        <f>TEXT(3729, "[$-060000]yyyy-mm-dd")</f>
        <v/>
      </c>
      <c r="D3730" t="inlineStr">
        <is>
          <t>1328-03-06</t>
        </is>
      </c>
    </row>
    <row r="3731">
      <c r="A3731" s="1" t="n">
        <v>3730</v>
      </c>
      <c r="B3731">
        <f>TEXT(3730, "[$-170000]yyyy-mm-dd")</f>
        <v/>
      </c>
      <c r="C3731">
        <f>TEXT(3730, "[$-060000]yyyy-mm-dd")</f>
        <v/>
      </c>
      <c r="D3731" t="inlineStr">
        <is>
          <t>1328-03-07</t>
        </is>
      </c>
    </row>
    <row r="3732">
      <c r="A3732" s="1" t="n">
        <v>3731</v>
      </c>
      <c r="B3732">
        <f>TEXT(3731, "[$-170000]yyyy-mm-dd")</f>
        <v/>
      </c>
      <c r="C3732">
        <f>TEXT(3731, "[$-060000]yyyy-mm-dd")</f>
        <v/>
      </c>
      <c r="D3732" t="inlineStr">
        <is>
          <t>1328-03-08</t>
        </is>
      </c>
    </row>
    <row r="3733">
      <c r="A3733" s="1" t="n">
        <v>3732</v>
      </c>
      <c r="B3733">
        <f>TEXT(3732, "[$-170000]yyyy-mm-dd")</f>
        <v/>
      </c>
      <c r="C3733">
        <f>TEXT(3732, "[$-060000]yyyy-mm-dd")</f>
        <v/>
      </c>
      <c r="D3733" t="inlineStr">
        <is>
          <t>1328-03-09</t>
        </is>
      </c>
    </row>
    <row r="3734">
      <c r="A3734" s="1" t="n">
        <v>3733</v>
      </c>
      <c r="B3734">
        <f>TEXT(3733, "[$-170000]yyyy-mm-dd")</f>
        <v/>
      </c>
      <c r="C3734">
        <f>TEXT(3733, "[$-060000]yyyy-mm-dd")</f>
        <v/>
      </c>
      <c r="D3734" t="inlineStr">
        <is>
          <t>1328-03-10</t>
        </is>
      </c>
    </row>
    <row r="3735">
      <c r="A3735" s="1" t="n">
        <v>3734</v>
      </c>
      <c r="B3735">
        <f>TEXT(3734, "[$-170000]yyyy-mm-dd")</f>
        <v/>
      </c>
      <c r="C3735">
        <f>TEXT(3734, "[$-060000]yyyy-mm-dd")</f>
        <v/>
      </c>
      <c r="D3735" t="inlineStr">
        <is>
          <t>1328-03-11</t>
        </is>
      </c>
    </row>
    <row r="3736">
      <c r="A3736" s="1" t="n">
        <v>3735</v>
      </c>
      <c r="B3736">
        <f>TEXT(3735, "[$-170000]yyyy-mm-dd")</f>
        <v/>
      </c>
      <c r="C3736">
        <f>TEXT(3735, "[$-060000]yyyy-mm-dd")</f>
        <v/>
      </c>
      <c r="D3736" t="inlineStr">
        <is>
          <t>1328-03-12</t>
        </is>
      </c>
    </row>
    <row r="3737">
      <c r="A3737" s="1" t="n">
        <v>3736</v>
      </c>
      <c r="B3737">
        <f>TEXT(3736, "[$-170000]yyyy-mm-dd")</f>
        <v/>
      </c>
      <c r="C3737">
        <f>TEXT(3736, "[$-060000]yyyy-mm-dd")</f>
        <v/>
      </c>
      <c r="D3737" t="inlineStr">
        <is>
          <t>1328-03-13</t>
        </is>
      </c>
    </row>
    <row r="3738">
      <c r="A3738" s="1" t="n">
        <v>3737</v>
      </c>
      <c r="B3738">
        <f>TEXT(3737, "[$-170000]yyyy-mm-dd")</f>
        <v/>
      </c>
      <c r="C3738">
        <f>TEXT(3737, "[$-060000]yyyy-mm-dd")</f>
        <v/>
      </c>
      <c r="D3738" t="inlineStr">
        <is>
          <t>1328-03-14</t>
        </is>
      </c>
    </row>
    <row r="3739">
      <c r="A3739" s="1" t="n">
        <v>3738</v>
      </c>
      <c r="B3739">
        <f>TEXT(3738, "[$-170000]yyyy-mm-dd")</f>
        <v/>
      </c>
      <c r="C3739">
        <f>TEXT(3738, "[$-060000]yyyy-mm-dd")</f>
        <v/>
      </c>
      <c r="D3739" t="inlineStr">
        <is>
          <t>1328-03-15</t>
        </is>
      </c>
    </row>
    <row r="3740">
      <c r="A3740" s="1" t="n">
        <v>3739</v>
      </c>
      <c r="B3740">
        <f>TEXT(3739, "[$-170000]yyyy-mm-dd")</f>
        <v/>
      </c>
      <c r="C3740">
        <f>TEXT(3739, "[$-060000]yyyy-mm-dd")</f>
        <v/>
      </c>
      <c r="D3740" t="inlineStr">
        <is>
          <t>1328-03-16</t>
        </is>
      </c>
    </row>
    <row r="3741">
      <c r="A3741" s="1" t="n">
        <v>3740</v>
      </c>
      <c r="B3741">
        <f>TEXT(3740, "[$-170000]yyyy-mm-dd")</f>
        <v/>
      </c>
      <c r="C3741">
        <f>TEXT(3740, "[$-060000]yyyy-mm-dd")</f>
        <v/>
      </c>
      <c r="D3741" t="inlineStr">
        <is>
          <t>1328-03-17</t>
        </is>
      </c>
    </row>
    <row r="3742">
      <c r="A3742" s="1" t="n">
        <v>3741</v>
      </c>
      <c r="B3742">
        <f>TEXT(3741, "[$-170000]yyyy-mm-dd")</f>
        <v/>
      </c>
      <c r="C3742">
        <f>TEXT(3741, "[$-060000]yyyy-mm-dd")</f>
        <v/>
      </c>
      <c r="D3742" t="inlineStr">
        <is>
          <t>1328-03-18</t>
        </is>
      </c>
    </row>
    <row r="3743">
      <c r="A3743" s="1" t="n">
        <v>3742</v>
      </c>
      <c r="B3743">
        <f>TEXT(3742, "[$-170000]yyyy-mm-dd")</f>
        <v/>
      </c>
      <c r="C3743">
        <f>TEXT(3742, "[$-060000]yyyy-mm-dd")</f>
        <v/>
      </c>
      <c r="D3743" t="inlineStr">
        <is>
          <t>1328-03-19</t>
        </is>
      </c>
    </row>
    <row r="3744">
      <c r="A3744" s="1" t="n">
        <v>3743</v>
      </c>
      <c r="B3744">
        <f>TEXT(3743, "[$-170000]yyyy-mm-dd")</f>
        <v/>
      </c>
      <c r="C3744">
        <f>TEXT(3743, "[$-060000]yyyy-mm-dd")</f>
        <v/>
      </c>
      <c r="D3744" t="inlineStr">
        <is>
          <t>1328-03-20</t>
        </is>
      </c>
    </row>
    <row r="3745">
      <c r="A3745" s="1" t="n">
        <v>3744</v>
      </c>
      <c r="B3745">
        <f>TEXT(3744, "[$-170000]yyyy-mm-dd")</f>
        <v/>
      </c>
      <c r="C3745">
        <f>TEXT(3744, "[$-060000]yyyy-mm-dd")</f>
        <v/>
      </c>
      <c r="D3745" t="inlineStr">
        <is>
          <t>1328-03-21</t>
        </is>
      </c>
    </row>
    <row r="3746">
      <c r="A3746" s="1" t="n">
        <v>3745</v>
      </c>
      <c r="B3746">
        <f>TEXT(3745, "[$-170000]yyyy-mm-dd")</f>
        <v/>
      </c>
      <c r="C3746">
        <f>TEXT(3745, "[$-060000]yyyy-mm-dd")</f>
        <v/>
      </c>
      <c r="D3746" t="inlineStr">
        <is>
          <t>1328-03-22</t>
        </is>
      </c>
    </row>
    <row r="3747">
      <c r="A3747" s="1" t="n">
        <v>3746</v>
      </c>
      <c r="B3747">
        <f>TEXT(3746, "[$-170000]yyyy-mm-dd")</f>
        <v/>
      </c>
      <c r="C3747">
        <f>TEXT(3746, "[$-060000]yyyy-mm-dd")</f>
        <v/>
      </c>
      <c r="D3747" t="inlineStr">
        <is>
          <t>1328-03-23</t>
        </is>
      </c>
    </row>
    <row r="3748">
      <c r="A3748" s="1" t="n">
        <v>3747</v>
      </c>
      <c r="B3748">
        <f>TEXT(3747, "[$-170000]yyyy-mm-dd")</f>
        <v/>
      </c>
      <c r="C3748">
        <f>TEXT(3747, "[$-060000]yyyy-mm-dd")</f>
        <v/>
      </c>
      <c r="D3748" t="inlineStr">
        <is>
          <t>1328-03-24</t>
        </is>
      </c>
    </row>
    <row r="3749">
      <c r="A3749" s="1" t="n">
        <v>3748</v>
      </c>
      <c r="B3749">
        <f>TEXT(3748, "[$-170000]yyyy-mm-dd")</f>
        <v/>
      </c>
      <c r="C3749">
        <f>TEXT(3748, "[$-060000]yyyy-mm-dd")</f>
        <v/>
      </c>
      <c r="D3749" t="inlineStr">
        <is>
          <t>1328-03-25</t>
        </is>
      </c>
    </row>
    <row r="3750">
      <c r="A3750" s="1" t="n">
        <v>3749</v>
      </c>
      <c r="B3750">
        <f>TEXT(3749, "[$-170000]yyyy-mm-dd")</f>
        <v/>
      </c>
      <c r="C3750">
        <f>TEXT(3749, "[$-060000]yyyy-mm-dd")</f>
        <v/>
      </c>
      <c r="D3750" t="inlineStr">
        <is>
          <t>1328-03-26</t>
        </is>
      </c>
    </row>
    <row r="3751">
      <c r="A3751" s="1" t="n">
        <v>3750</v>
      </c>
      <c r="B3751">
        <f>TEXT(3750, "[$-170000]yyyy-mm-dd")</f>
        <v/>
      </c>
      <c r="C3751">
        <f>TEXT(3750, "[$-060000]yyyy-mm-dd")</f>
        <v/>
      </c>
      <c r="D3751" t="inlineStr">
        <is>
          <t>1328-03-27</t>
        </is>
      </c>
    </row>
    <row r="3752">
      <c r="A3752" s="1" t="n">
        <v>3751</v>
      </c>
      <c r="B3752">
        <f>TEXT(3751, "[$-170000]yyyy-mm-dd")</f>
        <v/>
      </c>
      <c r="C3752">
        <f>TEXT(3751, "[$-060000]yyyy-mm-dd")</f>
        <v/>
      </c>
      <c r="D3752" t="inlineStr">
        <is>
          <t>1328-03-28</t>
        </is>
      </c>
    </row>
    <row r="3753">
      <c r="A3753" s="1" t="n">
        <v>3752</v>
      </c>
      <c r="B3753">
        <f>TEXT(3752, "[$-170000]yyyy-mm-dd")</f>
        <v/>
      </c>
      <c r="C3753">
        <f>TEXT(3752, "[$-060000]yyyy-mm-dd")</f>
        <v/>
      </c>
      <c r="D3753" t="inlineStr">
        <is>
          <t>1328-03-29</t>
        </is>
      </c>
    </row>
    <row r="3754">
      <c r="A3754" s="1" t="n">
        <v>3753</v>
      </c>
      <c r="B3754">
        <f>TEXT(3753, "[$-170000]yyyy-mm-dd")</f>
        <v/>
      </c>
      <c r="C3754">
        <f>TEXT(3753, "[$-060000]yyyy-mm-dd")</f>
        <v/>
      </c>
      <c r="D3754" t="inlineStr">
        <is>
          <t>1328-03-30</t>
        </is>
      </c>
    </row>
    <row r="3755">
      <c r="A3755" s="1" t="n">
        <v>3754</v>
      </c>
      <c r="B3755">
        <f>TEXT(3754, "[$-170000]yyyy-mm-dd")</f>
        <v/>
      </c>
      <c r="C3755">
        <f>TEXT(3754, "[$-060000]yyyy-mm-dd")</f>
        <v/>
      </c>
      <c r="D3755" t="inlineStr">
        <is>
          <t>1328-04-01</t>
        </is>
      </c>
    </row>
    <row r="3756">
      <c r="A3756" s="1" t="n">
        <v>3755</v>
      </c>
      <c r="B3756">
        <f>TEXT(3755, "[$-170000]yyyy-mm-dd")</f>
        <v/>
      </c>
      <c r="C3756">
        <f>TEXT(3755, "[$-060000]yyyy-mm-dd")</f>
        <v/>
      </c>
      <c r="D3756" t="inlineStr">
        <is>
          <t>1328-04-02</t>
        </is>
      </c>
    </row>
    <row r="3757">
      <c r="A3757" s="1" t="n">
        <v>3756</v>
      </c>
      <c r="B3757">
        <f>TEXT(3756, "[$-170000]yyyy-mm-dd")</f>
        <v/>
      </c>
      <c r="C3757">
        <f>TEXT(3756, "[$-060000]yyyy-mm-dd")</f>
        <v/>
      </c>
      <c r="D3757" t="inlineStr">
        <is>
          <t>1328-04-03</t>
        </is>
      </c>
    </row>
    <row r="3758">
      <c r="A3758" s="1" t="n">
        <v>3757</v>
      </c>
      <c r="B3758">
        <f>TEXT(3757, "[$-170000]yyyy-mm-dd")</f>
        <v/>
      </c>
      <c r="C3758">
        <f>TEXT(3757, "[$-060000]yyyy-mm-dd")</f>
        <v/>
      </c>
      <c r="D3758" t="inlineStr">
        <is>
          <t>1328-04-04</t>
        </is>
      </c>
    </row>
    <row r="3759">
      <c r="A3759" s="1" t="n">
        <v>3758</v>
      </c>
      <c r="B3759">
        <f>TEXT(3758, "[$-170000]yyyy-mm-dd")</f>
        <v/>
      </c>
      <c r="C3759">
        <f>TEXT(3758, "[$-060000]yyyy-mm-dd")</f>
        <v/>
      </c>
      <c r="D3759" t="inlineStr">
        <is>
          <t>1328-04-05</t>
        </is>
      </c>
    </row>
    <row r="3760">
      <c r="A3760" s="1" t="n">
        <v>3759</v>
      </c>
      <c r="B3760">
        <f>TEXT(3759, "[$-170000]yyyy-mm-dd")</f>
        <v/>
      </c>
      <c r="C3760">
        <f>TEXT(3759, "[$-060000]yyyy-mm-dd")</f>
        <v/>
      </c>
      <c r="D3760" t="inlineStr">
        <is>
          <t>1328-04-06</t>
        </is>
      </c>
    </row>
    <row r="3761">
      <c r="A3761" s="1" t="n">
        <v>3760</v>
      </c>
      <c r="B3761">
        <f>TEXT(3760, "[$-170000]yyyy-mm-dd")</f>
        <v/>
      </c>
      <c r="C3761">
        <f>TEXT(3760, "[$-060000]yyyy-mm-dd")</f>
        <v/>
      </c>
      <c r="D3761" t="inlineStr">
        <is>
          <t>1328-04-07</t>
        </is>
      </c>
    </row>
    <row r="3762">
      <c r="A3762" s="1" t="n">
        <v>3761</v>
      </c>
      <c r="B3762">
        <f>TEXT(3761, "[$-170000]yyyy-mm-dd")</f>
        <v/>
      </c>
      <c r="C3762">
        <f>TEXT(3761, "[$-060000]yyyy-mm-dd")</f>
        <v/>
      </c>
      <c r="D3762" t="inlineStr">
        <is>
          <t>1328-04-08</t>
        </is>
      </c>
    </row>
    <row r="3763">
      <c r="A3763" s="1" t="n">
        <v>3762</v>
      </c>
      <c r="B3763">
        <f>TEXT(3762, "[$-170000]yyyy-mm-dd")</f>
        <v/>
      </c>
      <c r="C3763">
        <f>TEXT(3762, "[$-060000]yyyy-mm-dd")</f>
        <v/>
      </c>
      <c r="D3763" t="inlineStr">
        <is>
          <t>1328-04-09</t>
        </is>
      </c>
    </row>
    <row r="3764">
      <c r="A3764" s="1" t="n">
        <v>3763</v>
      </c>
      <c r="B3764">
        <f>TEXT(3763, "[$-170000]yyyy-mm-dd")</f>
        <v/>
      </c>
      <c r="C3764">
        <f>TEXT(3763, "[$-060000]yyyy-mm-dd")</f>
        <v/>
      </c>
      <c r="D3764" t="inlineStr">
        <is>
          <t>1328-04-10</t>
        </is>
      </c>
    </row>
    <row r="3765">
      <c r="A3765" s="1" t="n">
        <v>3764</v>
      </c>
      <c r="B3765">
        <f>TEXT(3764, "[$-170000]yyyy-mm-dd")</f>
        <v/>
      </c>
      <c r="C3765">
        <f>TEXT(3764, "[$-060000]yyyy-mm-dd")</f>
        <v/>
      </c>
      <c r="D3765" t="inlineStr">
        <is>
          <t>1328-04-11</t>
        </is>
      </c>
    </row>
    <row r="3766">
      <c r="A3766" s="1" t="n">
        <v>3765</v>
      </c>
      <c r="B3766">
        <f>TEXT(3765, "[$-170000]yyyy-mm-dd")</f>
        <v/>
      </c>
      <c r="C3766">
        <f>TEXT(3765, "[$-060000]yyyy-mm-dd")</f>
        <v/>
      </c>
      <c r="D3766" t="inlineStr">
        <is>
          <t>1328-04-12</t>
        </is>
      </c>
    </row>
    <row r="3767">
      <c r="A3767" s="1" t="n">
        <v>3766</v>
      </c>
      <c r="B3767">
        <f>TEXT(3766, "[$-170000]yyyy-mm-dd")</f>
        <v/>
      </c>
      <c r="C3767">
        <f>TEXT(3766, "[$-060000]yyyy-mm-dd")</f>
        <v/>
      </c>
      <c r="D3767" t="inlineStr">
        <is>
          <t>1328-04-13</t>
        </is>
      </c>
    </row>
    <row r="3768">
      <c r="A3768" s="1" t="n">
        <v>3767</v>
      </c>
      <c r="B3768">
        <f>TEXT(3767, "[$-170000]yyyy-mm-dd")</f>
        <v/>
      </c>
      <c r="C3768">
        <f>TEXT(3767, "[$-060000]yyyy-mm-dd")</f>
        <v/>
      </c>
      <c r="D3768" t="inlineStr">
        <is>
          <t>1328-04-14</t>
        </is>
      </c>
    </row>
    <row r="3769">
      <c r="A3769" s="1" t="n">
        <v>3768</v>
      </c>
      <c r="B3769">
        <f>TEXT(3768, "[$-170000]yyyy-mm-dd")</f>
        <v/>
      </c>
      <c r="C3769">
        <f>TEXT(3768, "[$-060000]yyyy-mm-dd")</f>
        <v/>
      </c>
      <c r="D3769" t="inlineStr">
        <is>
          <t>1328-04-15</t>
        </is>
      </c>
    </row>
    <row r="3770">
      <c r="A3770" s="1" t="n">
        <v>3769</v>
      </c>
      <c r="B3770">
        <f>TEXT(3769, "[$-170000]yyyy-mm-dd")</f>
        <v/>
      </c>
      <c r="C3770">
        <f>TEXT(3769, "[$-060000]yyyy-mm-dd")</f>
        <v/>
      </c>
      <c r="D3770" t="inlineStr">
        <is>
          <t>1328-04-16</t>
        </is>
      </c>
    </row>
    <row r="3771">
      <c r="A3771" s="1" t="n">
        <v>3770</v>
      </c>
      <c r="B3771">
        <f>TEXT(3770, "[$-170000]yyyy-mm-dd")</f>
        <v/>
      </c>
      <c r="C3771">
        <f>TEXT(3770, "[$-060000]yyyy-mm-dd")</f>
        <v/>
      </c>
      <c r="D3771" t="inlineStr">
        <is>
          <t>1328-04-17</t>
        </is>
      </c>
    </row>
    <row r="3772">
      <c r="A3772" s="1" t="n">
        <v>3771</v>
      </c>
      <c r="B3772">
        <f>TEXT(3771, "[$-170000]yyyy-mm-dd")</f>
        <v/>
      </c>
      <c r="C3772">
        <f>TEXT(3771, "[$-060000]yyyy-mm-dd")</f>
        <v/>
      </c>
      <c r="D3772" t="inlineStr">
        <is>
          <t>1328-04-18</t>
        </is>
      </c>
    </row>
    <row r="3773">
      <c r="A3773" s="1" t="n">
        <v>3772</v>
      </c>
      <c r="B3773">
        <f>TEXT(3772, "[$-170000]yyyy-mm-dd")</f>
        <v/>
      </c>
      <c r="C3773">
        <f>TEXT(3772, "[$-060000]yyyy-mm-dd")</f>
        <v/>
      </c>
      <c r="D3773" t="inlineStr">
        <is>
          <t>1328-04-19</t>
        </is>
      </c>
    </row>
    <row r="3774">
      <c r="A3774" s="1" t="n">
        <v>3773</v>
      </c>
      <c r="B3774">
        <f>TEXT(3773, "[$-170000]yyyy-mm-dd")</f>
        <v/>
      </c>
      <c r="C3774">
        <f>TEXT(3773, "[$-060000]yyyy-mm-dd")</f>
        <v/>
      </c>
      <c r="D3774" t="inlineStr">
        <is>
          <t>1328-04-20</t>
        </is>
      </c>
    </row>
    <row r="3775">
      <c r="A3775" s="1" t="n">
        <v>3774</v>
      </c>
      <c r="B3775">
        <f>TEXT(3774, "[$-170000]yyyy-mm-dd")</f>
        <v/>
      </c>
      <c r="C3775">
        <f>TEXT(3774, "[$-060000]yyyy-mm-dd")</f>
        <v/>
      </c>
      <c r="D3775" t="inlineStr">
        <is>
          <t>1328-04-21</t>
        </is>
      </c>
    </row>
    <row r="3776">
      <c r="A3776" s="1" t="n">
        <v>3775</v>
      </c>
      <c r="B3776">
        <f>TEXT(3775, "[$-170000]yyyy-mm-dd")</f>
        <v/>
      </c>
      <c r="C3776">
        <f>TEXT(3775, "[$-060000]yyyy-mm-dd")</f>
        <v/>
      </c>
      <c r="D3776" t="inlineStr">
        <is>
          <t>1328-04-22</t>
        </is>
      </c>
    </row>
    <row r="3777">
      <c r="A3777" s="1" t="n">
        <v>3776</v>
      </c>
      <c r="B3777">
        <f>TEXT(3776, "[$-170000]yyyy-mm-dd")</f>
        <v/>
      </c>
      <c r="C3777">
        <f>TEXT(3776, "[$-060000]yyyy-mm-dd")</f>
        <v/>
      </c>
      <c r="D3777" t="inlineStr">
        <is>
          <t>1328-04-23</t>
        </is>
      </c>
    </row>
    <row r="3778">
      <c r="A3778" s="1" t="n">
        <v>3777</v>
      </c>
      <c r="B3778">
        <f>TEXT(3777, "[$-170000]yyyy-mm-dd")</f>
        <v/>
      </c>
      <c r="C3778">
        <f>TEXT(3777, "[$-060000]yyyy-mm-dd")</f>
        <v/>
      </c>
      <c r="D3778" t="inlineStr">
        <is>
          <t>1328-04-24</t>
        </is>
      </c>
    </row>
    <row r="3779">
      <c r="A3779" s="1" t="n">
        <v>3778</v>
      </c>
      <c r="B3779">
        <f>TEXT(3778, "[$-170000]yyyy-mm-dd")</f>
        <v/>
      </c>
      <c r="C3779">
        <f>TEXT(3778, "[$-060000]yyyy-mm-dd")</f>
        <v/>
      </c>
      <c r="D3779" t="inlineStr">
        <is>
          <t>1328-04-25</t>
        </is>
      </c>
    </row>
    <row r="3780">
      <c r="A3780" s="1" t="n">
        <v>3779</v>
      </c>
      <c r="B3780">
        <f>TEXT(3779, "[$-170000]yyyy-mm-dd")</f>
        <v/>
      </c>
      <c r="C3780">
        <f>TEXT(3779, "[$-060000]yyyy-mm-dd")</f>
        <v/>
      </c>
      <c r="D3780" t="inlineStr">
        <is>
          <t>1328-04-26</t>
        </is>
      </c>
    </row>
    <row r="3781">
      <c r="A3781" s="1" t="n">
        <v>3780</v>
      </c>
      <c r="B3781">
        <f>TEXT(3780, "[$-170000]yyyy-mm-dd")</f>
        <v/>
      </c>
      <c r="C3781">
        <f>TEXT(3780, "[$-060000]yyyy-mm-dd")</f>
        <v/>
      </c>
      <c r="D3781" t="inlineStr">
        <is>
          <t>1328-04-27</t>
        </is>
      </c>
    </row>
    <row r="3782">
      <c r="A3782" s="1" t="n">
        <v>3781</v>
      </c>
      <c r="B3782">
        <f>TEXT(3781, "[$-170000]yyyy-mm-dd")</f>
        <v/>
      </c>
      <c r="C3782">
        <f>TEXT(3781, "[$-060000]yyyy-mm-dd")</f>
        <v/>
      </c>
      <c r="D3782" t="inlineStr">
        <is>
          <t>1328-04-28</t>
        </is>
      </c>
    </row>
    <row r="3783">
      <c r="A3783" s="1" t="n">
        <v>3782</v>
      </c>
      <c r="B3783">
        <f>TEXT(3782, "[$-170000]yyyy-mm-dd")</f>
        <v/>
      </c>
      <c r="C3783">
        <f>TEXT(3782, "[$-060000]yyyy-mm-dd")</f>
        <v/>
      </c>
      <c r="D3783" t="inlineStr">
        <is>
          <t>1328-04-29</t>
        </is>
      </c>
    </row>
    <row r="3784">
      <c r="A3784" s="1" t="n">
        <v>3783</v>
      </c>
      <c r="B3784">
        <f>TEXT(3783, "[$-170000]yyyy-mm-dd")</f>
        <v/>
      </c>
      <c r="C3784">
        <f>TEXT(3783, "[$-060000]yyyy-mm-dd")</f>
        <v/>
      </c>
      <c r="D3784" t="inlineStr">
        <is>
          <t>1328-05-01</t>
        </is>
      </c>
    </row>
    <row r="3785">
      <c r="A3785" s="1" t="n">
        <v>3784</v>
      </c>
      <c r="B3785">
        <f>TEXT(3784, "[$-170000]yyyy-mm-dd")</f>
        <v/>
      </c>
      <c r="C3785">
        <f>TEXT(3784, "[$-060000]yyyy-mm-dd")</f>
        <v/>
      </c>
      <c r="D3785" t="inlineStr">
        <is>
          <t>1328-05-02</t>
        </is>
      </c>
    </row>
    <row r="3786">
      <c r="A3786" s="1" t="n">
        <v>3785</v>
      </c>
      <c r="B3786">
        <f>TEXT(3785, "[$-170000]yyyy-mm-dd")</f>
        <v/>
      </c>
      <c r="C3786">
        <f>TEXT(3785, "[$-060000]yyyy-mm-dd")</f>
        <v/>
      </c>
      <c r="D3786" t="inlineStr">
        <is>
          <t>1328-05-03</t>
        </is>
      </c>
    </row>
    <row r="3787">
      <c r="A3787" s="1" t="n">
        <v>3786</v>
      </c>
      <c r="B3787">
        <f>TEXT(3786, "[$-170000]yyyy-mm-dd")</f>
        <v/>
      </c>
      <c r="C3787">
        <f>TEXT(3786, "[$-060000]yyyy-mm-dd")</f>
        <v/>
      </c>
      <c r="D3787" t="inlineStr">
        <is>
          <t>1328-05-04</t>
        </is>
      </c>
    </row>
    <row r="3788">
      <c r="A3788" s="1" t="n">
        <v>3787</v>
      </c>
      <c r="B3788">
        <f>TEXT(3787, "[$-170000]yyyy-mm-dd")</f>
        <v/>
      </c>
      <c r="C3788">
        <f>TEXT(3787, "[$-060000]yyyy-mm-dd")</f>
        <v/>
      </c>
      <c r="D3788" t="inlineStr">
        <is>
          <t>1328-05-05</t>
        </is>
      </c>
    </row>
    <row r="3789">
      <c r="A3789" s="1" t="n">
        <v>3788</v>
      </c>
      <c r="B3789">
        <f>TEXT(3788, "[$-170000]yyyy-mm-dd")</f>
        <v/>
      </c>
      <c r="C3789">
        <f>TEXT(3788, "[$-060000]yyyy-mm-dd")</f>
        <v/>
      </c>
      <c r="D3789" t="inlineStr">
        <is>
          <t>1328-05-06</t>
        </is>
      </c>
    </row>
    <row r="3790">
      <c r="A3790" s="1" t="n">
        <v>3789</v>
      </c>
      <c r="B3790">
        <f>TEXT(3789, "[$-170000]yyyy-mm-dd")</f>
        <v/>
      </c>
      <c r="C3790">
        <f>TEXT(3789, "[$-060000]yyyy-mm-dd")</f>
        <v/>
      </c>
      <c r="D3790" t="inlineStr">
        <is>
          <t>1328-05-07</t>
        </is>
      </c>
    </row>
    <row r="3791">
      <c r="A3791" s="1" t="n">
        <v>3790</v>
      </c>
      <c r="B3791">
        <f>TEXT(3790, "[$-170000]yyyy-mm-dd")</f>
        <v/>
      </c>
      <c r="C3791">
        <f>TEXT(3790, "[$-060000]yyyy-mm-dd")</f>
        <v/>
      </c>
      <c r="D3791" t="inlineStr">
        <is>
          <t>1328-05-08</t>
        </is>
      </c>
    </row>
    <row r="3792">
      <c r="A3792" s="1" t="n">
        <v>3791</v>
      </c>
      <c r="B3792">
        <f>TEXT(3791, "[$-170000]yyyy-mm-dd")</f>
        <v/>
      </c>
      <c r="C3792">
        <f>TEXT(3791, "[$-060000]yyyy-mm-dd")</f>
        <v/>
      </c>
      <c r="D3792" t="inlineStr">
        <is>
          <t>1328-05-09</t>
        </is>
      </c>
    </row>
    <row r="3793">
      <c r="A3793" s="1" t="n">
        <v>3792</v>
      </c>
      <c r="B3793">
        <f>TEXT(3792, "[$-170000]yyyy-mm-dd")</f>
        <v/>
      </c>
      <c r="C3793">
        <f>TEXT(3792, "[$-060000]yyyy-mm-dd")</f>
        <v/>
      </c>
      <c r="D3793" t="inlineStr">
        <is>
          <t>1328-05-10</t>
        </is>
      </c>
    </row>
    <row r="3794">
      <c r="A3794" s="1" t="n">
        <v>3793</v>
      </c>
      <c r="B3794">
        <f>TEXT(3793, "[$-170000]yyyy-mm-dd")</f>
        <v/>
      </c>
      <c r="C3794">
        <f>TEXT(3793, "[$-060000]yyyy-mm-dd")</f>
        <v/>
      </c>
      <c r="D3794" t="inlineStr">
        <is>
          <t>1328-05-11</t>
        </is>
      </c>
    </row>
    <row r="3795">
      <c r="A3795" s="1" t="n">
        <v>3794</v>
      </c>
      <c r="B3795">
        <f>TEXT(3794, "[$-170000]yyyy-mm-dd")</f>
        <v/>
      </c>
      <c r="C3795">
        <f>TEXT(3794, "[$-060000]yyyy-mm-dd")</f>
        <v/>
      </c>
      <c r="D3795" t="inlineStr">
        <is>
          <t>1328-05-12</t>
        </is>
      </c>
    </row>
    <row r="3796">
      <c r="A3796" s="1" t="n">
        <v>3795</v>
      </c>
      <c r="B3796">
        <f>TEXT(3795, "[$-170000]yyyy-mm-dd")</f>
        <v/>
      </c>
      <c r="C3796">
        <f>TEXT(3795, "[$-060000]yyyy-mm-dd")</f>
        <v/>
      </c>
      <c r="D3796" t="inlineStr">
        <is>
          <t>1328-05-13</t>
        </is>
      </c>
    </row>
    <row r="3797">
      <c r="A3797" s="1" t="n">
        <v>3796</v>
      </c>
      <c r="B3797">
        <f>TEXT(3796, "[$-170000]yyyy-mm-dd")</f>
        <v/>
      </c>
      <c r="C3797">
        <f>TEXT(3796, "[$-060000]yyyy-mm-dd")</f>
        <v/>
      </c>
      <c r="D3797" t="inlineStr">
        <is>
          <t>1328-05-14</t>
        </is>
      </c>
    </row>
    <row r="3798">
      <c r="A3798" s="1" t="n">
        <v>3797</v>
      </c>
      <c r="B3798">
        <f>TEXT(3797, "[$-170000]yyyy-mm-dd")</f>
        <v/>
      </c>
      <c r="C3798">
        <f>TEXT(3797, "[$-060000]yyyy-mm-dd")</f>
        <v/>
      </c>
      <c r="D3798" t="inlineStr">
        <is>
          <t>1328-05-15</t>
        </is>
      </c>
    </row>
    <row r="3799">
      <c r="A3799" s="1" t="n">
        <v>3798</v>
      </c>
      <c r="B3799">
        <f>TEXT(3798, "[$-170000]yyyy-mm-dd")</f>
        <v/>
      </c>
      <c r="C3799">
        <f>TEXT(3798, "[$-060000]yyyy-mm-dd")</f>
        <v/>
      </c>
      <c r="D3799" t="inlineStr">
        <is>
          <t>1328-05-16</t>
        </is>
      </c>
    </row>
    <row r="3800">
      <c r="A3800" s="1" t="n">
        <v>3799</v>
      </c>
      <c r="B3800">
        <f>TEXT(3799, "[$-170000]yyyy-mm-dd")</f>
        <v/>
      </c>
      <c r="C3800">
        <f>TEXT(3799, "[$-060000]yyyy-mm-dd")</f>
        <v/>
      </c>
      <c r="D3800" t="inlineStr">
        <is>
          <t>1328-05-17</t>
        </is>
      </c>
    </row>
    <row r="3801">
      <c r="A3801" s="1" t="n">
        <v>3800</v>
      </c>
      <c r="B3801">
        <f>TEXT(3800, "[$-170000]yyyy-mm-dd")</f>
        <v/>
      </c>
      <c r="C3801">
        <f>TEXT(3800, "[$-060000]yyyy-mm-dd")</f>
        <v/>
      </c>
      <c r="D3801" t="inlineStr">
        <is>
          <t>1328-05-18</t>
        </is>
      </c>
    </row>
    <row r="3802">
      <c r="A3802" s="1" t="n">
        <v>3801</v>
      </c>
      <c r="B3802">
        <f>TEXT(3801, "[$-170000]yyyy-mm-dd")</f>
        <v/>
      </c>
      <c r="C3802">
        <f>TEXT(3801, "[$-060000]yyyy-mm-dd")</f>
        <v/>
      </c>
      <c r="D3802" t="inlineStr">
        <is>
          <t>1328-05-19</t>
        </is>
      </c>
    </row>
    <row r="3803">
      <c r="A3803" s="1" t="n">
        <v>3802</v>
      </c>
      <c r="B3803">
        <f>TEXT(3802, "[$-170000]yyyy-mm-dd")</f>
        <v/>
      </c>
      <c r="C3803">
        <f>TEXT(3802, "[$-060000]yyyy-mm-dd")</f>
        <v/>
      </c>
      <c r="D3803" t="inlineStr">
        <is>
          <t>1328-05-20</t>
        </is>
      </c>
    </row>
    <row r="3804">
      <c r="A3804" s="1" t="n">
        <v>3803</v>
      </c>
      <c r="B3804">
        <f>TEXT(3803, "[$-170000]yyyy-mm-dd")</f>
        <v/>
      </c>
      <c r="C3804">
        <f>TEXT(3803, "[$-060000]yyyy-mm-dd")</f>
        <v/>
      </c>
      <c r="D3804" t="inlineStr">
        <is>
          <t>1328-05-21</t>
        </is>
      </c>
    </row>
    <row r="3805">
      <c r="A3805" s="1" t="n">
        <v>3804</v>
      </c>
      <c r="B3805">
        <f>TEXT(3804, "[$-170000]yyyy-mm-dd")</f>
        <v/>
      </c>
      <c r="C3805">
        <f>TEXT(3804, "[$-060000]yyyy-mm-dd")</f>
        <v/>
      </c>
      <c r="D3805" t="inlineStr">
        <is>
          <t>1328-05-22</t>
        </is>
      </c>
    </row>
    <row r="3806">
      <c r="A3806" s="1" t="n">
        <v>3805</v>
      </c>
      <c r="B3806">
        <f>TEXT(3805, "[$-170000]yyyy-mm-dd")</f>
        <v/>
      </c>
      <c r="C3806">
        <f>TEXT(3805, "[$-060000]yyyy-mm-dd")</f>
        <v/>
      </c>
      <c r="D3806" t="inlineStr">
        <is>
          <t>1328-05-23</t>
        </is>
      </c>
    </row>
    <row r="3807">
      <c r="A3807" s="1" t="n">
        <v>3806</v>
      </c>
      <c r="B3807">
        <f>TEXT(3806, "[$-170000]yyyy-mm-dd")</f>
        <v/>
      </c>
      <c r="C3807">
        <f>TEXT(3806, "[$-060000]yyyy-mm-dd")</f>
        <v/>
      </c>
      <c r="D3807" t="inlineStr">
        <is>
          <t>1328-05-24</t>
        </is>
      </c>
    </row>
    <row r="3808">
      <c r="A3808" s="1" t="n">
        <v>3807</v>
      </c>
      <c r="B3808">
        <f>TEXT(3807, "[$-170000]yyyy-mm-dd")</f>
        <v/>
      </c>
      <c r="C3808">
        <f>TEXT(3807, "[$-060000]yyyy-mm-dd")</f>
        <v/>
      </c>
      <c r="D3808" t="inlineStr">
        <is>
          <t>1328-05-25</t>
        </is>
      </c>
    </row>
    <row r="3809">
      <c r="A3809" s="1" t="n">
        <v>3808</v>
      </c>
      <c r="B3809">
        <f>TEXT(3808, "[$-170000]yyyy-mm-dd")</f>
        <v/>
      </c>
      <c r="C3809">
        <f>TEXT(3808, "[$-060000]yyyy-mm-dd")</f>
        <v/>
      </c>
      <c r="D3809" t="inlineStr">
        <is>
          <t>1328-05-26</t>
        </is>
      </c>
    </row>
    <row r="3810">
      <c r="A3810" s="1" t="n">
        <v>3809</v>
      </c>
      <c r="B3810">
        <f>TEXT(3809, "[$-170000]yyyy-mm-dd")</f>
        <v/>
      </c>
      <c r="C3810">
        <f>TEXT(3809, "[$-060000]yyyy-mm-dd")</f>
        <v/>
      </c>
      <c r="D3810" t="inlineStr">
        <is>
          <t>1328-05-27</t>
        </is>
      </c>
    </row>
    <row r="3811">
      <c r="A3811" s="1" t="n">
        <v>3810</v>
      </c>
      <c r="B3811">
        <f>TEXT(3810, "[$-170000]yyyy-mm-dd")</f>
        <v/>
      </c>
      <c r="C3811">
        <f>TEXT(3810, "[$-060000]yyyy-mm-dd")</f>
        <v/>
      </c>
      <c r="D3811" t="inlineStr">
        <is>
          <t>1328-05-28</t>
        </is>
      </c>
    </row>
    <row r="3812">
      <c r="A3812" s="1" t="n">
        <v>3811</v>
      </c>
      <c r="B3812">
        <f>TEXT(3811, "[$-170000]yyyy-mm-dd")</f>
        <v/>
      </c>
      <c r="C3812">
        <f>TEXT(3811, "[$-060000]yyyy-mm-dd")</f>
        <v/>
      </c>
      <c r="D3812" t="inlineStr">
        <is>
          <t>1328-05-29</t>
        </is>
      </c>
    </row>
    <row r="3813">
      <c r="A3813" s="1" t="n">
        <v>3812</v>
      </c>
      <c r="B3813">
        <f>TEXT(3812, "[$-170000]yyyy-mm-dd")</f>
        <v/>
      </c>
      <c r="C3813">
        <f>TEXT(3812, "[$-060000]yyyy-mm-dd")</f>
        <v/>
      </c>
      <c r="D3813" t="inlineStr">
        <is>
          <t>1328-05-30</t>
        </is>
      </c>
    </row>
    <row r="3814">
      <c r="A3814" s="1" t="n">
        <v>3813</v>
      </c>
      <c r="B3814">
        <f>TEXT(3813, "[$-170000]yyyy-mm-dd")</f>
        <v/>
      </c>
      <c r="C3814">
        <f>TEXT(3813, "[$-060000]yyyy-mm-dd")</f>
        <v/>
      </c>
      <c r="D3814" t="inlineStr">
        <is>
          <t>1328-06-01</t>
        </is>
      </c>
    </row>
    <row r="3815">
      <c r="A3815" s="1" t="n">
        <v>3814</v>
      </c>
      <c r="B3815">
        <f>TEXT(3814, "[$-170000]yyyy-mm-dd")</f>
        <v/>
      </c>
      <c r="C3815">
        <f>TEXT(3814, "[$-060000]yyyy-mm-dd")</f>
        <v/>
      </c>
      <c r="D3815" t="inlineStr">
        <is>
          <t>1328-06-02</t>
        </is>
      </c>
    </row>
    <row r="3816">
      <c r="A3816" s="1" t="n">
        <v>3815</v>
      </c>
      <c r="B3816">
        <f>TEXT(3815, "[$-170000]yyyy-mm-dd")</f>
        <v/>
      </c>
      <c r="C3816">
        <f>TEXT(3815, "[$-060000]yyyy-mm-dd")</f>
        <v/>
      </c>
      <c r="D3816" t="inlineStr">
        <is>
          <t>1328-06-03</t>
        </is>
      </c>
    </row>
    <row r="3817">
      <c r="A3817" s="1" t="n">
        <v>3816</v>
      </c>
      <c r="B3817">
        <f>TEXT(3816, "[$-170000]yyyy-mm-dd")</f>
        <v/>
      </c>
      <c r="C3817">
        <f>TEXT(3816, "[$-060000]yyyy-mm-dd")</f>
        <v/>
      </c>
      <c r="D3817" t="inlineStr">
        <is>
          <t>1328-06-04</t>
        </is>
      </c>
    </row>
    <row r="3818">
      <c r="A3818" s="1" t="n">
        <v>3817</v>
      </c>
      <c r="B3818">
        <f>TEXT(3817, "[$-170000]yyyy-mm-dd")</f>
        <v/>
      </c>
      <c r="C3818">
        <f>TEXT(3817, "[$-060000]yyyy-mm-dd")</f>
        <v/>
      </c>
      <c r="D3818" t="inlineStr">
        <is>
          <t>1328-06-05</t>
        </is>
      </c>
    </row>
    <row r="3819">
      <c r="A3819" s="1" t="n">
        <v>3818</v>
      </c>
      <c r="B3819">
        <f>TEXT(3818, "[$-170000]yyyy-mm-dd")</f>
        <v/>
      </c>
      <c r="C3819">
        <f>TEXT(3818, "[$-060000]yyyy-mm-dd")</f>
        <v/>
      </c>
      <c r="D3819" t="inlineStr">
        <is>
          <t>1328-06-06</t>
        </is>
      </c>
    </row>
    <row r="3820">
      <c r="A3820" s="1" t="n">
        <v>3819</v>
      </c>
      <c r="B3820">
        <f>TEXT(3819, "[$-170000]yyyy-mm-dd")</f>
        <v/>
      </c>
      <c r="C3820">
        <f>TEXT(3819, "[$-060000]yyyy-mm-dd")</f>
        <v/>
      </c>
      <c r="D3820" t="inlineStr">
        <is>
          <t>1328-06-07</t>
        </is>
      </c>
    </row>
    <row r="3821">
      <c r="A3821" s="1" t="n">
        <v>3820</v>
      </c>
      <c r="B3821">
        <f>TEXT(3820, "[$-170000]yyyy-mm-dd")</f>
        <v/>
      </c>
      <c r="C3821">
        <f>TEXT(3820, "[$-060000]yyyy-mm-dd")</f>
        <v/>
      </c>
      <c r="D3821" t="inlineStr">
        <is>
          <t>1328-06-08</t>
        </is>
      </c>
    </row>
    <row r="3822">
      <c r="A3822" s="1" t="n">
        <v>3821</v>
      </c>
      <c r="B3822">
        <f>TEXT(3821, "[$-170000]yyyy-mm-dd")</f>
        <v/>
      </c>
      <c r="C3822">
        <f>TEXT(3821, "[$-060000]yyyy-mm-dd")</f>
        <v/>
      </c>
      <c r="D3822" t="inlineStr">
        <is>
          <t>1328-06-09</t>
        </is>
      </c>
    </row>
    <row r="3823">
      <c r="A3823" s="1" t="n">
        <v>3822</v>
      </c>
      <c r="B3823">
        <f>TEXT(3822, "[$-170000]yyyy-mm-dd")</f>
        <v/>
      </c>
      <c r="C3823">
        <f>TEXT(3822, "[$-060000]yyyy-mm-dd")</f>
        <v/>
      </c>
      <c r="D3823" t="inlineStr">
        <is>
          <t>1328-06-10</t>
        </is>
      </c>
    </row>
    <row r="3824">
      <c r="A3824" s="1" t="n">
        <v>3823</v>
      </c>
      <c r="B3824">
        <f>TEXT(3823, "[$-170000]yyyy-mm-dd")</f>
        <v/>
      </c>
      <c r="C3824">
        <f>TEXT(3823, "[$-060000]yyyy-mm-dd")</f>
        <v/>
      </c>
      <c r="D3824" t="inlineStr">
        <is>
          <t>1328-06-11</t>
        </is>
      </c>
    </row>
    <row r="3825">
      <c r="A3825" s="1" t="n">
        <v>3824</v>
      </c>
      <c r="B3825">
        <f>TEXT(3824, "[$-170000]yyyy-mm-dd")</f>
        <v/>
      </c>
      <c r="C3825">
        <f>TEXT(3824, "[$-060000]yyyy-mm-dd")</f>
        <v/>
      </c>
      <c r="D3825" t="inlineStr">
        <is>
          <t>1328-06-12</t>
        </is>
      </c>
    </row>
    <row r="3826">
      <c r="A3826" s="1" t="n">
        <v>3825</v>
      </c>
      <c r="B3826">
        <f>TEXT(3825, "[$-170000]yyyy-mm-dd")</f>
        <v/>
      </c>
      <c r="C3826">
        <f>TEXT(3825, "[$-060000]yyyy-mm-dd")</f>
        <v/>
      </c>
      <c r="D3826" t="inlineStr">
        <is>
          <t>1328-06-13</t>
        </is>
      </c>
    </row>
    <row r="3827">
      <c r="A3827" s="1" t="n">
        <v>3826</v>
      </c>
      <c r="B3827">
        <f>TEXT(3826, "[$-170000]yyyy-mm-dd")</f>
        <v/>
      </c>
      <c r="C3827">
        <f>TEXT(3826, "[$-060000]yyyy-mm-dd")</f>
        <v/>
      </c>
      <c r="D3827" t="inlineStr">
        <is>
          <t>1328-06-14</t>
        </is>
      </c>
    </row>
    <row r="3828">
      <c r="A3828" s="1" t="n">
        <v>3827</v>
      </c>
      <c r="B3828">
        <f>TEXT(3827, "[$-170000]yyyy-mm-dd")</f>
        <v/>
      </c>
      <c r="C3828">
        <f>TEXT(3827, "[$-060000]yyyy-mm-dd")</f>
        <v/>
      </c>
      <c r="D3828" t="inlineStr">
        <is>
          <t>1328-06-15</t>
        </is>
      </c>
    </row>
    <row r="3829">
      <c r="A3829" s="1" t="n">
        <v>3828</v>
      </c>
      <c r="B3829">
        <f>TEXT(3828, "[$-170000]yyyy-mm-dd")</f>
        <v/>
      </c>
      <c r="C3829">
        <f>TEXT(3828, "[$-060000]yyyy-mm-dd")</f>
        <v/>
      </c>
      <c r="D3829" t="inlineStr">
        <is>
          <t>1328-06-16</t>
        </is>
      </c>
    </row>
    <row r="3830">
      <c r="A3830" s="1" t="n">
        <v>3829</v>
      </c>
      <c r="B3830">
        <f>TEXT(3829, "[$-170000]yyyy-mm-dd")</f>
        <v/>
      </c>
      <c r="C3830">
        <f>TEXT(3829, "[$-060000]yyyy-mm-dd")</f>
        <v/>
      </c>
      <c r="D3830" t="inlineStr">
        <is>
          <t>1328-06-17</t>
        </is>
      </c>
    </row>
    <row r="3831">
      <c r="A3831" s="1" t="n">
        <v>3830</v>
      </c>
      <c r="B3831">
        <f>TEXT(3830, "[$-170000]yyyy-mm-dd")</f>
        <v/>
      </c>
      <c r="C3831">
        <f>TEXT(3830, "[$-060000]yyyy-mm-dd")</f>
        <v/>
      </c>
      <c r="D3831" t="inlineStr">
        <is>
          <t>1328-06-18</t>
        </is>
      </c>
    </row>
    <row r="3832">
      <c r="A3832" s="1" t="n">
        <v>3831</v>
      </c>
      <c r="B3832">
        <f>TEXT(3831, "[$-170000]yyyy-mm-dd")</f>
        <v/>
      </c>
      <c r="C3832">
        <f>TEXT(3831, "[$-060000]yyyy-mm-dd")</f>
        <v/>
      </c>
      <c r="D3832" t="inlineStr">
        <is>
          <t>1328-06-19</t>
        </is>
      </c>
    </row>
    <row r="3833">
      <c r="A3833" s="1" t="n">
        <v>3832</v>
      </c>
      <c r="B3833">
        <f>TEXT(3832, "[$-170000]yyyy-mm-dd")</f>
        <v/>
      </c>
      <c r="C3833">
        <f>TEXT(3832, "[$-060000]yyyy-mm-dd")</f>
        <v/>
      </c>
      <c r="D3833" t="inlineStr">
        <is>
          <t>1328-06-20</t>
        </is>
      </c>
    </row>
    <row r="3834">
      <c r="A3834" s="1" t="n">
        <v>3833</v>
      </c>
      <c r="B3834">
        <f>TEXT(3833, "[$-170000]yyyy-mm-dd")</f>
        <v/>
      </c>
      <c r="C3834">
        <f>TEXT(3833, "[$-060000]yyyy-mm-dd")</f>
        <v/>
      </c>
      <c r="D3834" t="inlineStr">
        <is>
          <t>1328-06-21</t>
        </is>
      </c>
    </row>
    <row r="3835">
      <c r="A3835" s="1" t="n">
        <v>3834</v>
      </c>
      <c r="B3835">
        <f>TEXT(3834, "[$-170000]yyyy-mm-dd")</f>
        <v/>
      </c>
      <c r="C3835">
        <f>TEXT(3834, "[$-060000]yyyy-mm-dd")</f>
        <v/>
      </c>
      <c r="D3835" t="inlineStr">
        <is>
          <t>1328-06-22</t>
        </is>
      </c>
    </row>
    <row r="3836">
      <c r="A3836" s="1" t="n">
        <v>3835</v>
      </c>
      <c r="B3836">
        <f>TEXT(3835, "[$-170000]yyyy-mm-dd")</f>
        <v/>
      </c>
      <c r="C3836">
        <f>TEXT(3835, "[$-060000]yyyy-mm-dd")</f>
        <v/>
      </c>
      <c r="D3836" t="inlineStr">
        <is>
          <t>1328-06-23</t>
        </is>
      </c>
    </row>
    <row r="3837">
      <c r="A3837" s="1" t="n">
        <v>3836</v>
      </c>
      <c r="B3837">
        <f>TEXT(3836, "[$-170000]yyyy-mm-dd")</f>
        <v/>
      </c>
      <c r="C3837">
        <f>TEXT(3836, "[$-060000]yyyy-mm-dd")</f>
        <v/>
      </c>
      <c r="D3837" t="inlineStr">
        <is>
          <t>1328-06-24</t>
        </is>
      </c>
    </row>
    <row r="3838">
      <c r="A3838" s="1" t="n">
        <v>3837</v>
      </c>
      <c r="B3838">
        <f>TEXT(3837, "[$-170000]yyyy-mm-dd")</f>
        <v/>
      </c>
      <c r="C3838">
        <f>TEXT(3837, "[$-060000]yyyy-mm-dd")</f>
        <v/>
      </c>
      <c r="D3838" t="inlineStr">
        <is>
          <t>1328-06-25</t>
        </is>
      </c>
    </row>
    <row r="3839">
      <c r="A3839" s="1" t="n">
        <v>3838</v>
      </c>
      <c r="B3839">
        <f>TEXT(3838, "[$-170000]yyyy-mm-dd")</f>
        <v/>
      </c>
      <c r="C3839">
        <f>TEXT(3838, "[$-060000]yyyy-mm-dd")</f>
        <v/>
      </c>
      <c r="D3839" t="inlineStr">
        <is>
          <t>1328-06-26</t>
        </is>
      </c>
    </row>
    <row r="3840">
      <c r="A3840" s="1" t="n">
        <v>3839</v>
      </c>
      <c r="B3840">
        <f>TEXT(3839, "[$-170000]yyyy-mm-dd")</f>
        <v/>
      </c>
      <c r="C3840">
        <f>TEXT(3839, "[$-060000]yyyy-mm-dd")</f>
        <v/>
      </c>
      <c r="D3840" t="inlineStr">
        <is>
          <t>1328-06-27</t>
        </is>
      </c>
    </row>
    <row r="3841">
      <c r="A3841" s="1" t="n">
        <v>3840</v>
      </c>
      <c r="B3841">
        <f>TEXT(3840, "[$-170000]yyyy-mm-dd")</f>
        <v/>
      </c>
      <c r="C3841">
        <f>TEXT(3840, "[$-060000]yyyy-mm-dd")</f>
        <v/>
      </c>
      <c r="D3841" t="inlineStr">
        <is>
          <t>1328-06-28</t>
        </is>
      </c>
    </row>
    <row r="3842">
      <c r="A3842" s="1" t="n">
        <v>3841</v>
      </c>
      <c r="B3842">
        <f>TEXT(3841, "[$-170000]yyyy-mm-dd")</f>
        <v/>
      </c>
      <c r="C3842">
        <f>TEXT(3841, "[$-060000]yyyy-mm-dd")</f>
        <v/>
      </c>
      <c r="D3842" t="inlineStr">
        <is>
          <t>1328-06-29</t>
        </is>
      </c>
    </row>
    <row r="3843">
      <c r="A3843" s="1" t="n">
        <v>3842</v>
      </c>
      <c r="B3843">
        <f>TEXT(3842, "[$-170000]yyyy-mm-dd")</f>
        <v/>
      </c>
      <c r="C3843">
        <f>TEXT(3842, "[$-060000]yyyy-mm-dd")</f>
        <v/>
      </c>
      <c r="D3843" t="inlineStr">
        <is>
          <t>1328-07-01</t>
        </is>
      </c>
    </row>
    <row r="3844">
      <c r="A3844" s="1" t="n">
        <v>3843</v>
      </c>
      <c r="B3844">
        <f>TEXT(3843, "[$-170000]yyyy-mm-dd")</f>
        <v/>
      </c>
      <c r="C3844">
        <f>TEXT(3843, "[$-060000]yyyy-mm-dd")</f>
        <v/>
      </c>
      <c r="D3844" t="inlineStr">
        <is>
          <t>1328-07-02</t>
        </is>
      </c>
    </row>
    <row r="3845">
      <c r="A3845" s="1" t="n">
        <v>3844</v>
      </c>
      <c r="B3845">
        <f>TEXT(3844, "[$-170000]yyyy-mm-dd")</f>
        <v/>
      </c>
      <c r="C3845">
        <f>TEXT(3844, "[$-060000]yyyy-mm-dd")</f>
        <v/>
      </c>
      <c r="D3845" t="inlineStr">
        <is>
          <t>1328-07-03</t>
        </is>
      </c>
    </row>
    <row r="3846">
      <c r="A3846" s="1" t="n">
        <v>3845</v>
      </c>
      <c r="B3846">
        <f>TEXT(3845, "[$-170000]yyyy-mm-dd")</f>
        <v/>
      </c>
      <c r="C3846">
        <f>TEXT(3845, "[$-060000]yyyy-mm-dd")</f>
        <v/>
      </c>
      <c r="D3846" t="inlineStr">
        <is>
          <t>1328-07-04</t>
        </is>
      </c>
    </row>
    <row r="3847">
      <c r="A3847" s="1" t="n">
        <v>3846</v>
      </c>
      <c r="B3847">
        <f>TEXT(3846, "[$-170000]yyyy-mm-dd")</f>
        <v/>
      </c>
      <c r="C3847">
        <f>TEXT(3846, "[$-060000]yyyy-mm-dd")</f>
        <v/>
      </c>
      <c r="D3847" t="inlineStr">
        <is>
          <t>1328-07-05</t>
        </is>
      </c>
    </row>
    <row r="3848">
      <c r="A3848" s="1" t="n">
        <v>3847</v>
      </c>
      <c r="B3848">
        <f>TEXT(3847, "[$-170000]yyyy-mm-dd")</f>
        <v/>
      </c>
      <c r="C3848">
        <f>TEXT(3847, "[$-060000]yyyy-mm-dd")</f>
        <v/>
      </c>
      <c r="D3848" t="inlineStr">
        <is>
          <t>1328-07-06</t>
        </is>
      </c>
    </row>
    <row r="3849">
      <c r="A3849" s="1" t="n">
        <v>3848</v>
      </c>
      <c r="B3849">
        <f>TEXT(3848, "[$-170000]yyyy-mm-dd")</f>
        <v/>
      </c>
      <c r="C3849">
        <f>TEXT(3848, "[$-060000]yyyy-mm-dd")</f>
        <v/>
      </c>
      <c r="D3849" t="inlineStr">
        <is>
          <t>1328-07-07</t>
        </is>
      </c>
    </row>
    <row r="3850">
      <c r="A3850" s="1" t="n">
        <v>3849</v>
      </c>
      <c r="B3850">
        <f>TEXT(3849, "[$-170000]yyyy-mm-dd")</f>
        <v/>
      </c>
      <c r="C3850">
        <f>TEXT(3849, "[$-060000]yyyy-mm-dd")</f>
        <v/>
      </c>
      <c r="D3850" t="inlineStr">
        <is>
          <t>1328-07-08</t>
        </is>
      </c>
    </row>
    <row r="3851">
      <c r="A3851" s="1" t="n">
        <v>3850</v>
      </c>
      <c r="B3851">
        <f>TEXT(3850, "[$-170000]yyyy-mm-dd")</f>
        <v/>
      </c>
      <c r="C3851">
        <f>TEXT(3850, "[$-060000]yyyy-mm-dd")</f>
        <v/>
      </c>
      <c r="D3851" t="inlineStr">
        <is>
          <t>1328-07-09</t>
        </is>
      </c>
    </row>
    <row r="3852">
      <c r="A3852" s="1" t="n">
        <v>3851</v>
      </c>
      <c r="B3852">
        <f>TEXT(3851, "[$-170000]yyyy-mm-dd")</f>
        <v/>
      </c>
      <c r="C3852">
        <f>TEXT(3851, "[$-060000]yyyy-mm-dd")</f>
        <v/>
      </c>
      <c r="D3852" t="inlineStr">
        <is>
          <t>1328-07-10</t>
        </is>
      </c>
    </row>
    <row r="3853">
      <c r="A3853" s="1" t="n">
        <v>3852</v>
      </c>
      <c r="B3853">
        <f>TEXT(3852, "[$-170000]yyyy-mm-dd")</f>
        <v/>
      </c>
      <c r="C3853">
        <f>TEXT(3852, "[$-060000]yyyy-mm-dd")</f>
        <v/>
      </c>
      <c r="D3853" t="inlineStr">
        <is>
          <t>1328-07-11</t>
        </is>
      </c>
    </row>
    <row r="3854">
      <c r="A3854" s="1" t="n">
        <v>3853</v>
      </c>
      <c r="B3854">
        <f>TEXT(3853, "[$-170000]yyyy-mm-dd")</f>
        <v/>
      </c>
      <c r="C3854">
        <f>TEXT(3853, "[$-060000]yyyy-mm-dd")</f>
        <v/>
      </c>
      <c r="D3854" t="inlineStr">
        <is>
          <t>1328-07-12</t>
        </is>
      </c>
    </row>
    <row r="3855">
      <c r="A3855" s="1" t="n">
        <v>3854</v>
      </c>
      <c r="B3855">
        <f>TEXT(3854, "[$-170000]yyyy-mm-dd")</f>
        <v/>
      </c>
      <c r="C3855">
        <f>TEXT(3854, "[$-060000]yyyy-mm-dd")</f>
        <v/>
      </c>
      <c r="D3855" t="inlineStr">
        <is>
          <t>1328-07-13</t>
        </is>
      </c>
    </row>
    <row r="3856">
      <c r="A3856" s="1" t="n">
        <v>3855</v>
      </c>
      <c r="B3856">
        <f>TEXT(3855, "[$-170000]yyyy-mm-dd")</f>
        <v/>
      </c>
      <c r="C3856">
        <f>TEXT(3855, "[$-060000]yyyy-mm-dd")</f>
        <v/>
      </c>
      <c r="D3856" t="inlineStr">
        <is>
          <t>1328-07-14</t>
        </is>
      </c>
    </row>
    <row r="3857">
      <c r="A3857" s="1" t="n">
        <v>3856</v>
      </c>
      <c r="B3857">
        <f>TEXT(3856, "[$-170000]yyyy-mm-dd")</f>
        <v/>
      </c>
      <c r="C3857">
        <f>TEXT(3856, "[$-060000]yyyy-mm-dd")</f>
        <v/>
      </c>
      <c r="D3857" t="inlineStr">
        <is>
          <t>1328-07-15</t>
        </is>
      </c>
    </row>
    <row r="3858">
      <c r="A3858" s="1" t="n">
        <v>3857</v>
      </c>
      <c r="B3858">
        <f>TEXT(3857, "[$-170000]yyyy-mm-dd")</f>
        <v/>
      </c>
      <c r="C3858">
        <f>TEXT(3857, "[$-060000]yyyy-mm-dd")</f>
        <v/>
      </c>
      <c r="D3858" t="inlineStr">
        <is>
          <t>1328-07-16</t>
        </is>
      </c>
    </row>
    <row r="3859">
      <c r="A3859" s="1" t="n">
        <v>3858</v>
      </c>
      <c r="B3859">
        <f>TEXT(3858, "[$-170000]yyyy-mm-dd")</f>
        <v/>
      </c>
      <c r="C3859">
        <f>TEXT(3858, "[$-060000]yyyy-mm-dd")</f>
        <v/>
      </c>
      <c r="D3859" t="inlineStr">
        <is>
          <t>1328-07-17</t>
        </is>
      </c>
    </row>
    <row r="3860">
      <c r="A3860" s="1" t="n">
        <v>3859</v>
      </c>
      <c r="B3860">
        <f>TEXT(3859, "[$-170000]yyyy-mm-dd")</f>
        <v/>
      </c>
      <c r="C3860">
        <f>TEXT(3859, "[$-060000]yyyy-mm-dd")</f>
        <v/>
      </c>
      <c r="D3860" t="inlineStr">
        <is>
          <t>1328-07-18</t>
        </is>
      </c>
    </row>
    <row r="3861">
      <c r="A3861" s="1" t="n">
        <v>3860</v>
      </c>
      <c r="B3861">
        <f>TEXT(3860, "[$-170000]yyyy-mm-dd")</f>
        <v/>
      </c>
      <c r="C3861">
        <f>TEXT(3860, "[$-060000]yyyy-mm-dd")</f>
        <v/>
      </c>
      <c r="D3861" t="inlineStr">
        <is>
          <t>1328-07-19</t>
        </is>
      </c>
    </row>
    <row r="3862">
      <c r="A3862" s="1" t="n">
        <v>3861</v>
      </c>
      <c r="B3862">
        <f>TEXT(3861, "[$-170000]yyyy-mm-dd")</f>
        <v/>
      </c>
      <c r="C3862">
        <f>TEXT(3861, "[$-060000]yyyy-mm-dd")</f>
        <v/>
      </c>
      <c r="D3862" t="inlineStr">
        <is>
          <t>1328-07-20</t>
        </is>
      </c>
    </row>
    <row r="3863">
      <c r="A3863" s="1" t="n">
        <v>3862</v>
      </c>
      <c r="B3863">
        <f>TEXT(3862, "[$-170000]yyyy-mm-dd")</f>
        <v/>
      </c>
      <c r="C3863">
        <f>TEXT(3862, "[$-060000]yyyy-mm-dd")</f>
        <v/>
      </c>
      <c r="D3863" t="inlineStr">
        <is>
          <t>1328-07-21</t>
        </is>
      </c>
    </row>
    <row r="3864">
      <c r="A3864" s="1" t="n">
        <v>3863</v>
      </c>
      <c r="B3864">
        <f>TEXT(3863, "[$-170000]yyyy-mm-dd")</f>
        <v/>
      </c>
      <c r="C3864">
        <f>TEXT(3863, "[$-060000]yyyy-mm-dd")</f>
        <v/>
      </c>
      <c r="D3864" t="inlineStr">
        <is>
          <t>1328-07-22</t>
        </is>
      </c>
    </row>
    <row r="3865">
      <c r="A3865" s="1" t="n">
        <v>3864</v>
      </c>
      <c r="B3865">
        <f>TEXT(3864, "[$-170000]yyyy-mm-dd")</f>
        <v/>
      </c>
      <c r="C3865">
        <f>TEXT(3864, "[$-060000]yyyy-mm-dd")</f>
        <v/>
      </c>
      <c r="D3865" t="inlineStr">
        <is>
          <t>1328-07-23</t>
        </is>
      </c>
    </row>
    <row r="3866">
      <c r="A3866" s="1" t="n">
        <v>3865</v>
      </c>
      <c r="B3866">
        <f>TEXT(3865, "[$-170000]yyyy-mm-dd")</f>
        <v/>
      </c>
      <c r="C3866">
        <f>TEXT(3865, "[$-060000]yyyy-mm-dd")</f>
        <v/>
      </c>
      <c r="D3866" t="inlineStr">
        <is>
          <t>1328-07-24</t>
        </is>
      </c>
    </row>
    <row r="3867">
      <c r="A3867" s="1" t="n">
        <v>3866</v>
      </c>
      <c r="B3867">
        <f>TEXT(3866, "[$-170000]yyyy-mm-dd")</f>
        <v/>
      </c>
      <c r="C3867">
        <f>TEXT(3866, "[$-060000]yyyy-mm-dd")</f>
        <v/>
      </c>
      <c r="D3867" t="inlineStr">
        <is>
          <t>1328-07-25</t>
        </is>
      </c>
    </row>
    <row r="3868">
      <c r="A3868" s="1" t="n">
        <v>3867</v>
      </c>
      <c r="B3868">
        <f>TEXT(3867, "[$-170000]yyyy-mm-dd")</f>
        <v/>
      </c>
      <c r="C3868">
        <f>TEXT(3867, "[$-060000]yyyy-mm-dd")</f>
        <v/>
      </c>
      <c r="D3868" t="inlineStr">
        <is>
          <t>1328-07-26</t>
        </is>
      </c>
    </row>
    <row r="3869">
      <c r="A3869" s="1" t="n">
        <v>3868</v>
      </c>
      <c r="B3869">
        <f>TEXT(3868, "[$-170000]yyyy-mm-dd")</f>
        <v/>
      </c>
      <c r="C3869">
        <f>TEXT(3868, "[$-060000]yyyy-mm-dd")</f>
        <v/>
      </c>
      <c r="D3869" t="inlineStr">
        <is>
          <t>1328-07-27</t>
        </is>
      </c>
    </row>
    <row r="3870">
      <c r="A3870" s="1" t="n">
        <v>3869</v>
      </c>
      <c r="B3870">
        <f>TEXT(3869, "[$-170000]yyyy-mm-dd")</f>
        <v/>
      </c>
      <c r="C3870">
        <f>TEXT(3869, "[$-060000]yyyy-mm-dd")</f>
        <v/>
      </c>
      <c r="D3870" t="inlineStr">
        <is>
          <t>1328-07-28</t>
        </is>
      </c>
    </row>
    <row r="3871">
      <c r="A3871" s="1" t="n">
        <v>3870</v>
      </c>
      <c r="B3871">
        <f>TEXT(3870, "[$-170000]yyyy-mm-dd")</f>
        <v/>
      </c>
      <c r="C3871">
        <f>TEXT(3870, "[$-060000]yyyy-mm-dd")</f>
        <v/>
      </c>
      <c r="D3871" t="inlineStr">
        <is>
          <t>1328-07-29</t>
        </is>
      </c>
    </row>
    <row r="3872">
      <c r="A3872" s="1" t="n">
        <v>3871</v>
      </c>
      <c r="B3872">
        <f>TEXT(3871, "[$-170000]yyyy-mm-dd")</f>
        <v/>
      </c>
      <c r="C3872">
        <f>TEXT(3871, "[$-060000]yyyy-mm-dd")</f>
        <v/>
      </c>
      <c r="D3872" t="inlineStr">
        <is>
          <t>1328-07-30</t>
        </is>
      </c>
    </row>
    <row r="3873">
      <c r="A3873" s="1" t="n">
        <v>3872</v>
      </c>
      <c r="B3873">
        <f>TEXT(3872, "[$-170000]yyyy-mm-dd")</f>
        <v/>
      </c>
      <c r="C3873">
        <f>TEXT(3872, "[$-060000]yyyy-mm-dd")</f>
        <v/>
      </c>
      <c r="D3873" t="inlineStr">
        <is>
          <t>1328-08-01</t>
        </is>
      </c>
    </row>
    <row r="3874">
      <c r="A3874" s="1" t="n">
        <v>3873</v>
      </c>
      <c r="B3874">
        <f>TEXT(3873, "[$-170000]yyyy-mm-dd")</f>
        <v/>
      </c>
      <c r="C3874">
        <f>TEXT(3873, "[$-060000]yyyy-mm-dd")</f>
        <v/>
      </c>
      <c r="D3874" t="inlineStr">
        <is>
          <t>1328-08-02</t>
        </is>
      </c>
    </row>
    <row r="3875">
      <c r="A3875" s="1" t="n">
        <v>3874</v>
      </c>
      <c r="B3875">
        <f>TEXT(3874, "[$-170000]yyyy-mm-dd")</f>
        <v/>
      </c>
      <c r="C3875">
        <f>TEXT(3874, "[$-060000]yyyy-mm-dd")</f>
        <v/>
      </c>
      <c r="D3875" t="inlineStr">
        <is>
          <t>1328-08-03</t>
        </is>
      </c>
    </row>
    <row r="3876">
      <c r="A3876" s="1" t="n">
        <v>3875</v>
      </c>
      <c r="B3876">
        <f>TEXT(3875, "[$-170000]yyyy-mm-dd")</f>
        <v/>
      </c>
      <c r="C3876">
        <f>TEXT(3875, "[$-060000]yyyy-mm-dd")</f>
        <v/>
      </c>
      <c r="D3876" t="inlineStr">
        <is>
          <t>1328-08-04</t>
        </is>
      </c>
    </row>
    <row r="3877">
      <c r="A3877" s="1" t="n">
        <v>3876</v>
      </c>
      <c r="B3877">
        <f>TEXT(3876, "[$-170000]yyyy-mm-dd")</f>
        <v/>
      </c>
      <c r="C3877">
        <f>TEXT(3876, "[$-060000]yyyy-mm-dd")</f>
        <v/>
      </c>
      <c r="D3877" t="inlineStr">
        <is>
          <t>1328-08-05</t>
        </is>
      </c>
    </row>
    <row r="3878">
      <c r="A3878" s="1" t="n">
        <v>3877</v>
      </c>
      <c r="B3878">
        <f>TEXT(3877, "[$-170000]yyyy-mm-dd")</f>
        <v/>
      </c>
      <c r="C3878">
        <f>TEXT(3877, "[$-060000]yyyy-mm-dd")</f>
        <v/>
      </c>
      <c r="D3878" t="inlineStr">
        <is>
          <t>1328-08-06</t>
        </is>
      </c>
    </row>
    <row r="3879">
      <c r="A3879" s="1" t="n">
        <v>3878</v>
      </c>
      <c r="B3879">
        <f>TEXT(3878, "[$-170000]yyyy-mm-dd")</f>
        <v/>
      </c>
      <c r="C3879">
        <f>TEXT(3878, "[$-060000]yyyy-mm-dd")</f>
        <v/>
      </c>
      <c r="D3879" t="inlineStr">
        <is>
          <t>1328-08-07</t>
        </is>
      </c>
    </row>
    <row r="3880">
      <c r="A3880" s="1" t="n">
        <v>3879</v>
      </c>
      <c r="B3880">
        <f>TEXT(3879, "[$-170000]yyyy-mm-dd")</f>
        <v/>
      </c>
      <c r="C3880">
        <f>TEXT(3879, "[$-060000]yyyy-mm-dd")</f>
        <v/>
      </c>
      <c r="D3880" t="inlineStr">
        <is>
          <t>1328-08-08</t>
        </is>
      </c>
    </row>
    <row r="3881">
      <c r="A3881" s="1" t="n">
        <v>3880</v>
      </c>
      <c r="B3881">
        <f>TEXT(3880, "[$-170000]yyyy-mm-dd")</f>
        <v/>
      </c>
      <c r="C3881">
        <f>TEXT(3880, "[$-060000]yyyy-mm-dd")</f>
        <v/>
      </c>
      <c r="D3881" t="inlineStr">
        <is>
          <t>1328-08-09</t>
        </is>
      </c>
    </row>
    <row r="3882">
      <c r="A3882" s="1" t="n">
        <v>3881</v>
      </c>
      <c r="B3882">
        <f>TEXT(3881, "[$-170000]yyyy-mm-dd")</f>
        <v/>
      </c>
      <c r="C3882">
        <f>TEXT(3881, "[$-060000]yyyy-mm-dd")</f>
        <v/>
      </c>
      <c r="D3882" t="inlineStr">
        <is>
          <t>1328-08-10</t>
        </is>
      </c>
    </row>
    <row r="3883">
      <c r="A3883" s="1" t="n">
        <v>3882</v>
      </c>
      <c r="B3883">
        <f>TEXT(3882, "[$-170000]yyyy-mm-dd")</f>
        <v/>
      </c>
      <c r="C3883">
        <f>TEXT(3882, "[$-060000]yyyy-mm-dd")</f>
        <v/>
      </c>
      <c r="D3883" t="inlineStr">
        <is>
          <t>1328-08-11</t>
        </is>
      </c>
    </row>
    <row r="3884">
      <c r="A3884" s="1" t="n">
        <v>3883</v>
      </c>
      <c r="B3884">
        <f>TEXT(3883, "[$-170000]yyyy-mm-dd")</f>
        <v/>
      </c>
      <c r="C3884">
        <f>TEXT(3883, "[$-060000]yyyy-mm-dd")</f>
        <v/>
      </c>
      <c r="D3884" t="inlineStr">
        <is>
          <t>1328-08-12</t>
        </is>
      </c>
    </row>
    <row r="3885">
      <c r="A3885" s="1" t="n">
        <v>3884</v>
      </c>
      <c r="B3885">
        <f>TEXT(3884, "[$-170000]yyyy-mm-dd")</f>
        <v/>
      </c>
      <c r="C3885">
        <f>TEXT(3884, "[$-060000]yyyy-mm-dd")</f>
        <v/>
      </c>
      <c r="D3885" t="inlineStr">
        <is>
          <t>1328-08-13</t>
        </is>
      </c>
    </row>
    <row r="3886">
      <c r="A3886" s="1" t="n">
        <v>3885</v>
      </c>
      <c r="B3886">
        <f>TEXT(3885, "[$-170000]yyyy-mm-dd")</f>
        <v/>
      </c>
      <c r="C3886">
        <f>TEXT(3885, "[$-060000]yyyy-mm-dd")</f>
        <v/>
      </c>
      <c r="D3886" t="inlineStr">
        <is>
          <t>1328-08-14</t>
        </is>
      </c>
    </row>
    <row r="3887">
      <c r="A3887" s="1" t="n">
        <v>3886</v>
      </c>
      <c r="B3887">
        <f>TEXT(3886, "[$-170000]yyyy-mm-dd")</f>
        <v/>
      </c>
      <c r="C3887">
        <f>TEXT(3886, "[$-060000]yyyy-mm-dd")</f>
        <v/>
      </c>
      <c r="D3887" t="inlineStr">
        <is>
          <t>1328-08-15</t>
        </is>
      </c>
    </row>
    <row r="3888">
      <c r="A3888" s="1" t="n">
        <v>3887</v>
      </c>
      <c r="B3888">
        <f>TEXT(3887, "[$-170000]yyyy-mm-dd")</f>
        <v/>
      </c>
      <c r="C3888">
        <f>TEXT(3887, "[$-060000]yyyy-mm-dd")</f>
        <v/>
      </c>
      <c r="D3888" t="inlineStr">
        <is>
          <t>1328-08-16</t>
        </is>
      </c>
    </row>
    <row r="3889">
      <c r="A3889" s="1" t="n">
        <v>3888</v>
      </c>
      <c r="B3889">
        <f>TEXT(3888, "[$-170000]yyyy-mm-dd")</f>
        <v/>
      </c>
      <c r="C3889">
        <f>TEXT(3888, "[$-060000]yyyy-mm-dd")</f>
        <v/>
      </c>
      <c r="D3889" t="inlineStr">
        <is>
          <t>1328-08-17</t>
        </is>
      </c>
    </row>
    <row r="3890">
      <c r="A3890" s="1" t="n">
        <v>3889</v>
      </c>
      <c r="B3890">
        <f>TEXT(3889, "[$-170000]yyyy-mm-dd")</f>
        <v/>
      </c>
      <c r="C3890">
        <f>TEXT(3889, "[$-060000]yyyy-mm-dd")</f>
        <v/>
      </c>
      <c r="D3890" t="inlineStr">
        <is>
          <t>1328-08-18</t>
        </is>
      </c>
    </row>
    <row r="3891">
      <c r="A3891" s="1" t="n">
        <v>3890</v>
      </c>
      <c r="B3891">
        <f>TEXT(3890, "[$-170000]yyyy-mm-dd")</f>
        <v/>
      </c>
      <c r="C3891">
        <f>TEXT(3890, "[$-060000]yyyy-mm-dd")</f>
        <v/>
      </c>
      <c r="D3891" t="inlineStr">
        <is>
          <t>1328-08-19</t>
        </is>
      </c>
    </row>
    <row r="3892">
      <c r="A3892" s="1" t="n">
        <v>3891</v>
      </c>
      <c r="B3892">
        <f>TEXT(3891, "[$-170000]yyyy-mm-dd")</f>
        <v/>
      </c>
      <c r="C3892">
        <f>TEXT(3891, "[$-060000]yyyy-mm-dd")</f>
        <v/>
      </c>
      <c r="D3892" t="inlineStr">
        <is>
          <t>1328-08-20</t>
        </is>
      </c>
    </row>
    <row r="3893">
      <c r="A3893" s="1" t="n">
        <v>3892</v>
      </c>
      <c r="B3893">
        <f>TEXT(3892, "[$-170000]yyyy-mm-dd")</f>
        <v/>
      </c>
      <c r="C3893">
        <f>TEXT(3892, "[$-060000]yyyy-mm-dd")</f>
        <v/>
      </c>
      <c r="D3893" t="inlineStr">
        <is>
          <t>1328-08-21</t>
        </is>
      </c>
    </row>
    <row r="3894">
      <c r="A3894" s="1" t="n">
        <v>3893</v>
      </c>
      <c r="B3894">
        <f>TEXT(3893, "[$-170000]yyyy-mm-dd")</f>
        <v/>
      </c>
      <c r="C3894">
        <f>TEXT(3893, "[$-060000]yyyy-mm-dd")</f>
        <v/>
      </c>
      <c r="D3894" t="inlineStr">
        <is>
          <t>1328-08-22</t>
        </is>
      </c>
    </row>
    <row r="3895">
      <c r="A3895" s="1" t="n">
        <v>3894</v>
      </c>
      <c r="B3895">
        <f>TEXT(3894, "[$-170000]yyyy-mm-dd")</f>
        <v/>
      </c>
      <c r="C3895">
        <f>TEXT(3894, "[$-060000]yyyy-mm-dd")</f>
        <v/>
      </c>
      <c r="D3895" t="inlineStr">
        <is>
          <t>1328-08-23</t>
        </is>
      </c>
    </row>
    <row r="3896">
      <c r="A3896" s="1" t="n">
        <v>3895</v>
      </c>
      <c r="B3896">
        <f>TEXT(3895, "[$-170000]yyyy-mm-dd")</f>
        <v/>
      </c>
      <c r="C3896">
        <f>TEXT(3895, "[$-060000]yyyy-mm-dd")</f>
        <v/>
      </c>
      <c r="D3896" t="inlineStr">
        <is>
          <t>1328-08-24</t>
        </is>
      </c>
    </row>
    <row r="3897">
      <c r="A3897" s="1" t="n">
        <v>3896</v>
      </c>
      <c r="B3897">
        <f>TEXT(3896, "[$-170000]yyyy-mm-dd")</f>
        <v/>
      </c>
      <c r="C3897">
        <f>TEXT(3896, "[$-060000]yyyy-mm-dd")</f>
        <v/>
      </c>
      <c r="D3897" t="inlineStr">
        <is>
          <t>1328-08-25</t>
        </is>
      </c>
    </row>
    <row r="3898">
      <c r="A3898" s="1" t="n">
        <v>3897</v>
      </c>
      <c r="B3898">
        <f>TEXT(3897, "[$-170000]yyyy-mm-dd")</f>
        <v/>
      </c>
      <c r="C3898">
        <f>TEXT(3897, "[$-060000]yyyy-mm-dd")</f>
        <v/>
      </c>
      <c r="D3898" t="inlineStr">
        <is>
          <t>1328-08-26</t>
        </is>
      </c>
    </row>
    <row r="3899">
      <c r="A3899" s="1" t="n">
        <v>3898</v>
      </c>
      <c r="B3899">
        <f>TEXT(3898, "[$-170000]yyyy-mm-dd")</f>
        <v/>
      </c>
      <c r="C3899">
        <f>TEXT(3898, "[$-060000]yyyy-mm-dd")</f>
        <v/>
      </c>
      <c r="D3899" t="inlineStr">
        <is>
          <t>1328-08-27</t>
        </is>
      </c>
    </row>
    <row r="3900">
      <c r="A3900" s="1" t="n">
        <v>3899</v>
      </c>
      <c r="B3900">
        <f>TEXT(3899, "[$-170000]yyyy-mm-dd")</f>
        <v/>
      </c>
      <c r="C3900">
        <f>TEXT(3899, "[$-060000]yyyy-mm-dd")</f>
        <v/>
      </c>
      <c r="D3900" t="inlineStr">
        <is>
          <t>1328-08-28</t>
        </is>
      </c>
    </row>
    <row r="3901">
      <c r="A3901" s="1" t="n">
        <v>3900</v>
      </c>
      <c r="B3901">
        <f>TEXT(3900, "[$-170000]yyyy-mm-dd")</f>
        <v/>
      </c>
      <c r="C3901">
        <f>TEXT(3900, "[$-060000]yyyy-mm-dd")</f>
        <v/>
      </c>
      <c r="D3901" t="inlineStr">
        <is>
          <t>1328-08-29</t>
        </is>
      </c>
    </row>
    <row r="3902">
      <c r="A3902" s="1" t="n">
        <v>3901</v>
      </c>
      <c r="B3902">
        <f>TEXT(3901, "[$-170000]yyyy-mm-dd")</f>
        <v/>
      </c>
      <c r="C3902">
        <f>TEXT(3901, "[$-060000]yyyy-mm-dd")</f>
        <v/>
      </c>
      <c r="D3902" t="inlineStr">
        <is>
          <t>1328-09-01</t>
        </is>
      </c>
    </row>
    <row r="3903">
      <c r="A3903" s="1" t="n">
        <v>3902</v>
      </c>
      <c r="B3903">
        <f>TEXT(3902, "[$-170000]yyyy-mm-dd")</f>
        <v/>
      </c>
      <c r="C3903">
        <f>TEXT(3902, "[$-060000]yyyy-mm-dd")</f>
        <v/>
      </c>
      <c r="D3903" t="inlineStr">
        <is>
          <t>1328-09-02</t>
        </is>
      </c>
    </row>
    <row r="3904">
      <c r="A3904" s="1" t="n">
        <v>3903</v>
      </c>
      <c r="B3904">
        <f>TEXT(3903, "[$-170000]yyyy-mm-dd")</f>
        <v/>
      </c>
      <c r="C3904">
        <f>TEXT(3903, "[$-060000]yyyy-mm-dd")</f>
        <v/>
      </c>
      <c r="D3904" t="inlineStr">
        <is>
          <t>1328-09-03</t>
        </is>
      </c>
    </row>
    <row r="3905">
      <c r="A3905" s="1" t="n">
        <v>3904</v>
      </c>
      <c r="B3905">
        <f>TEXT(3904, "[$-170000]yyyy-mm-dd")</f>
        <v/>
      </c>
      <c r="C3905">
        <f>TEXT(3904, "[$-060000]yyyy-mm-dd")</f>
        <v/>
      </c>
      <c r="D3905" t="inlineStr">
        <is>
          <t>1328-09-04</t>
        </is>
      </c>
    </row>
    <row r="3906">
      <c r="A3906" s="1" t="n">
        <v>3905</v>
      </c>
      <c r="B3906">
        <f>TEXT(3905, "[$-170000]yyyy-mm-dd")</f>
        <v/>
      </c>
      <c r="C3906">
        <f>TEXT(3905, "[$-060000]yyyy-mm-dd")</f>
        <v/>
      </c>
      <c r="D3906" t="inlineStr">
        <is>
          <t>1328-09-05</t>
        </is>
      </c>
    </row>
    <row r="3907">
      <c r="A3907" s="1" t="n">
        <v>3906</v>
      </c>
      <c r="B3907">
        <f>TEXT(3906, "[$-170000]yyyy-mm-dd")</f>
        <v/>
      </c>
      <c r="C3907">
        <f>TEXT(3906, "[$-060000]yyyy-mm-dd")</f>
        <v/>
      </c>
      <c r="D3907" t="inlineStr">
        <is>
          <t>1328-09-06</t>
        </is>
      </c>
    </row>
    <row r="3908">
      <c r="A3908" s="1" t="n">
        <v>3907</v>
      </c>
      <c r="B3908">
        <f>TEXT(3907, "[$-170000]yyyy-mm-dd")</f>
        <v/>
      </c>
      <c r="C3908">
        <f>TEXT(3907, "[$-060000]yyyy-mm-dd")</f>
        <v/>
      </c>
      <c r="D3908" t="inlineStr">
        <is>
          <t>1328-09-07</t>
        </is>
      </c>
    </row>
    <row r="3909">
      <c r="A3909" s="1" t="n">
        <v>3908</v>
      </c>
      <c r="B3909">
        <f>TEXT(3908, "[$-170000]yyyy-mm-dd")</f>
        <v/>
      </c>
      <c r="C3909">
        <f>TEXT(3908, "[$-060000]yyyy-mm-dd")</f>
        <v/>
      </c>
      <c r="D3909" t="inlineStr">
        <is>
          <t>1328-09-08</t>
        </is>
      </c>
    </row>
    <row r="3910">
      <c r="A3910" s="1" t="n">
        <v>3909</v>
      </c>
      <c r="B3910">
        <f>TEXT(3909, "[$-170000]yyyy-mm-dd")</f>
        <v/>
      </c>
      <c r="C3910">
        <f>TEXT(3909, "[$-060000]yyyy-mm-dd")</f>
        <v/>
      </c>
      <c r="D3910" t="inlineStr">
        <is>
          <t>1328-09-09</t>
        </is>
      </c>
    </row>
    <row r="3911">
      <c r="A3911" s="1" t="n">
        <v>3910</v>
      </c>
      <c r="B3911">
        <f>TEXT(3910, "[$-170000]yyyy-mm-dd")</f>
        <v/>
      </c>
      <c r="C3911">
        <f>TEXT(3910, "[$-060000]yyyy-mm-dd")</f>
        <v/>
      </c>
      <c r="D3911" t="inlineStr">
        <is>
          <t>1328-09-10</t>
        </is>
      </c>
    </row>
    <row r="3912">
      <c r="A3912" s="1" t="n">
        <v>3911</v>
      </c>
      <c r="B3912">
        <f>TEXT(3911, "[$-170000]yyyy-mm-dd")</f>
        <v/>
      </c>
      <c r="C3912">
        <f>TEXT(3911, "[$-060000]yyyy-mm-dd")</f>
        <v/>
      </c>
      <c r="D3912" t="inlineStr">
        <is>
          <t>1328-09-11</t>
        </is>
      </c>
    </row>
    <row r="3913">
      <c r="A3913" s="1" t="n">
        <v>3912</v>
      </c>
      <c r="B3913">
        <f>TEXT(3912, "[$-170000]yyyy-mm-dd")</f>
        <v/>
      </c>
      <c r="C3913">
        <f>TEXT(3912, "[$-060000]yyyy-mm-dd")</f>
        <v/>
      </c>
      <c r="D3913" t="inlineStr">
        <is>
          <t>1328-09-12</t>
        </is>
      </c>
    </row>
    <row r="3914">
      <c r="A3914" s="1" t="n">
        <v>3913</v>
      </c>
      <c r="B3914">
        <f>TEXT(3913, "[$-170000]yyyy-mm-dd")</f>
        <v/>
      </c>
      <c r="C3914">
        <f>TEXT(3913, "[$-060000]yyyy-mm-dd")</f>
        <v/>
      </c>
      <c r="D3914" t="inlineStr">
        <is>
          <t>1328-09-13</t>
        </is>
      </c>
    </row>
    <row r="3915">
      <c r="A3915" s="1" t="n">
        <v>3914</v>
      </c>
      <c r="B3915">
        <f>TEXT(3914, "[$-170000]yyyy-mm-dd")</f>
        <v/>
      </c>
      <c r="C3915">
        <f>TEXT(3914, "[$-060000]yyyy-mm-dd")</f>
        <v/>
      </c>
      <c r="D3915" t="inlineStr">
        <is>
          <t>1328-09-14</t>
        </is>
      </c>
    </row>
    <row r="3916">
      <c r="A3916" s="1" t="n">
        <v>3915</v>
      </c>
      <c r="B3916">
        <f>TEXT(3915, "[$-170000]yyyy-mm-dd")</f>
        <v/>
      </c>
      <c r="C3916">
        <f>TEXT(3915, "[$-060000]yyyy-mm-dd")</f>
        <v/>
      </c>
      <c r="D3916" t="inlineStr">
        <is>
          <t>1328-09-15</t>
        </is>
      </c>
    </row>
    <row r="3917">
      <c r="A3917" s="1" t="n">
        <v>3916</v>
      </c>
      <c r="B3917">
        <f>TEXT(3916, "[$-170000]yyyy-mm-dd")</f>
        <v/>
      </c>
      <c r="C3917">
        <f>TEXT(3916, "[$-060000]yyyy-mm-dd")</f>
        <v/>
      </c>
      <c r="D3917" t="inlineStr">
        <is>
          <t>1328-09-16</t>
        </is>
      </c>
    </row>
    <row r="3918">
      <c r="A3918" s="1" t="n">
        <v>3917</v>
      </c>
      <c r="B3918">
        <f>TEXT(3917, "[$-170000]yyyy-mm-dd")</f>
        <v/>
      </c>
      <c r="C3918">
        <f>TEXT(3917, "[$-060000]yyyy-mm-dd")</f>
        <v/>
      </c>
      <c r="D3918" t="inlineStr">
        <is>
          <t>1328-09-17</t>
        </is>
      </c>
    </row>
    <row r="3919">
      <c r="A3919" s="1" t="n">
        <v>3918</v>
      </c>
      <c r="B3919">
        <f>TEXT(3918, "[$-170000]yyyy-mm-dd")</f>
        <v/>
      </c>
      <c r="C3919">
        <f>TEXT(3918, "[$-060000]yyyy-mm-dd")</f>
        <v/>
      </c>
      <c r="D3919" t="inlineStr">
        <is>
          <t>1328-09-18</t>
        </is>
      </c>
    </row>
    <row r="3920">
      <c r="A3920" s="1" t="n">
        <v>3919</v>
      </c>
      <c r="B3920">
        <f>TEXT(3919, "[$-170000]yyyy-mm-dd")</f>
        <v/>
      </c>
      <c r="C3920">
        <f>TEXT(3919, "[$-060000]yyyy-mm-dd")</f>
        <v/>
      </c>
      <c r="D3920" t="inlineStr">
        <is>
          <t>1328-09-19</t>
        </is>
      </c>
    </row>
    <row r="3921">
      <c r="A3921" s="1" t="n">
        <v>3920</v>
      </c>
      <c r="B3921">
        <f>TEXT(3920, "[$-170000]yyyy-mm-dd")</f>
        <v/>
      </c>
      <c r="C3921">
        <f>TEXT(3920, "[$-060000]yyyy-mm-dd")</f>
        <v/>
      </c>
      <c r="D3921" t="inlineStr">
        <is>
          <t>1328-09-20</t>
        </is>
      </c>
    </row>
    <row r="3922">
      <c r="A3922" s="1" t="n">
        <v>3921</v>
      </c>
      <c r="B3922">
        <f>TEXT(3921, "[$-170000]yyyy-mm-dd")</f>
        <v/>
      </c>
      <c r="C3922">
        <f>TEXT(3921, "[$-060000]yyyy-mm-dd")</f>
        <v/>
      </c>
      <c r="D3922" t="inlineStr">
        <is>
          <t>1328-09-21</t>
        </is>
      </c>
    </row>
    <row r="3923">
      <c r="A3923" s="1" t="n">
        <v>3922</v>
      </c>
      <c r="B3923">
        <f>TEXT(3922, "[$-170000]yyyy-mm-dd")</f>
        <v/>
      </c>
      <c r="C3923">
        <f>TEXT(3922, "[$-060000]yyyy-mm-dd")</f>
        <v/>
      </c>
      <c r="D3923" t="inlineStr">
        <is>
          <t>1328-09-22</t>
        </is>
      </c>
    </row>
    <row r="3924">
      <c r="A3924" s="1" t="n">
        <v>3923</v>
      </c>
      <c r="B3924">
        <f>TEXT(3923, "[$-170000]yyyy-mm-dd")</f>
        <v/>
      </c>
      <c r="C3924">
        <f>TEXT(3923, "[$-060000]yyyy-mm-dd")</f>
        <v/>
      </c>
      <c r="D3924" t="inlineStr">
        <is>
          <t>1328-09-23</t>
        </is>
      </c>
    </row>
    <row r="3925">
      <c r="A3925" s="1" t="n">
        <v>3924</v>
      </c>
      <c r="B3925">
        <f>TEXT(3924, "[$-170000]yyyy-mm-dd")</f>
        <v/>
      </c>
      <c r="C3925">
        <f>TEXT(3924, "[$-060000]yyyy-mm-dd")</f>
        <v/>
      </c>
      <c r="D3925" t="inlineStr">
        <is>
          <t>1328-09-24</t>
        </is>
      </c>
    </row>
    <row r="3926">
      <c r="A3926" s="1" t="n">
        <v>3925</v>
      </c>
      <c r="B3926">
        <f>TEXT(3925, "[$-170000]yyyy-mm-dd")</f>
        <v/>
      </c>
      <c r="C3926">
        <f>TEXT(3925, "[$-060000]yyyy-mm-dd")</f>
        <v/>
      </c>
      <c r="D3926" t="inlineStr">
        <is>
          <t>1328-09-25</t>
        </is>
      </c>
    </row>
    <row r="3927">
      <c r="A3927" s="1" t="n">
        <v>3926</v>
      </c>
      <c r="B3927">
        <f>TEXT(3926, "[$-170000]yyyy-mm-dd")</f>
        <v/>
      </c>
      <c r="C3927">
        <f>TEXT(3926, "[$-060000]yyyy-mm-dd")</f>
        <v/>
      </c>
      <c r="D3927" t="inlineStr">
        <is>
          <t>1328-09-26</t>
        </is>
      </c>
    </row>
    <row r="3928">
      <c r="A3928" s="1" t="n">
        <v>3927</v>
      </c>
      <c r="B3928">
        <f>TEXT(3927, "[$-170000]yyyy-mm-dd")</f>
        <v/>
      </c>
      <c r="C3928">
        <f>TEXT(3927, "[$-060000]yyyy-mm-dd")</f>
        <v/>
      </c>
      <c r="D3928" t="inlineStr">
        <is>
          <t>1328-09-27</t>
        </is>
      </c>
    </row>
    <row r="3929">
      <c r="A3929" s="1" t="n">
        <v>3928</v>
      </c>
      <c r="B3929">
        <f>TEXT(3928, "[$-170000]yyyy-mm-dd")</f>
        <v/>
      </c>
      <c r="C3929">
        <f>TEXT(3928, "[$-060000]yyyy-mm-dd")</f>
        <v/>
      </c>
      <c r="D3929" t="inlineStr">
        <is>
          <t>1328-09-28</t>
        </is>
      </c>
    </row>
    <row r="3930">
      <c r="A3930" s="1" t="n">
        <v>3929</v>
      </c>
      <c r="B3930">
        <f>TEXT(3929, "[$-170000]yyyy-mm-dd")</f>
        <v/>
      </c>
      <c r="C3930">
        <f>TEXT(3929, "[$-060000]yyyy-mm-dd")</f>
        <v/>
      </c>
      <c r="D3930" t="inlineStr">
        <is>
          <t>1328-09-29</t>
        </is>
      </c>
    </row>
    <row r="3931">
      <c r="A3931" s="1" t="n">
        <v>3930</v>
      </c>
      <c r="B3931">
        <f>TEXT(3930, "[$-170000]yyyy-mm-dd")</f>
        <v/>
      </c>
      <c r="C3931">
        <f>TEXT(3930, "[$-060000]yyyy-mm-dd")</f>
        <v/>
      </c>
      <c r="D3931" t="inlineStr">
        <is>
          <t>1328-09-30</t>
        </is>
      </c>
    </row>
    <row r="3932">
      <c r="A3932" s="1" t="n">
        <v>3931</v>
      </c>
      <c r="B3932">
        <f>TEXT(3931, "[$-170000]yyyy-mm-dd")</f>
        <v/>
      </c>
      <c r="C3932">
        <f>TEXT(3931, "[$-060000]yyyy-mm-dd")</f>
        <v/>
      </c>
      <c r="D3932" t="inlineStr">
        <is>
          <t>1328-10-01</t>
        </is>
      </c>
    </row>
    <row r="3933">
      <c r="A3933" s="1" t="n">
        <v>3932</v>
      </c>
      <c r="B3933">
        <f>TEXT(3932, "[$-170000]yyyy-mm-dd")</f>
        <v/>
      </c>
      <c r="C3933">
        <f>TEXT(3932, "[$-060000]yyyy-mm-dd")</f>
        <v/>
      </c>
      <c r="D3933" t="inlineStr">
        <is>
          <t>1328-10-02</t>
        </is>
      </c>
    </row>
    <row r="3934">
      <c r="A3934" s="1" t="n">
        <v>3933</v>
      </c>
      <c r="B3934">
        <f>TEXT(3933, "[$-170000]yyyy-mm-dd")</f>
        <v/>
      </c>
      <c r="C3934">
        <f>TEXT(3933, "[$-060000]yyyy-mm-dd")</f>
        <v/>
      </c>
      <c r="D3934" t="inlineStr">
        <is>
          <t>1328-10-03</t>
        </is>
      </c>
    </row>
    <row r="3935">
      <c r="A3935" s="1" t="n">
        <v>3934</v>
      </c>
      <c r="B3935">
        <f>TEXT(3934, "[$-170000]yyyy-mm-dd")</f>
        <v/>
      </c>
      <c r="C3935">
        <f>TEXT(3934, "[$-060000]yyyy-mm-dd")</f>
        <v/>
      </c>
      <c r="D3935" t="inlineStr">
        <is>
          <t>1328-10-04</t>
        </is>
      </c>
    </row>
    <row r="3936">
      <c r="A3936" s="1" t="n">
        <v>3935</v>
      </c>
      <c r="B3936">
        <f>TEXT(3935, "[$-170000]yyyy-mm-dd")</f>
        <v/>
      </c>
      <c r="C3936">
        <f>TEXT(3935, "[$-060000]yyyy-mm-dd")</f>
        <v/>
      </c>
      <c r="D3936" t="inlineStr">
        <is>
          <t>1328-10-05</t>
        </is>
      </c>
    </row>
    <row r="3937">
      <c r="A3937" s="1" t="n">
        <v>3936</v>
      </c>
      <c r="B3937">
        <f>TEXT(3936, "[$-170000]yyyy-mm-dd")</f>
        <v/>
      </c>
      <c r="C3937">
        <f>TEXT(3936, "[$-060000]yyyy-mm-dd")</f>
        <v/>
      </c>
      <c r="D3937" t="inlineStr">
        <is>
          <t>1328-10-06</t>
        </is>
      </c>
    </row>
    <row r="3938">
      <c r="A3938" s="1" t="n">
        <v>3937</v>
      </c>
      <c r="B3938">
        <f>TEXT(3937, "[$-170000]yyyy-mm-dd")</f>
        <v/>
      </c>
      <c r="C3938">
        <f>TEXT(3937, "[$-060000]yyyy-mm-dd")</f>
        <v/>
      </c>
      <c r="D3938" t="inlineStr">
        <is>
          <t>1328-10-07</t>
        </is>
      </c>
    </row>
    <row r="3939">
      <c r="A3939" s="1" t="n">
        <v>3938</v>
      </c>
      <c r="B3939">
        <f>TEXT(3938, "[$-170000]yyyy-mm-dd")</f>
        <v/>
      </c>
      <c r="C3939">
        <f>TEXT(3938, "[$-060000]yyyy-mm-dd")</f>
        <v/>
      </c>
      <c r="D3939" t="inlineStr">
        <is>
          <t>1328-10-08</t>
        </is>
      </c>
    </row>
    <row r="3940">
      <c r="A3940" s="1" t="n">
        <v>3939</v>
      </c>
      <c r="B3940">
        <f>TEXT(3939, "[$-170000]yyyy-mm-dd")</f>
        <v/>
      </c>
      <c r="C3940">
        <f>TEXT(3939, "[$-060000]yyyy-mm-dd")</f>
        <v/>
      </c>
      <c r="D3940" t="inlineStr">
        <is>
          <t>1328-10-09</t>
        </is>
      </c>
    </row>
    <row r="3941">
      <c r="A3941" s="1" t="n">
        <v>3940</v>
      </c>
      <c r="B3941">
        <f>TEXT(3940, "[$-170000]yyyy-mm-dd")</f>
        <v/>
      </c>
      <c r="C3941">
        <f>TEXT(3940, "[$-060000]yyyy-mm-dd")</f>
        <v/>
      </c>
      <c r="D3941" t="inlineStr">
        <is>
          <t>1328-10-10</t>
        </is>
      </c>
    </row>
    <row r="3942">
      <c r="A3942" s="1" t="n">
        <v>3941</v>
      </c>
      <c r="B3942">
        <f>TEXT(3941, "[$-170000]yyyy-mm-dd")</f>
        <v/>
      </c>
      <c r="C3942">
        <f>TEXT(3941, "[$-060000]yyyy-mm-dd")</f>
        <v/>
      </c>
      <c r="D3942" t="inlineStr">
        <is>
          <t>1328-10-11</t>
        </is>
      </c>
    </row>
    <row r="3943">
      <c r="A3943" s="1" t="n">
        <v>3942</v>
      </c>
      <c r="B3943">
        <f>TEXT(3942, "[$-170000]yyyy-mm-dd")</f>
        <v/>
      </c>
      <c r="C3943">
        <f>TEXT(3942, "[$-060000]yyyy-mm-dd")</f>
        <v/>
      </c>
      <c r="D3943" t="inlineStr">
        <is>
          <t>1328-10-12</t>
        </is>
      </c>
    </row>
    <row r="3944">
      <c r="A3944" s="1" t="n">
        <v>3943</v>
      </c>
      <c r="B3944">
        <f>TEXT(3943, "[$-170000]yyyy-mm-dd")</f>
        <v/>
      </c>
      <c r="C3944">
        <f>TEXT(3943, "[$-060000]yyyy-mm-dd")</f>
        <v/>
      </c>
      <c r="D3944" t="inlineStr">
        <is>
          <t>1328-10-13</t>
        </is>
      </c>
    </row>
    <row r="3945">
      <c r="A3945" s="1" t="n">
        <v>3944</v>
      </c>
      <c r="B3945">
        <f>TEXT(3944, "[$-170000]yyyy-mm-dd")</f>
        <v/>
      </c>
      <c r="C3945">
        <f>TEXT(3944, "[$-060000]yyyy-mm-dd")</f>
        <v/>
      </c>
      <c r="D3945" t="inlineStr">
        <is>
          <t>1328-10-14</t>
        </is>
      </c>
    </row>
    <row r="3946">
      <c r="A3946" s="1" t="n">
        <v>3945</v>
      </c>
      <c r="B3946">
        <f>TEXT(3945, "[$-170000]yyyy-mm-dd")</f>
        <v/>
      </c>
      <c r="C3946">
        <f>TEXT(3945, "[$-060000]yyyy-mm-dd")</f>
        <v/>
      </c>
      <c r="D3946" t="inlineStr">
        <is>
          <t>1328-10-15</t>
        </is>
      </c>
    </row>
    <row r="3947">
      <c r="A3947" s="1" t="n">
        <v>3946</v>
      </c>
      <c r="B3947">
        <f>TEXT(3946, "[$-170000]yyyy-mm-dd")</f>
        <v/>
      </c>
      <c r="C3947">
        <f>TEXT(3946, "[$-060000]yyyy-mm-dd")</f>
        <v/>
      </c>
      <c r="D3947" t="inlineStr">
        <is>
          <t>1328-10-16</t>
        </is>
      </c>
    </row>
    <row r="3948">
      <c r="A3948" s="1" t="n">
        <v>3947</v>
      </c>
      <c r="B3948">
        <f>TEXT(3947, "[$-170000]yyyy-mm-dd")</f>
        <v/>
      </c>
      <c r="C3948">
        <f>TEXT(3947, "[$-060000]yyyy-mm-dd")</f>
        <v/>
      </c>
      <c r="D3948" t="inlineStr">
        <is>
          <t>1328-10-17</t>
        </is>
      </c>
    </row>
    <row r="3949">
      <c r="A3949" s="1" t="n">
        <v>3948</v>
      </c>
      <c r="B3949">
        <f>TEXT(3948, "[$-170000]yyyy-mm-dd")</f>
        <v/>
      </c>
      <c r="C3949">
        <f>TEXT(3948, "[$-060000]yyyy-mm-dd")</f>
        <v/>
      </c>
      <c r="D3949" t="inlineStr">
        <is>
          <t>1328-10-18</t>
        </is>
      </c>
    </row>
    <row r="3950">
      <c r="A3950" s="1" t="n">
        <v>3949</v>
      </c>
      <c r="B3950">
        <f>TEXT(3949, "[$-170000]yyyy-mm-dd")</f>
        <v/>
      </c>
      <c r="C3950">
        <f>TEXT(3949, "[$-060000]yyyy-mm-dd")</f>
        <v/>
      </c>
      <c r="D3950" t="inlineStr">
        <is>
          <t>1328-10-19</t>
        </is>
      </c>
    </row>
    <row r="3951">
      <c r="A3951" s="1" t="n">
        <v>3950</v>
      </c>
      <c r="B3951">
        <f>TEXT(3950, "[$-170000]yyyy-mm-dd")</f>
        <v/>
      </c>
      <c r="C3951">
        <f>TEXT(3950, "[$-060000]yyyy-mm-dd")</f>
        <v/>
      </c>
      <c r="D3951" t="inlineStr">
        <is>
          <t>1328-10-20</t>
        </is>
      </c>
    </row>
    <row r="3952">
      <c r="A3952" s="1" t="n">
        <v>3951</v>
      </c>
      <c r="B3952">
        <f>TEXT(3951, "[$-170000]yyyy-mm-dd")</f>
        <v/>
      </c>
      <c r="C3952">
        <f>TEXT(3951, "[$-060000]yyyy-mm-dd")</f>
        <v/>
      </c>
      <c r="D3952" t="inlineStr">
        <is>
          <t>1328-10-21</t>
        </is>
      </c>
    </row>
    <row r="3953">
      <c r="A3953" s="1" t="n">
        <v>3952</v>
      </c>
      <c r="B3953">
        <f>TEXT(3952, "[$-170000]yyyy-mm-dd")</f>
        <v/>
      </c>
      <c r="C3953">
        <f>TEXT(3952, "[$-060000]yyyy-mm-dd")</f>
        <v/>
      </c>
      <c r="D3953" t="inlineStr">
        <is>
          <t>1328-10-22</t>
        </is>
      </c>
    </row>
    <row r="3954">
      <c r="A3954" s="1" t="n">
        <v>3953</v>
      </c>
      <c r="B3954">
        <f>TEXT(3953, "[$-170000]yyyy-mm-dd")</f>
        <v/>
      </c>
      <c r="C3954">
        <f>TEXT(3953, "[$-060000]yyyy-mm-dd")</f>
        <v/>
      </c>
      <c r="D3954" t="inlineStr">
        <is>
          <t>1328-10-23</t>
        </is>
      </c>
    </row>
    <row r="3955">
      <c r="A3955" s="1" t="n">
        <v>3954</v>
      </c>
      <c r="B3955">
        <f>TEXT(3954, "[$-170000]yyyy-mm-dd")</f>
        <v/>
      </c>
      <c r="C3955">
        <f>TEXT(3954, "[$-060000]yyyy-mm-dd")</f>
        <v/>
      </c>
      <c r="D3955" t="inlineStr">
        <is>
          <t>1328-10-24</t>
        </is>
      </c>
    </row>
    <row r="3956">
      <c r="A3956" s="1" t="n">
        <v>3955</v>
      </c>
      <c r="B3956">
        <f>TEXT(3955, "[$-170000]yyyy-mm-dd")</f>
        <v/>
      </c>
      <c r="C3956">
        <f>TEXT(3955, "[$-060000]yyyy-mm-dd")</f>
        <v/>
      </c>
      <c r="D3956" t="inlineStr">
        <is>
          <t>1328-10-25</t>
        </is>
      </c>
    </row>
    <row r="3957">
      <c r="A3957" s="1" t="n">
        <v>3956</v>
      </c>
      <c r="B3957">
        <f>TEXT(3956, "[$-170000]yyyy-mm-dd")</f>
        <v/>
      </c>
      <c r="C3957">
        <f>TEXT(3956, "[$-060000]yyyy-mm-dd")</f>
        <v/>
      </c>
      <c r="D3957" t="inlineStr">
        <is>
          <t>1328-10-26</t>
        </is>
      </c>
    </row>
    <row r="3958">
      <c r="A3958" s="1" t="n">
        <v>3957</v>
      </c>
      <c r="B3958">
        <f>TEXT(3957, "[$-170000]yyyy-mm-dd")</f>
        <v/>
      </c>
      <c r="C3958">
        <f>TEXT(3957, "[$-060000]yyyy-mm-dd")</f>
        <v/>
      </c>
      <c r="D3958" t="inlineStr">
        <is>
          <t>1328-10-27</t>
        </is>
      </c>
    </row>
    <row r="3959">
      <c r="A3959" s="1" t="n">
        <v>3958</v>
      </c>
      <c r="B3959">
        <f>TEXT(3958, "[$-170000]yyyy-mm-dd")</f>
        <v/>
      </c>
      <c r="C3959">
        <f>TEXT(3958, "[$-060000]yyyy-mm-dd")</f>
        <v/>
      </c>
      <c r="D3959" t="inlineStr">
        <is>
          <t>1328-10-28</t>
        </is>
      </c>
    </row>
    <row r="3960">
      <c r="A3960" s="1" t="n">
        <v>3959</v>
      </c>
      <c r="B3960">
        <f>TEXT(3959, "[$-170000]yyyy-mm-dd")</f>
        <v/>
      </c>
      <c r="C3960">
        <f>TEXT(3959, "[$-060000]yyyy-mm-dd")</f>
        <v/>
      </c>
      <c r="D3960" t="inlineStr">
        <is>
          <t>1328-10-29</t>
        </is>
      </c>
    </row>
    <row r="3961">
      <c r="A3961" s="1" t="n">
        <v>3960</v>
      </c>
      <c r="B3961">
        <f>TEXT(3960, "[$-170000]yyyy-mm-dd")</f>
        <v/>
      </c>
      <c r="C3961">
        <f>TEXT(3960, "[$-060000]yyyy-mm-dd")</f>
        <v/>
      </c>
      <c r="D3961" t="inlineStr">
        <is>
          <t>1328-11-01</t>
        </is>
      </c>
    </row>
    <row r="3962">
      <c r="A3962" s="1" t="n">
        <v>3961</v>
      </c>
      <c r="B3962">
        <f>TEXT(3961, "[$-170000]yyyy-mm-dd")</f>
        <v/>
      </c>
      <c r="C3962">
        <f>TEXT(3961, "[$-060000]yyyy-mm-dd")</f>
        <v/>
      </c>
      <c r="D3962" t="inlineStr">
        <is>
          <t>1328-11-02</t>
        </is>
      </c>
    </row>
    <row r="3963">
      <c r="A3963" s="1" t="n">
        <v>3962</v>
      </c>
      <c r="B3963">
        <f>TEXT(3962, "[$-170000]yyyy-mm-dd")</f>
        <v/>
      </c>
      <c r="C3963">
        <f>TEXT(3962, "[$-060000]yyyy-mm-dd")</f>
        <v/>
      </c>
      <c r="D3963" t="inlineStr">
        <is>
          <t>1328-11-03</t>
        </is>
      </c>
    </row>
    <row r="3964">
      <c r="A3964" s="1" t="n">
        <v>3963</v>
      </c>
      <c r="B3964">
        <f>TEXT(3963, "[$-170000]yyyy-mm-dd")</f>
        <v/>
      </c>
      <c r="C3964">
        <f>TEXT(3963, "[$-060000]yyyy-mm-dd")</f>
        <v/>
      </c>
      <c r="D3964" t="inlineStr">
        <is>
          <t>1328-11-04</t>
        </is>
      </c>
    </row>
    <row r="3965">
      <c r="A3965" s="1" t="n">
        <v>3964</v>
      </c>
      <c r="B3965">
        <f>TEXT(3964, "[$-170000]yyyy-mm-dd")</f>
        <v/>
      </c>
      <c r="C3965">
        <f>TEXT(3964, "[$-060000]yyyy-mm-dd")</f>
        <v/>
      </c>
      <c r="D3965" t="inlineStr">
        <is>
          <t>1328-11-05</t>
        </is>
      </c>
    </row>
    <row r="3966">
      <c r="A3966" s="1" t="n">
        <v>3965</v>
      </c>
      <c r="B3966">
        <f>TEXT(3965, "[$-170000]yyyy-mm-dd")</f>
        <v/>
      </c>
      <c r="C3966">
        <f>TEXT(3965, "[$-060000]yyyy-mm-dd")</f>
        <v/>
      </c>
      <c r="D3966" t="inlineStr">
        <is>
          <t>1328-11-06</t>
        </is>
      </c>
    </row>
    <row r="3967">
      <c r="A3967" s="1" t="n">
        <v>3966</v>
      </c>
      <c r="B3967">
        <f>TEXT(3966, "[$-170000]yyyy-mm-dd")</f>
        <v/>
      </c>
      <c r="C3967">
        <f>TEXT(3966, "[$-060000]yyyy-mm-dd")</f>
        <v/>
      </c>
      <c r="D3967" t="inlineStr">
        <is>
          <t>1328-11-07</t>
        </is>
      </c>
    </row>
    <row r="3968">
      <c r="A3968" s="1" t="n">
        <v>3967</v>
      </c>
      <c r="B3968">
        <f>TEXT(3967, "[$-170000]yyyy-mm-dd")</f>
        <v/>
      </c>
      <c r="C3968">
        <f>TEXT(3967, "[$-060000]yyyy-mm-dd")</f>
        <v/>
      </c>
      <c r="D3968" t="inlineStr">
        <is>
          <t>1328-11-08</t>
        </is>
      </c>
    </row>
    <row r="3969">
      <c r="A3969" s="1" t="n">
        <v>3968</v>
      </c>
      <c r="B3969">
        <f>TEXT(3968, "[$-170000]yyyy-mm-dd")</f>
        <v/>
      </c>
      <c r="C3969">
        <f>TEXT(3968, "[$-060000]yyyy-mm-dd")</f>
        <v/>
      </c>
      <c r="D3969" t="inlineStr">
        <is>
          <t>1328-11-09</t>
        </is>
      </c>
    </row>
    <row r="3970">
      <c r="A3970" s="1" t="n">
        <v>3969</v>
      </c>
      <c r="B3970">
        <f>TEXT(3969, "[$-170000]yyyy-mm-dd")</f>
        <v/>
      </c>
      <c r="C3970">
        <f>TEXT(3969, "[$-060000]yyyy-mm-dd")</f>
        <v/>
      </c>
      <c r="D3970" t="inlineStr">
        <is>
          <t>1328-11-10</t>
        </is>
      </c>
    </row>
    <row r="3971">
      <c r="A3971" s="1" t="n">
        <v>3970</v>
      </c>
      <c r="B3971">
        <f>TEXT(3970, "[$-170000]yyyy-mm-dd")</f>
        <v/>
      </c>
      <c r="C3971">
        <f>TEXT(3970, "[$-060000]yyyy-mm-dd")</f>
        <v/>
      </c>
      <c r="D3971" t="inlineStr">
        <is>
          <t>1328-11-11</t>
        </is>
      </c>
    </row>
    <row r="3972">
      <c r="A3972" s="1" t="n">
        <v>3971</v>
      </c>
      <c r="B3972">
        <f>TEXT(3971, "[$-170000]yyyy-mm-dd")</f>
        <v/>
      </c>
      <c r="C3972">
        <f>TEXT(3971, "[$-060000]yyyy-mm-dd")</f>
        <v/>
      </c>
      <c r="D3972" t="inlineStr">
        <is>
          <t>1328-11-12</t>
        </is>
      </c>
    </row>
    <row r="3973">
      <c r="A3973" s="1" t="n">
        <v>3972</v>
      </c>
      <c r="B3973">
        <f>TEXT(3972, "[$-170000]yyyy-mm-dd")</f>
        <v/>
      </c>
      <c r="C3973">
        <f>TEXT(3972, "[$-060000]yyyy-mm-dd")</f>
        <v/>
      </c>
      <c r="D3973" t="inlineStr">
        <is>
          <t>1328-11-13</t>
        </is>
      </c>
    </row>
    <row r="3974">
      <c r="A3974" s="1" t="n">
        <v>3973</v>
      </c>
      <c r="B3974">
        <f>TEXT(3973, "[$-170000]yyyy-mm-dd")</f>
        <v/>
      </c>
      <c r="C3974">
        <f>TEXT(3973, "[$-060000]yyyy-mm-dd")</f>
        <v/>
      </c>
      <c r="D3974" t="inlineStr">
        <is>
          <t>1328-11-14</t>
        </is>
      </c>
    </row>
    <row r="3975">
      <c r="A3975" s="1" t="n">
        <v>3974</v>
      </c>
      <c r="B3975">
        <f>TEXT(3974, "[$-170000]yyyy-mm-dd")</f>
        <v/>
      </c>
      <c r="C3975">
        <f>TEXT(3974, "[$-060000]yyyy-mm-dd")</f>
        <v/>
      </c>
      <c r="D3975" t="inlineStr">
        <is>
          <t>1328-11-15</t>
        </is>
      </c>
    </row>
    <row r="3976">
      <c r="A3976" s="1" t="n">
        <v>3975</v>
      </c>
      <c r="B3976">
        <f>TEXT(3975, "[$-170000]yyyy-mm-dd")</f>
        <v/>
      </c>
      <c r="C3976">
        <f>TEXT(3975, "[$-060000]yyyy-mm-dd")</f>
        <v/>
      </c>
      <c r="D3976" t="inlineStr">
        <is>
          <t>1328-11-16</t>
        </is>
      </c>
    </row>
    <row r="3977">
      <c r="A3977" s="1" t="n">
        <v>3976</v>
      </c>
      <c r="B3977">
        <f>TEXT(3976, "[$-170000]yyyy-mm-dd")</f>
        <v/>
      </c>
      <c r="C3977">
        <f>TEXT(3976, "[$-060000]yyyy-mm-dd")</f>
        <v/>
      </c>
      <c r="D3977" t="inlineStr">
        <is>
          <t>1328-11-17</t>
        </is>
      </c>
    </row>
    <row r="3978">
      <c r="A3978" s="1" t="n">
        <v>3977</v>
      </c>
      <c r="B3978">
        <f>TEXT(3977, "[$-170000]yyyy-mm-dd")</f>
        <v/>
      </c>
      <c r="C3978">
        <f>TEXT(3977, "[$-060000]yyyy-mm-dd")</f>
        <v/>
      </c>
      <c r="D3978" t="inlineStr">
        <is>
          <t>1328-11-18</t>
        </is>
      </c>
    </row>
    <row r="3979">
      <c r="A3979" s="1" t="n">
        <v>3978</v>
      </c>
      <c r="B3979">
        <f>TEXT(3978, "[$-170000]yyyy-mm-dd")</f>
        <v/>
      </c>
      <c r="C3979">
        <f>TEXT(3978, "[$-060000]yyyy-mm-dd")</f>
        <v/>
      </c>
      <c r="D3979" t="inlineStr">
        <is>
          <t>1328-11-19</t>
        </is>
      </c>
    </row>
    <row r="3980">
      <c r="A3980" s="1" t="n">
        <v>3979</v>
      </c>
      <c r="B3980">
        <f>TEXT(3979, "[$-170000]yyyy-mm-dd")</f>
        <v/>
      </c>
      <c r="C3980">
        <f>TEXT(3979, "[$-060000]yyyy-mm-dd")</f>
        <v/>
      </c>
      <c r="D3980" t="inlineStr">
        <is>
          <t>1328-11-20</t>
        </is>
      </c>
    </row>
    <row r="3981">
      <c r="A3981" s="1" t="n">
        <v>3980</v>
      </c>
      <c r="B3981">
        <f>TEXT(3980, "[$-170000]yyyy-mm-dd")</f>
        <v/>
      </c>
      <c r="C3981">
        <f>TEXT(3980, "[$-060000]yyyy-mm-dd")</f>
        <v/>
      </c>
      <c r="D3981" t="inlineStr">
        <is>
          <t>1328-11-21</t>
        </is>
      </c>
    </row>
    <row r="3982">
      <c r="A3982" s="1" t="n">
        <v>3981</v>
      </c>
      <c r="B3982">
        <f>TEXT(3981, "[$-170000]yyyy-mm-dd")</f>
        <v/>
      </c>
      <c r="C3982">
        <f>TEXT(3981, "[$-060000]yyyy-mm-dd")</f>
        <v/>
      </c>
      <c r="D3982" t="inlineStr">
        <is>
          <t>1328-11-22</t>
        </is>
      </c>
    </row>
    <row r="3983">
      <c r="A3983" s="1" t="n">
        <v>3982</v>
      </c>
      <c r="B3983">
        <f>TEXT(3982, "[$-170000]yyyy-mm-dd")</f>
        <v/>
      </c>
      <c r="C3983">
        <f>TEXT(3982, "[$-060000]yyyy-mm-dd")</f>
        <v/>
      </c>
      <c r="D3983" t="inlineStr">
        <is>
          <t>1328-11-23</t>
        </is>
      </c>
    </row>
    <row r="3984">
      <c r="A3984" s="1" t="n">
        <v>3983</v>
      </c>
      <c r="B3984">
        <f>TEXT(3983, "[$-170000]yyyy-mm-dd")</f>
        <v/>
      </c>
      <c r="C3984">
        <f>TEXT(3983, "[$-060000]yyyy-mm-dd")</f>
        <v/>
      </c>
      <c r="D3984" t="inlineStr">
        <is>
          <t>1328-11-24</t>
        </is>
      </c>
    </row>
    <row r="3985">
      <c r="A3985" s="1" t="n">
        <v>3984</v>
      </c>
      <c r="B3985">
        <f>TEXT(3984, "[$-170000]yyyy-mm-dd")</f>
        <v/>
      </c>
      <c r="C3985">
        <f>TEXT(3984, "[$-060000]yyyy-mm-dd")</f>
        <v/>
      </c>
      <c r="D3985" t="inlineStr">
        <is>
          <t>1328-11-25</t>
        </is>
      </c>
    </row>
    <row r="3986">
      <c r="A3986" s="1" t="n">
        <v>3985</v>
      </c>
      <c r="B3986">
        <f>TEXT(3985, "[$-170000]yyyy-mm-dd")</f>
        <v/>
      </c>
      <c r="C3986">
        <f>TEXT(3985, "[$-060000]yyyy-mm-dd")</f>
        <v/>
      </c>
      <c r="D3986" t="inlineStr">
        <is>
          <t>1328-11-26</t>
        </is>
      </c>
    </row>
    <row r="3987">
      <c r="A3987" s="1" t="n">
        <v>3986</v>
      </c>
      <c r="B3987">
        <f>TEXT(3986, "[$-170000]yyyy-mm-dd")</f>
        <v/>
      </c>
      <c r="C3987">
        <f>TEXT(3986, "[$-060000]yyyy-mm-dd")</f>
        <v/>
      </c>
      <c r="D3987" t="inlineStr">
        <is>
          <t>1328-11-27</t>
        </is>
      </c>
    </row>
    <row r="3988">
      <c r="A3988" s="1" t="n">
        <v>3987</v>
      </c>
      <c r="B3988">
        <f>TEXT(3987, "[$-170000]yyyy-mm-dd")</f>
        <v/>
      </c>
      <c r="C3988">
        <f>TEXT(3987, "[$-060000]yyyy-mm-dd")</f>
        <v/>
      </c>
      <c r="D3988" t="inlineStr">
        <is>
          <t>1328-11-28</t>
        </is>
      </c>
    </row>
    <row r="3989">
      <c r="A3989" s="1" t="n">
        <v>3988</v>
      </c>
      <c r="B3989">
        <f>TEXT(3988, "[$-170000]yyyy-mm-dd")</f>
        <v/>
      </c>
      <c r="C3989">
        <f>TEXT(3988, "[$-060000]yyyy-mm-dd")</f>
        <v/>
      </c>
      <c r="D3989" t="inlineStr">
        <is>
          <t>1328-11-29</t>
        </is>
      </c>
    </row>
    <row r="3990">
      <c r="A3990" s="1" t="n">
        <v>3989</v>
      </c>
      <c r="B3990">
        <f>TEXT(3989, "[$-170000]yyyy-mm-dd")</f>
        <v/>
      </c>
      <c r="C3990">
        <f>TEXT(3989, "[$-060000]yyyy-mm-dd")</f>
        <v/>
      </c>
      <c r="D3990" t="inlineStr">
        <is>
          <t>1328-11-30</t>
        </is>
      </c>
    </row>
    <row r="3991">
      <c r="A3991" s="1" t="n">
        <v>3990</v>
      </c>
      <c r="B3991">
        <f>TEXT(3990, "[$-170000]yyyy-mm-dd")</f>
        <v/>
      </c>
      <c r="C3991">
        <f>TEXT(3990, "[$-060000]yyyy-mm-dd")</f>
        <v/>
      </c>
      <c r="D3991" t="inlineStr">
        <is>
          <t>1328-12-01</t>
        </is>
      </c>
    </row>
    <row r="3992">
      <c r="A3992" s="1" t="n">
        <v>3991</v>
      </c>
      <c r="B3992">
        <f>TEXT(3991, "[$-170000]yyyy-mm-dd")</f>
        <v/>
      </c>
      <c r="C3992">
        <f>TEXT(3991, "[$-060000]yyyy-mm-dd")</f>
        <v/>
      </c>
      <c r="D3992" t="inlineStr">
        <is>
          <t>1328-12-02</t>
        </is>
      </c>
    </row>
    <row r="3993">
      <c r="A3993" s="1" t="n">
        <v>3992</v>
      </c>
      <c r="B3993">
        <f>TEXT(3992, "[$-170000]yyyy-mm-dd")</f>
        <v/>
      </c>
      <c r="C3993">
        <f>TEXT(3992, "[$-060000]yyyy-mm-dd")</f>
        <v/>
      </c>
      <c r="D3993" t="inlineStr">
        <is>
          <t>1328-12-03</t>
        </is>
      </c>
    </row>
    <row r="3994">
      <c r="A3994" s="1" t="n">
        <v>3993</v>
      </c>
      <c r="B3994">
        <f>TEXT(3993, "[$-170000]yyyy-mm-dd")</f>
        <v/>
      </c>
      <c r="C3994">
        <f>TEXT(3993, "[$-060000]yyyy-mm-dd")</f>
        <v/>
      </c>
      <c r="D3994" t="inlineStr">
        <is>
          <t>1328-12-04</t>
        </is>
      </c>
    </row>
    <row r="3995">
      <c r="A3995" s="1" t="n">
        <v>3994</v>
      </c>
      <c r="B3995">
        <f>TEXT(3994, "[$-170000]yyyy-mm-dd")</f>
        <v/>
      </c>
      <c r="C3995">
        <f>TEXT(3994, "[$-060000]yyyy-mm-dd")</f>
        <v/>
      </c>
      <c r="D3995" t="inlineStr">
        <is>
          <t>1328-12-05</t>
        </is>
      </c>
    </row>
    <row r="3996">
      <c r="A3996" s="1" t="n">
        <v>3995</v>
      </c>
      <c r="B3996">
        <f>TEXT(3995, "[$-170000]yyyy-mm-dd")</f>
        <v/>
      </c>
      <c r="C3996">
        <f>TEXT(3995, "[$-060000]yyyy-mm-dd")</f>
        <v/>
      </c>
      <c r="D3996" t="inlineStr">
        <is>
          <t>1328-12-06</t>
        </is>
      </c>
    </row>
    <row r="3997">
      <c r="A3997" s="1" t="n">
        <v>3996</v>
      </c>
      <c r="B3997">
        <f>TEXT(3996, "[$-170000]yyyy-mm-dd")</f>
        <v/>
      </c>
      <c r="C3997">
        <f>TEXT(3996, "[$-060000]yyyy-mm-dd")</f>
        <v/>
      </c>
      <c r="D3997" t="inlineStr">
        <is>
          <t>1328-12-07</t>
        </is>
      </c>
    </row>
    <row r="3998">
      <c r="A3998" s="1" t="n">
        <v>3997</v>
      </c>
      <c r="B3998">
        <f>TEXT(3997, "[$-170000]yyyy-mm-dd")</f>
        <v/>
      </c>
      <c r="C3998">
        <f>TEXT(3997, "[$-060000]yyyy-mm-dd")</f>
        <v/>
      </c>
      <c r="D3998" t="inlineStr">
        <is>
          <t>1328-12-08</t>
        </is>
      </c>
    </row>
    <row r="3999">
      <c r="A3999" s="1" t="n">
        <v>3998</v>
      </c>
      <c r="B3999">
        <f>TEXT(3998, "[$-170000]yyyy-mm-dd")</f>
        <v/>
      </c>
      <c r="C3999">
        <f>TEXT(3998, "[$-060000]yyyy-mm-dd")</f>
        <v/>
      </c>
      <c r="D3999" t="inlineStr">
        <is>
          <t>1328-12-09</t>
        </is>
      </c>
    </row>
    <row r="4000">
      <c r="A4000" s="1" t="n">
        <v>3999</v>
      </c>
      <c r="B4000">
        <f>TEXT(3999, "[$-170000]yyyy-mm-dd")</f>
        <v/>
      </c>
      <c r="C4000">
        <f>TEXT(3999, "[$-060000]yyyy-mm-dd")</f>
        <v/>
      </c>
      <c r="D4000" t="inlineStr">
        <is>
          <t>1328-12-10</t>
        </is>
      </c>
    </row>
    <row r="4001">
      <c r="A4001" s="1" t="n">
        <v>4000</v>
      </c>
      <c r="B4001">
        <f>TEXT(4000, "[$-170000]yyyy-mm-dd")</f>
        <v/>
      </c>
      <c r="C4001">
        <f>TEXT(4000, "[$-060000]yyyy-mm-dd")</f>
        <v/>
      </c>
      <c r="D4001" t="inlineStr">
        <is>
          <t>1328-12-11</t>
        </is>
      </c>
    </row>
    <row r="4002">
      <c r="A4002" s="1" t="n">
        <v>4001</v>
      </c>
      <c r="B4002">
        <f>TEXT(4001, "[$-170000]yyyy-mm-dd")</f>
        <v/>
      </c>
      <c r="C4002">
        <f>TEXT(4001, "[$-060000]yyyy-mm-dd")</f>
        <v/>
      </c>
      <c r="D4002" t="inlineStr">
        <is>
          <t>1328-12-12</t>
        </is>
      </c>
    </row>
    <row r="4003">
      <c r="A4003" s="1" t="n">
        <v>4002</v>
      </c>
      <c r="B4003">
        <f>TEXT(4002, "[$-170000]yyyy-mm-dd")</f>
        <v/>
      </c>
      <c r="C4003">
        <f>TEXT(4002, "[$-060000]yyyy-mm-dd")</f>
        <v/>
      </c>
      <c r="D4003" t="inlineStr">
        <is>
          <t>1328-12-13</t>
        </is>
      </c>
    </row>
    <row r="4004">
      <c r="A4004" s="1" t="n">
        <v>4003</v>
      </c>
      <c r="B4004">
        <f>TEXT(4003, "[$-170000]yyyy-mm-dd")</f>
        <v/>
      </c>
      <c r="C4004">
        <f>TEXT(4003, "[$-060000]yyyy-mm-dd")</f>
        <v/>
      </c>
      <c r="D4004" t="inlineStr">
        <is>
          <t>1328-12-14</t>
        </is>
      </c>
    </row>
    <row r="4005">
      <c r="A4005" s="1" t="n">
        <v>4004</v>
      </c>
      <c r="B4005">
        <f>TEXT(4004, "[$-170000]yyyy-mm-dd")</f>
        <v/>
      </c>
      <c r="C4005">
        <f>TEXT(4004, "[$-060000]yyyy-mm-dd")</f>
        <v/>
      </c>
      <c r="D4005" t="inlineStr">
        <is>
          <t>1328-12-15</t>
        </is>
      </c>
    </row>
    <row r="4006">
      <c r="A4006" s="1" t="n">
        <v>4005</v>
      </c>
      <c r="B4006">
        <f>TEXT(4005, "[$-170000]yyyy-mm-dd")</f>
        <v/>
      </c>
      <c r="C4006">
        <f>TEXT(4005, "[$-060000]yyyy-mm-dd")</f>
        <v/>
      </c>
      <c r="D4006" t="inlineStr">
        <is>
          <t>1328-12-16</t>
        </is>
      </c>
    </row>
    <row r="4007">
      <c r="A4007" s="1" t="n">
        <v>4006</v>
      </c>
      <c r="B4007">
        <f>TEXT(4006, "[$-170000]yyyy-mm-dd")</f>
        <v/>
      </c>
      <c r="C4007">
        <f>TEXT(4006, "[$-060000]yyyy-mm-dd")</f>
        <v/>
      </c>
      <c r="D4007" t="inlineStr">
        <is>
          <t>1328-12-17</t>
        </is>
      </c>
    </row>
    <row r="4008">
      <c r="A4008" s="1" t="n">
        <v>4007</v>
      </c>
      <c r="B4008">
        <f>TEXT(4007, "[$-170000]yyyy-mm-dd")</f>
        <v/>
      </c>
      <c r="C4008">
        <f>TEXT(4007, "[$-060000]yyyy-mm-dd")</f>
        <v/>
      </c>
      <c r="D4008" t="inlineStr">
        <is>
          <t>1328-12-18</t>
        </is>
      </c>
    </row>
    <row r="4009">
      <c r="A4009" s="1" t="n">
        <v>4008</v>
      </c>
      <c r="B4009">
        <f>TEXT(4008, "[$-170000]yyyy-mm-dd")</f>
        <v/>
      </c>
      <c r="C4009">
        <f>TEXT(4008, "[$-060000]yyyy-mm-dd")</f>
        <v/>
      </c>
      <c r="D4009" t="inlineStr">
        <is>
          <t>1328-12-19</t>
        </is>
      </c>
    </row>
    <row r="4010">
      <c r="A4010" s="1" t="n">
        <v>4009</v>
      </c>
      <c r="B4010">
        <f>TEXT(4009, "[$-170000]yyyy-mm-dd")</f>
        <v/>
      </c>
      <c r="C4010">
        <f>TEXT(4009, "[$-060000]yyyy-mm-dd")</f>
        <v/>
      </c>
      <c r="D4010" t="inlineStr">
        <is>
          <t>1328-12-20</t>
        </is>
      </c>
    </row>
    <row r="4011">
      <c r="A4011" s="1" t="n">
        <v>4010</v>
      </c>
      <c r="B4011">
        <f>TEXT(4010, "[$-170000]yyyy-mm-dd")</f>
        <v/>
      </c>
      <c r="C4011">
        <f>TEXT(4010, "[$-060000]yyyy-mm-dd")</f>
        <v/>
      </c>
      <c r="D4011" t="inlineStr">
        <is>
          <t>1328-12-21</t>
        </is>
      </c>
    </row>
    <row r="4012">
      <c r="A4012" s="1" t="n">
        <v>4011</v>
      </c>
      <c r="B4012">
        <f>TEXT(4011, "[$-170000]yyyy-mm-dd")</f>
        <v/>
      </c>
      <c r="C4012">
        <f>TEXT(4011, "[$-060000]yyyy-mm-dd")</f>
        <v/>
      </c>
      <c r="D4012" t="inlineStr">
        <is>
          <t>1328-12-22</t>
        </is>
      </c>
    </row>
    <row r="4013">
      <c r="A4013" s="1" t="n">
        <v>4012</v>
      </c>
      <c r="B4013">
        <f>TEXT(4012, "[$-170000]yyyy-mm-dd")</f>
        <v/>
      </c>
      <c r="C4013">
        <f>TEXT(4012, "[$-060000]yyyy-mm-dd")</f>
        <v/>
      </c>
      <c r="D4013" t="inlineStr">
        <is>
          <t>1328-12-23</t>
        </is>
      </c>
    </row>
    <row r="4014">
      <c r="A4014" s="1" t="n">
        <v>4013</v>
      </c>
      <c r="B4014">
        <f>TEXT(4013, "[$-170000]yyyy-mm-dd")</f>
        <v/>
      </c>
      <c r="C4014">
        <f>TEXT(4013, "[$-060000]yyyy-mm-dd")</f>
        <v/>
      </c>
      <c r="D4014" t="inlineStr">
        <is>
          <t>1328-12-24</t>
        </is>
      </c>
    </row>
    <row r="4015">
      <c r="A4015" s="1" t="n">
        <v>4014</v>
      </c>
      <c r="B4015">
        <f>TEXT(4014, "[$-170000]yyyy-mm-dd")</f>
        <v/>
      </c>
      <c r="C4015">
        <f>TEXT(4014, "[$-060000]yyyy-mm-dd")</f>
        <v/>
      </c>
      <c r="D4015" t="inlineStr">
        <is>
          <t>1328-12-25</t>
        </is>
      </c>
    </row>
    <row r="4016">
      <c r="A4016" s="1" t="n">
        <v>4015</v>
      </c>
      <c r="B4016">
        <f>TEXT(4015, "[$-170000]yyyy-mm-dd")</f>
        <v/>
      </c>
      <c r="C4016">
        <f>TEXT(4015, "[$-060000]yyyy-mm-dd")</f>
        <v/>
      </c>
      <c r="D4016" t="inlineStr">
        <is>
          <t>1328-12-26</t>
        </is>
      </c>
    </row>
    <row r="4017">
      <c r="A4017" s="1" t="n">
        <v>4016</v>
      </c>
      <c r="B4017">
        <f>TEXT(4016, "[$-170000]yyyy-mm-dd")</f>
        <v/>
      </c>
      <c r="C4017">
        <f>TEXT(4016, "[$-060000]yyyy-mm-dd")</f>
        <v/>
      </c>
      <c r="D4017" t="inlineStr">
        <is>
          <t>1328-12-27</t>
        </is>
      </c>
    </row>
    <row r="4018">
      <c r="A4018" s="1" t="n">
        <v>4017</v>
      </c>
      <c r="B4018">
        <f>TEXT(4017, "[$-170000]yyyy-mm-dd")</f>
        <v/>
      </c>
      <c r="C4018">
        <f>TEXT(4017, "[$-060000]yyyy-mm-dd")</f>
        <v/>
      </c>
      <c r="D4018" t="inlineStr">
        <is>
          <t>1328-12-28</t>
        </is>
      </c>
    </row>
    <row r="4019">
      <c r="A4019" s="1" t="n">
        <v>4018</v>
      </c>
      <c r="B4019">
        <f>TEXT(4018, "[$-170000]yyyy-mm-dd")</f>
        <v/>
      </c>
      <c r="C4019">
        <f>TEXT(4018, "[$-060000]yyyy-mm-dd")</f>
        <v/>
      </c>
      <c r="D4019" t="inlineStr">
        <is>
          <t>1328-12-29</t>
        </is>
      </c>
    </row>
    <row r="4020">
      <c r="A4020" s="1" t="n">
        <v>4019</v>
      </c>
      <c r="B4020">
        <f>TEXT(4019, "[$-170000]yyyy-mm-dd")</f>
        <v/>
      </c>
      <c r="C4020">
        <f>TEXT(4019, "[$-060000]yyyy-mm-dd")</f>
        <v/>
      </c>
      <c r="D4020" t="inlineStr">
        <is>
          <t>1329-01-01</t>
        </is>
      </c>
    </row>
    <row r="4021">
      <c r="A4021" s="1" t="n">
        <v>4020</v>
      </c>
      <c r="B4021">
        <f>TEXT(4020, "[$-170000]yyyy-mm-dd")</f>
        <v/>
      </c>
      <c r="C4021">
        <f>TEXT(4020, "[$-060000]yyyy-mm-dd")</f>
        <v/>
      </c>
      <c r="D4021" t="inlineStr">
        <is>
          <t>1329-01-02</t>
        </is>
      </c>
    </row>
    <row r="4022">
      <c r="A4022" s="1" t="n">
        <v>4021</v>
      </c>
      <c r="B4022">
        <f>TEXT(4021, "[$-170000]yyyy-mm-dd")</f>
        <v/>
      </c>
      <c r="C4022">
        <f>TEXT(4021, "[$-060000]yyyy-mm-dd")</f>
        <v/>
      </c>
      <c r="D4022" t="inlineStr">
        <is>
          <t>1329-01-03</t>
        </is>
      </c>
    </row>
    <row r="4023">
      <c r="A4023" s="1" t="n">
        <v>4022</v>
      </c>
      <c r="B4023">
        <f>TEXT(4022, "[$-170000]yyyy-mm-dd")</f>
        <v/>
      </c>
      <c r="C4023">
        <f>TEXT(4022, "[$-060000]yyyy-mm-dd")</f>
        <v/>
      </c>
      <c r="D4023" t="inlineStr">
        <is>
          <t>1329-01-04</t>
        </is>
      </c>
    </row>
    <row r="4024">
      <c r="A4024" s="1" t="n">
        <v>4023</v>
      </c>
      <c r="B4024">
        <f>TEXT(4023, "[$-170000]yyyy-mm-dd")</f>
        <v/>
      </c>
      <c r="C4024">
        <f>TEXT(4023, "[$-060000]yyyy-mm-dd")</f>
        <v/>
      </c>
      <c r="D4024" t="inlineStr">
        <is>
          <t>1329-01-05</t>
        </is>
      </c>
    </row>
    <row r="4025">
      <c r="A4025" s="1" t="n">
        <v>4024</v>
      </c>
      <c r="B4025">
        <f>TEXT(4024, "[$-170000]yyyy-mm-dd")</f>
        <v/>
      </c>
      <c r="C4025">
        <f>TEXT(4024, "[$-060000]yyyy-mm-dd")</f>
        <v/>
      </c>
      <c r="D4025" t="inlineStr">
        <is>
          <t>1329-01-06</t>
        </is>
      </c>
    </row>
    <row r="4026">
      <c r="A4026" s="1" t="n">
        <v>4025</v>
      </c>
      <c r="B4026">
        <f>TEXT(4025, "[$-170000]yyyy-mm-dd")</f>
        <v/>
      </c>
      <c r="C4026">
        <f>TEXT(4025, "[$-060000]yyyy-mm-dd")</f>
        <v/>
      </c>
      <c r="D4026" t="inlineStr">
        <is>
          <t>1329-01-07</t>
        </is>
      </c>
    </row>
    <row r="4027">
      <c r="A4027" s="1" t="n">
        <v>4026</v>
      </c>
      <c r="B4027">
        <f>TEXT(4026, "[$-170000]yyyy-mm-dd")</f>
        <v/>
      </c>
      <c r="C4027">
        <f>TEXT(4026, "[$-060000]yyyy-mm-dd")</f>
        <v/>
      </c>
      <c r="D4027" t="inlineStr">
        <is>
          <t>1329-01-08</t>
        </is>
      </c>
    </row>
    <row r="4028">
      <c r="A4028" s="1" t="n">
        <v>4027</v>
      </c>
      <c r="B4028">
        <f>TEXT(4027, "[$-170000]yyyy-mm-dd")</f>
        <v/>
      </c>
      <c r="C4028">
        <f>TEXT(4027, "[$-060000]yyyy-mm-dd")</f>
        <v/>
      </c>
      <c r="D4028" t="inlineStr">
        <is>
          <t>1329-01-09</t>
        </is>
      </c>
    </row>
    <row r="4029">
      <c r="A4029" s="1" t="n">
        <v>4028</v>
      </c>
      <c r="B4029">
        <f>TEXT(4028, "[$-170000]yyyy-mm-dd")</f>
        <v/>
      </c>
      <c r="C4029">
        <f>TEXT(4028, "[$-060000]yyyy-mm-dd")</f>
        <v/>
      </c>
      <c r="D4029" t="inlineStr">
        <is>
          <t>1329-01-10</t>
        </is>
      </c>
    </row>
    <row r="4030">
      <c r="A4030" s="1" t="n">
        <v>4029</v>
      </c>
      <c r="B4030">
        <f>TEXT(4029, "[$-170000]yyyy-mm-dd")</f>
        <v/>
      </c>
      <c r="C4030">
        <f>TEXT(4029, "[$-060000]yyyy-mm-dd")</f>
        <v/>
      </c>
      <c r="D4030" t="inlineStr">
        <is>
          <t>1329-01-11</t>
        </is>
      </c>
    </row>
    <row r="4031">
      <c r="A4031" s="1" t="n">
        <v>4030</v>
      </c>
      <c r="B4031">
        <f>TEXT(4030, "[$-170000]yyyy-mm-dd")</f>
        <v/>
      </c>
      <c r="C4031">
        <f>TEXT(4030, "[$-060000]yyyy-mm-dd")</f>
        <v/>
      </c>
      <c r="D4031" t="inlineStr">
        <is>
          <t>1329-01-12</t>
        </is>
      </c>
    </row>
    <row r="4032">
      <c r="A4032" s="1" t="n">
        <v>4031</v>
      </c>
      <c r="B4032">
        <f>TEXT(4031, "[$-170000]yyyy-mm-dd")</f>
        <v/>
      </c>
      <c r="C4032">
        <f>TEXT(4031, "[$-060000]yyyy-mm-dd")</f>
        <v/>
      </c>
      <c r="D4032" t="inlineStr">
        <is>
          <t>1329-01-13</t>
        </is>
      </c>
    </row>
    <row r="4033">
      <c r="A4033" s="1" t="n">
        <v>4032</v>
      </c>
      <c r="B4033">
        <f>TEXT(4032, "[$-170000]yyyy-mm-dd")</f>
        <v/>
      </c>
      <c r="C4033">
        <f>TEXT(4032, "[$-060000]yyyy-mm-dd")</f>
        <v/>
      </c>
      <c r="D4033" t="inlineStr">
        <is>
          <t>1329-01-14</t>
        </is>
      </c>
    </row>
    <row r="4034">
      <c r="A4034" s="1" t="n">
        <v>4033</v>
      </c>
      <c r="B4034">
        <f>TEXT(4033, "[$-170000]yyyy-mm-dd")</f>
        <v/>
      </c>
      <c r="C4034">
        <f>TEXT(4033, "[$-060000]yyyy-mm-dd")</f>
        <v/>
      </c>
      <c r="D4034" t="inlineStr">
        <is>
          <t>1329-01-15</t>
        </is>
      </c>
    </row>
    <row r="4035">
      <c r="A4035" s="1" t="n">
        <v>4034</v>
      </c>
      <c r="B4035">
        <f>TEXT(4034, "[$-170000]yyyy-mm-dd")</f>
        <v/>
      </c>
      <c r="C4035">
        <f>TEXT(4034, "[$-060000]yyyy-mm-dd")</f>
        <v/>
      </c>
      <c r="D4035" t="inlineStr">
        <is>
          <t>1329-01-16</t>
        </is>
      </c>
    </row>
    <row r="4036">
      <c r="A4036" s="1" t="n">
        <v>4035</v>
      </c>
      <c r="B4036">
        <f>TEXT(4035, "[$-170000]yyyy-mm-dd")</f>
        <v/>
      </c>
      <c r="C4036">
        <f>TEXT(4035, "[$-060000]yyyy-mm-dd")</f>
        <v/>
      </c>
      <c r="D4036" t="inlineStr">
        <is>
          <t>1329-01-17</t>
        </is>
      </c>
    </row>
    <row r="4037">
      <c r="A4037" s="1" t="n">
        <v>4036</v>
      </c>
      <c r="B4037">
        <f>TEXT(4036, "[$-170000]yyyy-mm-dd")</f>
        <v/>
      </c>
      <c r="C4037">
        <f>TEXT(4036, "[$-060000]yyyy-mm-dd")</f>
        <v/>
      </c>
      <c r="D4037" t="inlineStr">
        <is>
          <t>1329-01-18</t>
        </is>
      </c>
    </row>
    <row r="4038">
      <c r="A4038" s="1" t="n">
        <v>4037</v>
      </c>
      <c r="B4038">
        <f>TEXT(4037, "[$-170000]yyyy-mm-dd")</f>
        <v/>
      </c>
      <c r="C4038">
        <f>TEXT(4037, "[$-060000]yyyy-mm-dd")</f>
        <v/>
      </c>
      <c r="D4038" t="inlineStr">
        <is>
          <t>1329-01-19</t>
        </is>
      </c>
    </row>
    <row r="4039">
      <c r="A4039" s="1" t="n">
        <v>4038</v>
      </c>
      <c r="B4039">
        <f>TEXT(4038, "[$-170000]yyyy-mm-dd")</f>
        <v/>
      </c>
      <c r="C4039">
        <f>TEXT(4038, "[$-060000]yyyy-mm-dd")</f>
        <v/>
      </c>
      <c r="D4039" t="inlineStr">
        <is>
          <t>1329-01-20</t>
        </is>
      </c>
    </row>
    <row r="4040">
      <c r="A4040" s="1" t="n">
        <v>4039</v>
      </c>
      <c r="B4040">
        <f>TEXT(4039, "[$-170000]yyyy-mm-dd")</f>
        <v/>
      </c>
      <c r="C4040">
        <f>TEXT(4039, "[$-060000]yyyy-mm-dd")</f>
        <v/>
      </c>
      <c r="D4040" t="inlineStr">
        <is>
          <t>1329-01-21</t>
        </is>
      </c>
    </row>
    <row r="4041">
      <c r="A4041" s="1" t="n">
        <v>4040</v>
      </c>
      <c r="B4041">
        <f>TEXT(4040, "[$-170000]yyyy-mm-dd")</f>
        <v/>
      </c>
      <c r="C4041">
        <f>TEXT(4040, "[$-060000]yyyy-mm-dd")</f>
        <v/>
      </c>
      <c r="D4041" t="inlineStr">
        <is>
          <t>1329-01-22</t>
        </is>
      </c>
    </row>
    <row r="4042">
      <c r="A4042" s="1" t="n">
        <v>4041</v>
      </c>
      <c r="B4042">
        <f>TEXT(4041, "[$-170000]yyyy-mm-dd")</f>
        <v/>
      </c>
      <c r="C4042">
        <f>TEXT(4041, "[$-060000]yyyy-mm-dd")</f>
        <v/>
      </c>
      <c r="D4042" t="inlineStr">
        <is>
          <t>1329-01-23</t>
        </is>
      </c>
    </row>
    <row r="4043">
      <c r="A4043" s="1" t="n">
        <v>4042</v>
      </c>
      <c r="B4043">
        <f>TEXT(4042, "[$-170000]yyyy-mm-dd")</f>
        <v/>
      </c>
      <c r="C4043">
        <f>TEXT(4042, "[$-060000]yyyy-mm-dd")</f>
        <v/>
      </c>
      <c r="D4043" t="inlineStr">
        <is>
          <t>1329-01-24</t>
        </is>
      </c>
    </row>
    <row r="4044">
      <c r="A4044" s="1" t="n">
        <v>4043</v>
      </c>
      <c r="B4044">
        <f>TEXT(4043, "[$-170000]yyyy-mm-dd")</f>
        <v/>
      </c>
      <c r="C4044">
        <f>TEXT(4043, "[$-060000]yyyy-mm-dd")</f>
        <v/>
      </c>
      <c r="D4044" t="inlineStr">
        <is>
          <t>1329-01-25</t>
        </is>
      </c>
    </row>
    <row r="4045">
      <c r="A4045" s="1" t="n">
        <v>4044</v>
      </c>
      <c r="B4045">
        <f>TEXT(4044, "[$-170000]yyyy-mm-dd")</f>
        <v/>
      </c>
      <c r="C4045">
        <f>TEXT(4044, "[$-060000]yyyy-mm-dd")</f>
        <v/>
      </c>
      <c r="D4045" t="inlineStr">
        <is>
          <t>1329-01-26</t>
        </is>
      </c>
    </row>
    <row r="4046">
      <c r="A4046" s="1" t="n">
        <v>4045</v>
      </c>
      <c r="B4046">
        <f>TEXT(4045, "[$-170000]yyyy-mm-dd")</f>
        <v/>
      </c>
      <c r="C4046">
        <f>TEXT(4045, "[$-060000]yyyy-mm-dd")</f>
        <v/>
      </c>
      <c r="D4046" t="inlineStr">
        <is>
          <t>1329-01-27</t>
        </is>
      </c>
    </row>
    <row r="4047">
      <c r="A4047" s="1" t="n">
        <v>4046</v>
      </c>
      <c r="B4047">
        <f>TEXT(4046, "[$-170000]yyyy-mm-dd")</f>
        <v/>
      </c>
      <c r="C4047">
        <f>TEXT(4046, "[$-060000]yyyy-mm-dd")</f>
        <v/>
      </c>
      <c r="D4047" t="inlineStr">
        <is>
          <t>1329-01-28</t>
        </is>
      </c>
    </row>
    <row r="4048">
      <c r="A4048" s="1" t="n">
        <v>4047</v>
      </c>
      <c r="B4048">
        <f>TEXT(4047, "[$-170000]yyyy-mm-dd")</f>
        <v/>
      </c>
      <c r="C4048">
        <f>TEXT(4047, "[$-060000]yyyy-mm-dd")</f>
        <v/>
      </c>
      <c r="D4048" t="inlineStr">
        <is>
          <t>1329-01-29</t>
        </is>
      </c>
    </row>
    <row r="4049">
      <c r="A4049" s="1" t="n">
        <v>4048</v>
      </c>
      <c r="B4049">
        <f>TEXT(4048, "[$-170000]yyyy-mm-dd")</f>
        <v/>
      </c>
      <c r="C4049">
        <f>TEXT(4048, "[$-060000]yyyy-mm-dd")</f>
        <v/>
      </c>
      <c r="D4049" t="inlineStr">
        <is>
          <t>1329-01-30</t>
        </is>
      </c>
    </row>
    <row r="4050">
      <c r="A4050" s="1" t="n">
        <v>4049</v>
      </c>
      <c r="B4050">
        <f>TEXT(4049, "[$-170000]yyyy-mm-dd")</f>
        <v/>
      </c>
      <c r="C4050">
        <f>TEXT(4049, "[$-060000]yyyy-mm-dd")</f>
        <v/>
      </c>
      <c r="D4050" t="inlineStr">
        <is>
          <t>1329-02-01</t>
        </is>
      </c>
    </row>
    <row r="4051">
      <c r="A4051" s="1" t="n">
        <v>4050</v>
      </c>
      <c r="B4051">
        <f>TEXT(4050, "[$-170000]yyyy-mm-dd")</f>
        <v/>
      </c>
      <c r="C4051">
        <f>TEXT(4050, "[$-060000]yyyy-mm-dd")</f>
        <v/>
      </c>
      <c r="D4051" t="inlineStr">
        <is>
          <t>1329-02-02</t>
        </is>
      </c>
    </row>
    <row r="4052">
      <c r="A4052" s="1" t="n">
        <v>4051</v>
      </c>
      <c r="B4052">
        <f>TEXT(4051, "[$-170000]yyyy-mm-dd")</f>
        <v/>
      </c>
      <c r="C4052">
        <f>TEXT(4051, "[$-060000]yyyy-mm-dd")</f>
        <v/>
      </c>
      <c r="D4052" t="inlineStr">
        <is>
          <t>1329-02-03</t>
        </is>
      </c>
    </row>
    <row r="4053">
      <c r="A4053" s="1" t="n">
        <v>4052</v>
      </c>
      <c r="B4053">
        <f>TEXT(4052, "[$-170000]yyyy-mm-dd")</f>
        <v/>
      </c>
      <c r="C4053">
        <f>TEXT(4052, "[$-060000]yyyy-mm-dd")</f>
        <v/>
      </c>
      <c r="D4053" t="inlineStr">
        <is>
          <t>1329-02-04</t>
        </is>
      </c>
    </row>
    <row r="4054">
      <c r="A4054" s="1" t="n">
        <v>4053</v>
      </c>
      <c r="B4054">
        <f>TEXT(4053, "[$-170000]yyyy-mm-dd")</f>
        <v/>
      </c>
      <c r="C4054">
        <f>TEXT(4053, "[$-060000]yyyy-mm-dd")</f>
        <v/>
      </c>
      <c r="D4054" t="inlineStr">
        <is>
          <t>1329-02-05</t>
        </is>
      </c>
    </row>
    <row r="4055">
      <c r="A4055" s="1" t="n">
        <v>4054</v>
      </c>
      <c r="B4055">
        <f>TEXT(4054, "[$-170000]yyyy-mm-dd")</f>
        <v/>
      </c>
      <c r="C4055">
        <f>TEXT(4054, "[$-060000]yyyy-mm-dd")</f>
        <v/>
      </c>
      <c r="D4055" t="inlineStr">
        <is>
          <t>1329-02-06</t>
        </is>
      </c>
    </row>
    <row r="4056">
      <c r="A4056" s="1" t="n">
        <v>4055</v>
      </c>
      <c r="B4056">
        <f>TEXT(4055, "[$-170000]yyyy-mm-dd")</f>
        <v/>
      </c>
      <c r="C4056">
        <f>TEXT(4055, "[$-060000]yyyy-mm-dd")</f>
        <v/>
      </c>
      <c r="D4056" t="inlineStr">
        <is>
          <t>1329-02-07</t>
        </is>
      </c>
    </row>
    <row r="4057">
      <c r="A4057" s="1" t="n">
        <v>4056</v>
      </c>
      <c r="B4057">
        <f>TEXT(4056, "[$-170000]yyyy-mm-dd")</f>
        <v/>
      </c>
      <c r="C4057">
        <f>TEXT(4056, "[$-060000]yyyy-mm-dd")</f>
        <v/>
      </c>
      <c r="D4057" t="inlineStr">
        <is>
          <t>1329-02-08</t>
        </is>
      </c>
    </row>
    <row r="4058">
      <c r="A4058" s="1" t="n">
        <v>4057</v>
      </c>
      <c r="B4058">
        <f>TEXT(4057, "[$-170000]yyyy-mm-dd")</f>
        <v/>
      </c>
      <c r="C4058">
        <f>TEXT(4057, "[$-060000]yyyy-mm-dd")</f>
        <v/>
      </c>
      <c r="D4058" t="inlineStr">
        <is>
          <t>1329-02-09</t>
        </is>
      </c>
    </row>
    <row r="4059">
      <c r="A4059" s="1" t="n">
        <v>4058</v>
      </c>
      <c r="B4059">
        <f>TEXT(4058, "[$-170000]yyyy-mm-dd")</f>
        <v/>
      </c>
      <c r="C4059">
        <f>TEXT(4058, "[$-060000]yyyy-mm-dd")</f>
        <v/>
      </c>
      <c r="D4059" t="inlineStr">
        <is>
          <t>1329-02-10</t>
        </is>
      </c>
    </row>
    <row r="4060">
      <c r="A4060" s="1" t="n">
        <v>4059</v>
      </c>
      <c r="B4060">
        <f>TEXT(4059, "[$-170000]yyyy-mm-dd")</f>
        <v/>
      </c>
      <c r="C4060">
        <f>TEXT(4059, "[$-060000]yyyy-mm-dd")</f>
        <v/>
      </c>
      <c r="D4060" t="inlineStr">
        <is>
          <t>1329-02-11</t>
        </is>
      </c>
    </row>
    <row r="4061">
      <c r="A4061" s="1" t="n">
        <v>4060</v>
      </c>
      <c r="B4061">
        <f>TEXT(4060, "[$-170000]yyyy-mm-dd")</f>
        <v/>
      </c>
      <c r="C4061">
        <f>TEXT(4060, "[$-060000]yyyy-mm-dd")</f>
        <v/>
      </c>
      <c r="D4061" t="inlineStr">
        <is>
          <t>1329-02-12</t>
        </is>
      </c>
    </row>
    <row r="4062">
      <c r="A4062" s="1" t="n">
        <v>4061</v>
      </c>
      <c r="B4062">
        <f>TEXT(4061, "[$-170000]yyyy-mm-dd")</f>
        <v/>
      </c>
      <c r="C4062">
        <f>TEXT(4061, "[$-060000]yyyy-mm-dd")</f>
        <v/>
      </c>
      <c r="D4062" t="inlineStr">
        <is>
          <t>1329-02-13</t>
        </is>
      </c>
    </row>
    <row r="4063">
      <c r="A4063" s="1" t="n">
        <v>4062</v>
      </c>
      <c r="B4063">
        <f>TEXT(4062, "[$-170000]yyyy-mm-dd")</f>
        <v/>
      </c>
      <c r="C4063">
        <f>TEXT(4062, "[$-060000]yyyy-mm-dd")</f>
        <v/>
      </c>
      <c r="D4063" t="inlineStr">
        <is>
          <t>1329-02-14</t>
        </is>
      </c>
    </row>
    <row r="4064">
      <c r="A4064" s="1" t="n">
        <v>4063</v>
      </c>
      <c r="B4064">
        <f>TEXT(4063, "[$-170000]yyyy-mm-dd")</f>
        <v/>
      </c>
      <c r="C4064">
        <f>TEXT(4063, "[$-060000]yyyy-mm-dd")</f>
        <v/>
      </c>
      <c r="D4064" t="inlineStr">
        <is>
          <t>1329-02-15</t>
        </is>
      </c>
    </row>
    <row r="4065">
      <c r="A4065" s="1" t="n">
        <v>4064</v>
      </c>
      <c r="B4065">
        <f>TEXT(4064, "[$-170000]yyyy-mm-dd")</f>
        <v/>
      </c>
      <c r="C4065">
        <f>TEXT(4064, "[$-060000]yyyy-mm-dd")</f>
        <v/>
      </c>
      <c r="D4065" t="inlineStr">
        <is>
          <t>1329-02-16</t>
        </is>
      </c>
    </row>
    <row r="4066">
      <c r="A4066" s="1" t="n">
        <v>4065</v>
      </c>
      <c r="B4066">
        <f>TEXT(4065, "[$-170000]yyyy-mm-dd")</f>
        <v/>
      </c>
      <c r="C4066">
        <f>TEXT(4065, "[$-060000]yyyy-mm-dd")</f>
        <v/>
      </c>
      <c r="D4066" t="inlineStr">
        <is>
          <t>1329-02-17</t>
        </is>
      </c>
    </row>
    <row r="4067">
      <c r="A4067" s="1" t="n">
        <v>4066</v>
      </c>
      <c r="B4067">
        <f>TEXT(4066, "[$-170000]yyyy-mm-dd")</f>
        <v/>
      </c>
      <c r="C4067">
        <f>TEXT(4066, "[$-060000]yyyy-mm-dd")</f>
        <v/>
      </c>
      <c r="D4067" t="inlineStr">
        <is>
          <t>1329-02-18</t>
        </is>
      </c>
    </row>
    <row r="4068">
      <c r="A4068" s="1" t="n">
        <v>4067</v>
      </c>
      <c r="B4068">
        <f>TEXT(4067, "[$-170000]yyyy-mm-dd")</f>
        <v/>
      </c>
      <c r="C4068">
        <f>TEXT(4067, "[$-060000]yyyy-mm-dd")</f>
        <v/>
      </c>
      <c r="D4068" t="inlineStr">
        <is>
          <t>1329-02-19</t>
        </is>
      </c>
    </row>
    <row r="4069">
      <c r="A4069" s="1" t="n">
        <v>4068</v>
      </c>
      <c r="B4069">
        <f>TEXT(4068, "[$-170000]yyyy-mm-dd")</f>
        <v/>
      </c>
      <c r="C4069">
        <f>TEXT(4068, "[$-060000]yyyy-mm-dd")</f>
        <v/>
      </c>
      <c r="D4069" t="inlineStr">
        <is>
          <t>1329-02-20</t>
        </is>
      </c>
    </row>
    <row r="4070">
      <c r="A4070" s="1" t="n">
        <v>4069</v>
      </c>
      <c r="B4070">
        <f>TEXT(4069, "[$-170000]yyyy-mm-dd")</f>
        <v/>
      </c>
      <c r="C4070">
        <f>TEXT(4069, "[$-060000]yyyy-mm-dd")</f>
        <v/>
      </c>
      <c r="D4070" t="inlineStr">
        <is>
          <t>1329-02-21</t>
        </is>
      </c>
    </row>
    <row r="4071">
      <c r="A4071" s="1" t="n">
        <v>4070</v>
      </c>
      <c r="B4071">
        <f>TEXT(4070, "[$-170000]yyyy-mm-dd")</f>
        <v/>
      </c>
      <c r="C4071">
        <f>TEXT(4070, "[$-060000]yyyy-mm-dd")</f>
        <v/>
      </c>
      <c r="D4071" t="inlineStr">
        <is>
          <t>1329-02-22</t>
        </is>
      </c>
    </row>
    <row r="4072">
      <c r="A4072" s="1" t="n">
        <v>4071</v>
      </c>
      <c r="B4072">
        <f>TEXT(4071, "[$-170000]yyyy-mm-dd")</f>
        <v/>
      </c>
      <c r="C4072">
        <f>TEXT(4071, "[$-060000]yyyy-mm-dd")</f>
        <v/>
      </c>
      <c r="D4072" t="inlineStr">
        <is>
          <t>1329-02-23</t>
        </is>
      </c>
    </row>
    <row r="4073">
      <c r="A4073" s="1" t="n">
        <v>4072</v>
      </c>
      <c r="B4073">
        <f>TEXT(4072, "[$-170000]yyyy-mm-dd")</f>
        <v/>
      </c>
      <c r="C4073">
        <f>TEXT(4072, "[$-060000]yyyy-mm-dd")</f>
        <v/>
      </c>
      <c r="D4073" t="inlineStr">
        <is>
          <t>1329-02-24</t>
        </is>
      </c>
    </row>
    <row r="4074">
      <c r="A4074" s="1" t="n">
        <v>4073</v>
      </c>
      <c r="B4074">
        <f>TEXT(4073, "[$-170000]yyyy-mm-dd")</f>
        <v/>
      </c>
      <c r="C4074">
        <f>TEXT(4073, "[$-060000]yyyy-mm-dd")</f>
        <v/>
      </c>
      <c r="D4074" t="inlineStr">
        <is>
          <t>1329-02-25</t>
        </is>
      </c>
    </row>
    <row r="4075">
      <c r="A4075" s="1" t="n">
        <v>4074</v>
      </c>
      <c r="B4075">
        <f>TEXT(4074, "[$-170000]yyyy-mm-dd")</f>
        <v/>
      </c>
      <c r="C4075">
        <f>TEXT(4074, "[$-060000]yyyy-mm-dd")</f>
        <v/>
      </c>
      <c r="D4075" t="inlineStr">
        <is>
          <t>1329-02-26</t>
        </is>
      </c>
    </row>
    <row r="4076">
      <c r="A4076" s="1" t="n">
        <v>4075</v>
      </c>
      <c r="B4076">
        <f>TEXT(4075, "[$-170000]yyyy-mm-dd")</f>
        <v/>
      </c>
      <c r="C4076">
        <f>TEXT(4075, "[$-060000]yyyy-mm-dd")</f>
        <v/>
      </c>
      <c r="D4076" t="inlineStr">
        <is>
          <t>1329-02-27</t>
        </is>
      </c>
    </row>
    <row r="4077">
      <c r="A4077" s="1" t="n">
        <v>4076</v>
      </c>
      <c r="B4077">
        <f>TEXT(4076, "[$-170000]yyyy-mm-dd")</f>
        <v/>
      </c>
      <c r="C4077">
        <f>TEXT(4076, "[$-060000]yyyy-mm-dd")</f>
        <v/>
      </c>
      <c r="D4077" t="inlineStr">
        <is>
          <t>1329-02-28</t>
        </is>
      </c>
    </row>
    <row r="4078">
      <c r="A4078" s="1" t="n">
        <v>4077</v>
      </c>
      <c r="B4078">
        <f>TEXT(4077, "[$-170000]yyyy-mm-dd")</f>
        <v/>
      </c>
      <c r="C4078">
        <f>TEXT(4077, "[$-060000]yyyy-mm-dd")</f>
        <v/>
      </c>
      <c r="D4078" t="inlineStr">
        <is>
          <t>1329-02-29</t>
        </is>
      </c>
    </row>
    <row r="4079">
      <c r="A4079" s="1" t="n">
        <v>4078</v>
      </c>
      <c r="B4079">
        <f>TEXT(4078, "[$-170000]yyyy-mm-dd")</f>
        <v/>
      </c>
      <c r="C4079">
        <f>TEXT(4078, "[$-060000]yyyy-mm-dd")</f>
        <v/>
      </c>
      <c r="D4079" t="inlineStr">
        <is>
          <t>1329-03-01</t>
        </is>
      </c>
    </row>
    <row r="4080">
      <c r="A4080" s="1" t="n">
        <v>4079</v>
      </c>
      <c r="B4080">
        <f>TEXT(4079, "[$-170000]yyyy-mm-dd")</f>
        <v/>
      </c>
      <c r="C4080">
        <f>TEXT(4079, "[$-060000]yyyy-mm-dd")</f>
        <v/>
      </c>
      <c r="D4080" t="inlineStr">
        <is>
          <t>1329-03-02</t>
        </is>
      </c>
    </row>
    <row r="4081">
      <c r="A4081" s="1" t="n">
        <v>4080</v>
      </c>
      <c r="B4081">
        <f>TEXT(4080, "[$-170000]yyyy-mm-dd")</f>
        <v/>
      </c>
      <c r="C4081">
        <f>TEXT(4080, "[$-060000]yyyy-mm-dd")</f>
        <v/>
      </c>
      <c r="D4081" t="inlineStr">
        <is>
          <t>1329-03-03</t>
        </is>
      </c>
    </row>
    <row r="4082">
      <c r="A4082" s="1" t="n">
        <v>4081</v>
      </c>
      <c r="B4082">
        <f>TEXT(4081, "[$-170000]yyyy-mm-dd")</f>
        <v/>
      </c>
      <c r="C4082">
        <f>TEXT(4081, "[$-060000]yyyy-mm-dd")</f>
        <v/>
      </c>
      <c r="D4082" t="inlineStr">
        <is>
          <t>1329-03-04</t>
        </is>
      </c>
    </row>
    <row r="4083">
      <c r="A4083" s="1" t="n">
        <v>4082</v>
      </c>
      <c r="B4083">
        <f>TEXT(4082, "[$-170000]yyyy-mm-dd")</f>
        <v/>
      </c>
      <c r="C4083">
        <f>TEXT(4082, "[$-060000]yyyy-mm-dd")</f>
        <v/>
      </c>
      <c r="D4083" t="inlineStr">
        <is>
          <t>1329-03-05</t>
        </is>
      </c>
    </row>
    <row r="4084">
      <c r="A4084" s="1" t="n">
        <v>4083</v>
      </c>
      <c r="B4084">
        <f>TEXT(4083, "[$-170000]yyyy-mm-dd")</f>
        <v/>
      </c>
      <c r="C4084">
        <f>TEXT(4083, "[$-060000]yyyy-mm-dd")</f>
        <v/>
      </c>
      <c r="D4084" t="inlineStr">
        <is>
          <t>1329-03-06</t>
        </is>
      </c>
    </row>
    <row r="4085">
      <c r="A4085" s="1" t="n">
        <v>4084</v>
      </c>
      <c r="B4085">
        <f>TEXT(4084, "[$-170000]yyyy-mm-dd")</f>
        <v/>
      </c>
      <c r="C4085">
        <f>TEXT(4084, "[$-060000]yyyy-mm-dd")</f>
        <v/>
      </c>
      <c r="D4085" t="inlineStr">
        <is>
          <t>1329-03-07</t>
        </is>
      </c>
    </row>
    <row r="4086">
      <c r="A4086" s="1" t="n">
        <v>4085</v>
      </c>
      <c r="B4086">
        <f>TEXT(4085, "[$-170000]yyyy-mm-dd")</f>
        <v/>
      </c>
      <c r="C4086">
        <f>TEXT(4085, "[$-060000]yyyy-mm-dd")</f>
        <v/>
      </c>
      <c r="D4086" t="inlineStr">
        <is>
          <t>1329-03-08</t>
        </is>
      </c>
    </row>
    <row r="4087">
      <c r="A4087" s="1" t="n">
        <v>4086</v>
      </c>
      <c r="B4087">
        <f>TEXT(4086, "[$-170000]yyyy-mm-dd")</f>
        <v/>
      </c>
      <c r="C4087">
        <f>TEXT(4086, "[$-060000]yyyy-mm-dd")</f>
        <v/>
      </c>
      <c r="D4087" t="inlineStr">
        <is>
          <t>1329-03-09</t>
        </is>
      </c>
    </row>
    <row r="4088">
      <c r="A4088" s="1" t="n">
        <v>4087</v>
      </c>
      <c r="B4088">
        <f>TEXT(4087, "[$-170000]yyyy-mm-dd")</f>
        <v/>
      </c>
      <c r="C4088">
        <f>TEXT(4087, "[$-060000]yyyy-mm-dd")</f>
        <v/>
      </c>
      <c r="D4088" t="inlineStr">
        <is>
          <t>1329-03-10</t>
        </is>
      </c>
    </row>
    <row r="4089">
      <c r="A4089" s="1" t="n">
        <v>4088</v>
      </c>
      <c r="B4089">
        <f>TEXT(4088, "[$-170000]yyyy-mm-dd")</f>
        <v/>
      </c>
      <c r="C4089">
        <f>TEXT(4088, "[$-060000]yyyy-mm-dd")</f>
        <v/>
      </c>
      <c r="D4089" t="inlineStr">
        <is>
          <t>1329-03-11</t>
        </is>
      </c>
    </row>
    <row r="4090">
      <c r="A4090" s="1" t="n">
        <v>4089</v>
      </c>
      <c r="B4090">
        <f>TEXT(4089, "[$-170000]yyyy-mm-dd")</f>
        <v/>
      </c>
      <c r="C4090">
        <f>TEXT(4089, "[$-060000]yyyy-mm-dd")</f>
        <v/>
      </c>
      <c r="D4090" t="inlineStr">
        <is>
          <t>1329-03-12</t>
        </is>
      </c>
    </row>
    <row r="4091">
      <c r="A4091" s="1" t="n">
        <v>4090</v>
      </c>
      <c r="B4091">
        <f>TEXT(4090, "[$-170000]yyyy-mm-dd")</f>
        <v/>
      </c>
      <c r="C4091">
        <f>TEXT(4090, "[$-060000]yyyy-mm-dd")</f>
        <v/>
      </c>
      <c r="D4091" t="inlineStr">
        <is>
          <t>1329-03-13</t>
        </is>
      </c>
    </row>
    <row r="4092">
      <c r="A4092" s="1" t="n">
        <v>4091</v>
      </c>
      <c r="B4092">
        <f>TEXT(4091, "[$-170000]yyyy-mm-dd")</f>
        <v/>
      </c>
      <c r="C4092">
        <f>TEXT(4091, "[$-060000]yyyy-mm-dd")</f>
        <v/>
      </c>
      <c r="D4092" t="inlineStr">
        <is>
          <t>1329-03-14</t>
        </is>
      </c>
    </row>
    <row r="4093">
      <c r="A4093" s="1" t="n">
        <v>4092</v>
      </c>
      <c r="B4093">
        <f>TEXT(4092, "[$-170000]yyyy-mm-dd")</f>
        <v/>
      </c>
      <c r="C4093">
        <f>TEXT(4092, "[$-060000]yyyy-mm-dd")</f>
        <v/>
      </c>
      <c r="D4093" t="inlineStr">
        <is>
          <t>1329-03-15</t>
        </is>
      </c>
    </row>
    <row r="4094">
      <c r="A4094" s="1" t="n">
        <v>4093</v>
      </c>
      <c r="B4094">
        <f>TEXT(4093, "[$-170000]yyyy-mm-dd")</f>
        <v/>
      </c>
      <c r="C4094">
        <f>TEXT(4093, "[$-060000]yyyy-mm-dd")</f>
        <v/>
      </c>
      <c r="D4094" t="inlineStr">
        <is>
          <t>1329-03-16</t>
        </is>
      </c>
    </row>
    <row r="4095">
      <c r="A4095" s="1" t="n">
        <v>4094</v>
      </c>
      <c r="B4095">
        <f>TEXT(4094, "[$-170000]yyyy-mm-dd")</f>
        <v/>
      </c>
      <c r="C4095">
        <f>TEXT(4094, "[$-060000]yyyy-mm-dd")</f>
        <v/>
      </c>
      <c r="D4095" t="inlineStr">
        <is>
          <t>1329-03-17</t>
        </is>
      </c>
    </row>
    <row r="4096">
      <c r="A4096" s="1" t="n">
        <v>4095</v>
      </c>
      <c r="B4096">
        <f>TEXT(4095, "[$-170000]yyyy-mm-dd")</f>
        <v/>
      </c>
      <c r="C4096">
        <f>TEXT(4095, "[$-060000]yyyy-mm-dd")</f>
        <v/>
      </c>
      <c r="D4096" t="inlineStr">
        <is>
          <t>1329-03-18</t>
        </is>
      </c>
    </row>
    <row r="4097">
      <c r="A4097" s="1" t="n">
        <v>4096</v>
      </c>
      <c r="B4097">
        <f>TEXT(4096, "[$-170000]yyyy-mm-dd")</f>
        <v/>
      </c>
      <c r="C4097">
        <f>TEXT(4096, "[$-060000]yyyy-mm-dd")</f>
        <v/>
      </c>
      <c r="D4097" t="inlineStr">
        <is>
          <t>1329-03-19</t>
        </is>
      </c>
    </row>
    <row r="4098">
      <c r="A4098" s="1" t="n">
        <v>4097</v>
      </c>
      <c r="B4098">
        <f>TEXT(4097, "[$-170000]yyyy-mm-dd")</f>
        <v/>
      </c>
      <c r="C4098">
        <f>TEXT(4097, "[$-060000]yyyy-mm-dd")</f>
        <v/>
      </c>
      <c r="D4098" t="inlineStr">
        <is>
          <t>1329-03-20</t>
        </is>
      </c>
    </row>
    <row r="4099">
      <c r="A4099" s="1" t="n">
        <v>4098</v>
      </c>
      <c r="B4099">
        <f>TEXT(4098, "[$-170000]yyyy-mm-dd")</f>
        <v/>
      </c>
      <c r="C4099">
        <f>TEXT(4098, "[$-060000]yyyy-mm-dd")</f>
        <v/>
      </c>
      <c r="D4099" t="inlineStr">
        <is>
          <t>1329-03-21</t>
        </is>
      </c>
    </row>
    <row r="4100">
      <c r="A4100" s="1" t="n">
        <v>4099</v>
      </c>
      <c r="B4100">
        <f>TEXT(4099, "[$-170000]yyyy-mm-dd")</f>
        <v/>
      </c>
      <c r="C4100">
        <f>TEXT(4099, "[$-060000]yyyy-mm-dd")</f>
        <v/>
      </c>
      <c r="D4100" t="inlineStr">
        <is>
          <t>1329-03-22</t>
        </is>
      </c>
    </row>
    <row r="4101">
      <c r="A4101" s="1" t="n">
        <v>4100</v>
      </c>
      <c r="B4101">
        <f>TEXT(4100, "[$-170000]yyyy-mm-dd")</f>
        <v/>
      </c>
      <c r="C4101">
        <f>TEXT(4100, "[$-060000]yyyy-mm-dd")</f>
        <v/>
      </c>
      <c r="D4101" t="inlineStr">
        <is>
          <t>1329-03-23</t>
        </is>
      </c>
    </row>
    <row r="4102">
      <c r="A4102" s="1" t="n">
        <v>4101</v>
      </c>
      <c r="B4102">
        <f>TEXT(4101, "[$-170000]yyyy-mm-dd")</f>
        <v/>
      </c>
      <c r="C4102">
        <f>TEXT(4101, "[$-060000]yyyy-mm-dd")</f>
        <v/>
      </c>
      <c r="D4102" t="inlineStr">
        <is>
          <t>1329-03-24</t>
        </is>
      </c>
    </row>
    <row r="4103">
      <c r="A4103" s="1" t="n">
        <v>4102</v>
      </c>
      <c r="B4103">
        <f>TEXT(4102, "[$-170000]yyyy-mm-dd")</f>
        <v/>
      </c>
      <c r="C4103">
        <f>TEXT(4102, "[$-060000]yyyy-mm-dd")</f>
        <v/>
      </c>
      <c r="D4103" t="inlineStr">
        <is>
          <t>1329-03-25</t>
        </is>
      </c>
    </row>
    <row r="4104">
      <c r="A4104" s="1" t="n">
        <v>4103</v>
      </c>
      <c r="B4104">
        <f>TEXT(4103, "[$-170000]yyyy-mm-dd")</f>
        <v/>
      </c>
      <c r="C4104">
        <f>TEXT(4103, "[$-060000]yyyy-mm-dd")</f>
        <v/>
      </c>
      <c r="D4104" t="inlineStr">
        <is>
          <t>1329-03-26</t>
        </is>
      </c>
    </row>
    <row r="4105">
      <c r="A4105" s="1" t="n">
        <v>4104</v>
      </c>
      <c r="B4105">
        <f>TEXT(4104, "[$-170000]yyyy-mm-dd")</f>
        <v/>
      </c>
      <c r="C4105">
        <f>TEXT(4104, "[$-060000]yyyy-mm-dd")</f>
        <v/>
      </c>
      <c r="D4105" t="inlineStr">
        <is>
          <t>1329-03-27</t>
        </is>
      </c>
    </row>
    <row r="4106">
      <c r="A4106" s="1" t="n">
        <v>4105</v>
      </c>
      <c r="B4106">
        <f>TEXT(4105, "[$-170000]yyyy-mm-dd")</f>
        <v/>
      </c>
      <c r="C4106">
        <f>TEXT(4105, "[$-060000]yyyy-mm-dd")</f>
        <v/>
      </c>
      <c r="D4106" t="inlineStr">
        <is>
          <t>1329-03-28</t>
        </is>
      </c>
    </row>
    <row r="4107">
      <c r="A4107" s="1" t="n">
        <v>4106</v>
      </c>
      <c r="B4107">
        <f>TEXT(4106, "[$-170000]yyyy-mm-dd")</f>
        <v/>
      </c>
      <c r="C4107">
        <f>TEXT(4106, "[$-060000]yyyy-mm-dd")</f>
        <v/>
      </c>
      <c r="D4107" t="inlineStr">
        <is>
          <t>1329-03-29</t>
        </is>
      </c>
    </row>
    <row r="4108">
      <c r="A4108" s="1" t="n">
        <v>4107</v>
      </c>
      <c r="B4108">
        <f>TEXT(4107, "[$-170000]yyyy-mm-dd")</f>
        <v/>
      </c>
      <c r="C4108">
        <f>TEXT(4107, "[$-060000]yyyy-mm-dd")</f>
        <v/>
      </c>
      <c r="D4108" t="inlineStr">
        <is>
          <t>1329-03-30</t>
        </is>
      </c>
    </row>
    <row r="4109">
      <c r="A4109" s="1" t="n">
        <v>4108</v>
      </c>
      <c r="B4109">
        <f>TEXT(4108, "[$-170000]yyyy-mm-dd")</f>
        <v/>
      </c>
      <c r="C4109">
        <f>TEXT(4108, "[$-060000]yyyy-mm-dd")</f>
        <v/>
      </c>
      <c r="D4109" t="inlineStr">
        <is>
          <t>1329-04-01</t>
        </is>
      </c>
    </row>
    <row r="4110">
      <c r="A4110" s="1" t="n">
        <v>4109</v>
      </c>
      <c r="B4110">
        <f>TEXT(4109, "[$-170000]yyyy-mm-dd")</f>
        <v/>
      </c>
      <c r="C4110">
        <f>TEXT(4109, "[$-060000]yyyy-mm-dd")</f>
        <v/>
      </c>
      <c r="D4110" t="inlineStr">
        <is>
          <t>1329-04-02</t>
        </is>
      </c>
    </row>
    <row r="4111">
      <c r="A4111" s="1" t="n">
        <v>4110</v>
      </c>
      <c r="B4111">
        <f>TEXT(4110, "[$-170000]yyyy-mm-dd")</f>
        <v/>
      </c>
      <c r="C4111">
        <f>TEXT(4110, "[$-060000]yyyy-mm-dd")</f>
        <v/>
      </c>
      <c r="D4111" t="inlineStr">
        <is>
          <t>1329-04-03</t>
        </is>
      </c>
    </row>
    <row r="4112">
      <c r="A4112" s="1" t="n">
        <v>4111</v>
      </c>
      <c r="B4112">
        <f>TEXT(4111, "[$-170000]yyyy-mm-dd")</f>
        <v/>
      </c>
      <c r="C4112">
        <f>TEXT(4111, "[$-060000]yyyy-mm-dd")</f>
        <v/>
      </c>
      <c r="D4112" t="inlineStr">
        <is>
          <t>1329-04-04</t>
        </is>
      </c>
    </row>
    <row r="4113">
      <c r="A4113" s="1" t="n">
        <v>4112</v>
      </c>
      <c r="B4113">
        <f>TEXT(4112, "[$-170000]yyyy-mm-dd")</f>
        <v/>
      </c>
      <c r="C4113">
        <f>TEXT(4112, "[$-060000]yyyy-mm-dd")</f>
        <v/>
      </c>
      <c r="D4113" t="inlineStr">
        <is>
          <t>1329-04-05</t>
        </is>
      </c>
    </row>
    <row r="4114">
      <c r="A4114" s="1" t="n">
        <v>4113</v>
      </c>
      <c r="B4114">
        <f>TEXT(4113, "[$-170000]yyyy-mm-dd")</f>
        <v/>
      </c>
      <c r="C4114">
        <f>TEXT(4113, "[$-060000]yyyy-mm-dd")</f>
        <v/>
      </c>
      <c r="D4114" t="inlineStr">
        <is>
          <t>1329-04-06</t>
        </is>
      </c>
    </row>
    <row r="4115">
      <c r="A4115" s="1" t="n">
        <v>4114</v>
      </c>
      <c r="B4115">
        <f>TEXT(4114, "[$-170000]yyyy-mm-dd")</f>
        <v/>
      </c>
      <c r="C4115">
        <f>TEXT(4114, "[$-060000]yyyy-mm-dd")</f>
        <v/>
      </c>
      <c r="D4115" t="inlineStr">
        <is>
          <t>1329-04-07</t>
        </is>
      </c>
    </row>
    <row r="4116">
      <c r="A4116" s="1" t="n">
        <v>4115</v>
      </c>
      <c r="B4116">
        <f>TEXT(4115, "[$-170000]yyyy-mm-dd")</f>
        <v/>
      </c>
      <c r="C4116">
        <f>TEXT(4115, "[$-060000]yyyy-mm-dd")</f>
        <v/>
      </c>
      <c r="D4116" t="inlineStr">
        <is>
          <t>1329-04-08</t>
        </is>
      </c>
    </row>
    <row r="4117">
      <c r="A4117" s="1" t="n">
        <v>4116</v>
      </c>
      <c r="B4117">
        <f>TEXT(4116, "[$-170000]yyyy-mm-dd")</f>
        <v/>
      </c>
      <c r="C4117">
        <f>TEXT(4116, "[$-060000]yyyy-mm-dd")</f>
        <v/>
      </c>
      <c r="D4117" t="inlineStr">
        <is>
          <t>1329-04-09</t>
        </is>
      </c>
    </row>
    <row r="4118">
      <c r="A4118" s="1" t="n">
        <v>4117</v>
      </c>
      <c r="B4118">
        <f>TEXT(4117, "[$-170000]yyyy-mm-dd")</f>
        <v/>
      </c>
      <c r="C4118">
        <f>TEXT(4117, "[$-060000]yyyy-mm-dd")</f>
        <v/>
      </c>
      <c r="D4118" t="inlineStr">
        <is>
          <t>1329-04-10</t>
        </is>
      </c>
    </row>
    <row r="4119">
      <c r="A4119" s="1" t="n">
        <v>4118</v>
      </c>
      <c r="B4119">
        <f>TEXT(4118, "[$-170000]yyyy-mm-dd")</f>
        <v/>
      </c>
      <c r="C4119">
        <f>TEXT(4118, "[$-060000]yyyy-mm-dd")</f>
        <v/>
      </c>
      <c r="D4119" t="inlineStr">
        <is>
          <t>1329-04-11</t>
        </is>
      </c>
    </row>
    <row r="4120">
      <c r="A4120" s="1" t="n">
        <v>4119</v>
      </c>
      <c r="B4120">
        <f>TEXT(4119, "[$-170000]yyyy-mm-dd")</f>
        <v/>
      </c>
      <c r="C4120">
        <f>TEXT(4119, "[$-060000]yyyy-mm-dd")</f>
        <v/>
      </c>
      <c r="D4120" t="inlineStr">
        <is>
          <t>1329-04-12</t>
        </is>
      </c>
    </row>
    <row r="4121">
      <c r="A4121" s="1" t="n">
        <v>4120</v>
      </c>
      <c r="B4121">
        <f>TEXT(4120, "[$-170000]yyyy-mm-dd")</f>
        <v/>
      </c>
      <c r="C4121">
        <f>TEXT(4120, "[$-060000]yyyy-mm-dd")</f>
        <v/>
      </c>
      <c r="D4121" t="inlineStr">
        <is>
          <t>1329-04-13</t>
        </is>
      </c>
    </row>
    <row r="4122">
      <c r="A4122" s="1" t="n">
        <v>4121</v>
      </c>
      <c r="B4122">
        <f>TEXT(4121, "[$-170000]yyyy-mm-dd")</f>
        <v/>
      </c>
      <c r="C4122">
        <f>TEXT(4121, "[$-060000]yyyy-mm-dd")</f>
        <v/>
      </c>
      <c r="D4122" t="inlineStr">
        <is>
          <t>1329-04-14</t>
        </is>
      </c>
    </row>
    <row r="4123">
      <c r="A4123" s="1" t="n">
        <v>4122</v>
      </c>
      <c r="B4123">
        <f>TEXT(4122, "[$-170000]yyyy-mm-dd")</f>
        <v/>
      </c>
      <c r="C4123">
        <f>TEXT(4122, "[$-060000]yyyy-mm-dd")</f>
        <v/>
      </c>
      <c r="D4123" t="inlineStr">
        <is>
          <t>1329-04-15</t>
        </is>
      </c>
    </row>
    <row r="4124">
      <c r="A4124" s="1" t="n">
        <v>4123</v>
      </c>
      <c r="B4124">
        <f>TEXT(4123, "[$-170000]yyyy-mm-dd")</f>
        <v/>
      </c>
      <c r="C4124">
        <f>TEXT(4123, "[$-060000]yyyy-mm-dd")</f>
        <v/>
      </c>
      <c r="D4124" t="inlineStr">
        <is>
          <t>1329-04-16</t>
        </is>
      </c>
    </row>
    <row r="4125">
      <c r="A4125" s="1" t="n">
        <v>4124</v>
      </c>
      <c r="B4125">
        <f>TEXT(4124, "[$-170000]yyyy-mm-dd")</f>
        <v/>
      </c>
      <c r="C4125">
        <f>TEXT(4124, "[$-060000]yyyy-mm-dd")</f>
        <v/>
      </c>
      <c r="D4125" t="inlineStr">
        <is>
          <t>1329-04-17</t>
        </is>
      </c>
    </row>
    <row r="4126">
      <c r="A4126" s="1" t="n">
        <v>4125</v>
      </c>
      <c r="B4126">
        <f>TEXT(4125, "[$-170000]yyyy-mm-dd")</f>
        <v/>
      </c>
      <c r="C4126">
        <f>TEXT(4125, "[$-060000]yyyy-mm-dd")</f>
        <v/>
      </c>
      <c r="D4126" t="inlineStr">
        <is>
          <t>1329-04-18</t>
        </is>
      </c>
    </row>
    <row r="4127">
      <c r="A4127" s="1" t="n">
        <v>4126</v>
      </c>
      <c r="B4127">
        <f>TEXT(4126, "[$-170000]yyyy-mm-dd")</f>
        <v/>
      </c>
      <c r="C4127">
        <f>TEXT(4126, "[$-060000]yyyy-mm-dd")</f>
        <v/>
      </c>
      <c r="D4127" t="inlineStr">
        <is>
          <t>1329-04-19</t>
        </is>
      </c>
    </row>
    <row r="4128">
      <c r="A4128" s="1" t="n">
        <v>4127</v>
      </c>
      <c r="B4128">
        <f>TEXT(4127, "[$-170000]yyyy-mm-dd")</f>
        <v/>
      </c>
      <c r="C4128">
        <f>TEXT(4127, "[$-060000]yyyy-mm-dd")</f>
        <v/>
      </c>
      <c r="D4128" t="inlineStr">
        <is>
          <t>1329-04-20</t>
        </is>
      </c>
    </row>
    <row r="4129">
      <c r="A4129" s="1" t="n">
        <v>4128</v>
      </c>
      <c r="B4129">
        <f>TEXT(4128, "[$-170000]yyyy-mm-dd")</f>
        <v/>
      </c>
      <c r="C4129">
        <f>TEXT(4128, "[$-060000]yyyy-mm-dd")</f>
        <v/>
      </c>
      <c r="D4129" t="inlineStr">
        <is>
          <t>1329-04-21</t>
        </is>
      </c>
    </row>
    <row r="4130">
      <c r="A4130" s="1" t="n">
        <v>4129</v>
      </c>
      <c r="B4130">
        <f>TEXT(4129, "[$-170000]yyyy-mm-dd")</f>
        <v/>
      </c>
      <c r="C4130">
        <f>TEXT(4129, "[$-060000]yyyy-mm-dd")</f>
        <v/>
      </c>
      <c r="D4130" t="inlineStr">
        <is>
          <t>1329-04-22</t>
        </is>
      </c>
    </row>
    <row r="4131">
      <c r="A4131" s="1" t="n">
        <v>4130</v>
      </c>
      <c r="B4131">
        <f>TEXT(4130, "[$-170000]yyyy-mm-dd")</f>
        <v/>
      </c>
      <c r="C4131">
        <f>TEXT(4130, "[$-060000]yyyy-mm-dd")</f>
        <v/>
      </c>
      <c r="D4131" t="inlineStr">
        <is>
          <t>1329-04-23</t>
        </is>
      </c>
    </row>
    <row r="4132">
      <c r="A4132" s="1" t="n">
        <v>4131</v>
      </c>
      <c r="B4132">
        <f>TEXT(4131, "[$-170000]yyyy-mm-dd")</f>
        <v/>
      </c>
      <c r="C4132">
        <f>TEXT(4131, "[$-060000]yyyy-mm-dd")</f>
        <v/>
      </c>
      <c r="D4132" t="inlineStr">
        <is>
          <t>1329-04-24</t>
        </is>
      </c>
    </row>
    <row r="4133">
      <c r="A4133" s="1" t="n">
        <v>4132</v>
      </c>
      <c r="B4133">
        <f>TEXT(4132, "[$-170000]yyyy-mm-dd")</f>
        <v/>
      </c>
      <c r="C4133">
        <f>TEXT(4132, "[$-060000]yyyy-mm-dd")</f>
        <v/>
      </c>
      <c r="D4133" t="inlineStr">
        <is>
          <t>1329-04-25</t>
        </is>
      </c>
    </row>
    <row r="4134">
      <c r="A4134" s="1" t="n">
        <v>4133</v>
      </c>
      <c r="B4134">
        <f>TEXT(4133, "[$-170000]yyyy-mm-dd")</f>
        <v/>
      </c>
      <c r="C4134">
        <f>TEXT(4133, "[$-060000]yyyy-mm-dd")</f>
        <v/>
      </c>
      <c r="D4134" t="inlineStr">
        <is>
          <t>1329-04-26</t>
        </is>
      </c>
    </row>
    <row r="4135">
      <c r="A4135" s="1" t="n">
        <v>4134</v>
      </c>
      <c r="B4135">
        <f>TEXT(4134, "[$-170000]yyyy-mm-dd")</f>
        <v/>
      </c>
      <c r="C4135">
        <f>TEXT(4134, "[$-060000]yyyy-mm-dd")</f>
        <v/>
      </c>
      <c r="D4135" t="inlineStr">
        <is>
          <t>1329-04-27</t>
        </is>
      </c>
    </row>
    <row r="4136">
      <c r="A4136" s="1" t="n">
        <v>4135</v>
      </c>
      <c r="B4136">
        <f>TEXT(4135, "[$-170000]yyyy-mm-dd")</f>
        <v/>
      </c>
      <c r="C4136">
        <f>TEXT(4135, "[$-060000]yyyy-mm-dd")</f>
        <v/>
      </c>
      <c r="D4136" t="inlineStr">
        <is>
          <t>1329-04-28</t>
        </is>
      </c>
    </row>
    <row r="4137">
      <c r="A4137" s="1" t="n">
        <v>4136</v>
      </c>
      <c r="B4137">
        <f>TEXT(4136, "[$-170000]yyyy-mm-dd")</f>
        <v/>
      </c>
      <c r="C4137">
        <f>TEXT(4136, "[$-060000]yyyy-mm-dd")</f>
        <v/>
      </c>
      <c r="D4137" t="inlineStr">
        <is>
          <t>1329-04-29</t>
        </is>
      </c>
    </row>
    <row r="4138">
      <c r="A4138" s="1" t="n">
        <v>4137</v>
      </c>
      <c r="B4138">
        <f>TEXT(4137, "[$-170000]yyyy-mm-dd")</f>
        <v/>
      </c>
      <c r="C4138">
        <f>TEXT(4137, "[$-060000]yyyy-mm-dd")</f>
        <v/>
      </c>
      <c r="D4138" t="inlineStr">
        <is>
          <t>1329-05-01</t>
        </is>
      </c>
    </row>
    <row r="4139">
      <c r="A4139" s="1" t="n">
        <v>4138</v>
      </c>
      <c r="B4139">
        <f>TEXT(4138, "[$-170000]yyyy-mm-dd")</f>
        <v/>
      </c>
      <c r="C4139">
        <f>TEXT(4138, "[$-060000]yyyy-mm-dd")</f>
        <v/>
      </c>
      <c r="D4139" t="inlineStr">
        <is>
          <t>1329-05-02</t>
        </is>
      </c>
    </row>
    <row r="4140">
      <c r="A4140" s="1" t="n">
        <v>4139</v>
      </c>
      <c r="B4140">
        <f>TEXT(4139, "[$-170000]yyyy-mm-dd")</f>
        <v/>
      </c>
      <c r="C4140">
        <f>TEXT(4139, "[$-060000]yyyy-mm-dd")</f>
        <v/>
      </c>
      <c r="D4140" t="inlineStr">
        <is>
          <t>1329-05-03</t>
        </is>
      </c>
    </row>
    <row r="4141">
      <c r="A4141" s="1" t="n">
        <v>4140</v>
      </c>
      <c r="B4141">
        <f>TEXT(4140, "[$-170000]yyyy-mm-dd")</f>
        <v/>
      </c>
      <c r="C4141">
        <f>TEXT(4140, "[$-060000]yyyy-mm-dd")</f>
        <v/>
      </c>
      <c r="D4141" t="inlineStr">
        <is>
          <t>1329-05-04</t>
        </is>
      </c>
    </row>
    <row r="4142">
      <c r="A4142" s="1" t="n">
        <v>4141</v>
      </c>
      <c r="B4142">
        <f>TEXT(4141, "[$-170000]yyyy-mm-dd")</f>
        <v/>
      </c>
      <c r="C4142">
        <f>TEXT(4141, "[$-060000]yyyy-mm-dd")</f>
        <v/>
      </c>
      <c r="D4142" t="inlineStr">
        <is>
          <t>1329-05-05</t>
        </is>
      </c>
    </row>
    <row r="4143">
      <c r="A4143" s="1" t="n">
        <v>4142</v>
      </c>
      <c r="B4143">
        <f>TEXT(4142, "[$-170000]yyyy-mm-dd")</f>
        <v/>
      </c>
      <c r="C4143">
        <f>TEXT(4142, "[$-060000]yyyy-mm-dd")</f>
        <v/>
      </c>
      <c r="D4143" t="inlineStr">
        <is>
          <t>1329-05-06</t>
        </is>
      </c>
    </row>
    <row r="4144">
      <c r="A4144" s="1" t="n">
        <v>4143</v>
      </c>
      <c r="B4144">
        <f>TEXT(4143, "[$-170000]yyyy-mm-dd")</f>
        <v/>
      </c>
      <c r="C4144">
        <f>TEXT(4143, "[$-060000]yyyy-mm-dd")</f>
        <v/>
      </c>
      <c r="D4144" t="inlineStr">
        <is>
          <t>1329-05-07</t>
        </is>
      </c>
    </row>
    <row r="4145">
      <c r="A4145" s="1" t="n">
        <v>4144</v>
      </c>
      <c r="B4145">
        <f>TEXT(4144, "[$-170000]yyyy-mm-dd")</f>
        <v/>
      </c>
      <c r="C4145">
        <f>TEXT(4144, "[$-060000]yyyy-mm-dd")</f>
        <v/>
      </c>
      <c r="D4145" t="inlineStr">
        <is>
          <t>1329-05-08</t>
        </is>
      </c>
    </row>
    <row r="4146">
      <c r="A4146" s="1" t="n">
        <v>4145</v>
      </c>
      <c r="B4146">
        <f>TEXT(4145, "[$-170000]yyyy-mm-dd")</f>
        <v/>
      </c>
      <c r="C4146">
        <f>TEXT(4145, "[$-060000]yyyy-mm-dd")</f>
        <v/>
      </c>
      <c r="D4146" t="inlineStr">
        <is>
          <t>1329-05-09</t>
        </is>
      </c>
    </row>
    <row r="4147">
      <c r="A4147" s="1" t="n">
        <v>4146</v>
      </c>
      <c r="B4147">
        <f>TEXT(4146, "[$-170000]yyyy-mm-dd")</f>
        <v/>
      </c>
      <c r="C4147">
        <f>TEXT(4146, "[$-060000]yyyy-mm-dd")</f>
        <v/>
      </c>
      <c r="D4147" t="inlineStr">
        <is>
          <t>1329-05-10</t>
        </is>
      </c>
    </row>
    <row r="4148">
      <c r="A4148" s="1" t="n">
        <v>4147</v>
      </c>
      <c r="B4148">
        <f>TEXT(4147, "[$-170000]yyyy-mm-dd")</f>
        <v/>
      </c>
      <c r="C4148">
        <f>TEXT(4147, "[$-060000]yyyy-mm-dd")</f>
        <v/>
      </c>
      <c r="D4148" t="inlineStr">
        <is>
          <t>1329-05-11</t>
        </is>
      </c>
    </row>
    <row r="4149">
      <c r="A4149" s="1" t="n">
        <v>4148</v>
      </c>
      <c r="B4149">
        <f>TEXT(4148, "[$-170000]yyyy-mm-dd")</f>
        <v/>
      </c>
      <c r="C4149">
        <f>TEXT(4148, "[$-060000]yyyy-mm-dd")</f>
        <v/>
      </c>
      <c r="D4149" t="inlineStr">
        <is>
          <t>1329-05-12</t>
        </is>
      </c>
    </row>
    <row r="4150">
      <c r="A4150" s="1" t="n">
        <v>4149</v>
      </c>
      <c r="B4150">
        <f>TEXT(4149, "[$-170000]yyyy-mm-dd")</f>
        <v/>
      </c>
      <c r="C4150">
        <f>TEXT(4149, "[$-060000]yyyy-mm-dd")</f>
        <v/>
      </c>
      <c r="D4150" t="inlineStr">
        <is>
          <t>1329-05-13</t>
        </is>
      </c>
    </row>
    <row r="4151">
      <c r="A4151" s="1" t="n">
        <v>4150</v>
      </c>
      <c r="B4151">
        <f>TEXT(4150, "[$-170000]yyyy-mm-dd")</f>
        <v/>
      </c>
      <c r="C4151">
        <f>TEXT(4150, "[$-060000]yyyy-mm-dd")</f>
        <v/>
      </c>
      <c r="D4151" t="inlineStr">
        <is>
          <t>1329-05-14</t>
        </is>
      </c>
    </row>
    <row r="4152">
      <c r="A4152" s="1" t="n">
        <v>4151</v>
      </c>
      <c r="B4152">
        <f>TEXT(4151, "[$-170000]yyyy-mm-dd")</f>
        <v/>
      </c>
      <c r="C4152">
        <f>TEXT(4151, "[$-060000]yyyy-mm-dd")</f>
        <v/>
      </c>
      <c r="D4152" t="inlineStr">
        <is>
          <t>1329-05-15</t>
        </is>
      </c>
    </row>
    <row r="4153">
      <c r="A4153" s="1" t="n">
        <v>4152</v>
      </c>
      <c r="B4153">
        <f>TEXT(4152, "[$-170000]yyyy-mm-dd")</f>
        <v/>
      </c>
      <c r="C4153">
        <f>TEXT(4152, "[$-060000]yyyy-mm-dd")</f>
        <v/>
      </c>
      <c r="D4153" t="inlineStr">
        <is>
          <t>1329-05-16</t>
        </is>
      </c>
    </row>
    <row r="4154">
      <c r="A4154" s="1" t="n">
        <v>4153</v>
      </c>
      <c r="B4154">
        <f>TEXT(4153, "[$-170000]yyyy-mm-dd")</f>
        <v/>
      </c>
      <c r="C4154">
        <f>TEXT(4153, "[$-060000]yyyy-mm-dd")</f>
        <v/>
      </c>
      <c r="D4154" t="inlineStr">
        <is>
          <t>1329-05-17</t>
        </is>
      </c>
    </row>
    <row r="4155">
      <c r="A4155" s="1" t="n">
        <v>4154</v>
      </c>
      <c r="B4155">
        <f>TEXT(4154, "[$-170000]yyyy-mm-dd")</f>
        <v/>
      </c>
      <c r="C4155">
        <f>TEXT(4154, "[$-060000]yyyy-mm-dd")</f>
        <v/>
      </c>
      <c r="D4155" t="inlineStr">
        <is>
          <t>1329-05-18</t>
        </is>
      </c>
    </row>
    <row r="4156">
      <c r="A4156" s="1" t="n">
        <v>4155</v>
      </c>
      <c r="B4156">
        <f>TEXT(4155, "[$-170000]yyyy-mm-dd")</f>
        <v/>
      </c>
      <c r="C4156">
        <f>TEXT(4155, "[$-060000]yyyy-mm-dd")</f>
        <v/>
      </c>
      <c r="D4156" t="inlineStr">
        <is>
          <t>1329-05-19</t>
        </is>
      </c>
    </row>
    <row r="4157">
      <c r="A4157" s="1" t="n">
        <v>4156</v>
      </c>
      <c r="B4157">
        <f>TEXT(4156, "[$-170000]yyyy-mm-dd")</f>
        <v/>
      </c>
      <c r="C4157">
        <f>TEXT(4156, "[$-060000]yyyy-mm-dd")</f>
        <v/>
      </c>
      <c r="D4157" t="inlineStr">
        <is>
          <t>1329-05-20</t>
        </is>
      </c>
    </row>
    <row r="4158">
      <c r="A4158" s="1" t="n">
        <v>4157</v>
      </c>
      <c r="B4158">
        <f>TEXT(4157, "[$-170000]yyyy-mm-dd")</f>
        <v/>
      </c>
      <c r="C4158">
        <f>TEXT(4157, "[$-060000]yyyy-mm-dd")</f>
        <v/>
      </c>
      <c r="D4158" t="inlineStr">
        <is>
          <t>1329-05-21</t>
        </is>
      </c>
    </row>
    <row r="4159">
      <c r="A4159" s="1" t="n">
        <v>4158</v>
      </c>
      <c r="B4159">
        <f>TEXT(4158, "[$-170000]yyyy-mm-dd")</f>
        <v/>
      </c>
      <c r="C4159">
        <f>TEXT(4158, "[$-060000]yyyy-mm-dd")</f>
        <v/>
      </c>
      <c r="D4159" t="inlineStr">
        <is>
          <t>1329-05-22</t>
        </is>
      </c>
    </row>
    <row r="4160">
      <c r="A4160" s="1" t="n">
        <v>4159</v>
      </c>
      <c r="B4160">
        <f>TEXT(4159, "[$-170000]yyyy-mm-dd")</f>
        <v/>
      </c>
      <c r="C4160">
        <f>TEXT(4159, "[$-060000]yyyy-mm-dd")</f>
        <v/>
      </c>
      <c r="D4160" t="inlineStr">
        <is>
          <t>1329-05-23</t>
        </is>
      </c>
    </row>
    <row r="4161">
      <c r="A4161" s="1" t="n">
        <v>4160</v>
      </c>
      <c r="B4161">
        <f>TEXT(4160, "[$-170000]yyyy-mm-dd")</f>
        <v/>
      </c>
      <c r="C4161">
        <f>TEXT(4160, "[$-060000]yyyy-mm-dd")</f>
        <v/>
      </c>
      <c r="D4161" t="inlineStr">
        <is>
          <t>1329-05-24</t>
        </is>
      </c>
    </row>
    <row r="4162">
      <c r="A4162" s="1" t="n">
        <v>4161</v>
      </c>
      <c r="B4162">
        <f>TEXT(4161, "[$-170000]yyyy-mm-dd")</f>
        <v/>
      </c>
      <c r="C4162">
        <f>TEXT(4161, "[$-060000]yyyy-mm-dd")</f>
        <v/>
      </c>
      <c r="D4162" t="inlineStr">
        <is>
          <t>1329-05-25</t>
        </is>
      </c>
    </row>
    <row r="4163">
      <c r="A4163" s="1" t="n">
        <v>4162</v>
      </c>
      <c r="B4163">
        <f>TEXT(4162, "[$-170000]yyyy-mm-dd")</f>
        <v/>
      </c>
      <c r="C4163">
        <f>TEXT(4162, "[$-060000]yyyy-mm-dd")</f>
        <v/>
      </c>
      <c r="D4163" t="inlineStr">
        <is>
          <t>1329-05-26</t>
        </is>
      </c>
    </row>
    <row r="4164">
      <c r="A4164" s="1" t="n">
        <v>4163</v>
      </c>
      <c r="B4164">
        <f>TEXT(4163, "[$-170000]yyyy-mm-dd")</f>
        <v/>
      </c>
      <c r="C4164">
        <f>TEXT(4163, "[$-060000]yyyy-mm-dd")</f>
        <v/>
      </c>
      <c r="D4164" t="inlineStr">
        <is>
          <t>1329-05-27</t>
        </is>
      </c>
    </row>
    <row r="4165">
      <c r="A4165" s="1" t="n">
        <v>4164</v>
      </c>
      <c r="B4165">
        <f>TEXT(4164, "[$-170000]yyyy-mm-dd")</f>
        <v/>
      </c>
      <c r="C4165">
        <f>TEXT(4164, "[$-060000]yyyy-mm-dd")</f>
        <v/>
      </c>
      <c r="D4165" t="inlineStr">
        <is>
          <t>1329-05-28</t>
        </is>
      </c>
    </row>
    <row r="4166">
      <c r="A4166" s="1" t="n">
        <v>4165</v>
      </c>
      <c r="B4166">
        <f>TEXT(4165, "[$-170000]yyyy-mm-dd")</f>
        <v/>
      </c>
      <c r="C4166">
        <f>TEXT(4165, "[$-060000]yyyy-mm-dd")</f>
        <v/>
      </c>
      <c r="D4166" t="inlineStr">
        <is>
          <t>1329-05-29</t>
        </is>
      </c>
    </row>
    <row r="4167">
      <c r="A4167" s="1" t="n">
        <v>4166</v>
      </c>
      <c r="B4167">
        <f>TEXT(4166, "[$-170000]yyyy-mm-dd")</f>
        <v/>
      </c>
      <c r="C4167">
        <f>TEXT(4166, "[$-060000]yyyy-mm-dd")</f>
        <v/>
      </c>
      <c r="D4167" t="inlineStr">
        <is>
          <t>1329-05-30</t>
        </is>
      </c>
    </row>
    <row r="4168">
      <c r="A4168" s="1" t="n">
        <v>4167</v>
      </c>
      <c r="B4168">
        <f>TEXT(4167, "[$-170000]yyyy-mm-dd")</f>
        <v/>
      </c>
      <c r="C4168">
        <f>TEXT(4167, "[$-060000]yyyy-mm-dd")</f>
        <v/>
      </c>
      <c r="D4168" t="inlineStr">
        <is>
          <t>1329-06-01</t>
        </is>
      </c>
    </row>
    <row r="4169">
      <c r="A4169" s="1" t="n">
        <v>4168</v>
      </c>
      <c r="B4169">
        <f>TEXT(4168, "[$-170000]yyyy-mm-dd")</f>
        <v/>
      </c>
      <c r="C4169">
        <f>TEXT(4168, "[$-060000]yyyy-mm-dd")</f>
        <v/>
      </c>
      <c r="D4169" t="inlineStr">
        <is>
          <t>1329-06-02</t>
        </is>
      </c>
    </row>
    <row r="4170">
      <c r="A4170" s="1" t="n">
        <v>4169</v>
      </c>
      <c r="B4170">
        <f>TEXT(4169, "[$-170000]yyyy-mm-dd")</f>
        <v/>
      </c>
      <c r="C4170">
        <f>TEXT(4169, "[$-060000]yyyy-mm-dd")</f>
        <v/>
      </c>
      <c r="D4170" t="inlineStr">
        <is>
          <t>1329-06-03</t>
        </is>
      </c>
    </row>
    <row r="4171">
      <c r="A4171" s="1" t="n">
        <v>4170</v>
      </c>
      <c r="B4171">
        <f>TEXT(4170, "[$-170000]yyyy-mm-dd")</f>
        <v/>
      </c>
      <c r="C4171">
        <f>TEXT(4170, "[$-060000]yyyy-mm-dd")</f>
        <v/>
      </c>
      <c r="D4171" t="inlineStr">
        <is>
          <t>1329-06-04</t>
        </is>
      </c>
    </row>
    <row r="4172">
      <c r="A4172" s="1" t="n">
        <v>4171</v>
      </c>
      <c r="B4172">
        <f>TEXT(4171, "[$-170000]yyyy-mm-dd")</f>
        <v/>
      </c>
      <c r="C4172">
        <f>TEXT(4171, "[$-060000]yyyy-mm-dd")</f>
        <v/>
      </c>
      <c r="D4172" t="inlineStr">
        <is>
          <t>1329-06-05</t>
        </is>
      </c>
    </row>
    <row r="4173">
      <c r="A4173" s="1" t="n">
        <v>4172</v>
      </c>
      <c r="B4173">
        <f>TEXT(4172, "[$-170000]yyyy-mm-dd")</f>
        <v/>
      </c>
      <c r="C4173">
        <f>TEXT(4172, "[$-060000]yyyy-mm-dd")</f>
        <v/>
      </c>
      <c r="D4173" t="inlineStr">
        <is>
          <t>1329-06-06</t>
        </is>
      </c>
    </row>
    <row r="4174">
      <c r="A4174" s="1" t="n">
        <v>4173</v>
      </c>
      <c r="B4174">
        <f>TEXT(4173, "[$-170000]yyyy-mm-dd")</f>
        <v/>
      </c>
      <c r="C4174">
        <f>TEXT(4173, "[$-060000]yyyy-mm-dd")</f>
        <v/>
      </c>
      <c r="D4174" t="inlineStr">
        <is>
          <t>1329-06-07</t>
        </is>
      </c>
    </row>
    <row r="4175">
      <c r="A4175" s="1" t="n">
        <v>4174</v>
      </c>
      <c r="B4175">
        <f>TEXT(4174, "[$-170000]yyyy-mm-dd")</f>
        <v/>
      </c>
      <c r="C4175">
        <f>TEXT(4174, "[$-060000]yyyy-mm-dd")</f>
        <v/>
      </c>
      <c r="D4175" t="inlineStr">
        <is>
          <t>1329-06-08</t>
        </is>
      </c>
    </row>
    <row r="4176">
      <c r="A4176" s="1" t="n">
        <v>4175</v>
      </c>
      <c r="B4176">
        <f>TEXT(4175, "[$-170000]yyyy-mm-dd")</f>
        <v/>
      </c>
      <c r="C4176">
        <f>TEXT(4175, "[$-060000]yyyy-mm-dd")</f>
        <v/>
      </c>
      <c r="D4176" t="inlineStr">
        <is>
          <t>1329-06-09</t>
        </is>
      </c>
    </row>
    <row r="4177">
      <c r="A4177" s="1" t="n">
        <v>4176</v>
      </c>
      <c r="B4177">
        <f>TEXT(4176, "[$-170000]yyyy-mm-dd")</f>
        <v/>
      </c>
      <c r="C4177">
        <f>TEXT(4176, "[$-060000]yyyy-mm-dd")</f>
        <v/>
      </c>
      <c r="D4177" t="inlineStr">
        <is>
          <t>1329-06-10</t>
        </is>
      </c>
    </row>
    <row r="4178">
      <c r="A4178" s="1" t="n">
        <v>4177</v>
      </c>
      <c r="B4178">
        <f>TEXT(4177, "[$-170000]yyyy-mm-dd")</f>
        <v/>
      </c>
      <c r="C4178">
        <f>TEXT(4177, "[$-060000]yyyy-mm-dd")</f>
        <v/>
      </c>
      <c r="D4178" t="inlineStr">
        <is>
          <t>1329-06-11</t>
        </is>
      </c>
    </row>
    <row r="4179">
      <c r="A4179" s="1" t="n">
        <v>4178</v>
      </c>
      <c r="B4179">
        <f>TEXT(4178, "[$-170000]yyyy-mm-dd")</f>
        <v/>
      </c>
      <c r="C4179">
        <f>TEXT(4178, "[$-060000]yyyy-mm-dd")</f>
        <v/>
      </c>
      <c r="D4179" t="inlineStr">
        <is>
          <t>1329-06-12</t>
        </is>
      </c>
    </row>
    <row r="4180">
      <c r="A4180" s="1" t="n">
        <v>4179</v>
      </c>
      <c r="B4180">
        <f>TEXT(4179, "[$-170000]yyyy-mm-dd")</f>
        <v/>
      </c>
      <c r="C4180">
        <f>TEXT(4179, "[$-060000]yyyy-mm-dd")</f>
        <v/>
      </c>
      <c r="D4180" t="inlineStr">
        <is>
          <t>1329-06-13</t>
        </is>
      </c>
    </row>
    <row r="4181">
      <c r="A4181" s="1" t="n">
        <v>4180</v>
      </c>
      <c r="B4181">
        <f>TEXT(4180, "[$-170000]yyyy-mm-dd")</f>
        <v/>
      </c>
      <c r="C4181">
        <f>TEXT(4180, "[$-060000]yyyy-mm-dd")</f>
        <v/>
      </c>
      <c r="D4181" t="inlineStr">
        <is>
          <t>1329-06-14</t>
        </is>
      </c>
    </row>
    <row r="4182">
      <c r="A4182" s="1" t="n">
        <v>4181</v>
      </c>
      <c r="B4182">
        <f>TEXT(4181, "[$-170000]yyyy-mm-dd")</f>
        <v/>
      </c>
      <c r="C4182">
        <f>TEXT(4181, "[$-060000]yyyy-mm-dd")</f>
        <v/>
      </c>
      <c r="D4182" t="inlineStr">
        <is>
          <t>1329-06-15</t>
        </is>
      </c>
    </row>
    <row r="4183">
      <c r="A4183" s="1" t="n">
        <v>4182</v>
      </c>
      <c r="B4183">
        <f>TEXT(4182, "[$-170000]yyyy-mm-dd")</f>
        <v/>
      </c>
      <c r="C4183">
        <f>TEXT(4182, "[$-060000]yyyy-mm-dd")</f>
        <v/>
      </c>
      <c r="D4183" t="inlineStr">
        <is>
          <t>1329-06-16</t>
        </is>
      </c>
    </row>
    <row r="4184">
      <c r="A4184" s="1" t="n">
        <v>4183</v>
      </c>
      <c r="B4184">
        <f>TEXT(4183, "[$-170000]yyyy-mm-dd")</f>
        <v/>
      </c>
      <c r="C4184">
        <f>TEXT(4183, "[$-060000]yyyy-mm-dd")</f>
        <v/>
      </c>
      <c r="D4184" t="inlineStr">
        <is>
          <t>1329-06-17</t>
        </is>
      </c>
    </row>
    <row r="4185">
      <c r="A4185" s="1" t="n">
        <v>4184</v>
      </c>
      <c r="B4185">
        <f>TEXT(4184, "[$-170000]yyyy-mm-dd")</f>
        <v/>
      </c>
      <c r="C4185">
        <f>TEXT(4184, "[$-060000]yyyy-mm-dd")</f>
        <v/>
      </c>
      <c r="D4185" t="inlineStr">
        <is>
          <t>1329-06-18</t>
        </is>
      </c>
    </row>
    <row r="4186">
      <c r="A4186" s="1" t="n">
        <v>4185</v>
      </c>
      <c r="B4186">
        <f>TEXT(4185, "[$-170000]yyyy-mm-dd")</f>
        <v/>
      </c>
      <c r="C4186">
        <f>TEXT(4185, "[$-060000]yyyy-mm-dd")</f>
        <v/>
      </c>
      <c r="D4186" t="inlineStr">
        <is>
          <t>1329-06-19</t>
        </is>
      </c>
    </row>
    <row r="4187">
      <c r="A4187" s="1" t="n">
        <v>4186</v>
      </c>
      <c r="B4187">
        <f>TEXT(4186, "[$-170000]yyyy-mm-dd")</f>
        <v/>
      </c>
      <c r="C4187">
        <f>TEXT(4186, "[$-060000]yyyy-mm-dd")</f>
        <v/>
      </c>
      <c r="D4187" t="inlineStr">
        <is>
          <t>1329-06-20</t>
        </is>
      </c>
    </row>
    <row r="4188">
      <c r="A4188" s="1" t="n">
        <v>4187</v>
      </c>
      <c r="B4188">
        <f>TEXT(4187, "[$-170000]yyyy-mm-dd")</f>
        <v/>
      </c>
      <c r="C4188">
        <f>TEXT(4187, "[$-060000]yyyy-mm-dd")</f>
        <v/>
      </c>
      <c r="D4188" t="inlineStr">
        <is>
          <t>1329-06-21</t>
        </is>
      </c>
    </row>
    <row r="4189">
      <c r="A4189" s="1" t="n">
        <v>4188</v>
      </c>
      <c r="B4189">
        <f>TEXT(4188, "[$-170000]yyyy-mm-dd")</f>
        <v/>
      </c>
      <c r="C4189">
        <f>TEXT(4188, "[$-060000]yyyy-mm-dd")</f>
        <v/>
      </c>
      <c r="D4189" t="inlineStr">
        <is>
          <t>1329-06-22</t>
        </is>
      </c>
    </row>
    <row r="4190">
      <c r="A4190" s="1" t="n">
        <v>4189</v>
      </c>
      <c r="B4190">
        <f>TEXT(4189, "[$-170000]yyyy-mm-dd")</f>
        <v/>
      </c>
      <c r="C4190">
        <f>TEXT(4189, "[$-060000]yyyy-mm-dd")</f>
        <v/>
      </c>
      <c r="D4190" t="inlineStr">
        <is>
          <t>1329-06-23</t>
        </is>
      </c>
    </row>
    <row r="4191">
      <c r="A4191" s="1" t="n">
        <v>4190</v>
      </c>
      <c r="B4191">
        <f>TEXT(4190, "[$-170000]yyyy-mm-dd")</f>
        <v/>
      </c>
      <c r="C4191">
        <f>TEXT(4190, "[$-060000]yyyy-mm-dd")</f>
        <v/>
      </c>
      <c r="D4191" t="inlineStr">
        <is>
          <t>1329-06-24</t>
        </is>
      </c>
    </row>
    <row r="4192">
      <c r="A4192" s="1" t="n">
        <v>4191</v>
      </c>
      <c r="B4192">
        <f>TEXT(4191, "[$-170000]yyyy-mm-dd")</f>
        <v/>
      </c>
      <c r="C4192">
        <f>TEXT(4191, "[$-060000]yyyy-mm-dd")</f>
        <v/>
      </c>
      <c r="D4192" t="inlineStr">
        <is>
          <t>1329-06-25</t>
        </is>
      </c>
    </row>
    <row r="4193">
      <c r="A4193" s="1" t="n">
        <v>4192</v>
      </c>
      <c r="B4193">
        <f>TEXT(4192, "[$-170000]yyyy-mm-dd")</f>
        <v/>
      </c>
      <c r="C4193">
        <f>TEXT(4192, "[$-060000]yyyy-mm-dd")</f>
        <v/>
      </c>
      <c r="D4193" t="inlineStr">
        <is>
          <t>1329-06-26</t>
        </is>
      </c>
    </row>
    <row r="4194">
      <c r="A4194" s="1" t="n">
        <v>4193</v>
      </c>
      <c r="B4194">
        <f>TEXT(4193, "[$-170000]yyyy-mm-dd")</f>
        <v/>
      </c>
      <c r="C4194">
        <f>TEXT(4193, "[$-060000]yyyy-mm-dd")</f>
        <v/>
      </c>
      <c r="D4194" t="inlineStr">
        <is>
          <t>1329-06-27</t>
        </is>
      </c>
    </row>
    <row r="4195">
      <c r="A4195" s="1" t="n">
        <v>4194</v>
      </c>
      <c r="B4195">
        <f>TEXT(4194, "[$-170000]yyyy-mm-dd")</f>
        <v/>
      </c>
      <c r="C4195">
        <f>TEXT(4194, "[$-060000]yyyy-mm-dd")</f>
        <v/>
      </c>
      <c r="D4195" t="inlineStr">
        <is>
          <t>1329-06-28</t>
        </is>
      </c>
    </row>
    <row r="4196">
      <c r="A4196" s="1" t="n">
        <v>4195</v>
      </c>
      <c r="B4196">
        <f>TEXT(4195, "[$-170000]yyyy-mm-dd")</f>
        <v/>
      </c>
      <c r="C4196">
        <f>TEXT(4195, "[$-060000]yyyy-mm-dd")</f>
        <v/>
      </c>
      <c r="D4196" t="inlineStr">
        <is>
          <t>1329-06-29</t>
        </is>
      </c>
    </row>
    <row r="4197">
      <c r="A4197" s="1" t="n">
        <v>4196</v>
      </c>
      <c r="B4197">
        <f>TEXT(4196, "[$-170000]yyyy-mm-dd")</f>
        <v/>
      </c>
      <c r="C4197">
        <f>TEXT(4196, "[$-060000]yyyy-mm-dd")</f>
        <v/>
      </c>
      <c r="D4197" t="inlineStr">
        <is>
          <t>1329-07-01</t>
        </is>
      </c>
    </row>
    <row r="4198">
      <c r="A4198" s="1" t="n">
        <v>4197</v>
      </c>
      <c r="B4198">
        <f>TEXT(4197, "[$-170000]yyyy-mm-dd")</f>
        <v/>
      </c>
      <c r="C4198">
        <f>TEXT(4197, "[$-060000]yyyy-mm-dd")</f>
        <v/>
      </c>
      <c r="D4198" t="inlineStr">
        <is>
          <t>1329-07-02</t>
        </is>
      </c>
    </row>
    <row r="4199">
      <c r="A4199" s="1" t="n">
        <v>4198</v>
      </c>
      <c r="B4199">
        <f>TEXT(4198, "[$-170000]yyyy-mm-dd")</f>
        <v/>
      </c>
      <c r="C4199">
        <f>TEXT(4198, "[$-060000]yyyy-mm-dd")</f>
        <v/>
      </c>
      <c r="D4199" t="inlineStr">
        <is>
          <t>1329-07-03</t>
        </is>
      </c>
    </row>
    <row r="4200">
      <c r="A4200" s="1" t="n">
        <v>4199</v>
      </c>
      <c r="B4200">
        <f>TEXT(4199, "[$-170000]yyyy-mm-dd")</f>
        <v/>
      </c>
      <c r="C4200">
        <f>TEXT(4199, "[$-060000]yyyy-mm-dd")</f>
        <v/>
      </c>
      <c r="D4200" t="inlineStr">
        <is>
          <t>1329-07-04</t>
        </is>
      </c>
    </row>
    <row r="4201">
      <c r="A4201" s="1" t="n">
        <v>4200</v>
      </c>
      <c r="B4201">
        <f>TEXT(4200, "[$-170000]yyyy-mm-dd")</f>
        <v/>
      </c>
      <c r="C4201">
        <f>TEXT(4200, "[$-060000]yyyy-mm-dd")</f>
        <v/>
      </c>
      <c r="D4201" t="inlineStr">
        <is>
          <t>1329-07-05</t>
        </is>
      </c>
    </row>
    <row r="4202">
      <c r="A4202" s="1" t="n">
        <v>4201</v>
      </c>
      <c r="B4202">
        <f>TEXT(4201, "[$-170000]yyyy-mm-dd")</f>
        <v/>
      </c>
      <c r="C4202">
        <f>TEXT(4201, "[$-060000]yyyy-mm-dd")</f>
        <v/>
      </c>
      <c r="D4202" t="inlineStr">
        <is>
          <t>1329-07-06</t>
        </is>
      </c>
    </row>
    <row r="4203">
      <c r="A4203" s="1" t="n">
        <v>4202</v>
      </c>
      <c r="B4203">
        <f>TEXT(4202, "[$-170000]yyyy-mm-dd")</f>
        <v/>
      </c>
      <c r="C4203">
        <f>TEXT(4202, "[$-060000]yyyy-mm-dd")</f>
        <v/>
      </c>
      <c r="D4203" t="inlineStr">
        <is>
          <t>1329-07-07</t>
        </is>
      </c>
    </row>
    <row r="4204">
      <c r="A4204" s="1" t="n">
        <v>4203</v>
      </c>
      <c r="B4204">
        <f>TEXT(4203, "[$-170000]yyyy-mm-dd")</f>
        <v/>
      </c>
      <c r="C4204">
        <f>TEXT(4203, "[$-060000]yyyy-mm-dd")</f>
        <v/>
      </c>
      <c r="D4204" t="inlineStr">
        <is>
          <t>1329-07-08</t>
        </is>
      </c>
    </row>
    <row r="4205">
      <c r="A4205" s="1" t="n">
        <v>4204</v>
      </c>
      <c r="B4205">
        <f>TEXT(4204, "[$-170000]yyyy-mm-dd")</f>
        <v/>
      </c>
      <c r="C4205">
        <f>TEXT(4204, "[$-060000]yyyy-mm-dd")</f>
        <v/>
      </c>
      <c r="D4205" t="inlineStr">
        <is>
          <t>1329-07-09</t>
        </is>
      </c>
    </row>
    <row r="4206">
      <c r="A4206" s="1" t="n">
        <v>4205</v>
      </c>
      <c r="B4206">
        <f>TEXT(4205, "[$-170000]yyyy-mm-dd")</f>
        <v/>
      </c>
      <c r="C4206">
        <f>TEXT(4205, "[$-060000]yyyy-mm-dd")</f>
        <v/>
      </c>
      <c r="D4206" t="inlineStr">
        <is>
          <t>1329-07-10</t>
        </is>
      </c>
    </row>
    <row r="4207">
      <c r="A4207" s="1" t="n">
        <v>4206</v>
      </c>
      <c r="B4207">
        <f>TEXT(4206, "[$-170000]yyyy-mm-dd")</f>
        <v/>
      </c>
      <c r="C4207">
        <f>TEXT(4206, "[$-060000]yyyy-mm-dd")</f>
        <v/>
      </c>
      <c r="D4207" t="inlineStr">
        <is>
          <t>1329-07-11</t>
        </is>
      </c>
    </row>
    <row r="4208">
      <c r="A4208" s="1" t="n">
        <v>4207</v>
      </c>
      <c r="B4208">
        <f>TEXT(4207, "[$-170000]yyyy-mm-dd")</f>
        <v/>
      </c>
      <c r="C4208">
        <f>TEXT(4207, "[$-060000]yyyy-mm-dd")</f>
        <v/>
      </c>
      <c r="D4208" t="inlineStr">
        <is>
          <t>1329-07-12</t>
        </is>
      </c>
    </row>
    <row r="4209">
      <c r="A4209" s="1" t="n">
        <v>4208</v>
      </c>
      <c r="B4209">
        <f>TEXT(4208, "[$-170000]yyyy-mm-dd")</f>
        <v/>
      </c>
      <c r="C4209">
        <f>TEXT(4208, "[$-060000]yyyy-mm-dd")</f>
        <v/>
      </c>
      <c r="D4209" t="inlineStr">
        <is>
          <t>1329-07-13</t>
        </is>
      </c>
    </row>
    <row r="4210">
      <c r="A4210" s="1" t="n">
        <v>4209</v>
      </c>
      <c r="B4210">
        <f>TEXT(4209, "[$-170000]yyyy-mm-dd")</f>
        <v/>
      </c>
      <c r="C4210">
        <f>TEXT(4209, "[$-060000]yyyy-mm-dd")</f>
        <v/>
      </c>
      <c r="D4210" t="inlineStr">
        <is>
          <t>1329-07-14</t>
        </is>
      </c>
    </row>
    <row r="4211">
      <c r="A4211" s="1" t="n">
        <v>4210</v>
      </c>
      <c r="B4211">
        <f>TEXT(4210, "[$-170000]yyyy-mm-dd")</f>
        <v/>
      </c>
      <c r="C4211">
        <f>TEXT(4210, "[$-060000]yyyy-mm-dd")</f>
        <v/>
      </c>
      <c r="D4211" t="inlineStr">
        <is>
          <t>1329-07-15</t>
        </is>
      </c>
    </row>
    <row r="4212">
      <c r="A4212" s="1" t="n">
        <v>4211</v>
      </c>
      <c r="B4212">
        <f>TEXT(4211, "[$-170000]yyyy-mm-dd")</f>
        <v/>
      </c>
      <c r="C4212">
        <f>TEXT(4211, "[$-060000]yyyy-mm-dd")</f>
        <v/>
      </c>
      <c r="D4212" t="inlineStr">
        <is>
          <t>1329-07-16</t>
        </is>
      </c>
    </row>
    <row r="4213">
      <c r="A4213" s="1" t="n">
        <v>4212</v>
      </c>
      <c r="B4213">
        <f>TEXT(4212, "[$-170000]yyyy-mm-dd")</f>
        <v/>
      </c>
      <c r="C4213">
        <f>TEXT(4212, "[$-060000]yyyy-mm-dd")</f>
        <v/>
      </c>
      <c r="D4213" t="inlineStr">
        <is>
          <t>1329-07-17</t>
        </is>
      </c>
    </row>
    <row r="4214">
      <c r="A4214" s="1" t="n">
        <v>4213</v>
      </c>
      <c r="B4214">
        <f>TEXT(4213, "[$-170000]yyyy-mm-dd")</f>
        <v/>
      </c>
      <c r="C4214">
        <f>TEXT(4213, "[$-060000]yyyy-mm-dd")</f>
        <v/>
      </c>
      <c r="D4214" t="inlineStr">
        <is>
          <t>1329-07-18</t>
        </is>
      </c>
    </row>
    <row r="4215">
      <c r="A4215" s="1" t="n">
        <v>4214</v>
      </c>
      <c r="B4215">
        <f>TEXT(4214, "[$-170000]yyyy-mm-dd")</f>
        <v/>
      </c>
      <c r="C4215">
        <f>TEXT(4214, "[$-060000]yyyy-mm-dd")</f>
        <v/>
      </c>
      <c r="D4215" t="inlineStr">
        <is>
          <t>1329-07-19</t>
        </is>
      </c>
    </row>
    <row r="4216">
      <c r="A4216" s="1" t="n">
        <v>4215</v>
      </c>
      <c r="B4216">
        <f>TEXT(4215, "[$-170000]yyyy-mm-dd")</f>
        <v/>
      </c>
      <c r="C4216">
        <f>TEXT(4215, "[$-060000]yyyy-mm-dd")</f>
        <v/>
      </c>
      <c r="D4216" t="inlineStr">
        <is>
          <t>1329-07-20</t>
        </is>
      </c>
    </row>
    <row r="4217">
      <c r="A4217" s="1" t="n">
        <v>4216</v>
      </c>
      <c r="B4217">
        <f>TEXT(4216, "[$-170000]yyyy-mm-dd")</f>
        <v/>
      </c>
      <c r="C4217">
        <f>TEXT(4216, "[$-060000]yyyy-mm-dd")</f>
        <v/>
      </c>
      <c r="D4217" t="inlineStr">
        <is>
          <t>1329-07-21</t>
        </is>
      </c>
    </row>
    <row r="4218">
      <c r="A4218" s="1" t="n">
        <v>4217</v>
      </c>
      <c r="B4218">
        <f>TEXT(4217, "[$-170000]yyyy-mm-dd")</f>
        <v/>
      </c>
      <c r="C4218">
        <f>TEXT(4217, "[$-060000]yyyy-mm-dd")</f>
        <v/>
      </c>
      <c r="D4218" t="inlineStr">
        <is>
          <t>1329-07-22</t>
        </is>
      </c>
    </row>
    <row r="4219">
      <c r="A4219" s="1" t="n">
        <v>4218</v>
      </c>
      <c r="B4219">
        <f>TEXT(4218, "[$-170000]yyyy-mm-dd")</f>
        <v/>
      </c>
      <c r="C4219">
        <f>TEXT(4218, "[$-060000]yyyy-mm-dd")</f>
        <v/>
      </c>
      <c r="D4219" t="inlineStr">
        <is>
          <t>1329-07-23</t>
        </is>
      </c>
    </row>
    <row r="4220">
      <c r="A4220" s="1" t="n">
        <v>4219</v>
      </c>
      <c r="B4220">
        <f>TEXT(4219, "[$-170000]yyyy-mm-dd")</f>
        <v/>
      </c>
      <c r="C4220">
        <f>TEXT(4219, "[$-060000]yyyy-mm-dd")</f>
        <v/>
      </c>
      <c r="D4220" t="inlineStr">
        <is>
          <t>1329-07-24</t>
        </is>
      </c>
    </row>
    <row r="4221">
      <c r="A4221" s="1" t="n">
        <v>4220</v>
      </c>
      <c r="B4221">
        <f>TEXT(4220, "[$-170000]yyyy-mm-dd")</f>
        <v/>
      </c>
      <c r="C4221">
        <f>TEXT(4220, "[$-060000]yyyy-mm-dd")</f>
        <v/>
      </c>
      <c r="D4221" t="inlineStr">
        <is>
          <t>1329-07-25</t>
        </is>
      </c>
    </row>
    <row r="4222">
      <c r="A4222" s="1" t="n">
        <v>4221</v>
      </c>
      <c r="B4222">
        <f>TEXT(4221, "[$-170000]yyyy-mm-dd")</f>
        <v/>
      </c>
      <c r="C4222">
        <f>TEXT(4221, "[$-060000]yyyy-mm-dd")</f>
        <v/>
      </c>
      <c r="D4222" t="inlineStr">
        <is>
          <t>1329-07-26</t>
        </is>
      </c>
    </row>
    <row r="4223">
      <c r="A4223" s="1" t="n">
        <v>4222</v>
      </c>
      <c r="B4223">
        <f>TEXT(4222, "[$-170000]yyyy-mm-dd")</f>
        <v/>
      </c>
      <c r="C4223">
        <f>TEXT(4222, "[$-060000]yyyy-mm-dd")</f>
        <v/>
      </c>
      <c r="D4223" t="inlineStr">
        <is>
          <t>1329-07-27</t>
        </is>
      </c>
    </row>
    <row r="4224">
      <c r="A4224" s="1" t="n">
        <v>4223</v>
      </c>
      <c r="B4224">
        <f>TEXT(4223, "[$-170000]yyyy-mm-dd")</f>
        <v/>
      </c>
      <c r="C4224">
        <f>TEXT(4223, "[$-060000]yyyy-mm-dd")</f>
        <v/>
      </c>
      <c r="D4224" t="inlineStr">
        <is>
          <t>1329-07-28</t>
        </is>
      </c>
    </row>
    <row r="4225">
      <c r="A4225" s="1" t="n">
        <v>4224</v>
      </c>
      <c r="B4225">
        <f>TEXT(4224, "[$-170000]yyyy-mm-dd")</f>
        <v/>
      </c>
      <c r="C4225">
        <f>TEXT(4224, "[$-060000]yyyy-mm-dd")</f>
        <v/>
      </c>
      <c r="D4225" t="inlineStr">
        <is>
          <t>1329-07-29</t>
        </is>
      </c>
    </row>
    <row r="4226">
      <c r="A4226" s="1" t="n">
        <v>4225</v>
      </c>
      <c r="B4226">
        <f>TEXT(4225, "[$-170000]yyyy-mm-dd")</f>
        <v/>
      </c>
      <c r="C4226">
        <f>TEXT(4225, "[$-060000]yyyy-mm-dd")</f>
        <v/>
      </c>
      <c r="D4226" t="inlineStr">
        <is>
          <t>1329-07-30</t>
        </is>
      </c>
    </row>
    <row r="4227">
      <c r="A4227" s="1" t="n">
        <v>4226</v>
      </c>
      <c r="B4227">
        <f>TEXT(4226, "[$-170000]yyyy-mm-dd")</f>
        <v/>
      </c>
      <c r="C4227">
        <f>TEXT(4226, "[$-060000]yyyy-mm-dd")</f>
        <v/>
      </c>
      <c r="D4227" t="inlineStr">
        <is>
          <t>1329-08-01</t>
        </is>
      </c>
    </row>
    <row r="4228">
      <c r="A4228" s="1" t="n">
        <v>4227</v>
      </c>
      <c r="B4228">
        <f>TEXT(4227, "[$-170000]yyyy-mm-dd")</f>
        <v/>
      </c>
      <c r="C4228">
        <f>TEXT(4227, "[$-060000]yyyy-mm-dd")</f>
        <v/>
      </c>
      <c r="D4228" t="inlineStr">
        <is>
          <t>1329-08-02</t>
        </is>
      </c>
    </row>
    <row r="4229">
      <c r="A4229" s="1" t="n">
        <v>4228</v>
      </c>
      <c r="B4229">
        <f>TEXT(4228, "[$-170000]yyyy-mm-dd")</f>
        <v/>
      </c>
      <c r="C4229">
        <f>TEXT(4228, "[$-060000]yyyy-mm-dd")</f>
        <v/>
      </c>
      <c r="D4229" t="inlineStr">
        <is>
          <t>1329-08-03</t>
        </is>
      </c>
    </row>
    <row r="4230">
      <c r="A4230" s="1" t="n">
        <v>4229</v>
      </c>
      <c r="B4230">
        <f>TEXT(4229, "[$-170000]yyyy-mm-dd")</f>
        <v/>
      </c>
      <c r="C4230">
        <f>TEXT(4229, "[$-060000]yyyy-mm-dd")</f>
        <v/>
      </c>
      <c r="D4230" t="inlineStr">
        <is>
          <t>1329-08-04</t>
        </is>
      </c>
    </row>
    <row r="4231">
      <c r="A4231" s="1" t="n">
        <v>4230</v>
      </c>
      <c r="B4231">
        <f>TEXT(4230, "[$-170000]yyyy-mm-dd")</f>
        <v/>
      </c>
      <c r="C4231">
        <f>TEXT(4230, "[$-060000]yyyy-mm-dd")</f>
        <v/>
      </c>
      <c r="D4231" t="inlineStr">
        <is>
          <t>1329-08-05</t>
        </is>
      </c>
    </row>
    <row r="4232">
      <c r="A4232" s="1" t="n">
        <v>4231</v>
      </c>
      <c r="B4232">
        <f>TEXT(4231, "[$-170000]yyyy-mm-dd")</f>
        <v/>
      </c>
      <c r="C4232">
        <f>TEXT(4231, "[$-060000]yyyy-mm-dd")</f>
        <v/>
      </c>
      <c r="D4232" t="inlineStr">
        <is>
          <t>1329-08-06</t>
        </is>
      </c>
    </row>
    <row r="4233">
      <c r="A4233" s="1" t="n">
        <v>4232</v>
      </c>
      <c r="B4233">
        <f>TEXT(4232, "[$-170000]yyyy-mm-dd")</f>
        <v/>
      </c>
      <c r="C4233">
        <f>TEXT(4232, "[$-060000]yyyy-mm-dd")</f>
        <v/>
      </c>
      <c r="D4233" t="inlineStr">
        <is>
          <t>1329-08-07</t>
        </is>
      </c>
    </row>
    <row r="4234">
      <c r="A4234" s="1" t="n">
        <v>4233</v>
      </c>
      <c r="B4234">
        <f>TEXT(4233, "[$-170000]yyyy-mm-dd")</f>
        <v/>
      </c>
      <c r="C4234">
        <f>TEXT(4233, "[$-060000]yyyy-mm-dd")</f>
        <v/>
      </c>
      <c r="D4234" t="inlineStr">
        <is>
          <t>1329-08-08</t>
        </is>
      </c>
    </row>
    <row r="4235">
      <c r="A4235" s="1" t="n">
        <v>4234</v>
      </c>
      <c r="B4235">
        <f>TEXT(4234, "[$-170000]yyyy-mm-dd")</f>
        <v/>
      </c>
      <c r="C4235">
        <f>TEXT(4234, "[$-060000]yyyy-mm-dd")</f>
        <v/>
      </c>
      <c r="D4235" t="inlineStr">
        <is>
          <t>1329-08-09</t>
        </is>
      </c>
    </row>
    <row r="4236">
      <c r="A4236" s="1" t="n">
        <v>4235</v>
      </c>
      <c r="B4236">
        <f>TEXT(4235, "[$-170000]yyyy-mm-dd")</f>
        <v/>
      </c>
      <c r="C4236">
        <f>TEXT(4235, "[$-060000]yyyy-mm-dd")</f>
        <v/>
      </c>
      <c r="D4236" t="inlineStr">
        <is>
          <t>1329-08-10</t>
        </is>
      </c>
    </row>
    <row r="4237">
      <c r="A4237" s="1" t="n">
        <v>4236</v>
      </c>
      <c r="B4237">
        <f>TEXT(4236, "[$-170000]yyyy-mm-dd")</f>
        <v/>
      </c>
      <c r="C4237">
        <f>TEXT(4236, "[$-060000]yyyy-mm-dd")</f>
        <v/>
      </c>
      <c r="D4237" t="inlineStr">
        <is>
          <t>1329-08-11</t>
        </is>
      </c>
    </row>
    <row r="4238">
      <c r="A4238" s="1" t="n">
        <v>4237</v>
      </c>
      <c r="B4238">
        <f>TEXT(4237, "[$-170000]yyyy-mm-dd")</f>
        <v/>
      </c>
      <c r="C4238">
        <f>TEXT(4237, "[$-060000]yyyy-mm-dd")</f>
        <v/>
      </c>
      <c r="D4238" t="inlineStr">
        <is>
          <t>1329-08-12</t>
        </is>
      </c>
    </row>
    <row r="4239">
      <c r="A4239" s="1" t="n">
        <v>4238</v>
      </c>
      <c r="B4239">
        <f>TEXT(4238, "[$-170000]yyyy-mm-dd")</f>
        <v/>
      </c>
      <c r="C4239">
        <f>TEXT(4238, "[$-060000]yyyy-mm-dd")</f>
        <v/>
      </c>
      <c r="D4239" t="inlineStr">
        <is>
          <t>1329-08-13</t>
        </is>
      </c>
    </row>
    <row r="4240">
      <c r="A4240" s="1" t="n">
        <v>4239</v>
      </c>
      <c r="B4240">
        <f>TEXT(4239, "[$-170000]yyyy-mm-dd")</f>
        <v/>
      </c>
      <c r="C4240">
        <f>TEXT(4239, "[$-060000]yyyy-mm-dd")</f>
        <v/>
      </c>
      <c r="D4240" t="inlineStr">
        <is>
          <t>1329-08-14</t>
        </is>
      </c>
    </row>
    <row r="4241">
      <c r="A4241" s="1" t="n">
        <v>4240</v>
      </c>
      <c r="B4241">
        <f>TEXT(4240, "[$-170000]yyyy-mm-dd")</f>
        <v/>
      </c>
      <c r="C4241">
        <f>TEXT(4240, "[$-060000]yyyy-mm-dd")</f>
        <v/>
      </c>
      <c r="D4241" t="inlineStr">
        <is>
          <t>1329-08-15</t>
        </is>
      </c>
    </row>
    <row r="4242">
      <c r="A4242" s="1" t="n">
        <v>4241</v>
      </c>
      <c r="B4242">
        <f>TEXT(4241, "[$-170000]yyyy-mm-dd")</f>
        <v/>
      </c>
      <c r="C4242">
        <f>TEXT(4241, "[$-060000]yyyy-mm-dd")</f>
        <v/>
      </c>
      <c r="D4242" t="inlineStr">
        <is>
          <t>1329-08-16</t>
        </is>
      </c>
    </row>
    <row r="4243">
      <c r="A4243" s="1" t="n">
        <v>4242</v>
      </c>
      <c r="B4243">
        <f>TEXT(4242, "[$-170000]yyyy-mm-dd")</f>
        <v/>
      </c>
      <c r="C4243">
        <f>TEXT(4242, "[$-060000]yyyy-mm-dd")</f>
        <v/>
      </c>
      <c r="D4243" t="inlineStr">
        <is>
          <t>1329-08-17</t>
        </is>
      </c>
    </row>
    <row r="4244">
      <c r="A4244" s="1" t="n">
        <v>4243</v>
      </c>
      <c r="B4244">
        <f>TEXT(4243, "[$-170000]yyyy-mm-dd")</f>
        <v/>
      </c>
      <c r="C4244">
        <f>TEXT(4243, "[$-060000]yyyy-mm-dd")</f>
        <v/>
      </c>
      <c r="D4244" t="inlineStr">
        <is>
          <t>1329-08-18</t>
        </is>
      </c>
    </row>
    <row r="4245">
      <c r="A4245" s="1" t="n">
        <v>4244</v>
      </c>
      <c r="B4245">
        <f>TEXT(4244, "[$-170000]yyyy-mm-dd")</f>
        <v/>
      </c>
      <c r="C4245">
        <f>TEXT(4244, "[$-060000]yyyy-mm-dd")</f>
        <v/>
      </c>
      <c r="D4245" t="inlineStr">
        <is>
          <t>1329-08-19</t>
        </is>
      </c>
    </row>
    <row r="4246">
      <c r="A4246" s="1" t="n">
        <v>4245</v>
      </c>
      <c r="B4246">
        <f>TEXT(4245, "[$-170000]yyyy-mm-dd")</f>
        <v/>
      </c>
      <c r="C4246">
        <f>TEXT(4245, "[$-060000]yyyy-mm-dd")</f>
        <v/>
      </c>
      <c r="D4246" t="inlineStr">
        <is>
          <t>1329-08-20</t>
        </is>
      </c>
    </row>
    <row r="4247">
      <c r="A4247" s="1" t="n">
        <v>4246</v>
      </c>
      <c r="B4247">
        <f>TEXT(4246, "[$-170000]yyyy-mm-dd")</f>
        <v/>
      </c>
      <c r="C4247">
        <f>TEXT(4246, "[$-060000]yyyy-mm-dd")</f>
        <v/>
      </c>
      <c r="D4247" t="inlineStr">
        <is>
          <t>1329-08-21</t>
        </is>
      </c>
    </row>
    <row r="4248">
      <c r="A4248" s="1" t="n">
        <v>4247</v>
      </c>
      <c r="B4248">
        <f>TEXT(4247, "[$-170000]yyyy-mm-dd")</f>
        <v/>
      </c>
      <c r="C4248">
        <f>TEXT(4247, "[$-060000]yyyy-mm-dd")</f>
        <v/>
      </c>
      <c r="D4248" t="inlineStr">
        <is>
          <t>1329-08-22</t>
        </is>
      </c>
    </row>
    <row r="4249">
      <c r="A4249" s="1" t="n">
        <v>4248</v>
      </c>
      <c r="B4249">
        <f>TEXT(4248, "[$-170000]yyyy-mm-dd")</f>
        <v/>
      </c>
      <c r="C4249">
        <f>TEXT(4248, "[$-060000]yyyy-mm-dd")</f>
        <v/>
      </c>
      <c r="D4249" t="inlineStr">
        <is>
          <t>1329-08-23</t>
        </is>
      </c>
    </row>
    <row r="4250">
      <c r="A4250" s="1" t="n">
        <v>4249</v>
      </c>
      <c r="B4250">
        <f>TEXT(4249, "[$-170000]yyyy-mm-dd")</f>
        <v/>
      </c>
      <c r="C4250">
        <f>TEXT(4249, "[$-060000]yyyy-mm-dd")</f>
        <v/>
      </c>
      <c r="D4250" t="inlineStr">
        <is>
          <t>1329-08-24</t>
        </is>
      </c>
    </row>
    <row r="4251">
      <c r="A4251" s="1" t="n">
        <v>4250</v>
      </c>
      <c r="B4251">
        <f>TEXT(4250, "[$-170000]yyyy-mm-dd")</f>
        <v/>
      </c>
      <c r="C4251">
        <f>TEXT(4250, "[$-060000]yyyy-mm-dd")</f>
        <v/>
      </c>
      <c r="D4251" t="inlineStr">
        <is>
          <t>1329-08-25</t>
        </is>
      </c>
    </row>
    <row r="4252">
      <c r="A4252" s="1" t="n">
        <v>4251</v>
      </c>
      <c r="B4252">
        <f>TEXT(4251, "[$-170000]yyyy-mm-dd")</f>
        <v/>
      </c>
      <c r="C4252">
        <f>TEXT(4251, "[$-060000]yyyy-mm-dd")</f>
        <v/>
      </c>
      <c r="D4252" t="inlineStr">
        <is>
          <t>1329-08-26</t>
        </is>
      </c>
    </row>
    <row r="4253">
      <c r="A4253" s="1" t="n">
        <v>4252</v>
      </c>
      <c r="B4253">
        <f>TEXT(4252, "[$-170000]yyyy-mm-dd")</f>
        <v/>
      </c>
      <c r="C4253">
        <f>TEXT(4252, "[$-060000]yyyy-mm-dd")</f>
        <v/>
      </c>
      <c r="D4253" t="inlineStr">
        <is>
          <t>1329-08-27</t>
        </is>
      </c>
    </row>
    <row r="4254">
      <c r="A4254" s="1" t="n">
        <v>4253</v>
      </c>
      <c r="B4254">
        <f>TEXT(4253, "[$-170000]yyyy-mm-dd")</f>
        <v/>
      </c>
      <c r="C4254">
        <f>TEXT(4253, "[$-060000]yyyy-mm-dd")</f>
        <v/>
      </c>
      <c r="D4254" t="inlineStr">
        <is>
          <t>1329-08-28</t>
        </is>
      </c>
    </row>
    <row r="4255">
      <c r="A4255" s="1" t="n">
        <v>4254</v>
      </c>
      <c r="B4255">
        <f>TEXT(4254, "[$-170000]yyyy-mm-dd")</f>
        <v/>
      </c>
      <c r="C4255">
        <f>TEXT(4254, "[$-060000]yyyy-mm-dd")</f>
        <v/>
      </c>
      <c r="D4255" t="inlineStr">
        <is>
          <t>1329-08-29</t>
        </is>
      </c>
    </row>
    <row r="4256">
      <c r="A4256" s="1" t="n">
        <v>4255</v>
      </c>
      <c r="B4256">
        <f>TEXT(4255, "[$-170000]yyyy-mm-dd")</f>
        <v/>
      </c>
      <c r="C4256">
        <f>TEXT(4255, "[$-060000]yyyy-mm-dd")</f>
        <v/>
      </c>
      <c r="D4256" t="inlineStr">
        <is>
          <t>1329-09-01</t>
        </is>
      </c>
    </row>
    <row r="4257">
      <c r="A4257" s="1" t="n">
        <v>4256</v>
      </c>
      <c r="B4257">
        <f>TEXT(4256, "[$-170000]yyyy-mm-dd")</f>
        <v/>
      </c>
      <c r="C4257">
        <f>TEXT(4256, "[$-060000]yyyy-mm-dd")</f>
        <v/>
      </c>
      <c r="D4257" t="inlineStr">
        <is>
          <t>1329-09-02</t>
        </is>
      </c>
    </row>
    <row r="4258">
      <c r="A4258" s="1" t="n">
        <v>4257</v>
      </c>
      <c r="B4258">
        <f>TEXT(4257, "[$-170000]yyyy-mm-dd")</f>
        <v/>
      </c>
      <c r="C4258">
        <f>TEXT(4257, "[$-060000]yyyy-mm-dd")</f>
        <v/>
      </c>
      <c r="D4258" t="inlineStr">
        <is>
          <t>1329-09-03</t>
        </is>
      </c>
    </row>
    <row r="4259">
      <c r="A4259" s="1" t="n">
        <v>4258</v>
      </c>
      <c r="B4259">
        <f>TEXT(4258, "[$-170000]yyyy-mm-dd")</f>
        <v/>
      </c>
      <c r="C4259">
        <f>TEXT(4258, "[$-060000]yyyy-mm-dd")</f>
        <v/>
      </c>
      <c r="D4259" t="inlineStr">
        <is>
          <t>1329-09-04</t>
        </is>
      </c>
    </row>
    <row r="4260">
      <c r="A4260" s="1" t="n">
        <v>4259</v>
      </c>
      <c r="B4260">
        <f>TEXT(4259, "[$-170000]yyyy-mm-dd")</f>
        <v/>
      </c>
      <c r="C4260">
        <f>TEXT(4259, "[$-060000]yyyy-mm-dd")</f>
        <v/>
      </c>
      <c r="D4260" t="inlineStr">
        <is>
          <t>1329-09-05</t>
        </is>
      </c>
    </row>
    <row r="4261">
      <c r="A4261" s="1" t="n">
        <v>4260</v>
      </c>
      <c r="B4261">
        <f>TEXT(4260, "[$-170000]yyyy-mm-dd")</f>
        <v/>
      </c>
      <c r="C4261">
        <f>TEXT(4260, "[$-060000]yyyy-mm-dd")</f>
        <v/>
      </c>
      <c r="D4261" t="inlineStr">
        <is>
          <t>1329-09-06</t>
        </is>
      </c>
    </row>
    <row r="4262">
      <c r="A4262" s="1" t="n">
        <v>4261</v>
      </c>
      <c r="B4262">
        <f>TEXT(4261, "[$-170000]yyyy-mm-dd")</f>
        <v/>
      </c>
      <c r="C4262">
        <f>TEXT(4261, "[$-060000]yyyy-mm-dd")</f>
        <v/>
      </c>
      <c r="D4262" t="inlineStr">
        <is>
          <t>1329-09-07</t>
        </is>
      </c>
    </row>
    <row r="4263">
      <c r="A4263" s="1" t="n">
        <v>4262</v>
      </c>
      <c r="B4263">
        <f>TEXT(4262, "[$-170000]yyyy-mm-dd")</f>
        <v/>
      </c>
      <c r="C4263">
        <f>TEXT(4262, "[$-060000]yyyy-mm-dd")</f>
        <v/>
      </c>
      <c r="D4263" t="inlineStr">
        <is>
          <t>1329-09-08</t>
        </is>
      </c>
    </row>
    <row r="4264">
      <c r="A4264" s="1" t="n">
        <v>4263</v>
      </c>
      <c r="B4264">
        <f>TEXT(4263, "[$-170000]yyyy-mm-dd")</f>
        <v/>
      </c>
      <c r="C4264">
        <f>TEXT(4263, "[$-060000]yyyy-mm-dd")</f>
        <v/>
      </c>
      <c r="D4264" t="inlineStr">
        <is>
          <t>1329-09-09</t>
        </is>
      </c>
    </row>
    <row r="4265">
      <c r="A4265" s="1" t="n">
        <v>4264</v>
      </c>
      <c r="B4265">
        <f>TEXT(4264, "[$-170000]yyyy-mm-dd")</f>
        <v/>
      </c>
      <c r="C4265">
        <f>TEXT(4264, "[$-060000]yyyy-mm-dd")</f>
        <v/>
      </c>
      <c r="D4265" t="inlineStr">
        <is>
          <t>1329-09-10</t>
        </is>
      </c>
    </row>
    <row r="4266">
      <c r="A4266" s="1" t="n">
        <v>4265</v>
      </c>
      <c r="B4266">
        <f>TEXT(4265, "[$-170000]yyyy-mm-dd")</f>
        <v/>
      </c>
      <c r="C4266">
        <f>TEXT(4265, "[$-060000]yyyy-mm-dd")</f>
        <v/>
      </c>
      <c r="D4266" t="inlineStr">
        <is>
          <t>1329-09-11</t>
        </is>
      </c>
    </row>
    <row r="4267">
      <c r="A4267" s="1" t="n">
        <v>4266</v>
      </c>
      <c r="B4267">
        <f>TEXT(4266, "[$-170000]yyyy-mm-dd")</f>
        <v/>
      </c>
      <c r="C4267">
        <f>TEXT(4266, "[$-060000]yyyy-mm-dd")</f>
        <v/>
      </c>
      <c r="D4267" t="inlineStr">
        <is>
          <t>1329-09-12</t>
        </is>
      </c>
    </row>
    <row r="4268">
      <c r="A4268" s="1" t="n">
        <v>4267</v>
      </c>
      <c r="B4268">
        <f>TEXT(4267, "[$-170000]yyyy-mm-dd")</f>
        <v/>
      </c>
      <c r="C4268">
        <f>TEXT(4267, "[$-060000]yyyy-mm-dd")</f>
        <v/>
      </c>
      <c r="D4268" t="inlineStr">
        <is>
          <t>1329-09-13</t>
        </is>
      </c>
    </row>
    <row r="4269">
      <c r="A4269" s="1" t="n">
        <v>4268</v>
      </c>
      <c r="B4269">
        <f>TEXT(4268, "[$-170000]yyyy-mm-dd")</f>
        <v/>
      </c>
      <c r="C4269">
        <f>TEXT(4268, "[$-060000]yyyy-mm-dd")</f>
        <v/>
      </c>
      <c r="D4269" t="inlineStr">
        <is>
          <t>1329-09-14</t>
        </is>
      </c>
    </row>
    <row r="4270">
      <c r="A4270" s="1" t="n">
        <v>4269</v>
      </c>
      <c r="B4270">
        <f>TEXT(4269, "[$-170000]yyyy-mm-dd")</f>
        <v/>
      </c>
      <c r="C4270">
        <f>TEXT(4269, "[$-060000]yyyy-mm-dd")</f>
        <v/>
      </c>
      <c r="D4270" t="inlineStr">
        <is>
          <t>1329-09-15</t>
        </is>
      </c>
    </row>
    <row r="4271">
      <c r="A4271" s="1" t="n">
        <v>4270</v>
      </c>
      <c r="B4271">
        <f>TEXT(4270, "[$-170000]yyyy-mm-dd")</f>
        <v/>
      </c>
      <c r="C4271">
        <f>TEXT(4270, "[$-060000]yyyy-mm-dd")</f>
        <v/>
      </c>
      <c r="D4271" t="inlineStr">
        <is>
          <t>1329-09-16</t>
        </is>
      </c>
    </row>
    <row r="4272">
      <c r="A4272" s="1" t="n">
        <v>4271</v>
      </c>
      <c r="B4272">
        <f>TEXT(4271, "[$-170000]yyyy-mm-dd")</f>
        <v/>
      </c>
      <c r="C4272">
        <f>TEXT(4271, "[$-060000]yyyy-mm-dd")</f>
        <v/>
      </c>
      <c r="D4272" t="inlineStr">
        <is>
          <t>1329-09-17</t>
        </is>
      </c>
    </row>
    <row r="4273">
      <c r="A4273" s="1" t="n">
        <v>4272</v>
      </c>
      <c r="B4273">
        <f>TEXT(4272, "[$-170000]yyyy-mm-dd")</f>
        <v/>
      </c>
      <c r="C4273">
        <f>TEXT(4272, "[$-060000]yyyy-mm-dd")</f>
        <v/>
      </c>
      <c r="D4273" t="inlineStr">
        <is>
          <t>1329-09-18</t>
        </is>
      </c>
    </row>
    <row r="4274">
      <c r="A4274" s="1" t="n">
        <v>4273</v>
      </c>
      <c r="B4274">
        <f>TEXT(4273, "[$-170000]yyyy-mm-dd")</f>
        <v/>
      </c>
      <c r="C4274">
        <f>TEXT(4273, "[$-060000]yyyy-mm-dd")</f>
        <v/>
      </c>
      <c r="D4274" t="inlineStr">
        <is>
          <t>1329-09-19</t>
        </is>
      </c>
    </row>
    <row r="4275">
      <c r="A4275" s="1" t="n">
        <v>4274</v>
      </c>
      <c r="B4275">
        <f>TEXT(4274, "[$-170000]yyyy-mm-dd")</f>
        <v/>
      </c>
      <c r="C4275">
        <f>TEXT(4274, "[$-060000]yyyy-mm-dd")</f>
        <v/>
      </c>
      <c r="D4275" t="inlineStr">
        <is>
          <t>1329-09-20</t>
        </is>
      </c>
    </row>
    <row r="4276">
      <c r="A4276" s="1" t="n">
        <v>4275</v>
      </c>
      <c r="B4276">
        <f>TEXT(4275, "[$-170000]yyyy-mm-dd")</f>
        <v/>
      </c>
      <c r="C4276">
        <f>TEXT(4275, "[$-060000]yyyy-mm-dd")</f>
        <v/>
      </c>
      <c r="D4276" t="inlineStr">
        <is>
          <t>1329-09-21</t>
        </is>
      </c>
    </row>
    <row r="4277">
      <c r="A4277" s="1" t="n">
        <v>4276</v>
      </c>
      <c r="B4277">
        <f>TEXT(4276, "[$-170000]yyyy-mm-dd")</f>
        <v/>
      </c>
      <c r="C4277">
        <f>TEXT(4276, "[$-060000]yyyy-mm-dd")</f>
        <v/>
      </c>
      <c r="D4277" t="inlineStr">
        <is>
          <t>1329-09-22</t>
        </is>
      </c>
    </row>
    <row r="4278">
      <c r="A4278" s="1" t="n">
        <v>4277</v>
      </c>
      <c r="B4278">
        <f>TEXT(4277, "[$-170000]yyyy-mm-dd")</f>
        <v/>
      </c>
      <c r="C4278">
        <f>TEXT(4277, "[$-060000]yyyy-mm-dd")</f>
        <v/>
      </c>
      <c r="D4278" t="inlineStr">
        <is>
          <t>1329-09-23</t>
        </is>
      </c>
    </row>
    <row r="4279">
      <c r="A4279" s="1" t="n">
        <v>4278</v>
      </c>
      <c r="B4279">
        <f>TEXT(4278, "[$-170000]yyyy-mm-dd")</f>
        <v/>
      </c>
      <c r="C4279">
        <f>TEXT(4278, "[$-060000]yyyy-mm-dd")</f>
        <v/>
      </c>
      <c r="D4279" t="inlineStr">
        <is>
          <t>1329-09-24</t>
        </is>
      </c>
    </row>
    <row r="4280">
      <c r="A4280" s="1" t="n">
        <v>4279</v>
      </c>
      <c r="B4280">
        <f>TEXT(4279, "[$-170000]yyyy-mm-dd")</f>
        <v/>
      </c>
      <c r="C4280">
        <f>TEXT(4279, "[$-060000]yyyy-mm-dd")</f>
        <v/>
      </c>
      <c r="D4280" t="inlineStr">
        <is>
          <t>1329-09-25</t>
        </is>
      </c>
    </row>
    <row r="4281">
      <c r="A4281" s="1" t="n">
        <v>4280</v>
      </c>
      <c r="B4281">
        <f>TEXT(4280, "[$-170000]yyyy-mm-dd")</f>
        <v/>
      </c>
      <c r="C4281">
        <f>TEXT(4280, "[$-060000]yyyy-mm-dd")</f>
        <v/>
      </c>
      <c r="D4281" t="inlineStr">
        <is>
          <t>1329-09-26</t>
        </is>
      </c>
    </row>
    <row r="4282">
      <c r="A4282" s="1" t="n">
        <v>4281</v>
      </c>
      <c r="B4282">
        <f>TEXT(4281, "[$-170000]yyyy-mm-dd")</f>
        <v/>
      </c>
      <c r="C4282">
        <f>TEXT(4281, "[$-060000]yyyy-mm-dd")</f>
        <v/>
      </c>
      <c r="D4282" t="inlineStr">
        <is>
          <t>1329-09-27</t>
        </is>
      </c>
    </row>
    <row r="4283">
      <c r="A4283" s="1" t="n">
        <v>4282</v>
      </c>
      <c r="B4283">
        <f>TEXT(4282, "[$-170000]yyyy-mm-dd")</f>
        <v/>
      </c>
      <c r="C4283">
        <f>TEXT(4282, "[$-060000]yyyy-mm-dd")</f>
        <v/>
      </c>
      <c r="D4283" t="inlineStr">
        <is>
          <t>1329-09-28</t>
        </is>
      </c>
    </row>
    <row r="4284">
      <c r="A4284" s="1" t="n">
        <v>4283</v>
      </c>
      <c r="B4284">
        <f>TEXT(4283, "[$-170000]yyyy-mm-dd")</f>
        <v/>
      </c>
      <c r="C4284">
        <f>TEXT(4283, "[$-060000]yyyy-mm-dd")</f>
        <v/>
      </c>
      <c r="D4284" t="inlineStr">
        <is>
          <t>1329-09-29</t>
        </is>
      </c>
    </row>
    <row r="4285">
      <c r="A4285" s="1" t="n">
        <v>4284</v>
      </c>
      <c r="B4285">
        <f>TEXT(4284, "[$-170000]yyyy-mm-dd")</f>
        <v/>
      </c>
      <c r="C4285">
        <f>TEXT(4284, "[$-060000]yyyy-mm-dd")</f>
        <v/>
      </c>
      <c r="D4285" t="inlineStr">
        <is>
          <t>1329-09-30</t>
        </is>
      </c>
    </row>
    <row r="4286">
      <c r="A4286" s="1" t="n">
        <v>4285</v>
      </c>
      <c r="B4286">
        <f>TEXT(4285, "[$-170000]yyyy-mm-dd")</f>
        <v/>
      </c>
      <c r="C4286">
        <f>TEXT(4285, "[$-060000]yyyy-mm-dd")</f>
        <v/>
      </c>
      <c r="D4286" t="inlineStr">
        <is>
          <t>1329-10-01</t>
        </is>
      </c>
    </row>
    <row r="4287">
      <c r="A4287" s="1" t="n">
        <v>4286</v>
      </c>
      <c r="B4287">
        <f>TEXT(4286, "[$-170000]yyyy-mm-dd")</f>
        <v/>
      </c>
      <c r="C4287">
        <f>TEXT(4286, "[$-060000]yyyy-mm-dd")</f>
        <v/>
      </c>
      <c r="D4287" t="inlineStr">
        <is>
          <t>1329-10-02</t>
        </is>
      </c>
    </row>
    <row r="4288">
      <c r="A4288" s="1" t="n">
        <v>4287</v>
      </c>
      <c r="B4288">
        <f>TEXT(4287, "[$-170000]yyyy-mm-dd")</f>
        <v/>
      </c>
      <c r="C4288">
        <f>TEXT(4287, "[$-060000]yyyy-mm-dd")</f>
        <v/>
      </c>
      <c r="D4288" t="inlineStr">
        <is>
          <t>1329-10-03</t>
        </is>
      </c>
    </row>
    <row r="4289">
      <c r="A4289" s="1" t="n">
        <v>4288</v>
      </c>
      <c r="B4289">
        <f>TEXT(4288, "[$-170000]yyyy-mm-dd")</f>
        <v/>
      </c>
      <c r="C4289">
        <f>TEXT(4288, "[$-060000]yyyy-mm-dd")</f>
        <v/>
      </c>
      <c r="D4289" t="inlineStr">
        <is>
          <t>1329-10-04</t>
        </is>
      </c>
    </row>
    <row r="4290">
      <c r="A4290" s="1" t="n">
        <v>4289</v>
      </c>
      <c r="B4290">
        <f>TEXT(4289, "[$-170000]yyyy-mm-dd")</f>
        <v/>
      </c>
      <c r="C4290">
        <f>TEXT(4289, "[$-060000]yyyy-mm-dd")</f>
        <v/>
      </c>
      <c r="D4290" t="inlineStr">
        <is>
          <t>1329-10-05</t>
        </is>
      </c>
    </row>
    <row r="4291">
      <c r="A4291" s="1" t="n">
        <v>4290</v>
      </c>
      <c r="B4291">
        <f>TEXT(4290, "[$-170000]yyyy-mm-dd")</f>
        <v/>
      </c>
      <c r="C4291">
        <f>TEXT(4290, "[$-060000]yyyy-mm-dd")</f>
        <v/>
      </c>
      <c r="D4291" t="inlineStr">
        <is>
          <t>1329-10-06</t>
        </is>
      </c>
    </row>
    <row r="4292">
      <c r="A4292" s="1" t="n">
        <v>4291</v>
      </c>
      <c r="B4292">
        <f>TEXT(4291, "[$-170000]yyyy-mm-dd")</f>
        <v/>
      </c>
      <c r="C4292">
        <f>TEXT(4291, "[$-060000]yyyy-mm-dd")</f>
        <v/>
      </c>
      <c r="D4292" t="inlineStr">
        <is>
          <t>1329-10-07</t>
        </is>
      </c>
    </row>
    <row r="4293">
      <c r="A4293" s="1" t="n">
        <v>4292</v>
      </c>
      <c r="B4293">
        <f>TEXT(4292, "[$-170000]yyyy-mm-dd")</f>
        <v/>
      </c>
      <c r="C4293">
        <f>TEXT(4292, "[$-060000]yyyy-mm-dd")</f>
        <v/>
      </c>
      <c r="D4293" t="inlineStr">
        <is>
          <t>1329-10-08</t>
        </is>
      </c>
    </row>
    <row r="4294">
      <c r="A4294" s="1" t="n">
        <v>4293</v>
      </c>
      <c r="B4294">
        <f>TEXT(4293, "[$-170000]yyyy-mm-dd")</f>
        <v/>
      </c>
      <c r="C4294">
        <f>TEXT(4293, "[$-060000]yyyy-mm-dd")</f>
        <v/>
      </c>
      <c r="D4294" t="inlineStr">
        <is>
          <t>1329-10-09</t>
        </is>
      </c>
    </row>
    <row r="4295">
      <c r="A4295" s="1" t="n">
        <v>4294</v>
      </c>
      <c r="B4295">
        <f>TEXT(4294, "[$-170000]yyyy-mm-dd")</f>
        <v/>
      </c>
      <c r="C4295">
        <f>TEXT(4294, "[$-060000]yyyy-mm-dd")</f>
        <v/>
      </c>
      <c r="D4295" t="inlineStr">
        <is>
          <t>1329-10-10</t>
        </is>
      </c>
    </row>
    <row r="4296">
      <c r="A4296" s="1" t="n">
        <v>4295</v>
      </c>
      <c r="B4296">
        <f>TEXT(4295, "[$-170000]yyyy-mm-dd")</f>
        <v/>
      </c>
      <c r="C4296">
        <f>TEXT(4295, "[$-060000]yyyy-mm-dd")</f>
        <v/>
      </c>
      <c r="D4296" t="inlineStr">
        <is>
          <t>1329-10-11</t>
        </is>
      </c>
    </row>
    <row r="4297">
      <c r="A4297" s="1" t="n">
        <v>4296</v>
      </c>
      <c r="B4297">
        <f>TEXT(4296, "[$-170000]yyyy-mm-dd")</f>
        <v/>
      </c>
      <c r="C4297">
        <f>TEXT(4296, "[$-060000]yyyy-mm-dd")</f>
        <v/>
      </c>
      <c r="D4297" t="inlineStr">
        <is>
          <t>1329-10-12</t>
        </is>
      </c>
    </row>
    <row r="4298">
      <c r="A4298" s="1" t="n">
        <v>4297</v>
      </c>
      <c r="B4298">
        <f>TEXT(4297, "[$-170000]yyyy-mm-dd")</f>
        <v/>
      </c>
      <c r="C4298">
        <f>TEXT(4297, "[$-060000]yyyy-mm-dd")</f>
        <v/>
      </c>
      <c r="D4298" t="inlineStr">
        <is>
          <t>1329-10-13</t>
        </is>
      </c>
    </row>
    <row r="4299">
      <c r="A4299" s="1" t="n">
        <v>4298</v>
      </c>
      <c r="B4299">
        <f>TEXT(4298, "[$-170000]yyyy-mm-dd")</f>
        <v/>
      </c>
      <c r="C4299">
        <f>TEXT(4298, "[$-060000]yyyy-mm-dd")</f>
        <v/>
      </c>
      <c r="D4299" t="inlineStr">
        <is>
          <t>1329-10-14</t>
        </is>
      </c>
    </row>
    <row r="4300">
      <c r="A4300" s="1" t="n">
        <v>4299</v>
      </c>
      <c r="B4300">
        <f>TEXT(4299, "[$-170000]yyyy-mm-dd")</f>
        <v/>
      </c>
      <c r="C4300">
        <f>TEXT(4299, "[$-060000]yyyy-mm-dd")</f>
        <v/>
      </c>
      <c r="D4300" t="inlineStr">
        <is>
          <t>1329-10-15</t>
        </is>
      </c>
    </row>
    <row r="4301">
      <c r="A4301" s="1" t="n">
        <v>4300</v>
      </c>
      <c r="B4301">
        <f>TEXT(4300, "[$-170000]yyyy-mm-dd")</f>
        <v/>
      </c>
      <c r="C4301">
        <f>TEXT(4300, "[$-060000]yyyy-mm-dd")</f>
        <v/>
      </c>
      <c r="D4301" t="inlineStr">
        <is>
          <t>1329-10-16</t>
        </is>
      </c>
    </row>
    <row r="4302">
      <c r="A4302" s="1" t="n">
        <v>4301</v>
      </c>
      <c r="B4302">
        <f>TEXT(4301, "[$-170000]yyyy-mm-dd")</f>
        <v/>
      </c>
      <c r="C4302">
        <f>TEXT(4301, "[$-060000]yyyy-mm-dd")</f>
        <v/>
      </c>
      <c r="D4302" t="inlineStr">
        <is>
          <t>1329-10-17</t>
        </is>
      </c>
    </row>
    <row r="4303">
      <c r="A4303" s="1" t="n">
        <v>4302</v>
      </c>
      <c r="B4303">
        <f>TEXT(4302, "[$-170000]yyyy-mm-dd")</f>
        <v/>
      </c>
      <c r="C4303">
        <f>TEXT(4302, "[$-060000]yyyy-mm-dd")</f>
        <v/>
      </c>
      <c r="D4303" t="inlineStr">
        <is>
          <t>1329-10-18</t>
        </is>
      </c>
    </row>
    <row r="4304">
      <c r="A4304" s="1" t="n">
        <v>4303</v>
      </c>
      <c r="B4304">
        <f>TEXT(4303, "[$-170000]yyyy-mm-dd")</f>
        <v/>
      </c>
      <c r="C4304">
        <f>TEXT(4303, "[$-060000]yyyy-mm-dd")</f>
        <v/>
      </c>
      <c r="D4304" t="inlineStr">
        <is>
          <t>1329-10-19</t>
        </is>
      </c>
    </row>
    <row r="4305">
      <c r="A4305" s="1" t="n">
        <v>4304</v>
      </c>
      <c r="B4305">
        <f>TEXT(4304, "[$-170000]yyyy-mm-dd")</f>
        <v/>
      </c>
      <c r="C4305">
        <f>TEXT(4304, "[$-060000]yyyy-mm-dd")</f>
        <v/>
      </c>
      <c r="D4305" t="inlineStr">
        <is>
          <t>1329-10-20</t>
        </is>
      </c>
    </row>
    <row r="4306">
      <c r="A4306" s="1" t="n">
        <v>4305</v>
      </c>
      <c r="B4306">
        <f>TEXT(4305, "[$-170000]yyyy-mm-dd")</f>
        <v/>
      </c>
      <c r="C4306">
        <f>TEXT(4305, "[$-060000]yyyy-mm-dd")</f>
        <v/>
      </c>
      <c r="D4306" t="inlineStr">
        <is>
          <t>1329-10-21</t>
        </is>
      </c>
    </row>
    <row r="4307">
      <c r="A4307" s="1" t="n">
        <v>4306</v>
      </c>
      <c r="B4307">
        <f>TEXT(4306, "[$-170000]yyyy-mm-dd")</f>
        <v/>
      </c>
      <c r="C4307">
        <f>TEXT(4306, "[$-060000]yyyy-mm-dd")</f>
        <v/>
      </c>
      <c r="D4307" t="inlineStr">
        <is>
          <t>1329-10-22</t>
        </is>
      </c>
    </row>
    <row r="4308">
      <c r="A4308" s="1" t="n">
        <v>4307</v>
      </c>
      <c r="B4308">
        <f>TEXT(4307, "[$-170000]yyyy-mm-dd")</f>
        <v/>
      </c>
      <c r="C4308">
        <f>TEXT(4307, "[$-060000]yyyy-mm-dd")</f>
        <v/>
      </c>
      <c r="D4308" t="inlineStr">
        <is>
          <t>1329-10-23</t>
        </is>
      </c>
    </row>
    <row r="4309">
      <c r="A4309" s="1" t="n">
        <v>4308</v>
      </c>
      <c r="B4309">
        <f>TEXT(4308, "[$-170000]yyyy-mm-dd")</f>
        <v/>
      </c>
      <c r="C4309">
        <f>TEXT(4308, "[$-060000]yyyy-mm-dd")</f>
        <v/>
      </c>
      <c r="D4309" t="inlineStr">
        <is>
          <t>1329-10-24</t>
        </is>
      </c>
    </row>
    <row r="4310">
      <c r="A4310" s="1" t="n">
        <v>4309</v>
      </c>
      <c r="B4310">
        <f>TEXT(4309, "[$-170000]yyyy-mm-dd")</f>
        <v/>
      </c>
      <c r="C4310">
        <f>TEXT(4309, "[$-060000]yyyy-mm-dd")</f>
        <v/>
      </c>
      <c r="D4310" t="inlineStr">
        <is>
          <t>1329-10-25</t>
        </is>
      </c>
    </row>
    <row r="4311">
      <c r="A4311" s="1" t="n">
        <v>4310</v>
      </c>
      <c r="B4311">
        <f>TEXT(4310, "[$-170000]yyyy-mm-dd")</f>
        <v/>
      </c>
      <c r="C4311">
        <f>TEXT(4310, "[$-060000]yyyy-mm-dd")</f>
        <v/>
      </c>
      <c r="D4311" t="inlineStr">
        <is>
          <t>1329-10-26</t>
        </is>
      </c>
    </row>
    <row r="4312">
      <c r="A4312" s="1" t="n">
        <v>4311</v>
      </c>
      <c r="B4312">
        <f>TEXT(4311, "[$-170000]yyyy-mm-dd")</f>
        <v/>
      </c>
      <c r="C4312">
        <f>TEXT(4311, "[$-060000]yyyy-mm-dd")</f>
        <v/>
      </c>
      <c r="D4312" t="inlineStr">
        <is>
          <t>1329-10-27</t>
        </is>
      </c>
    </row>
    <row r="4313">
      <c r="A4313" s="1" t="n">
        <v>4312</v>
      </c>
      <c r="B4313">
        <f>TEXT(4312, "[$-170000]yyyy-mm-dd")</f>
        <v/>
      </c>
      <c r="C4313">
        <f>TEXT(4312, "[$-060000]yyyy-mm-dd")</f>
        <v/>
      </c>
      <c r="D4313" t="inlineStr">
        <is>
          <t>1329-10-28</t>
        </is>
      </c>
    </row>
    <row r="4314">
      <c r="A4314" s="1" t="n">
        <v>4313</v>
      </c>
      <c r="B4314">
        <f>TEXT(4313, "[$-170000]yyyy-mm-dd")</f>
        <v/>
      </c>
      <c r="C4314">
        <f>TEXT(4313, "[$-060000]yyyy-mm-dd")</f>
        <v/>
      </c>
      <c r="D4314" t="inlineStr">
        <is>
          <t>1329-10-29</t>
        </is>
      </c>
    </row>
    <row r="4315">
      <c r="A4315" s="1" t="n">
        <v>4314</v>
      </c>
      <c r="B4315">
        <f>TEXT(4314, "[$-170000]yyyy-mm-dd")</f>
        <v/>
      </c>
      <c r="C4315">
        <f>TEXT(4314, "[$-060000]yyyy-mm-dd")</f>
        <v/>
      </c>
      <c r="D4315" t="inlineStr">
        <is>
          <t>1329-11-01</t>
        </is>
      </c>
    </row>
    <row r="4316">
      <c r="A4316" s="1" t="n">
        <v>4315</v>
      </c>
      <c r="B4316">
        <f>TEXT(4315, "[$-170000]yyyy-mm-dd")</f>
        <v/>
      </c>
      <c r="C4316">
        <f>TEXT(4315, "[$-060000]yyyy-mm-dd")</f>
        <v/>
      </c>
      <c r="D4316" t="inlineStr">
        <is>
          <t>1329-11-02</t>
        </is>
      </c>
    </row>
    <row r="4317">
      <c r="A4317" s="1" t="n">
        <v>4316</v>
      </c>
      <c r="B4317">
        <f>TEXT(4316, "[$-170000]yyyy-mm-dd")</f>
        <v/>
      </c>
      <c r="C4317">
        <f>TEXT(4316, "[$-060000]yyyy-mm-dd")</f>
        <v/>
      </c>
      <c r="D4317" t="inlineStr">
        <is>
          <t>1329-11-03</t>
        </is>
      </c>
    </row>
    <row r="4318">
      <c r="A4318" s="1" t="n">
        <v>4317</v>
      </c>
      <c r="B4318">
        <f>TEXT(4317, "[$-170000]yyyy-mm-dd")</f>
        <v/>
      </c>
      <c r="C4318">
        <f>TEXT(4317, "[$-060000]yyyy-mm-dd")</f>
        <v/>
      </c>
      <c r="D4318" t="inlineStr">
        <is>
          <t>1329-11-04</t>
        </is>
      </c>
    </row>
    <row r="4319">
      <c r="A4319" s="1" t="n">
        <v>4318</v>
      </c>
      <c r="B4319">
        <f>TEXT(4318, "[$-170000]yyyy-mm-dd")</f>
        <v/>
      </c>
      <c r="C4319">
        <f>TEXT(4318, "[$-060000]yyyy-mm-dd")</f>
        <v/>
      </c>
      <c r="D4319" t="inlineStr">
        <is>
          <t>1329-11-05</t>
        </is>
      </c>
    </row>
    <row r="4320">
      <c r="A4320" s="1" t="n">
        <v>4319</v>
      </c>
      <c r="B4320">
        <f>TEXT(4319, "[$-170000]yyyy-mm-dd")</f>
        <v/>
      </c>
      <c r="C4320">
        <f>TEXT(4319, "[$-060000]yyyy-mm-dd")</f>
        <v/>
      </c>
      <c r="D4320" t="inlineStr">
        <is>
          <t>1329-11-06</t>
        </is>
      </c>
    </row>
    <row r="4321">
      <c r="A4321" s="1" t="n">
        <v>4320</v>
      </c>
      <c r="B4321">
        <f>TEXT(4320, "[$-170000]yyyy-mm-dd")</f>
        <v/>
      </c>
      <c r="C4321">
        <f>TEXT(4320, "[$-060000]yyyy-mm-dd")</f>
        <v/>
      </c>
      <c r="D4321" t="inlineStr">
        <is>
          <t>1329-11-07</t>
        </is>
      </c>
    </row>
    <row r="4322">
      <c r="A4322" s="1" t="n">
        <v>4321</v>
      </c>
      <c r="B4322">
        <f>TEXT(4321, "[$-170000]yyyy-mm-dd")</f>
        <v/>
      </c>
      <c r="C4322">
        <f>TEXT(4321, "[$-060000]yyyy-mm-dd")</f>
        <v/>
      </c>
      <c r="D4322" t="inlineStr">
        <is>
          <t>1329-11-08</t>
        </is>
      </c>
    </row>
    <row r="4323">
      <c r="A4323" s="1" t="n">
        <v>4322</v>
      </c>
      <c r="B4323">
        <f>TEXT(4322, "[$-170000]yyyy-mm-dd")</f>
        <v/>
      </c>
      <c r="C4323">
        <f>TEXT(4322, "[$-060000]yyyy-mm-dd")</f>
        <v/>
      </c>
      <c r="D4323" t="inlineStr">
        <is>
          <t>1329-11-09</t>
        </is>
      </c>
    </row>
    <row r="4324">
      <c r="A4324" s="1" t="n">
        <v>4323</v>
      </c>
      <c r="B4324">
        <f>TEXT(4323, "[$-170000]yyyy-mm-dd")</f>
        <v/>
      </c>
      <c r="C4324">
        <f>TEXT(4323, "[$-060000]yyyy-mm-dd")</f>
        <v/>
      </c>
      <c r="D4324" t="inlineStr">
        <is>
          <t>1329-11-10</t>
        </is>
      </c>
    </row>
    <row r="4325">
      <c r="A4325" s="1" t="n">
        <v>4324</v>
      </c>
      <c r="B4325">
        <f>TEXT(4324, "[$-170000]yyyy-mm-dd")</f>
        <v/>
      </c>
      <c r="C4325">
        <f>TEXT(4324, "[$-060000]yyyy-mm-dd")</f>
        <v/>
      </c>
      <c r="D4325" t="inlineStr">
        <is>
          <t>1329-11-11</t>
        </is>
      </c>
    </row>
    <row r="4326">
      <c r="A4326" s="1" t="n">
        <v>4325</v>
      </c>
      <c r="B4326">
        <f>TEXT(4325, "[$-170000]yyyy-mm-dd")</f>
        <v/>
      </c>
      <c r="C4326">
        <f>TEXT(4325, "[$-060000]yyyy-mm-dd")</f>
        <v/>
      </c>
      <c r="D4326" t="inlineStr">
        <is>
          <t>1329-11-12</t>
        </is>
      </c>
    </row>
    <row r="4327">
      <c r="A4327" s="1" t="n">
        <v>4326</v>
      </c>
      <c r="B4327">
        <f>TEXT(4326, "[$-170000]yyyy-mm-dd")</f>
        <v/>
      </c>
      <c r="C4327">
        <f>TEXT(4326, "[$-060000]yyyy-mm-dd")</f>
        <v/>
      </c>
      <c r="D4327" t="inlineStr">
        <is>
          <t>1329-11-13</t>
        </is>
      </c>
    </row>
    <row r="4328">
      <c r="A4328" s="1" t="n">
        <v>4327</v>
      </c>
      <c r="B4328">
        <f>TEXT(4327, "[$-170000]yyyy-mm-dd")</f>
        <v/>
      </c>
      <c r="C4328">
        <f>TEXT(4327, "[$-060000]yyyy-mm-dd")</f>
        <v/>
      </c>
      <c r="D4328" t="inlineStr">
        <is>
          <t>1329-11-14</t>
        </is>
      </c>
    </row>
    <row r="4329">
      <c r="A4329" s="1" t="n">
        <v>4328</v>
      </c>
      <c r="B4329">
        <f>TEXT(4328, "[$-170000]yyyy-mm-dd")</f>
        <v/>
      </c>
      <c r="C4329">
        <f>TEXT(4328, "[$-060000]yyyy-mm-dd")</f>
        <v/>
      </c>
      <c r="D4329" t="inlineStr">
        <is>
          <t>1329-11-15</t>
        </is>
      </c>
    </row>
    <row r="4330">
      <c r="A4330" s="1" t="n">
        <v>4329</v>
      </c>
      <c r="B4330">
        <f>TEXT(4329, "[$-170000]yyyy-mm-dd")</f>
        <v/>
      </c>
      <c r="C4330">
        <f>TEXT(4329, "[$-060000]yyyy-mm-dd")</f>
        <v/>
      </c>
      <c r="D4330" t="inlineStr">
        <is>
          <t>1329-11-16</t>
        </is>
      </c>
    </row>
    <row r="4331">
      <c r="A4331" s="1" t="n">
        <v>4330</v>
      </c>
      <c r="B4331">
        <f>TEXT(4330, "[$-170000]yyyy-mm-dd")</f>
        <v/>
      </c>
      <c r="C4331">
        <f>TEXT(4330, "[$-060000]yyyy-mm-dd")</f>
        <v/>
      </c>
      <c r="D4331" t="inlineStr">
        <is>
          <t>1329-11-17</t>
        </is>
      </c>
    </row>
    <row r="4332">
      <c r="A4332" s="1" t="n">
        <v>4331</v>
      </c>
      <c r="B4332">
        <f>TEXT(4331, "[$-170000]yyyy-mm-dd")</f>
        <v/>
      </c>
      <c r="C4332">
        <f>TEXT(4331, "[$-060000]yyyy-mm-dd")</f>
        <v/>
      </c>
      <c r="D4332" t="inlineStr">
        <is>
          <t>1329-11-18</t>
        </is>
      </c>
    </row>
    <row r="4333">
      <c r="A4333" s="1" t="n">
        <v>4332</v>
      </c>
      <c r="B4333">
        <f>TEXT(4332, "[$-170000]yyyy-mm-dd")</f>
        <v/>
      </c>
      <c r="C4333">
        <f>TEXT(4332, "[$-060000]yyyy-mm-dd")</f>
        <v/>
      </c>
      <c r="D4333" t="inlineStr">
        <is>
          <t>1329-11-19</t>
        </is>
      </c>
    </row>
    <row r="4334">
      <c r="A4334" s="1" t="n">
        <v>4333</v>
      </c>
      <c r="B4334">
        <f>TEXT(4333, "[$-170000]yyyy-mm-dd")</f>
        <v/>
      </c>
      <c r="C4334">
        <f>TEXT(4333, "[$-060000]yyyy-mm-dd")</f>
        <v/>
      </c>
      <c r="D4334" t="inlineStr">
        <is>
          <t>1329-11-20</t>
        </is>
      </c>
    </row>
    <row r="4335">
      <c r="A4335" s="1" t="n">
        <v>4334</v>
      </c>
      <c r="B4335">
        <f>TEXT(4334, "[$-170000]yyyy-mm-dd")</f>
        <v/>
      </c>
      <c r="C4335">
        <f>TEXT(4334, "[$-060000]yyyy-mm-dd")</f>
        <v/>
      </c>
      <c r="D4335" t="inlineStr">
        <is>
          <t>1329-11-21</t>
        </is>
      </c>
    </row>
    <row r="4336">
      <c r="A4336" s="1" t="n">
        <v>4335</v>
      </c>
      <c r="B4336">
        <f>TEXT(4335, "[$-170000]yyyy-mm-dd")</f>
        <v/>
      </c>
      <c r="C4336">
        <f>TEXT(4335, "[$-060000]yyyy-mm-dd")</f>
        <v/>
      </c>
      <c r="D4336" t="inlineStr">
        <is>
          <t>1329-11-22</t>
        </is>
      </c>
    </row>
    <row r="4337">
      <c r="A4337" s="1" t="n">
        <v>4336</v>
      </c>
      <c r="B4337">
        <f>TEXT(4336, "[$-170000]yyyy-mm-dd")</f>
        <v/>
      </c>
      <c r="C4337">
        <f>TEXT(4336, "[$-060000]yyyy-mm-dd")</f>
        <v/>
      </c>
      <c r="D4337" t="inlineStr">
        <is>
          <t>1329-11-23</t>
        </is>
      </c>
    </row>
    <row r="4338">
      <c r="A4338" s="1" t="n">
        <v>4337</v>
      </c>
      <c r="B4338">
        <f>TEXT(4337, "[$-170000]yyyy-mm-dd")</f>
        <v/>
      </c>
      <c r="C4338">
        <f>TEXT(4337, "[$-060000]yyyy-mm-dd")</f>
        <v/>
      </c>
      <c r="D4338" t="inlineStr">
        <is>
          <t>1329-11-24</t>
        </is>
      </c>
    </row>
    <row r="4339">
      <c r="A4339" s="1" t="n">
        <v>4338</v>
      </c>
      <c r="B4339">
        <f>TEXT(4338, "[$-170000]yyyy-mm-dd")</f>
        <v/>
      </c>
      <c r="C4339">
        <f>TEXT(4338, "[$-060000]yyyy-mm-dd")</f>
        <v/>
      </c>
      <c r="D4339" t="inlineStr">
        <is>
          <t>1329-11-25</t>
        </is>
      </c>
    </row>
    <row r="4340">
      <c r="A4340" s="1" t="n">
        <v>4339</v>
      </c>
      <c r="B4340">
        <f>TEXT(4339, "[$-170000]yyyy-mm-dd")</f>
        <v/>
      </c>
      <c r="C4340">
        <f>TEXT(4339, "[$-060000]yyyy-mm-dd")</f>
        <v/>
      </c>
      <c r="D4340" t="inlineStr">
        <is>
          <t>1329-11-26</t>
        </is>
      </c>
    </row>
    <row r="4341">
      <c r="A4341" s="1" t="n">
        <v>4340</v>
      </c>
      <c r="B4341">
        <f>TEXT(4340, "[$-170000]yyyy-mm-dd")</f>
        <v/>
      </c>
      <c r="C4341">
        <f>TEXT(4340, "[$-060000]yyyy-mm-dd")</f>
        <v/>
      </c>
      <c r="D4341" t="inlineStr">
        <is>
          <t>1329-11-27</t>
        </is>
      </c>
    </row>
    <row r="4342">
      <c r="A4342" s="1" t="n">
        <v>4341</v>
      </c>
      <c r="B4342">
        <f>TEXT(4341, "[$-170000]yyyy-mm-dd")</f>
        <v/>
      </c>
      <c r="C4342">
        <f>TEXT(4341, "[$-060000]yyyy-mm-dd")</f>
        <v/>
      </c>
      <c r="D4342" t="inlineStr">
        <is>
          <t>1329-11-28</t>
        </is>
      </c>
    </row>
    <row r="4343">
      <c r="A4343" s="1" t="n">
        <v>4342</v>
      </c>
      <c r="B4343">
        <f>TEXT(4342, "[$-170000]yyyy-mm-dd")</f>
        <v/>
      </c>
      <c r="C4343">
        <f>TEXT(4342, "[$-060000]yyyy-mm-dd")</f>
        <v/>
      </c>
      <c r="D4343" t="inlineStr">
        <is>
          <t>1329-11-29</t>
        </is>
      </c>
    </row>
    <row r="4344">
      <c r="A4344" s="1" t="n">
        <v>4343</v>
      </c>
      <c r="B4344">
        <f>TEXT(4343, "[$-170000]yyyy-mm-dd")</f>
        <v/>
      </c>
      <c r="C4344">
        <f>TEXT(4343, "[$-060000]yyyy-mm-dd")</f>
        <v/>
      </c>
      <c r="D4344" t="inlineStr">
        <is>
          <t>1329-11-30</t>
        </is>
      </c>
    </row>
    <row r="4345">
      <c r="A4345" s="1" t="n">
        <v>4344</v>
      </c>
      <c r="B4345">
        <f>TEXT(4344, "[$-170000]yyyy-mm-dd")</f>
        <v/>
      </c>
      <c r="C4345">
        <f>TEXT(4344, "[$-060000]yyyy-mm-dd")</f>
        <v/>
      </c>
      <c r="D4345" t="inlineStr">
        <is>
          <t>1329-12-01</t>
        </is>
      </c>
    </row>
    <row r="4346">
      <c r="A4346" s="1" t="n">
        <v>4345</v>
      </c>
      <c r="B4346">
        <f>TEXT(4345, "[$-170000]yyyy-mm-dd")</f>
        <v/>
      </c>
      <c r="C4346">
        <f>TEXT(4345, "[$-060000]yyyy-mm-dd")</f>
        <v/>
      </c>
      <c r="D4346" t="inlineStr">
        <is>
          <t>1329-12-02</t>
        </is>
      </c>
    </row>
    <row r="4347">
      <c r="A4347" s="1" t="n">
        <v>4346</v>
      </c>
      <c r="B4347">
        <f>TEXT(4346, "[$-170000]yyyy-mm-dd")</f>
        <v/>
      </c>
      <c r="C4347">
        <f>TEXT(4346, "[$-060000]yyyy-mm-dd")</f>
        <v/>
      </c>
      <c r="D4347" t="inlineStr">
        <is>
          <t>1329-12-03</t>
        </is>
      </c>
    </row>
    <row r="4348">
      <c r="A4348" s="1" t="n">
        <v>4347</v>
      </c>
      <c r="B4348">
        <f>TEXT(4347, "[$-170000]yyyy-mm-dd")</f>
        <v/>
      </c>
      <c r="C4348">
        <f>TEXT(4347, "[$-060000]yyyy-mm-dd")</f>
        <v/>
      </c>
      <c r="D4348" t="inlineStr">
        <is>
          <t>1329-12-04</t>
        </is>
      </c>
    </row>
    <row r="4349">
      <c r="A4349" s="1" t="n">
        <v>4348</v>
      </c>
      <c r="B4349">
        <f>TEXT(4348, "[$-170000]yyyy-mm-dd")</f>
        <v/>
      </c>
      <c r="C4349">
        <f>TEXT(4348, "[$-060000]yyyy-mm-dd")</f>
        <v/>
      </c>
      <c r="D4349" t="inlineStr">
        <is>
          <t>1329-12-05</t>
        </is>
      </c>
    </row>
    <row r="4350">
      <c r="A4350" s="1" t="n">
        <v>4349</v>
      </c>
      <c r="B4350">
        <f>TEXT(4349, "[$-170000]yyyy-mm-dd")</f>
        <v/>
      </c>
      <c r="C4350">
        <f>TEXT(4349, "[$-060000]yyyy-mm-dd")</f>
        <v/>
      </c>
      <c r="D4350" t="inlineStr">
        <is>
          <t>1329-12-06</t>
        </is>
      </c>
    </row>
    <row r="4351">
      <c r="A4351" s="1" t="n">
        <v>4350</v>
      </c>
      <c r="B4351">
        <f>TEXT(4350, "[$-170000]yyyy-mm-dd")</f>
        <v/>
      </c>
      <c r="C4351">
        <f>TEXT(4350, "[$-060000]yyyy-mm-dd")</f>
        <v/>
      </c>
      <c r="D4351" t="inlineStr">
        <is>
          <t>1329-12-07</t>
        </is>
      </c>
    </row>
    <row r="4352">
      <c r="A4352" s="1" t="n">
        <v>4351</v>
      </c>
      <c r="B4352">
        <f>TEXT(4351, "[$-170000]yyyy-mm-dd")</f>
        <v/>
      </c>
      <c r="C4352">
        <f>TEXT(4351, "[$-060000]yyyy-mm-dd")</f>
        <v/>
      </c>
      <c r="D4352" t="inlineStr">
        <is>
          <t>1329-12-08</t>
        </is>
      </c>
    </row>
    <row r="4353">
      <c r="A4353" s="1" t="n">
        <v>4352</v>
      </c>
      <c r="B4353">
        <f>TEXT(4352, "[$-170000]yyyy-mm-dd")</f>
        <v/>
      </c>
      <c r="C4353">
        <f>TEXT(4352, "[$-060000]yyyy-mm-dd")</f>
        <v/>
      </c>
      <c r="D4353" t="inlineStr">
        <is>
          <t>1329-12-09</t>
        </is>
      </c>
    </row>
    <row r="4354">
      <c r="A4354" s="1" t="n">
        <v>4353</v>
      </c>
      <c r="B4354">
        <f>TEXT(4353, "[$-170000]yyyy-mm-dd")</f>
        <v/>
      </c>
      <c r="C4354">
        <f>TEXT(4353, "[$-060000]yyyy-mm-dd")</f>
        <v/>
      </c>
      <c r="D4354" t="inlineStr">
        <is>
          <t>1329-12-10</t>
        </is>
      </c>
    </row>
    <row r="4355">
      <c r="A4355" s="1" t="n">
        <v>4354</v>
      </c>
      <c r="B4355">
        <f>TEXT(4354, "[$-170000]yyyy-mm-dd")</f>
        <v/>
      </c>
      <c r="C4355">
        <f>TEXT(4354, "[$-060000]yyyy-mm-dd")</f>
        <v/>
      </c>
      <c r="D4355" t="inlineStr">
        <is>
          <t>1329-12-11</t>
        </is>
      </c>
    </row>
    <row r="4356">
      <c r="A4356" s="1" t="n">
        <v>4355</v>
      </c>
      <c r="B4356">
        <f>TEXT(4355, "[$-170000]yyyy-mm-dd")</f>
        <v/>
      </c>
      <c r="C4356">
        <f>TEXT(4355, "[$-060000]yyyy-mm-dd")</f>
        <v/>
      </c>
      <c r="D4356" t="inlineStr">
        <is>
          <t>1329-12-12</t>
        </is>
      </c>
    </row>
    <row r="4357">
      <c r="A4357" s="1" t="n">
        <v>4356</v>
      </c>
      <c r="B4357">
        <f>TEXT(4356, "[$-170000]yyyy-mm-dd")</f>
        <v/>
      </c>
      <c r="C4357">
        <f>TEXT(4356, "[$-060000]yyyy-mm-dd")</f>
        <v/>
      </c>
      <c r="D4357" t="inlineStr">
        <is>
          <t>1329-12-13</t>
        </is>
      </c>
    </row>
    <row r="4358">
      <c r="A4358" s="1" t="n">
        <v>4357</v>
      </c>
      <c r="B4358">
        <f>TEXT(4357, "[$-170000]yyyy-mm-dd")</f>
        <v/>
      </c>
      <c r="C4358">
        <f>TEXT(4357, "[$-060000]yyyy-mm-dd")</f>
        <v/>
      </c>
      <c r="D4358" t="inlineStr">
        <is>
          <t>1329-12-14</t>
        </is>
      </c>
    </row>
    <row r="4359">
      <c r="A4359" s="1" t="n">
        <v>4358</v>
      </c>
      <c r="B4359">
        <f>TEXT(4358, "[$-170000]yyyy-mm-dd")</f>
        <v/>
      </c>
      <c r="C4359">
        <f>TEXT(4358, "[$-060000]yyyy-mm-dd")</f>
        <v/>
      </c>
      <c r="D4359" t="inlineStr">
        <is>
          <t>1329-12-15</t>
        </is>
      </c>
    </row>
    <row r="4360">
      <c r="A4360" s="1" t="n">
        <v>4359</v>
      </c>
      <c r="B4360">
        <f>TEXT(4359, "[$-170000]yyyy-mm-dd")</f>
        <v/>
      </c>
      <c r="C4360">
        <f>TEXT(4359, "[$-060000]yyyy-mm-dd")</f>
        <v/>
      </c>
      <c r="D4360" t="inlineStr">
        <is>
          <t>1329-12-16</t>
        </is>
      </c>
    </row>
    <row r="4361">
      <c r="A4361" s="1" t="n">
        <v>4360</v>
      </c>
      <c r="B4361">
        <f>TEXT(4360, "[$-170000]yyyy-mm-dd")</f>
        <v/>
      </c>
      <c r="C4361">
        <f>TEXT(4360, "[$-060000]yyyy-mm-dd")</f>
        <v/>
      </c>
      <c r="D4361" t="inlineStr">
        <is>
          <t>1329-12-17</t>
        </is>
      </c>
    </row>
    <row r="4362">
      <c r="A4362" s="1" t="n">
        <v>4361</v>
      </c>
      <c r="B4362">
        <f>TEXT(4361, "[$-170000]yyyy-mm-dd")</f>
        <v/>
      </c>
      <c r="C4362">
        <f>TEXT(4361, "[$-060000]yyyy-mm-dd")</f>
        <v/>
      </c>
      <c r="D4362" t="inlineStr">
        <is>
          <t>1329-12-18</t>
        </is>
      </c>
    </row>
    <row r="4363">
      <c r="A4363" s="1" t="n">
        <v>4362</v>
      </c>
      <c r="B4363">
        <f>TEXT(4362, "[$-170000]yyyy-mm-dd")</f>
        <v/>
      </c>
      <c r="C4363">
        <f>TEXT(4362, "[$-060000]yyyy-mm-dd")</f>
        <v/>
      </c>
      <c r="D4363" t="inlineStr">
        <is>
          <t>1329-12-19</t>
        </is>
      </c>
    </row>
    <row r="4364">
      <c r="A4364" s="1" t="n">
        <v>4363</v>
      </c>
      <c r="B4364">
        <f>TEXT(4363, "[$-170000]yyyy-mm-dd")</f>
        <v/>
      </c>
      <c r="C4364">
        <f>TEXT(4363, "[$-060000]yyyy-mm-dd")</f>
        <v/>
      </c>
      <c r="D4364" t="inlineStr">
        <is>
          <t>1329-12-20</t>
        </is>
      </c>
    </row>
    <row r="4365">
      <c r="A4365" s="1" t="n">
        <v>4364</v>
      </c>
      <c r="B4365">
        <f>TEXT(4364, "[$-170000]yyyy-mm-dd")</f>
        <v/>
      </c>
      <c r="C4365">
        <f>TEXT(4364, "[$-060000]yyyy-mm-dd")</f>
        <v/>
      </c>
      <c r="D4365" t="inlineStr">
        <is>
          <t>1329-12-21</t>
        </is>
      </c>
    </row>
    <row r="4366">
      <c r="A4366" s="1" t="n">
        <v>4365</v>
      </c>
      <c r="B4366">
        <f>TEXT(4365, "[$-170000]yyyy-mm-dd")</f>
        <v/>
      </c>
      <c r="C4366">
        <f>TEXT(4365, "[$-060000]yyyy-mm-dd")</f>
        <v/>
      </c>
      <c r="D4366" t="inlineStr">
        <is>
          <t>1329-12-22</t>
        </is>
      </c>
    </row>
    <row r="4367">
      <c r="A4367" s="1" t="n">
        <v>4366</v>
      </c>
      <c r="B4367">
        <f>TEXT(4366, "[$-170000]yyyy-mm-dd")</f>
        <v/>
      </c>
      <c r="C4367">
        <f>TEXT(4366, "[$-060000]yyyy-mm-dd")</f>
        <v/>
      </c>
      <c r="D4367" t="inlineStr">
        <is>
          <t>1329-12-23</t>
        </is>
      </c>
    </row>
    <row r="4368">
      <c r="A4368" s="1" t="n">
        <v>4367</v>
      </c>
      <c r="B4368">
        <f>TEXT(4367, "[$-170000]yyyy-mm-dd")</f>
        <v/>
      </c>
      <c r="C4368">
        <f>TEXT(4367, "[$-060000]yyyy-mm-dd")</f>
        <v/>
      </c>
      <c r="D4368" t="inlineStr">
        <is>
          <t>1329-12-24</t>
        </is>
      </c>
    </row>
    <row r="4369">
      <c r="A4369" s="1" t="n">
        <v>4368</v>
      </c>
      <c r="B4369">
        <f>TEXT(4368, "[$-170000]yyyy-mm-dd")</f>
        <v/>
      </c>
      <c r="C4369">
        <f>TEXT(4368, "[$-060000]yyyy-mm-dd")</f>
        <v/>
      </c>
      <c r="D4369" t="inlineStr">
        <is>
          <t>1329-12-25</t>
        </is>
      </c>
    </row>
    <row r="4370">
      <c r="A4370" s="1" t="n">
        <v>4369</v>
      </c>
      <c r="B4370">
        <f>TEXT(4369, "[$-170000]yyyy-mm-dd")</f>
        <v/>
      </c>
      <c r="C4370">
        <f>TEXT(4369, "[$-060000]yyyy-mm-dd")</f>
        <v/>
      </c>
      <c r="D4370" t="inlineStr">
        <is>
          <t>1329-12-26</t>
        </is>
      </c>
    </row>
    <row r="4371">
      <c r="A4371" s="1" t="n">
        <v>4370</v>
      </c>
      <c r="B4371">
        <f>TEXT(4370, "[$-170000]yyyy-mm-dd")</f>
        <v/>
      </c>
      <c r="C4371">
        <f>TEXT(4370, "[$-060000]yyyy-mm-dd")</f>
        <v/>
      </c>
      <c r="D4371" t="inlineStr">
        <is>
          <t>1329-12-27</t>
        </is>
      </c>
    </row>
    <row r="4372">
      <c r="A4372" s="1" t="n">
        <v>4371</v>
      </c>
      <c r="B4372">
        <f>TEXT(4371, "[$-170000]yyyy-mm-dd")</f>
        <v/>
      </c>
      <c r="C4372">
        <f>TEXT(4371, "[$-060000]yyyy-mm-dd")</f>
        <v/>
      </c>
      <c r="D4372" t="inlineStr">
        <is>
          <t>1329-12-28</t>
        </is>
      </c>
    </row>
    <row r="4373">
      <c r="A4373" s="1" t="n">
        <v>4372</v>
      </c>
      <c r="B4373">
        <f>TEXT(4372, "[$-170000]yyyy-mm-dd")</f>
        <v/>
      </c>
      <c r="C4373">
        <f>TEXT(4372, "[$-060000]yyyy-mm-dd")</f>
        <v/>
      </c>
      <c r="D4373" t="inlineStr">
        <is>
          <t>1329-12-29</t>
        </is>
      </c>
    </row>
    <row r="4374">
      <c r="A4374" s="1" t="n">
        <v>4373</v>
      </c>
      <c r="B4374">
        <f>TEXT(4373, "[$-170000]yyyy-mm-dd")</f>
        <v/>
      </c>
      <c r="C4374">
        <f>TEXT(4373, "[$-060000]yyyy-mm-dd")</f>
        <v/>
      </c>
      <c r="D4374" t="inlineStr">
        <is>
          <t>1330-01-01</t>
        </is>
      </c>
    </row>
    <row r="4375">
      <c r="A4375" s="1" t="n">
        <v>4374</v>
      </c>
      <c r="B4375">
        <f>TEXT(4374, "[$-170000]yyyy-mm-dd")</f>
        <v/>
      </c>
      <c r="C4375">
        <f>TEXT(4374, "[$-060000]yyyy-mm-dd")</f>
        <v/>
      </c>
      <c r="D4375" t="inlineStr">
        <is>
          <t>1330-01-02</t>
        </is>
      </c>
    </row>
    <row r="4376">
      <c r="A4376" s="1" t="n">
        <v>4375</v>
      </c>
      <c r="B4376">
        <f>TEXT(4375, "[$-170000]yyyy-mm-dd")</f>
        <v/>
      </c>
      <c r="C4376">
        <f>TEXT(4375, "[$-060000]yyyy-mm-dd")</f>
        <v/>
      </c>
      <c r="D4376" t="inlineStr">
        <is>
          <t>1330-01-03</t>
        </is>
      </c>
    </row>
    <row r="4377">
      <c r="A4377" s="1" t="n">
        <v>4376</v>
      </c>
      <c r="B4377">
        <f>TEXT(4376, "[$-170000]yyyy-mm-dd")</f>
        <v/>
      </c>
      <c r="C4377">
        <f>TEXT(4376, "[$-060000]yyyy-mm-dd")</f>
        <v/>
      </c>
      <c r="D4377" t="inlineStr">
        <is>
          <t>1330-01-04</t>
        </is>
      </c>
    </row>
    <row r="4378">
      <c r="A4378" s="1" t="n">
        <v>4377</v>
      </c>
      <c r="B4378">
        <f>TEXT(4377, "[$-170000]yyyy-mm-dd")</f>
        <v/>
      </c>
      <c r="C4378">
        <f>TEXT(4377, "[$-060000]yyyy-mm-dd")</f>
        <v/>
      </c>
      <c r="D4378" t="inlineStr">
        <is>
          <t>1330-01-05</t>
        </is>
      </c>
    </row>
    <row r="4379">
      <c r="A4379" s="1" t="n">
        <v>4378</v>
      </c>
      <c r="B4379">
        <f>TEXT(4378, "[$-170000]yyyy-mm-dd")</f>
        <v/>
      </c>
      <c r="C4379">
        <f>TEXT(4378, "[$-060000]yyyy-mm-dd")</f>
        <v/>
      </c>
      <c r="D4379" t="inlineStr">
        <is>
          <t>1330-01-06</t>
        </is>
      </c>
    </row>
    <row r="4380">
      <c r="A4380" s="1" t="n">
        <v>4379</v>
      </c>
      <c r="B4380">
        <f>TEXT(4379, "[$-170000]yyyy-mm-dd")</f>
        <v/>
      </c>
      <c r="C4380">
        <f>TEXT(4379, "[$-060000]yyyy-mm-dd")</f>
        <v/>
      </c>
      <c r="D4380" t="inlineStr">
        <is>
          <t>1330-01-07</t>
        </is>
      </c>
    </row>
    <row r="4381">
      <c r="A4381" s="1" t="n">
        <v>4380</v>
      </c>
      <c r="B4381">
        <f>TEXT(4380, "[$-170000]yyyy-mm-dd")</f>
        <v/>
      </c>
      <c r="C4381">
        <f>TEXT(4380, "[$-060000]yyyy-mm-dd")</f>
        <v/>
      </c>
      <c r="D4381" t="inlineStr">
        <is>
          <t>1330-01-08</t>
        </is>
      </c>
    </row>
    <row r="4382">
      <c r="A4382" s="1" t="n">
        <v>4381</v>
      </c>
      <c r="B4382">
        <f>TEXT(4381, "[$-170000]yyyy-mm-dd")</f>
        <v/>
      </c>
      <c r="C4382">
        <f>TEXT(4381, "[$-060000]yyyy-mm-dd")</f>
        <v/>
      </c>
      <c r="D4382" t="inlineStr">
        <is>
          <t>1330-01-09</t>
        </is>
      </c>
    </row>
    <row r="4383">
      <c r="A4383" s="1" t="n">
        <v>4382</v>
      </c>
      <c r="B4383">
        <f>TEXT(4382, "[$-170000]yyyy-mm-dd")</f>
        <v/>
      </c>
      <c r="C4383">
        <f>TEXT(4382, "[$-060000]yyyy-mm-dd")</f>
        <v/>
      </c>
      <c r="D4383" t="inlineStr">
        <is>
          <t>1330-01-10</t>
        </is>
      </c>
    </row>
    <row r="4384">
      <c r="A4384" s="1" t="n">
        <v>4383</v>
      </c>
      <c r="B4384">
        <f>TEXT(4383, "[$-170000]yyyy-mm-dd")</f>
        <v/>
      </c>
      <c r="C4384">
        <f>TEXT(4383, "[$-060000]yyyy-mm-dd")</f>
        <v/>
      </c>
      <c r="D4384" t="inlineStr">
        <is>
          <t>1330-01-11</t>
        </is>
      </c>
    </row>
    <row r="4385">
      <c r="A4385" s="1" t="n">
        <v>4384</v>
      </c>
      <c r="B4385">
        <f>TEXT(4384, "[$-170000]yyyy-mm-dd")</f>
        <v/>
      </c>
      <c r="C4385">
        <f>TEXT(4384, "[$-060000]yyyy-mm-dd")</f>
        <v/>
      </c>
      <c r="D4385" t="inlineStr">
        <is>
          <t>1330-01-12</t>
        </is>
      </c>
    </row>
    <row r="4386">
      <c r="A4386" s="1" t="n">
        <v>4385</v>
      </c>
      <c r="B4386">
        <f>TEXT(4385, "[$-170000]yyyy-mm-dd")</f>
        <v/>
      </c>
      <c r="C4386">
        <f>TEXT(4385, "[$-060000]yyyy-mm-dd")</f>
        <v/>
      </c>
      <c r="D4386" t="inlineStr">
        <is>
          <t>1330-01-13</t>
        </is>
      </c>
    </row>
    <row r="4387">
      <c r="A4387" s="1" t="n">
        <v>4386</v>
      </c>
      <c r="B4387">
        <f>TEXT(4386, "[$-170000]yyyy-mm-dd")</f>
        <v/>
      </c>
      <c r="C4387">
        <f>TEXT(4386, "[$-060000]yyyy-mm-dd")</f>
        <v/>
      </c>
      <c r="D4387" t="inlineStr">
        <is>
          <t>1330-01-14</t>
        </is>
      </c>
    </row>
    <row r="4388">
      <c r="A4388" s="1" t="n">
        <v>4387</v>
      </c>
      <c r="B4388">
        <f>TEXT(4387, "[$-170000]yyyy-mm-dd")</f>
        <v/>
      </c>
      <c r="C4388">
        <f>TEXT(4387, "[$-060000]yyyy-mm-dd")</f>
        <v/>
      </c>
      <c r="D4388" t="inlineStr">
        <is>
          <t>1330-01-15</t>
        </is>
      </c>
    </row>
    <row r="4389">
      <c r="A4389" s="1" t="n">
        <v>4388</v>
      </c>
      <c r="B4389">
        <f>TEXT(4388, "[$-170000]yyyy-mm-dd")</f>
        <v/>
      </c>
      <c r="C4389">
        <f>TEXT(4388, "[$-060000]yyyy-mm-dd")</f>
        <v/>
      </c>
      <c r="D4389" t="inlineStr">
        <is>
          <t>1330-01-16</t>
        </is>
      </c>
    </row>
    <row r="4390">
      <c r="A4390" s="1" t="n">
        <v>4389</v>
      </c>
      <c r="B4390">
        <f>TEXT(4389, "[$-170000]yyyy-mm-dd")</f>
        <v/>
      </c>
      <c r="C4390">
        <f>TEXT(4389, "[$-060000]yyyy-mm-dd")</f>
        <v/>
      </c>
      <c r="D4390" t="inlineStr">
        <is>
          <t>1330-01-17</t>
        </is>
      </c>
    </row>
    <row r="4391">
      <c r="A4391" s="1" t="n">
        <v>4390</v>
      </c>
      <c r="B4391">
        <f>TEXT(4390, "[$-170000]yyyy-mm-dd")</f>
        <v/>
      </c>
      <c r="C4391">
        <f>TEXT(4390, "[$-060000]yyyy-mm-dd")</f>
        <v/>
      </c>
      <c r="D4391" t="inlineStr">
        <is>
          <t>1330-01-18</t>
        </is>
      </c>
    </row>
    <row r="4392">
      <c r="A4392" s="1" t="n">
        <v>4391</v>
      </c>
      <c r="B4392">
        <f>TEXT(4391, "[$-170000]yyyy-mm-dd")</f>
        <v/>
      </c>
      <c r="C4392">
        <f>TEXT(4391, "[$-060000]yyyy-mm-dd")</f>
        <v/>
      </c>
      <c r="D4392" t="inlineStr">
        <is>
          <t>1330-01-19</t>
        </is>
      </c>
    </row>
    <row r="4393">
      <c r="A4393" s="1" t="n">
        <v>4392</v>
      </c>
      <c r="B4393">
        <f>TEXT(4392, "[$-170000]yyyy-mm-dd")</f>
        <v/>
      </c>
      <c r="C4393">
        <f>TEXT(4392, "[$-060000]yyyy-mm-dd")</f>
        <v/>
      </c>
      <c r="D4393" t="inlineStr">
        <is>
          <t>1330-01-20</t>
        </is>
      </c>
    </row>
    <row r="4394">
      <c r="A4394" s="1" t="n">
        <v>4393</v>
      </c>
      <c r="B4394">
        <f>TEXT(4393, "[$-170000]yyyy-mm-dd")</f>
        <v/>
      </c>
      <c r="C4394">
        <f>TEXT(4393, "[$-060000]yyyy-mm-dd")</f>
        <v/>
      </c>
      <c r="D4394" t="inlineStr">
        <is>
          <t>1330-01-21</t>
        </is>
      </c>
    </row>
    <row r="4395">
      <c r="A4395" s="1" t="n">
        <v>4394</v>
      </c>
      <c r="B4395">
        <f>TEXT(4394, "[$-170000]yyyy-mm-dd")</f>
        <v/>
      </c>
      <c r="C4395">
        <f>TEXT(4394, "[$-060000]yyyy-mm-dd")</f>
        <v/>
      </c>
      <c r="D4395" t="inlineStr">
        <is>
          <t>1330-01-22</t>
        </is>
      </c>
    </row>
    <row r="4396">
      <c r="A4396" s="1" t="n">
        <v>4395</v>
      </c>
      <c r="B4396">
        <f>TEXT(4395, "[$-170000]yyyy-mm-dd")</f>
        <v/>
      </c>
      <c r="C4396">
        <f>TEXT(4395, "[$-060000]yyyy-mm-dd")</f>
        <v/>
      </c>
      <c r="D4396" t="inlineStr">
        <is>
          <t>1330-01-23</t>
        </is>
      </c>
    </row>
    <row r="4397">
      <c r="A4397" s="1" t="n">
        <v>4396</v>
      </c>
      <c r="B4397">
        <f>TEXT(4396, "[$-170000]yyyy-mm-dd")</f>
        <v/>
      </c>
      <c r="C4397">
        <f>TEXT(4396, "[$-060000]yyyy-mm-dd")</f>
        <v/>
      </c>
      <c r="D4397" t="inlineStr">
        <is>
          <t>1330-01-24</t>
        </is>
      </c>
    </row>
    <row r="4398">
      <c r="A4398" s="1" t="n">
        <v>4397</v>
      </c>
      <c r="B4398">
        <f>TEXT(4397, "[$-170000]yyyy-mm-dd")</f>
        <v/>
      </c>
      <c r="C4398">
        <f>TEXT(4397, "[$-060000]yyyy-mm-dd")</f>
        <v/>
      </c>
      <c r="D4398" t="inlineStr">
        <is>
          <t>1330-01-25</t>
        </is>
      </c>
    </row>
    <row r="4399">
      <c r="A4399" s="1" t="n">
        <v>4398</v>
      </c>
      <c r="B4399">
        <f>TEXT(4398, "[$-170000]yyyy-mm-dd")</f>
        <v/>
      </c>
      <c r="C4399">
        <f>TEXT(4398, "[$-060000]yyyy-mm-dd")</f>
        <v/>
      </c>
      <c r="D4399" t="inlineStr">
        <is>
          <t>1330-01-26</t>
        </is>
      </c>
    </row>
    <row r="4400">
      <c r="A4400" s="1" t="n">
        <v>4399</v>
      </c>
      <c r="B4400">
        <f>TEXT(4399, "[$-170000]yyyy-mm-dd")</f>
        <v/>
      </c>
      <c r="C4400">
        <f>TEXT(4399, "[$-060000]yyyy-mm-dd")</f>
        <v/>
      </c>
      <c r="D4400" t="inlineStr">
        <is>
          <t>1330-01-27</t>
        </is>
      </c>
    </row>
    <row r="4401">
      <c r="A4401" s="1" t="n">
        <v>4400</v>
      </c>
      <c r="B4401">
        <f>TEXT(4400, "[$-170000]yyyy-mm-dd")</f>
        <v/>
      </c>
      <c r="C4401">
        <f>TEXT(4400, "[$-060000]yyyy-mm-dd")</f>
        <v/>
      </c>
      <c r="D4401" t="inlineStr">
        <is>
          <t>1330-01-28</t>
        </is>
      </c>
    </row>
    <row r="4402">
      <c r="A4402" s="1" t="n">
        <v>4401</v>
      </c>
      <c r="B4402">
        <f>TEXT(4401, "[$-170000]yyyy-mm-dd")</f>
        <v/>
      </c>
      <c r="C4402">
        <f>TEXT(4401, "[$-060000]yyyy-mm-dd")</f>
        <v/>
      </c>
      <c r="D4402" t="inlineStr">
        <is>
          <t>1330-01-29</t>
        </is>
      </c>
    </row>
    <row r="4403">
      <c r="A4403" s="1" t="n">
        <v>4402</v>
      </c>
      <c r="B4403">
        <f>TEXT(4402, "[$-170000]yyyy-mm-dd")</f>
        <v/>
      </c>
      <c r="C4403">
        <f>TEXT(4402, "[$-060000]yyyy-mm-dd")</f>
        <v/>
      </c>
      <c r="D4403" t="inlineStr">
        <is>
          <t>1330-01-30</t>
        </is>
      </c>
    </row>
    <row r="4404">
      <c r="A4404" s="1" t="n">
        <v>4403</v>
      </c>
      <c r="B4404">
        <f>TEXT(4403, "[$-170000]yyyy-mm-dd")</f>
        <v/>
      </c>
      <c r="C4404">
        <f>TEXT(4403, "[$-060000]yyyy-mm-dd")</f>
        <v/>
      </c>
      <c r="D4404" t="inlineStr">
        <is>
          <t>1330-02-01</t>
        </is>
      </c>
    </row>
    <row r="4405">
      <c r="A4405" s="1" t="n">
        <v>4404</v>
      </c>
      <c r="B4405">
        <f>TEXT(4404, "[$-170000]yyyy-mm-dd")</f>
        <v/>
      </c>
      <c r="C4405">
        <f>TEXT(4404, "[$-060000]yyyy-mm-dd")</f>
        <v/>
      </c>
      <c r="D4405" t="inlineStr">
        <is>
          <t>1330-02-02</t>
        </is>
      </c>
    </row>
    <row r="4406">
      <c r="A4406" s="1" t="n">
        <v>4405</v>
      </c>
      <c r="B4406">
        <f>TEXT(4405, "[$-170000]yyyy-mm-dd")</f>
        <v/>
      </c>
      <c r="C4406">
        <f>TEXT(4405, "[$-060000]yyyy-mm-dd")</f>
        <v/>
      </c>
      <c r="D4406" t="inlineStr">
        <is>
          <t>1330-02-03</t>
        </is>
      </c>
    </row>
    <row r="4407">
      <c r="A4407" s="1" t="n">
        <v>4406</v>
      </c>
      <c r="B4407">
        <f>TEXT(4406, "[$-170000]yyyy-mm-dd")</f>
        <v/>
      </c>
      <c r="C4407">
        <f>TEXT(4406, "[$-060000]yyyy-mm-dd")</f>
        <v/>
      </c>
      <c r="D4407" t="inlineStr">
        <is>
          <t>1330-02-04</t>
        </is>
      </c>
    </row>
    <row r="4408">
      <c r="A4408" s="1" t="n">
        <v>4407</v>
      </c>
      <c r="B4408">
        <f>TEXT(4407, "[$-170000]yyyy-mm-dd")</f>
        <v/>
      </c>
      <c r="C4408">
        <f>TEXT(4407, "[$-060000]yyyy-mm-dd")</f>
        <v/>
      </c>
      <c r="D4408" t="inlineStr">
        <is>
          <t>1330-02-05</t>
        </is>
      </c>
    </row>
    <row r="4409">
      <c r="A4409" s="1" t="n">
        <v>4408</v>
      </c>
      <c r="B4409">
        <f>TEXT(4408, "[$-170000]yyyy-mm-dd")</f>
        <v/>
      </c>
      <c r="C4409">
        <f>TEXT(4408, "[$-060000]yyyy-mm-dd")</f>
        <v/>
      </c>
      <c r="D4409" t="inlineStr">
        <is>
          <t>1330-02-06</t>
        </is>
      </c>
    </row>
    <row r="4410">
      <c r="A4410" s="1" t="n">
        <v>4409</v>
      </c>
      <c r="B4410">
        <f>TEXT(4409, "[$-170000]yyyy-mm-dd")</f>
        <v/>
      </c>
      <c r="C4410">
        <f>TEXT(4409, "[$-060000]yyyy-mm-dd")</f>
        <v/>
      </c>
      <c r="D4410" t="inlineStr">
        <is>
          <t>1330-02-07</t>
        </is>
      </c>
    </row>
    <row r="4411">
      <c r="A4411" s="1" t="n">
        <v>4410</v>
      </c>
      <c r="B4411">
        <f>TEXT(4410, "[$-170000]yyyy-mm-dd")</f>
        <v/>
      </c>
      <c r="C4411">
        <f>TEXT(4410, "[$-060000]yyyy-mm-dd")</f>
        <v/>
      </c>
      <c r="D4411" t="inlineStr">
        <is>
          <t>1330-02-08</t>
        </is>
      </c>
    </row>
    <row r="4412">
      <c r="A4412" s="1" t="n">
        <v>4411</v>
      </c>
      <c r="B4412">
        <f>TEXT(4411, "[$-170000]yyyy-mm-dd")</f>
        <v/>
      </c>
      <c r="C4412">
        <f>TEXT(4411, "[$-060000]yyyy-mm-dd")</f>
        <v/>
      </c>
      <c r="D4412" t="inlineStr">
        <is>
          <t>1330-02-09</t>
        </is>
      </c>
    </row>
    <row r="4413">
      <c r="A4413" s="1" t="n">
        <v>4412</v>
      </c>
      <c r="B4413">
        <f>TEXT(4412, "[$-170000]yyyy-mm-dd")</f>
        <v/>
      </c>
      <c r="C4413">
        <f>TEXT(4412, "[$-060000]yyyy-mm-dd")</f>
        <v/>
      </c>
      <c r="D4413" t="inlineStr">
        <is>
          <t>1330-02-10</t>
        </is>
      </c>
    </row>
    <row r="4414">
      <c r="A4414" s="1" t="n">
        <v>4413</v>
      </c>
      <c r="B4414">
        <f>TEXT(4413, "[$-170000]yyyy-mm-dd")</f>
        <v/>
      </c>
      <c r="C4414">
        <f>TEXT(4413, "[$-060000]yyyy-mm-dd")</f>
        <v/>
      </c>
      <c r="D4414" t="inlineStr">
        <is>
          <t>1330-02-11</t>
        </is>
      </c>
    </row>
    <row r="4415">
      <c r="A4415" s="1" t="n">
        <v>4414</v>
      </c>
      <c r="B4415">
        <f>TEXT(4414, "[$-170000]yyyy-mm-dd")</f>
        <v/>
      </c>
      <c r="C4415">
        <f>TEXT(4414, "[$-060000]yyyy-mm-dd")</f>
        <v/>
      </c>
      <c r="D4415" t="inlineStr">
        <is>
          <t>1330-02-12</t>
        </is>
      </c>
    </row>
    <row r="4416">
      <c r="A4416" s="1" t="n">
        <v>4415</v>
      </c>
      <c r="B4416">
        <f>TEXT(4415, "[$-170000]yyyy-mm-dd")</f>
        <v/>
      </c>
      <c r="C4416">
        <f>TEXT(4415, "[$-060000]yyyy-mm-dd")</f>
        <v/>
      </c>
      <c r="D4416" t="inlineStr">
        <is>
          <t>1330-02-13</t>
        </is>
      </c>
    </row>
    <row r="4417">
      <c r="A4417" s="1" t="n">
        <v>4416</v>
      </c>
      <c r="B4417">
        <f>TEXT(4416, "[$-170000]yyyy-mm-dd")</f>
        <v/>
      </c>
      <c r="C4417">
        <f>TEXT(4416, "[$-060000]yyyy-mm-dd")</f>
        <v/>
      </c>
      <c r="D4417" t="inlineStr">
        <is>
          <t>1330-02-14</t>
        </is>
      </c>
    </row>
    <row r="4418">
      <c r="A4418" s="1" t="n">
        <v>4417</v>
      </c>
      <c r="B4418">
        <f>TEXT(4417, "[$-170000]yyyy-mm-dd")</f>
        <v/>
      </c>
      <c r="C4418">
        <f>TEXT(4417, "[$-060000]yyyy-mm-dd")</f>
        <v/>
      </c>
      <c r="D4418" t="inlineStr">
        <is>
          <t>1330-02-15</t>
        </is>
      </c>
    </row>
    <row r="4419">
      <c r="A4419" s="1" t="n">
        <v>4418</v>
      </c>
      <c r="B4419">
        <f>TEXT(4418, "[$-170000]yyyy-mm-dd")</f>
        <v/>
      </c>
      <c r="C4419">
        <f>TEXT(4418, "[$-060000]yyyy-mm-dd")</f>
        <v/>
      </c>
      <c r="D4419" t="inlineStr">
        <is>
          <t>1330-02-16</t>
        </is>
      </c>
    </row>
    <row r="4420">
      <c r="A4420" s="1" t="n">
        <v>4419</v>
      </c>
      <c r="B4420">
        <f>TEXT(4419, "[$-170000]yyyy-mm-dd")</f>
        <v/>
      </c>
      <c r="C4420">
        <f>TEXT(4419, "[$-060000]yyyy-mm-dd")</f>
        <v/>
      </c>
      <c r="D4420" t="inlineStr">
        <is>
          <t>1330-02-17</t>
        </is>
      </c>
    </row>
    <row r="4421">
      <c r="A4421" s="1" t="n">
        <v>4420</v>
      </c>
      <c r="B4421">
        <f>TEXT(4420, "[$-170000]yyyy-mm-dd")</f>
        <v/>
      </c>
      <c r="C4421">
        <f>TEXT(4420, "[$-060000]yyyy-mm-dd")</f>
        <v/>
      </c>
      <c r="D4421" t="inlineStr">
        <is>
          <t>1330-02-18</t>
        </is>
      </c>
    </row>
    <row r="4422">
      <c r="A4422" s="1" t="n">
        <v>4421</v>
      </c>
      <c r="B4422">
        <f>TEXT(4421, "[$-170000]yyyy-mm-dd")</f>
        <v/>
      </c>
      <c r="C4422">
        <f>TEXT(4421, "[$-060000]yyyy-mm-dd")</f>
        <v/>
      </c>
      <c r="D4422" t="inlineStr">
        <is>
          <t>1330-02-19</t>
        </is>
      </c>
    </row>
    <row r="4423">
      <c r="A4423" s="1" t="n">
        <v>4422</v>
      </c>
      <c r="B4423">
        <f>TEXT(4422, "[$-170000]yyyy-mm-dd")</f>
        <v/>
      </c>
      <c r="C4423">
        <f>TEXT(4422, "[$-060000]yyyy-mm-dd")</f>
        <v/>
      </c>
      <c r="D4423" t="inlineStr">
        <is>
          <t>1330-02-20</t>
        </is>
      </c>
    </row>
    <row r="4424">
      <c r="A4424" s="1" t="n">
        <v>4423</v>
      </c>
      <c r="B4424">
        <f>TEXT(4423, "[$-170000]yyyy-mm-dd")</f>
        <v/>
      </c>
      <c r="C4424">
        <f>TEXT(4423, "[$-060000]yyyy-mm-dd")</f>
        <v/>
      </c>
      <c r="D4424" t="inlineStr">
        <is>
          <t>1330-02-21</t>
        </is>
      </c>
    </row>
    <row r="4425">
      <c r="A4425" s="1" t="n">
        <v>4424</v>
      </c>
      <c r="B4425">
        <f>TEXT(4424, "[$-170000]yyyy-mm-dd")</f>
        <v/>
      </c>
      <c r="C4425">
        <f>TEXT(4424, "[$-060000]yyyy-mm-dd")</f>
        <v/>
      </c>
      <c r="D4425" t="inlineStr">
        <is>
          <t>1330-02-22</t>
        </is>
      </c>
    </row>
    <row r="4426">
      <c r="A4426" s="1" t="n">
        <v>4425</v>
      </c>
      <c r="B4426">
        <f>TEXT(4425, "[$-170000]yyyy-mm-dd")</f>
        <v/>
      </c>
      <c r="C4426">
        <f>TEXT(4425, "[$-060000]yyyy-mm-dd")</f>
        <v/>
      </c>
      <c r="D4426" t="inlineStr">
        <is>
          <t>1330-02-23</t>
        </is>
      </c>
    </row>
    <row r="4427">
      <c r="A4427" s="1" t="n">
        <v>4426</v>
      </c>
      <c r="B4427">
        <f>TEXT(4426, "[$-170000]yyyy-mm-dd")</f>
        <v/>
      </c>
      <c r="C4427">
        <f>TEXT(4426, "[$-060000]yyyy-mm-dd")</f>
        <v/>
      </c>
      <c r="D4427" t="inlineStr">
        <is>
          <t>1330-02-24</t>
        </is>
      </c>
    </row>
    <row r="4428">
      <c r="A4428" s="1" t="n">
        <v>4427</v>
      </c>
      <c r="B4428">
        <f>TEXT(4427, "[$-170000]yyyy-mm-dd")</f>
        <v/>
      </c>
      <c r="C4428">
        <f>TEXT(4427, "[$-060000]yyyy-mm-dd")</f>
        <v/>
      </c>
      <c r="D4428" t="inlineStr">
        <is>
          <t>1330-02-25</t>
        </is>
      </c>
    </row>
    <row r="4429">
      <c r="A4429" s="1" t="n">
        <v>4428</v>
      </c>
      <c r="B4429">
        <f>TEXT(4428, "[$-170000]yyyy-mm-dd")</f>
        <v/>
      </c>
      <c r="C4429">
        <f>TEXT(4428, "[$-060000]yyyy-mm-dd")</f>
        <v/>
      </c>
      <c r="D4429" t="inlineStr">
        <is>
          <t>1330-02-26</t>
        </is>
      </c>
    </row>
    <row r="4430">
      <c r="A4430" s="1" t="n">
        <v>4429</v>
      </c>
      <c r="B4430">
        <f>TEXT(4429, "[$-170000]yyyy-mm-dd")</f>
        <v/>
      </c>
      <c r="C4430">
        <f>TEXT(4429, "[$-060000]yyyy-mm-dd")</f>
        <v/>
      </c>
      <c r="D4430" t="inlineStr">
        <is>
          <t>1330-02-27</t>
        </is>
      </c>
    </row>
    <row r="4431">
      <c r="A4431" s="1" t="n">
        <v>4430</v>
      </c>
      <c r="B4431">
        <f>TEXT(4430, "[$-170000]yyyy-mm-dd")</f>
        <v/>
      </c>
      <c r="C4431">
        <f>TEXT(4430, "[$-060000]yyyy-mm-dd")</f>
        <v/>
      </c>
      <c r="D4431" t="inlineStr">
        <is>
          <t>1330-02-28</t>
        </is>
      </c>
    </row>
    <row r="4432">
      <c r="A4432" s="1" t="n">
        <v>4431</v>
      </c>
      <c r="B4432">
        <f>TEXT(4431, "[$-170000]yyyy-mm-dd")</f>
        <v/>
      </c>
      <c r="C4432">
        <f>TEXT(4431, "[$-060000]yyyy-mm-dd")</f>
        <v/>
      </c>
      <c r="D4432" t="inlineStr">
        <is>
          <t>1330-02-29</t>
        </is>
      </c>
    </row>
    <row r="4433">
      <c r="A4433" s="1" t="n">
        <v>4432</v>
      </c>
      <c r="B4433">
        <f>TEXT(4432, "[$-170000]yyyy-mm-dd")</f>
        <v/>
      </c>
      <c r="C4433">
        <f>TEXT(4432, "[$-060000]yyyy-mm-dd")</f>
        <v/>
      </c>
      <c r="D4433" t="inlineStr">
        <is>
          <t>1330-03-01</t>
        </is>
      </c>
    </row>
    <row r="4434">
      <c r="A4434" s="1" t="n">
        <v>4433</v>
      </c>
      <c r="B4434">
        <f>TEXT(4433, "[$-170000]yyyy-mm-dd")</f>
        <v/>
      </c>
      <c r="C4434">
        <f>TEXT(4433, "[$-060000]yyyy-mm-dd")</f>
        <v/>
      </c>
      <c r="D4434" t="inlineStr">
        <is>
          <t>1330-03-02</t>
        </is>
      </c>
    </row>
    <row r="4435">
      <c r="A4435" s="1" t="n">
        <v>4434</v>
      </c>
      <c r="B4435">
        <f>TEXT(4434, "[$-170000]yyyy-mm-dd")</f>
        <v/>
      </c>
      <c r="C4435">
        <f>TEXT(4434, "[$-060000]yyyy-mm-dd")</f>
        <v/>
      </c>
      <c r="D4435" t="inlineStr">
        <is>
          <t>1330-03-03</t>
        </is>
      </c>
    </row>
    <row r="4436">
      <c r="A4436" s="1" t="n">
        <v>4435</v>
      </c>
      <c r="B4436">
        <f>TEXT(4435, "[$-170000]yyyy-mm-dd")</f>
        <v/>
      </c>
      <c r="C4436">
        <f>TEXT(4435, "[$-060000]yyyy-mm-dd")</f>
        <v/>
      </c>
      <c r="D4436" t="inlineStr">
        <is>
          <t>1330-03-04</t>
        </is>
      </c>
    </row>
    <row r="4437">
      <c r="A4437" s="1" t="n">
        <v>4436</v>
      </c>
      <c r="B4437">
        <f>TEXT(4436, "[$-170000]yyyy-mm-dd")</f>
        <v/>
      </c>
      <c r="C4437">
        <f>TEXT(4436, "[$-060000]yyyy-mm-dd")</f>
        <v/>
      </c>
      <c r="D4437" t="inlineStr">
        <is>
          <t>1330-03-05</t>
        </is>
      </c>
    </row>
    <row r="4438">
      <c r="A4438" s="1" t="n">
        <v>4437</v>
      </c>
      <c r="B4438">
        <f>TEXT(4437, "[$-170000]yyyy-mm-dd")</f>
        <v/>
      </c>
      <c r="C4438">
        <f>TEXT(4437, "[$-060000]yyyy-mm-dd")</f>
        <v/>
      </c>
      <c r="D4438" t="inlineStr">
        <is>
          <t>1330-03-06</t>
        </is>
      </c>
    </row>
    <row r="4439">
      <c r="A4439" s="1" t="n">
        <v>4438</v>
      </c>
      <c r="B4439">
        <f>TEXT(4438, "[$-170000]yyyy-mm-dd")</f>
        <v/>
      </c>
      <c r="C4439">
        <f>TEXT(4438, "[$-060000]yyyy-mm-dd")</f>
        <v/>
      </c>
      <c r="D4439" t="inlineStr">
        <is>
          <t>1330-03-07</t>
        </is>
      </c>
    </row>
    <row r="4440">
      <c r="A4440" s="1" t="n">
        <v>4439</v>
      </c>
      <c r="B4440">
        <f>TEXT(4439, "[$-170000]yyyy-mm-dd")</f>
        <v/>
      </c>
      <c r="C4440">
        <f>TEXT(4439, "[$-060000]yyyy-mm-dd")</f>
        <v/>
      </c>
      <c r="D4440" t="inlineStr">
        <is>
          <t>1330-03-08</t>
        </is>
      </c>
    </row>
    <row r="4441">
      <c r="A4441" s="1" t="n">
        <v>4440</v>
      </c>
      <c r="B4441">
        <f>TEXT(4440, "[$-170000]yyyy-mm-dd")</f>
        <v/>
      </c>
      <c r="C4441">
        <f>TEXT(4440, "[$-060000]yyyy-mm-dd")</f>
        <v/>
      </c>
      <c r="D4441" t="inlineStr">
        <is>
          <t>1330-03-09</t>
        </is>
      </c>
    </row>
    <row r="4442">
      <c r="A4442" s="1" t="n">
        <v>4441</v>
      </c>
      <c r="B4442">
        <f>TEXT(4441, "[$-170000]yyyy-mm-dd")</f>
        <v/>
      </c>
      <c r="C4442">
        <f>TEXT(4441, "[$-060000]yyyy-mm-dd")</f>
        <v/>
      </c>
      <c r="D4442" t="inlineStr">
        <is>
          <t>1330-03-10</t>
        </is>
      </c>
    </row>
    <row r="4443">
      <c r="A4443" s="1" t="n">
        <v>4442</v>
      </c>
      <c r="B4443">
        <f>TEXT(4442, "[$-170000]yyyy-mm-dd")</f>
        <v/>
      </c>
      <c r="C4443">
        <f>TEXT(4442, "[$-060000]yyyy-mm-dd")</f>
        <v/>
      </c>
      <c r="D4443" t="inlineStr">
        <is>
          <t>1330-03-11</t>
        </is>
      </c>
    </row>
    <row r="4444">
      <c r="A4444" s="1" t="n">
        <v>4443</v>
      </c>
      <c r="B4444">
        <f>TEXT(4443, "[$-170000]yyyy-mm-dd")</f>
        <v/>
      </c>
      <c r="C4444">
        <f>TEXT(4443, "[$-060000]yyyy-mm-dd")</f>
        <v/>
      </c>
      <c r="D4444" t="inlineStr">
        <is>
          <t>1330-03-12</t>
        </is>
      </c>
    </row>
    <row r="4445">
      <c r="A4445" s="1" t="n">
        <v>4444</v>
      </c>
      <c r="B4445">
        <f>TEXT(4444, "[$-170000]yyyy-mm-dd")</f>
        <v/>
      </c>
      <c r="C4445">
        <f>TEXT(4444, "[$-060000]yyyy-mm-dd")</f>
        <v/>
      </c>
      <c r="D4445" t="inlineStr">
        <is>
          <t>1330-03-13</t>
        </is>
      </c>
    </row>
    <row r="4446">
      <c r="A4446" s="1" t="n">
        <v>4445</v>
      </c>
      <c r="B4446">
        <f>TEXT(4445, "[$-170000]yyyy-mm-dd")</f>
        <v/>
      </c>
      <c r="C4446">
        <f>TEXT(4445, "[$-060000]yyyy-mm-dd")</f>
        <v/>
      </c>
      <c r="D4446" t="inlineStr">
        <is>
          <t>1330-03-14</t>
        </is>
      </c>
    </row>
    <row r="4447">
      <c r="A4447" s="1" t="n">
        <v>4446</v>
      </c>
      <c r="B4447">
        <f>TEXT(4446, "[$-170000]yyyy-mm-dd")</f>
        <v/>
      </c>
      <c r="C4447">
        <f>TEXT(4446, "[$-060000]yyyy-mm-dd")</f>
        <v/>
      </c>
      <c r="D4447" t="inlineStr">
        <is>
          <t>1330-03-15</t>
        </is>
      </c>
    </row>
    <row r="4448">
      <c r="A4448" s="1" t="n">
        <v>4447</v>
      </c>
      <c r="B4448">
        <f>TEXT(4447, "[$-170000]yyyy-mm-dd")</f>
        <v/>
      </c>
      <c r="C4448">
        <f>TEXT(4447, "[$-060000]yyyy-mm-dd")</f>
        <v/>
      </c>
      <c r="D4448" t="inlineStr">
        <is>
          <t>1330-03-16</t>
        </is>
      </c>
    </row>
    <row r="4449">
      <c r="A4449" s="1" t="n">
        <v>4448</v>
      </c>
      <c r="B4449">
        <f>TEXT(4448, "[$-170000]yyyy-mm-dd")</f>
        <v/>
      </c>
      <c r="C4449">
        <f>TEXT(4448, "[$-060000]yyyy-mm-dd")</f>
        <v/>
      </c>
      <c r="D4449" t="inlineStr">
        <is>
          <t>1330-03-17</t>
        </is>
      </c>
    </row>
    <row r="4450">
      <c r="A4450" s="1" t="n">
        <v>4449</v>
      </c>
      <c r="B4450">
        <f>TEXT(4449, "[$-170000]yyyy-mm-dd")</f>
        <v/>
      </c>
      <c r="C4450">
        <f>TEXT(4449, "[$-060000]yyyy-mm-dd")</f>
        <v/>
      </c>
      <c r="D4450" t="inlineStr">
        <is>
          <t>1330-03-18</t>
        </is>
      </c>
    </row>
    <row r="4451">
      <c r="A4451" s="1" t="n">
        <v>4450</v>
      </c>
      <c r="B4451">
        <f>TEXT(4450, "[$-170000]yyyy-mm-dd")</f>
        <v/>
      </c>
      <c r="C4451">
        <f>TEXT(4450, "[$-060000]yyyy-mm-dd")</f>
        <v/>
      </c>
      <c r="D4451" t="inlineStr">
        <is>
          <t>1330-03-19</t>
        </is>
      </c>
    </row>
    <row r="4452">
      <c r="A4452" s="1" t="n">
        <v>4451</v>
      </c>
      <c r="B4452">
        <f>TEXT(4451, "[$-170000]yyyy-mm-dd")</f>
        <v/>
      </c>
      <c r="C4452">
        <f>TEXT(4451, "[$-060000]yyyy-mm-dd")</f>
        <v/>
      </c>
      <c r="D4452" t="inlineStr">
        <is>
          <t>1330-03-20</t>
        </is>
      </c>
    </row>
    <row r="4453">
      <c r="A4453" s="1" t="n">
        <v>4452</v>
      </c>
      <c r="B4453">
        <f>TEXT(4452, "[$-170000]yyyy-mm-dd")</f>
        <v/>
      </c>
      <c r="C4453">
        <f>TEXT(4452, "[$-060000]yyyy-mm-dd")</f>
        <v/>
      </c>
      <c r="D4453" t="inlineStr">
        <is>
          <t>1330-03-21</t>
        </is>
      </c>
    </row>
    <row r="4454">
      <c r="A4454" s="1" t="n">
        <v>4453</v>
      </c>
      <c r="B4454">
        <f>TEXT(4453, "[$-170000]yyyy-mm-dd")</f>
        <v/>
      </c>
      <c r="C4454">
        <f>TEXT(4453, "[$-060000]yyyy-mm-dd")</f>
        <v/>
      </c>
      <c r="D4454" t="inlineStr">
        <is>
          <t>1330-03-22</t>
        </is>
      </c>
    </row>
    <row r="4455">
      <c r="A4455" s="1" t="n">
        <v>4454</v>
      </c>
      <c r="B4455">
        <f>TEXT(4454, "[$-170000]yyyy-mm-dd")</f>
        <v/>
      </c>
      <c r="C4455">
        <f>TEXT(4454, "[$-060000]yyyy-mm-dd")</f>
        <v/>
      </c>
      <c r="D4455" t="inlineStr">
        <is>
          <t>1330-03-23</t>
        </is>
      </c>
    </row>
    <row r="4456">
      <c r="A4456" s="1" t="n">
        <v>4455</v>
      </c>
      <c r="B4456">
        <f>TEXT(4455, "[$-170000]yyyy-mm-dd")</f>
        <v/>
      </c>
      <c r="C4456">
        <f>TEXT(4455, "[$-060000]yyyy-mm-dd")</f>
        <v/>
      </c>
      <c r="D4456" t="inlineStr">
        <is>
          <t>1330-03-24</t>
        </is>
      </c>
    </row>
    <row r="4457">
      <c r="A4457" s="1" t="n">
        <v>4456</v>
      </c>
      <c r="B4457">
        <f>TEXT(4456, "[$-170000]yyyy-mm-dd")</f>
        <v/>
      </c>
      <c r="C4457">
        <f>TEXT(4456, "[$-060000]yyyy-mm-dd")</f>
        <v/>
      </c>
      <c r="D4457" t="inlineStr">
        <is>
          <t>1330-03-25</t>
        </is>
      </c>
    </row>
    <row r="4458">
      <c r="A4458" s="1" t="n">
        <v>4457</v>
      </c>
      <c r="B4458">
        <f>TEXT(4457, "[$-170000]yyyy-mm-dd")</f>
        <v/>
      </c>
      <c r="C4458">
        <f>TEXT(4457, "[$-060000]yyyy-mm-dd")</f>
        <v/>
      </c>
      <c r="D4458" t="inlineStr">
        <is>
          <t>1330-03-26</t>
        </is>
      </c>
    </row>
    <row r="4459">
      <c r="A4459" s="1" t="n">
        <v>4458</v>
      </c>
      <c r="B4459">
        <f>TEXT(4458, "[$-170000]yyyy-mm-dd")</f>
        <v/>
      </c>
      <c r="C4459">
        <f>TEXT(4458, "[$-060000]yyyy-mm-dd")</f>
        <v/>
      </c>
      <c r="D4459" t="inlineStr">
        <is>
          <t>1330-03-27</t>
        </is>
      </c>
    </row>
    <row r="4460">
      <c r="A4460" s="1" t="n">
        <v>4459</v>
      </c>
      <c r="B4460">
        <f>TEXT(4459, "[$-170000]yyyy-mm-dd")</f>
        <v/>
      </c>
      <c r="C4460">
        <f>TEXT(4459, "[$-060000]yyyy-mm-dd")</f>
        <v/>
      </c>
      <c r="D4460" t="inlineStr">
        <is>
          <t>1330-03-28</t>
        </is>
      </c>
    </row>
    <row r="4461">
      <c r="A4461" s="1" t="n">
        <v>4460</v>
      </c>
      <c r="B4461">
        <f>TEXT(4460, "[$-170000]yyyy-mm-dd")</f>
        <v/>
      </c>
      <c r="C4461">
        <f>TEXT(4460, "[$-060000]yyyy-mm-dd")</f>
        <v/>
      </c>
      <c r="D4461" t="inlineStr">
        <is>
          <t>1330-03-29</t>
        </is>
      </c>
    </row>
    <row r="4462">
      <c r="A4462" s="1" t="n">
        <v>4461</v>
      </c>
      <c r="B4462">
        <f>TEXT(4461, "[$-170000]yyyy-mm-dd")</f>
        <v/>
      </c>
      <c r="C4462">
        <f>TEXT(4461, "[$-060000]yyyy-mm-dd")</f>
        <v/>
      </c>
      <c r="D4462" t="inlineStr">
        <is>
          <t>1330-03-30</t>
        </is>
      </c>
    </row>
    <row r="4463">
      <c r="A4463" s="1" t="n">
        <v>4462</v>
      </c>
      <c r="B4463">
        <f>TEXT(4462, "[$-170000]yyyy-mm-dd")</f>
        <v/>
      </c>
      <c r="C4463">
        <f>TEXT(4462, "[$-060000]yyyy-mm-dd")</f>
        <v/>
      </c>
      <c r="D4463" t="inlineStr">
        <is>
          <t>1330-04-01</t>
        </is>
      </c>
    </row>
    <row r="4464">
      <c r="A4464" s="1" t="n">
        <v>4463</v>
      </c>
      <c r="B4464">
        <f>TEXT(4463, "[$-170000]yyyy-mm-dd")</f>
        <v/>
      </c>
      <c r="C4464">
        <f>TEXT(4463, "[$-060000]yyyy-mm-dd")</f>
        <v/>
      </c>
      <c r="D4464" t="inlineStr">
        <is>
          <t>1330-04-02</t>
        </is>
      </c>
    </row>
    <row r="4465">
      <c r="A4465" s="1" t="n">
        <v>4464</v>
      </c>
      <c r="B4465">
        <f>TEXT(4464, "[$-170000]yyyy-mm-dd")</f>
        <v/>
      </c>
      <c r="C4465">
        <f>TEXT(4464, "[$-060000]yyyy-mm-dd")</f>
        <v/>
      </c>
      <c r="D4465" t="inlineStr">
        <is>
          <t>1330-04-03</t>
        </is>
      </c>
    </row>
    <row r="4466">
      <c r="A4466" s="1" t="n">
        <v>4465</v>
      </c>
      <c r="B4466">
        <f>TEXT(4465, "[$-170000]yyyy-mm-dd")</f>
        <v/>
      </c>
      <c r="C4466">
        <f>TEXT(4465, "[$-060000]yyyy-mm-dd")</f>
        <v/>
      </c>
      <c r="D4466" t="inlineStr">
        <is>
          <t>1330-04-04</t>
        </is>
      </c>
    </row>
    <row r="4467">
      <c r="A4467" s="1" t="n">
        <v>4466</v>
      </c>
      <c r="B4467">
        <f>TEXT(4466, "[$-170000]yyyy-mm-dd")</f>
        <v/>
      </c>
      <c r="C4467">
        <f>TEXT(4466, "[$-060000]yyyy-mm-dd")</f>
        <v/>
      </c>
      <c r="D4467" t="inlineStr">
        <is>
          <t>1330-04-05</t>
        </is>
      </c>
    </row>
    <row r="4468">
      <c r="A4468" s="1" t="n">
        <v>4467</v>
      </c>
      <c r="B4468">
        <f>TEXT(4467, "[$-170000]yyyy-mm-dd")</f>
        <v/>
      </c>
      <c r="C4468">
        <f>TEXT(4467, "[$-060000]yyyy-mm-dd")</f>
        <v/>
      </c>
      <c r="D4468" t="inlineStr">
        <is>
          <t>1330-04-06</t>
        </is>
      </c>
    </row>
    <row r="4469">
      <c r="A4469" s="1" t="n">
        <v>4468</v>
      </c>
      <c r="B4469">
        <f>TEXT(4468, "[$-170000]yyyy-mm-dd")</f>
        <v/>
      </c>
      <c r="C4469">
        <f>TEXT(4468, "[$-060000]yyyy-mm-dd")</f>
        <v/>
      </c>
      <c r="D4469" t="inlineStr">
        <is>
          <t>1330-04-07</t>
        </is>
      </c>
    </row>
    <row r="4470">
      <c r="A4470" s="1" t="n">
        <v>4469</v>
      </c>
      <c r="B4470">
        <f>TEXT(4469, "[$-170000]yyyy-mm-dd")</f>
        <v/>
      </c>
      <c r="C4470">
        <f>TEXT(4469, "[$-060000]yyyy-mm-dd")</f>
        <v/>
      </c>
      <c r="D4470" t="inlineStr">
        <is>
          <t>1330-04-08</t>
        </is>
      </c>
    </row>
    <row r="4471">
      <c r="A4471" s="1" t="n">
        <v>4470</v>
      </c>
      <c r="B4471">
        <f>TEXT(4470, "[$-170000]yyyy-mm-dd")</f>
        <v/>
      </c>
      <c r="C4471">
        <f>TEXT(4470, "[$-060000]yyyy-mm-dd")</f>
        <v/>
      </c>
      <c r="D4471" t="inlineStr">
        <is>
          <t>1330-04-09</t>
        </is>
      </c>
    </row>
    <row r="4472">
      <c r="A4472" s="1" t="n">
        <v>4471</v>
      </c>
      <c r="B4472">
        <f>TEXT(4471, "[$-170000]yyyy-mm-dd")</f>
        <v/>
      </c>
      <c r="C4472">
        <f>TEXT(4471, "[$-060000]yyyy-mm-dd")</f>
        <v/>
      </c>
      <c r="D4472" t="inlineStr">
        <is>
          <t>1330-04-10</t>
        </is>
      </c>
    </row>
    <row r="4473">
      <c r="A4473" s="1" t="n">
        <v>4472</v>
      </c>
      <c r="B4473">
        <f>TEXT(4472, "[$-170000]yyyy-mm-dd")</f>
        <v/>
      </c>
      <c r="C4473">
        <f>TEXT(4472, "[$-060000]yyyy-mm-dd")</f>
        <v/>
      </c>
      <c r="D4473" t="inlineStr">
        <is>
          <t>1330-04-11</t>
        </is>
      </c>
    </row>
    <row r="4474">
      <c r="A4474" s="1" t="n">
        <v>4473</v>
      </c>
      <c r="B4474">
        <f>TEXT(4473, "[$-170000]yyyy-mm-dd")</f>
        <v/>
      </c>
      <c r="C4474">
        <f>TEXT(4473, "[$-060000]yyyy-mm-dd")</f>
        <v/>
      </c>
      <c r="D4474" t="inlineStr">
        <is>
          <t>1330-04-12</t>
        </is>
      </c>
    </row>
    <row r="4475">
      <c r="A4475" s="1" t="n">
        <v>4474</v>
      </c>
      <c r="B4475">
        <f>TEXT(4474, "[$-170000]yyyy-mm-dd")</f>
        <v/>
      </c>
      <c r="C4475">
        <f>TEXT(4474, "[$-060000]yyyy-mm-dd")</f>
        <v/>
      </c>
      <c r="D4475" t="inlineStr">
        <is>
          <t>1330-04-13</t>
        </is>
      </c>
    </row>
    <row r="4476">
      <c r="A4476" s="1" t="n">
        <v>4475</v>
      </c>
      <c r="B4476">
        <f>TEXT(4475, "[$-170000]yyyy-mm-dd")</f>
        <v/>
      </c>
      <c r="C4476">
        <f>TEXT(4475, "[$-060000]yyyy-mm-dd")</f>
        <v/>
      </c>
      <c r="D4476" t="inlineStr">
        <is>
          <t>1330-04-14</t>
        </is>
      </c>
    </row>
    <row r="4477">
      <c r="A4477" s="1" t="n">
        <v>4476</v>
      </c>
      <c r="B4477">
        <f>TEXT(4476, "[$-170000]yyyy-mm-dd")</f>
        <v/>
      </c>
      <c r="C4477">
        <f>TEXT(4476, "[$-060000]yyyy-mm-dd")</f>
        <v/>
      </c>
      <c r="D4477" t="inlineStr">
        <is>
          <t>1330-04-15</t>
        </is>
      </c>
    </row>
    <row r="4478">
      <c r="A4478" s="1" t="n">
        <v>4477</v>
      </c>
      <c r="B4478">
        <f>TEXT(4477, "[$-170000]yyyy-mm-dd")</f>
        <v/>
      </c>
      <c r="C4478">
        <f>TEXT(4477, "[$-060000]yyyy-mm-dd")</f>
        <v/>
      </c>
      <c r="D4478" t="inlineStr">
        <is>
          <t>1330-04-16</t>
        </is>
      </c>
    </row>
    <row r="4479">
      <c r="A4479" s="1" t="n">
        <v>4478</v>
      </c>
      <c r="B4479">
        <f>TEXT(4478, "[$-170000]yyyy-mm-dd")</f>
        <v/>
      </c>
      <c r="C4479">
        <f>TEXT(4478, "[$-060000]yyyy-mm-dd")</f>
        <v/>
      </c>
      <c r="D4479" t="inlineStr">
        <is>
          <t>1330-04-17</t>
        </is>
      </c>
    </row>
    <row r="4480">
      <c r="A4480" s="1" t="n">
        <v>4479</v>
      </c>
      <c r="B4480">
        <f>TEXT(4479, "[$-170000]yyyy-mm-dd")</f>
        <v/>
      </c>
      <c r="C4480">
        <f>TEXT(4479, "[$-060000]yyyy-mm-dd")</f>
        <v/>
      </c>
      <c r="D4480" t="inlineStr">
        <is>
          <t>1330-04-18</t>
        </is>
      </c>
    </row>
    <row r="4481">
      <c r="A4481" s="1" t="n">
        <v>4480</v>
      </c>
      <c r="B4481">
        <f>TEXT(4480, "[$-170000]yyyy-mm-dd")</f>
        <v/>
      </c>
      <c r="C4481">
        <f>TEXT(4480, "[$-060000]yyyy-mm-dd")</f>
        <v/>
      </c>
      <c r="D4481" t="inlineStr">
        <is>
          <t>1330-04-19</t>
        </is>
      </c>
    </row>
    <row r="4482">
      <c r="A4482" s="1" t="n">
        <v>4481</v>
      </c>
      <c r="B4482">
        <f>TEXT(4481, "[$-170000]yyyy-mm-dd")</f>
        <v/>
      </c>
      <c r="C4482">
        <f>TEXT(4481, "[$-060000]yyyy-mm-dd")</f>
        <v/>
      </c>
      <c r="D4482" t="inlineStr">
        <is>
          <t>1330-04-20</t>
        </is>
      </c>
    </row>
    <row r="4483">
      <c r="A4483" s="1" t="n">
        <v>4482</v>
      </c>
      <c r="B4483">
        <f>TEXT(4482, "[$-170000]yyyy-mm-dd")</f>
        <v/>
      </c>
      <c r="C4483">
        <f>TEXT(4482, "[$-060000]yyyy-mm-dd")</f>
        <v/>
      </c>
      <c r="D4483" t="inlineStr">
        <is>
          <t>1330-04-21</t>
        </is>
      </c>
    </row>
    <row r="4484">
      <c r="A4484" s="1" t="n">
        <v>4483</v>
      </c>
      <c r="B4484">
        <f>TEXT(4483, "[$-170000]yyyy-mm-dd")</f>
        <v/>
      </c>
      <c r="C4484">
        <f>TEXT(4483, "[$-060000]yyyy-mm-dd")</f>
        <v/>
      </c>
      <c r="D4484" t="inlineStr">
        <is>
          <t>1330-04-22</t>
        </is>
      </c>
    </row>
    <row r="4485">
      <c r="A4485" s="1" t="n">
        <v>4484</v>
      </c>
      <c r="B4485">
        <f>TEXT(4484, "[$-170000]yyyy-mm-dd")</f>
        <v/>
      </c>
      <c r="C4485">
        <f>TEXT(4484, "[$-060000]yyyy-mm-dd")</f>
        <v/>
      </c>
      <c r="D4485" t="inlineStr">
        <is>
          <t>1330-04-23</t>
        </is>
      </c>
    </row>
    <row r="4486">
      <c r="A4486" s="1" t="n">
        <v>4485</v>
      </c>
      <c r="B4486">
        <f>TEXT(4485, "[$-170000]yyyy-mm-dd")</f>
        <v/>
      </c>
      <c r="C4486">
        <f>TEXT(4485, "[$-060000]yyyy-mm-dd")</f>
        <v/>
      </c>
      <c r="D4486" t="inlineStr">
        <is>
          <t>1330-04-24</t>
        </is>
      </c>
    </row>
    <row r="4487">
      <c r="A4487" s="1" t="n">
        <v>4486</v>
      </c>
      <c r="B4487">
        <f>TEXT(4486, "[$-170000]yyyy-mm-dd")</f>
        <v/>
      </c>
      <c r="C4487">
        <f>TEXT(4486, "[$-060000]yyyy-mm-dd")</f>
        <v/>
      </c>
      <c r="D4487" t="inlineStr">
        <is>
          <t>1330-04-25</t>
        </is>
      </c>
    </row>
    <row r="4488">
      <c r="A4488" s="1" t="n">
        <v>4487</v>
      </c>
      <c r="B4488">
        <f>TEXT(4487, "[$-170000]yyyy-mm-dd")</f>
        <v/>
      </c>
      <c r="C4488">
        <f>TEXT(4487, "[$-060000]yyyy-mm-dd")</f>
        <v/>
      </c>
      <c r="D4488" t="inlineStr">
        <is>
          <t>1330-04-26</t>
        </is>
      </c>
    </row>
    <row r="4489">
      <c r="A4489" s="1" t="n">
        <v>4488</v>
      </c>
      <c r="B4489">
        <f>TEXT(4488, "[$-170000]yyyy-mm-dd")</f>
        <v/>
      </c>
      <c r="C4489">
        <f>TEXT(4488, "[$-060000]yyyy-mm-dd")</f>
        <v/>
      </c>
      <c r="D4489" t="inlineStr">
        <is>
          <t>1330-04-27</t>
        </is>
      </c>
    </row>
    <row r="4490">
      <c r="A4490" s="1" t="n">
        <v>4489</v>
      </c>
      <c r="B4490">
        <f>TEXT(4489, "[$-170000]yyyy-mm-dd")</f>
        <v/>
      </c>
      <c r="C4490">
        <f>TEXT(4489, "[$-060000]yyyy-mm-dd")</f>
        <v/>
      </c>
      <c r="D4490" t="inlineStr">
        <is>
          <t>1330-04-28</t>
        </is>
      </c>
    </row>
    <row r="4491">
      <c r="A4491" s="1" t="n">
        <v>4490</v>
      </c>
      <c r="B4491">
        <f>TEXT(4490, "[$-170000]yyyy-mm-dd")</f>
        <v/>
      </c>
      <c r="C4491">
        <f>TEXT(4490, "[$-060000]yyyy-mm-dd")</f>
        <v/>
      </c>
      <c r="D4491" t="inlineStr">
        <is>
          <t>1330-04-29</t>
        </is>
      </c>
    </row>
    <row r="4492">
      <c r="A4492" s="1" t="n">
        <v>4491</v>
      </c>
      <c r="B4492">
        <f>TEXT(4491, "[$-170000]yyyy-mm-dd")</f>
        <v/>
      </c>
      <c r="C4492">
        <f>TEXT(4491, "[$-060000]yyyy-mm-dd")</f>
        <v/>
      </c>
      <c r="D4492" t="inlineStr">
        <is>
          <t>1330-05-01</t>
        </is>
      </c>
    </row>
    <row r="4493">
      <c r="A4493" s="1" t="n">
        <v>4492</v>
      </c>
      <c r="B4493">
        <f>TEXT(4492, "[$-170000]yyyy-mm-dd")</f>
        <v/>
      </c>
      <c r="C4493">
        <f>TEXT(4492, "[$-060000]yyyy-mm-dd")</f>
        <v/>
      </c>
      <c r="D4493" t="inlineStr">
        <is>
          <t>1330-05-02</t>
        </is>
      </c>
    </row>
    <row r="4494">
      <c r="A4494" s="1" t="n">
        <v>4493</v>
      </c>
      <c r="B4494">
        <f>TEXT(4493, "[$-170000]yyyy-mm-dd")</f>
        <v/>
      </c>
      <c r="C4494">
        <f>TEXT(4493, "[$-060000]yyyy-mm-dd")</f>
        <v/>
      </c>
      <c r="D4494" t="inlineStr">
        <is>
          <t>1330-05-03</t>
        </is>
      </c>
    </row>
    <row r="4495">
      <c r="A4495" s="1" t="n">
        <v>4494</v>
      </c>
      <c r="B4495">
        <f>TEXT(4494, "[$-170000]yyyy-mm-dd")</f>
        <v/>
      </c>
      <c r="C4495">
        <f>TEXT(4494, "[$-060000]yyyy-mm-dd")</f>
        <v/>
      </c>
      <c r="D4495" t="inlineStr">
        <is>
          <t>1330-05-04</t>
        </is>
      </c>
    </row>
    <row r="4496">
      <c r="A4496" s="1" t="n">
        <v>4495</v>
      </c>
      <c r="B4496">
        <f>TEXT(4495, "[$-170000]yyyy-mm-dd")</f>
        <v/>
      </c>
      <c r="C4496">
        <f>TEXT(4495, "[$-060000]yyyy-mm-dd")</f>
        <v/>
      </c>
      <c r="D4496" t="inlineStr">
        <is>
          <t>1330-05-05</t>
        </is>
      </c>
    </row>
    <row r="4497">
      <c r="A4497" s="1" t="n">
        <v>4496</v>
      </c>
      <c r="B4497">
        <f>TEXT(4496, "[$-170000]yyyy-mm-dd")</f>
        <v/>
      </c>
      <c r="C4497">
        <f>TEXT(4496, "[$-060000]yyyy-mm-dd")</f>
        <v/>
      </c>
      <c r="D4497" t="inlineStr">
        <is>
          <t>1330-05-06</t>
        </is>
      </c>
    </row>
    <row r="4498">
      <c r="A4498" s="1" t="n">
        <v>4497</v>
      </c>
      <c r="B4498">
        <f>TEXT(4497, "[$-170000]yyyy-mm-dd")</f>
        <v/>
      </c>
      <c r="C4498">
        <f>TEXT(4497, "[$-060000]yyyy-mm-dd")</f>
        <v/>
      </c>
      <c r="D4498" t="inlineStr">
        <is>
          <t>1330-05-07</t>
        </is>
      </c>
    </row>
    <row r="4499">
      <c r="A4499" s="1" t="n">
        <v>4498</v>
      </c>
      <c r="B4499">
        <f>TEXT(4498, "[$-170000]yyyy-mm-dd")</f>
        <v/>
      </c>
      <c r="C4499">
        <f>TEXT(4498, "[$-060000]yyyy-mm-dd")</f>
        <v/>
      </c>
      <c r="D4499" t="inlineStr">
        <is>
          <t>1330-05-08</t>
        </is>
      </c>
    </row>
    <row r="4500">
      <c r="A4500" s="1" t="n">
        <v>4499</v>
      </c>
      <c r="B4500">
        <f>TEXT(4499, "[$-170000]yyyy-mm-dd")</f>
        <v/>
      </c>
      <c r="C4500">
        <f>TEXT(4499, "[$-060000]yyyy-mm-dd")</f>
        <v/>
      </c>
      <c r="D4500" t="inlineStr">
        <is>
          <t>1330-05-09</t>
        </is>
      </c>
    </row>
    <row r="4501">
      <c r="A4501" s="1" t="n">
        <v>4500</v>
      </c>
      <c r="B4501">
        <f>TEXT(4500, "[$-170000]yyyy-mm-dd")</f>
        <v/>
      </c>
      <c r="C4501">
        <f>TEXT(4500, "[$-060000]yyyy-mm-dd")</f>
        <v/>
      </c>
      <c r="D4501" t="inlineStr">
        <is>
          <t>1330-05-10</t>
        </is>
      </c>
    </row>
    <row r="4502">
      <c r="A4502" s="1" t="n">
        <v>4501</v>
      </c>
      <c r="B4502">
        <f>TEXT(4501, "[$-170000]yyyy-mm-dd")</f>
        <v/>
      </c>
      <c r="C4502">
        <f>TEXT(4501, "[$-060000]yyyy-mm-dd")</f>
        <v/>
      </c>
      <c r="D4502" t="inlineStr">
        <is>
          <t>1330-05-11</t>
        </is>
      </c>
    </row>
    <row r="4503">
      <c r="A4503" s="1" t="n">
        <v>4502</v>
      </c>
      <c r="B4503">
        <f>TEXT(4502, "[$-170000]yyyy-mm-dd")</f>
        <v/>
      </c>
      <c r="C4503">
        <f>TEXT(4502, "[$-060000]yyyy-mm-dd")</f>
        <v/>
      </c>
      <c r="D4503" t="inlineStr">
        <is>
          <t>1330-05-12</t>
        </is>
      </c>
    </row>
    <row r="4504">
      <c r="A4504" s="1" t="n">
        <v>4503</v>
      </c>
      <c r="B4504">
        <f>TEXT(4503, "[$-170000]yyyy-mm-dd")</f>
        <v/>
      </c>
      <c r="C4504">
        <f>TEXT(4503, "[$-060000]yyyy-mm-dd")</f>
        <v/>
      </c>
      <c r="D4504" t="inlineStr">
        <is>
          <t>1330-05-13</t>
        </is>
      </c>
    </row>
    <row r="4505">
      <c r="A4505" s="1" t="n">
        <v>4504</v>
      </c>
      <c r="B4505">
        <f>TEXT(4504, "[$-170000]yyyy-mm-dd")</f>
        <v/>
      </c>
      <c r="C4505">
        <f>TEXT(4504, "[$-060000]yyyy-mm-dd")</f>
        <v/>
      </c>
      <c r="D4505" t="inlineStr">
        <is>
          <t>1330-05-14</t>
        </is>
      </c>
    </row>
    <row r="4506">
      <c r="A4506" s="1" t="n">
        <v>4505</v>
      </c>
      <c r="B4506">
        <f>TEXT(4505, "[$-170000]yyyy-mm-dd")</f>
        <v/>
      </c>
      <c r="C4506">
        <f>TEXT(4505, "[$-060000]yyyy-mm-dd")</f>
        <v/>
      </c>
      <c r="D4506" t="inlineStr">
        <is>
          <t>1330-05-15</t>
        </is>
      </c>
    </row>
    <row r="4507">
      <c r="A4507" s="1" t="n">
        <v>4506</v>
      </c>
      <c r="B4507">
        <f>TEXT(4506, "[$-170000]yyyy-mm-dd")</f>
        <v/>
      </c>
      <c r="C4507">
        <f>TEXT(4506, "[$-060000]yyyy-mm-dd")</f>
        <v/>
      </c>
      <c r="D4507" t="inlineStr">
        <is>
          <t>1330-05-16</t>
        </is>
      </c>
    </row>
    <row r="4508">
      <c r="A4508" s="1" t="n">
        <v>4507</v>
      </c>
      <c r="B4508">
        <f>TEXT(4507, "[$-170000]yyyy-mm-dd")</f>
        <v/>
      </c>
      <c r="C4508">
        <f>TEXT(4507, "[$-060000]yyyy-mm-dd")</f>
        <v/>
      </c>
      <c r="D4508" t="inlineStr">
        <is>
          <t>1330-05-17</t>
        </is>
      </c>
    </row>
    <row r="4509">
      <c r="A4509" s="1" t="n">
        <v>4508</v>
      </c>
      <c r="B4509">
        <f>TEXT(4508, "[$-170000]yyyy-mm-dd")</f>
        <v/>
      </c>
      <c r="C4509">
        <f>TEXT(4508, "[$-060000]yyyy-mm-dd")</f>
        <v/>
      </c>
      <c r="D4509" t="inlineStr">
        <is>
          <t>1330-05-18</t>
        </is>
      </c>
    </row>
    <row r="4510">
      <c r="A4510" s="1" t="n">
        <v>4509</v>
      </c>
      <c r="B4510">
        <f>TEXT(4509, "[$-170000]yyyy-mm-dd")</f>
        <v/>
      </c>
      <c r="C4510">
        <f>TEXT(4509, "[$-060000]yyyy-mm-dd")</f>
        <v/>
      </c>
      <c r="D4510" t="inlineStr">
        <is>
          <t>1330-05-19</t>
        </is>
      </c>
    </row>
    <row r="4511">
      <c r="A4511" s="1" t="n">
        <v>4510</v>
      </c>
      <c r="B4511">
        <f>TEXT(4510, "[$-170000]yyyy-mm-dd")</f>
        <v/>
      </c>
      <c r="C4511">
        <f>TEXT(4510, "[$-060000]yyyy-mm-dd")</f>
        <v/>
      </c>
      <c r="D4511" t="inlineStr">
        <is>
          <t>1330-05-20</t>
        </is>
      </c>
    </row>
    <row r="4512">
      <c r="A4512" s="1" t="n">
        <v>4511</v>
      </c>
      <c r="B4512">
        <f>TEXT(4511, "[$-170000]yyyy-mm-dd")</f>
        <v/>
      </c>
      <c r="C4512">
        <f>TEXT(4511, "[$-060000]yyyy-mm-dd")</f>
        <v/>
      </c>
      <c r="D4512" t="inlineStr">
        <is>
          <t>1330-05-21</t>
        </is>
      </c>
    </row>
    <row r="4513">
      <c r="A4513" s="1" t="n">
        <v>4512</v>
      </c>
      <c r="B4513">
        <f>TEXT(4512, "[$-170000]yyyy-mm-dd")</f>
        <v/>
      </c>
      <c r="C4513">
        <f>TEXT(4512, "[$-060000]yyyy-mm-dd")</f>
        <v/>
      </c>
      <c r="D4513" t="inlineStr">
        <is>
          <t>1330-05-22</t>
        </is>
      </c>
    </row>
    <row r="4514">
      <c r="A4514" s="1" t="n">
        <v>4513</v>
      </c>
      <c r="B4514">
        <f>TEXT(4513, "[$-170000]yyyy-mm-dd")</f>
        <v/>
      </c>
      <c r="C4514">
        <f>TEXT(4513, "[$-060000]yyyy-mm-dd")</f>
        <v/>
      </c>
      <c r="D4514" t="inlineStr">
        <is>
          <t>1330-05-23</t>
        </is>
      </c>
    </row>
    <row r="4515">
      <c r="A4515" s="1" t="n">
        <v>4514</v>
      </c>
      <c r="B4515">
        <f>TEXT(4514, "[$-170000]yyyy-mm-dd")</f>
        <v/>
      </c>
      <c r="C4515">
        <f>TEXT(4514, "[$-060000]yyyy-mm-dd")</f>
        <v/>
      </c>
      <c r="D4515" t="inlineStr">
        <is>
          <t>1330-05-24</t>
        </is>
      </c>
    </row>
    <row r="4516">
      <c r="A4516" s="1" t="n">
        <v>4515</v>
      </c>
      <c r="B4516">
        <f>TEXT(4515, "[$-170000]yyyy-mm-dd")</f>
        <v/>
      </c>
      <c r="C4516">
        <f>TEXT(4515, "[$-060000]yyyy-mm-dd")</f>
        <v/>
      </c>
      <c r="D4516" t="inlineStr">
        <is>
          <t>1330-05-25</t>
        </is>
      </c>
    </row>
    <row r="4517">
      <c r="A4517" s="1" t="n">
        <v>4516</v>
      </c>
      <c r="B4517">
        <f>TEXT(4516, "[$-170000]yyyy-mm-dd")</f>
        <v/>
      </c>
      <c r="C4517">
        <f>TEXT(4516, "[$-060000]yyyy-mm-dd")</f>
        <v/>
      </c>
      <c r="D4517" t="inlineStr">
        <is>
          <t>1330-05-26</t>
        </is>
      </c>
    </row>
    <row r="4518">
      <c r="A4518" s="1" t="n">
        <v>4517</v>
      </c>
      <c r="B4518">
        <f>TEXT(4517, "[$-170000]yyyy-mm-dd")</f>
        <v/>
      </c>
      <c r="C4518">
        <f>TEXT(4517, "[$-060000]yyyy-mm-dd")</f>
        <v/>
      </c>
      <c r="D4518" t="inlineStr">
        <is>
          <t>1330-05-27</t>
        </is>
      </c>
    </row>
    <row r="4519">
      <c r="A4519" s="1" t="n">
        <v>4518</v>
      </c>
      <c r="B4519">
        <f>TEXT(4518, "[$-170000]yyyy-mm-dd")</f>
        <v/>
      </c>
      <c r="C4519">
        <f>TEXT(4518, "[$-060000]yyyy-mm-dd")</f>
        <v/>
      </c>
      <c r="D4519" t="inlineStr">
        <is>
          <t>1330-05-28</t>
        </is>
      </c>
    </row>
    <row r="4520">
      <c r="A4520" s="1" t="n">
        <v>4519</v>
      </c>
      <c r="B4520">
        <f>TEXT(4519, "[$-170000]yyyy-mm-dd")</f>
        <v/>
      </c>
      <c r="C4520">
        <f>TEXT(4519, "[$-060000]yyyy-mm-dd")</f>
        <v/>
      </c>
      <c r="D4520" t="inlineStr">
        <is>
          <t>1330-05-29</t>
        </is>
      </c>
    </row>
    <row r="4521">
      <c r="A4521" s="1" t="n">
        <v>4520</v>
      </c>
      <c r="B4521">
        <f>TEXT(4520, "[$-170000]yyyy-mm-dd")</f>
        <v/>
      </c>
      <c r="C4521">
        <f>TEXT(4520, "[$-060000]yyyy-mm-dd")</f>
        <v/>
      </c>
      <c r="D4521" t="inlineStr">
        <is>
          <t>1330-05-30</t>
        </is>
      </c>
    </row>
    <row r="4522">
      <c r="A4522" s="1" t="n">
        <v>4521</v>
      </c>
      <c r="B4522">
        <f>TEXT(4521, "[$-170000]yyyy-mm-dd")</f>
        <v/>
      </c>
      <c r="C4522">
        <f>TEXT(4521, "[$-060000]yyyy-mm-dd")</f>
        <v/>
      </c>
      <c r="D4522" t="inlineStr">
        <is>
          <t>1330-06-01</t>
        </is>
      </c>
    </row>
    <row r="4523">
      <c r="A4523" s="1" t="n">
        <v>4522</v>
      </c>
      <c r="B4523">
        <f>TEXT(4522, "[$-170000]yyyy-mm-dd")</f>
        <v/>
      </c>
      <c r="C4523">
        <f>TEXT(4522, "[$-060000]yyyy-mm-dd")</f>
        <v/>
      </c>
      <c r="D4523" t="inlineStr">
        <is>
          <t>1330-06-02</t>
        </is>
      </c>
    </row>
    <row r="4524">
      <c r="A4524" s="1" t="n">
        <v>4523</v>
      </c>
      <c r="B4524">
        <f>TEXT(4523, "[$-170000]yyyy-mm-dd")</f>
        <v/>
      </c>
      <c r="C4524">
        <f>TEXT(4523, "[$-060000]yyyy-mm-dd")</f>
        <v/>
      </c>
      <c r="D4524" t="inlineStr">
        <is>
          <t>1330-06-03</t>
        </is>
      </c>
    </row>
    <row r="4525">
      <c r="A4525" s="1" t="n">
        <v>4524</v>
      </c>
      <c r="B4525">
        <f>TEXT(4524, "[$-170000]yyyy-mm-dd")</f>
        <v/>
      </c>
      <c r="C4525">
        <f>TEXT(4524, "[$-060000]yyyy-mm-dd")</f>
        <v/>
      </c>
      <c r="D4525" t="inlineStr">
        <is>
          <t>1330-06-04</t>
        </is>
      </c>
    </row>
    <row r="4526">
      <c r="A4526" s="1" t="n">
        <v>4525</v>
      </c>
      <c r="B4526">
        <f>TEXT(4525, "[$-170000]yyyy-mm-dd")</f>
        <v/>
      </c>
      <c r="C4526">
        <f>TEXT(4525, "[$-060000]yyyy-mm-dd")</f>
        <v/>
      </c>
      <c r="D4526" t="inlineStr">
        <is>
          <t>1330-06-05</t>
        </is>
      </c>
    </row>
    <row r="4527">
      <c r="A4527" s="1" t="n">
        <v>4526</v>
      </c>
      <c r="B4527">
        <f>TEXT(4526, "[$-170000]yyyy-mm-dd")</f>
        <v/>
      </c>
      <c r="C4527">
        <f>TEXT(4526, "[$-060000]yyyy-mm-dd")</f>
        <v/>
      </c>
      <c r="D4527" t="inlineStr">
        <is>
          <t>1330-06-06</t>
        </is>
      </c>
    </row>
    <row r="4528">
      <c r="A4528" s="1" t="n">
        <v>4527</v>
      </c>
      <c r="B4528">
        <f>TEXT(4527, "[$-170000]yyyy-mm-dd")</f>
        <v/>
      </c>
      <c r="C4528">
        <f>TEXT(4527, "[$-060000]yyyy-mm-dd")</f>
        <v/>
      </c>
      <c r="D4528" t="inlineStr">
        <is>
          <t>1330-06-07</t>
        </is>
      </c>
    </row>
    <row r="4529">
      <c r="A4529" s="1" t="n">
        <v>4528</v>
      </c>
      <c r="B4529">
        <f>TEXT(4528, "[$-170000]yyyy-mm-dd")</f>
        <v/>
      </c>
      <c r="C4529">
        <f>TEXT(4528, "[$-060000]yyyy-mm-dd")</f>
        <v/>
      </c>
      <c r="D4529" t="inlineStr">
        <is>
          <t>1330-06-08</t>
        </is>
      </c>
    </row>
    <row r="4530">
      <c r="A4530" s="1" t="n">
        <v>4529</v>
      </c>
      <c r="B4530">
        <f>TEXT(4529, "[$-170000]yyyy-mm-dd")</f>
        <v/>
      </c>
      <c r="C4530">
        <f>TEXT(4529, "[$-060000]yyyy-mm-dd")</f>
        <v/>
      </c>
      <c r="D4530" t="inlineStr">
        <is>
          <t>1330-06-09</t>
        </is>
      </c>
    </row>
    <row r="4531">
      <c r="A4531" s="1" t="n">
        <v>4530</v>
      </c>
      <c r="B4531">
        <f>TEXT(4530, "[$-170000]yyyy-mm-dd")</f>
        <v/>
      </c>
      <c r="C4531">
        <f>TEXT(4530, "[$-060000]yyyy-mm-dd")</f>
        <v/>
      </c>
      <c r="D4531" t="inlineStr">
        <is>
          <t>1330-06-10</t>
        </is>
      </c>
    </row>
    <row r="4532">
      <c r="A4532" s="1" t="n">
        <v>4531</v>
      </c>
      <c r="B4532">
        <f>TEXT(4531, "[$-170000]yyyy-mm-dd")</f>
        <v/>
      </c>
      <c r="C4532">
        <f>TEXT(4531, "[$-060000]yyyy-mm-dd")</f>
        <v/>
      </c>
      <c r="D4532" t="inlineStr">
        <is>
          <t>1330-06-11</t>
        </is>
      </c>
    </row>
    <row r="4533">
      <c r="A4533" s="1" t="n">
        <v>4532</v>
      </c>
      <c r="B4533">
        <f>TEXT(4532, "[$-170000]yyyy-mm-dd")</f>
        <v/>
      </c>
      <c r="C4533">
        <f>TEXT(4532, "[$-060000]yyyy-mm-dd")</f>
        <v/>
      </c>
      <c r="D4533" t="inlineStr">
        <is>
          <t>1330-06-12</t>
        </is>
      </c>
    </row>
    <row r="4534">
      <c r="A4534" s="1" t="n">
        <v>4533</v>
      </c>
      <c r="B4534">
        <f>TEXT(4533, "[$-170000]yyyy-mm-dd")</f>
        <v/>
      </c>
      <c r="C4534">
        <f>TEXT(4533, "[$-060000]yyyy-mm-dd")</f>
        <v/>
      </c>
      <c r="D4534" t="inlineStr">
        <is>
          <t>1330-06-13</t>
        </is>
      </c>
    </row>
    <row r="4535">
      <c r="A4535" s="1" t="n">
        <v>4534</v>
      </c>
      <c r="B4535">
        <f>TEXT(4534, "[$-170000]yyyy-mm-dd")</f>
        <v/>
      </c>
      <c r="C4535">
        <f>TEXT(4534, "[$-060000]yyyy-mm-dd")</f>
        <v/>
      </c>
      <c r="D4535" t="inlineStr">
        <is>
          <t>1330-06-14</t>
        </is>
      </c>
    </row>
    <row r="4536">
      <c r="A4536" s="1" t="n">
        <v>4535</v>
      </c>
      <c r="B4536">
        <f>TEXT(4535, "[$-170000]yyyy-mm-dd")</f>
        <v/>
      </c>
      <c r="C4536">
        <f>TEXT(4535, "[$-060000]yyyy-mm-dd")</f>
        <v/>
      </c>
      <c r="D4536" t="inlineStr">
        <is>
          <t>1330-06-15</t>
        </is>
      </c>
    </row>
    <row r="4537">
      <c r="A4537" s="1" t="n">
        <v>4536</v>
      </c>
      <c r="B4537">
        <f>TEXT(4536, "[$-170000]yyyy-mm-dd")</f>
        <v/>
      </c>
      <c r="C4537">
        <f>TEXT(4536, "[$-060000]yyyy-mm-dd")</f>
        <v/>
      </c>
      <c r="D4537" t="inlineStr">
        <is>
          <t>1330-06-16</t>
        </is>
      </c>
    </row>
    <row r="4538">
      <c r="A4538" s="1" t="n">
        <v>4537</v>
      </c>
      <c r="B4538">
        <f>TEXT(4537, "[$-170000]yyyy-mm-dd")</f>
        <v/>
      </c>
      <c r="C4538">
        <f>TEXT(4537, "[$-060000]yyyy-mm-dd")</f>
        <v/>
      </c>
      <c r="D4538" t="inlineStr">
        <is>
          <t>1330-06-17</t>
        </is>
      </c>
    </row>
    <row r="4539">
      <c r="A4539" s="1" t="n">
        <v>4538</v>
      </c>
      <c r="B4539">
        <f>TEXT(4538, "[$-170000]yyyy-mm-dd")</f>
        <v/>
      </c>
      <c r="C4539">
        <f>TEXT(4538, "[$-060000]yyyy-mm-dd")</f>
        <v/>
      </c>
      <c r="D4539" t="inlineStr">
        <is>
          <t>1330-06-18</t>
        </is>
      </c>
    </row>
    <row r="4540">
      <c r="A4540" s="1" t="n">
        <v>4539</v>
      </c>
      <c r="B4540">
        <f>TEXT(4539, "[$-170000]yyyy-mm-dd")</f>
        <v/>
      </c>
      <c r="C4540">
        <f>TEXT(4539, "[$-060000]yyyy-mm-dd")</f>
        <v/>
      </c>
      <c r="D4540" t="inlineStr">
        <is>
          <t>1330-06-19</t>
        </is>
      </c>
    </row>
    <row r="4541">
      <c r="A4541" s="1" t="n">
        <v>4540</v>
      </c>
      <c r="B4541">
        <f>TEXT(4540, "[$-170000]yyyy-mm-dd")</f>
        <v/>
      </c>
      <c r="C4541">
        <f>TEXT(4540, "[$-060000]yyyy-mm-dd")</f>
        <v/>
      </c>
      <c r="D4541" t="inlineStr">
        <is>
          <t>1330-06-20</t>
        </is>
      </c>
    </row>
    <row r="4542">
      <c r="A4542" s="1" t="n">
        <v>4541</v>
      </c>
      <c r="B4542">
        <f>TEXT(4541, "[$-170000]yyyy-mm-dd")</f>
        <v/>
      </c>
      <c r="C4542">
        <f>TEXT(4541, "[$-060000]yyyy-mm-dd")</f>
        <v/>
      </c>
      <c r="D4542" t="inlineStr">
        <is>
          <t>1330-06-21</t>
        </is>
      </c>
    </row>
    <row r="4543">
      <c r="A4543" s="1" t="n">
        <v>4542</v>
      </c>
      <c r="B4543">
        <f>TEXT(4542, "[$-170000]yyyy-mm-dd")</f>
        <v/>
      </c>
      <c r="C4543">
        <f>TEXT(4542, "[$-060000]yyyy-mm-dd")</f>
        <v/>
      </c>
      <c r="D4543" t="inlineStr">
        <is>
          <t>1330-06-22</t>
        </is>
      </c>
    </row>
    <row r="4544">
      <c r="A4544" s="1" t="n">
        <v>4543</v>
      </c>
      <c r="B4544">
        <f>TEXT(4543, "[$-170000]yyyy-mm-dd")</f>
        <v/>
      </c>
      <c r="C4544">
        <f>TEXT(4543, "[$-060000]yyyy-mm-dd")</f>
        <v/>
      </c>
      <c r="D4544" t="inlineStr">
        <is>
          <t>1330-06-23</t>
        </is>
      </c>
    </row>
    <row r="4545">
      <c r="A4545" s="1" t="n">
        <v>4544</v>
      </c>
      <c r="B4545">
        <f>TEXT(4544, "[$-170000]yyyy-mm-dd")</f>
        <v/>
      </c>
      <c r="C4545">
        <f>TEXT(4544, "[$-060000]yyyy-mm-dd")</f>
        <v/>
      </c>
      <c r="D4545" t="inlineStr">
        <is>
          <t>1330-06-24</t>
        </is>
      </c>
    </row>
    <row r="4546">
      <c r="A4546" s="1" t="n">
        <v>4545</v>
      </c>
      <c r="B4546">
        <f>TEXT(4545, "[$-170000]yyyy-mm-dd")</f>
        <v/>
      </c>
      <c r="C4546">
        <f>TEXT(4545, "[$-060000]yyyy-mm-dd")</f>
        <v/>
      </c>
      <c r="D4546" t="inlineStr">
        <is>
          <t>1330-06-25</t>
        </is>
      </c>
    </row>
    <row r="4547">
      <c r="A4547" s="1" t="n">
        <v>4546</v>
      </c>
      <c r="B4547">
        <f>TEXT(4546, "[$-170000]yyyy-mm-dd")</f>
        <v/>
      </c>
      <c r="C4547">
        <f>TEXT(4546, "[$-060000]yyyy-mm-dd")</f>
        <v/>
      </c>
      <c r="D4547" t="inlineStr">
        <is>
          <t>1330-06-26</t>
        </is>
      </c>
    </row>
    <row r="4548">
      <c r="A4548" s="1" t="n">
        <v>4547</v>
      </c>
      <c r="B4548">
        <f>TEXT(4547, "[$-170000]yyyy-mm-dd")</f>
        <v/>
      </c>
      <c r="C4548">
        <f>TEXT(4547, "[$-060000]yyyy-mm-dd")</f>
        <v/>
      </c>
      <c r="D4548" t="inlineStr">
        <is>
          <t>1330-06-27</t>
        </is>
      </c>
    </row>
    <row r="4549">
      <c r="A4549" s="1" t="n">
        <v>4548</v>
      </c>
      <c r="B4549">
        <f>TEXT(4548, "[$-170000]yyyy-mm-dd")</f>
        <v/>
      </c>
      <c r="C4549">
        <f>TEXT(4548, "[$-060000]yyyy-mm-dd")</f>
        <v/>
      </c>
      <c r="D4549" t="inlineStr">
        <is>
          <t>1330-06-28</t>
        </is>
      </c>
    </row>
    <row r="4550">
      <c r="A4550" s="1" t="n">
        <v>4549</v>
      </c>
      <c r="B4550">
        <f>TEXT(4549, "[$-170000]yyyy-mm-dd")</f>
        <v/>
      </c>
      <c r="C4550">
        <f>TEXT(4549, "[$-060000]yyyy-mm-dd")</f>
        <v/>
      </c>
      <c r="D4550" t="inlineStr">
        <is>
          <t>1330-06-29</t>
        </is>
      </c>
    </row>
    <row r="4551">
      <c r="A4551" s="1" t="n">
        <v>4550</v>
      </c>
      <c r="B4551">
        <f>TEXT(4550, "[$-170000]yyyy-mm-dd")</f>
        <v/>
      </c>
      <c r="C4551">
        <f>TEXT(4550, "[$-060000]yyyy-mm-dd")</f>
        <v/>
      </c>
      <c r="D4551" t="inlineStr">
        <is>
          <t>1330-07-01</t>
        </is>
      </c>
    </row>
    <row r="4552">
      <c r="A4552" s="1" t="n">
        <v>4551</v>
      </c>
      <c r="B4552">
        <f>TEXT(4551, "[$-170000]yyyy-mm-dd")</f>
        <v/>
      </c>
      <c r="C4552">
        <f>TEXT(4551, "[$-060000]yyyy-mm-dd")</f>
        <v/>
      </c>
      <c r="D4552" t="inlineStr">
        <is>
          <t>1330-07-02</t>
        </is>
      </c>
    </row>
    <row r="4553">
      <c r="A4553" s="1" t="n">
        <v>4552</v>
      </c>
      <c r="B4553">
        <f>TEXT(4552, "[$-170000]yyyy-mm-dd")</f>
        <v/>
      </c>
      <c r="C4553">
        <f>TEXT(4552, "[$-060000]yyyy-mm-dd")</f>
        <v/>
      </c>
      <c r="D4553" t="inlineStr">
        <is>
          <t>1330-07-03</t>
        </is>
      </c>
    </row>
    <row r="4554">
      <c r="A4554" s="1" t="n">
        <v>4553</v>
      </c>
      <c r="B4554">
        <f>TEXT(4553, "[$-170000]yyyy-mm-dd")</f>
        <v/>
      </c>
      <c r="C4554">
        <f>TEXT(4553, "[$-060000]yyyy-mm-dd")</f>
        <v/>
      </c>
      <c r="D4554" t="inlineStr">
        <is>
          <t>1330-07-04</t>
        </is>
      </c>
    </row>
    <row r="4555">
      <c r="A4555" s="1" t="n">
        <v>4554</v>
      </c>
      <c r="B4555">
        <f>TEXT(4554, "[$-170000]yyyy-mm-dd")</f>
        <v/>
      </c>
      <c r="C4555">
        <f>TEXT(4554, "[$-060000]yyyy-mm-dd")</f>
        <v/>
      </c>
      <c r="D4555" t="inlineStr">
        <is>
          <t>1330-07-05</t>
        </is>
      </c>
    </row>
    <row r="4556">
      <c r="A4556" s="1" t="n">
        <v>4555</v>
      </c>
      <c r="B4556">
        <f>TEXT(4555, "[$-170000]yyyy-mm-dd")</f>
        <v/>
      </c>
      <c r="C4556">
        <f>TEXT(4555, "[$-060000]yyyy-mm-dd")</f>
        <v/>
      </c>
      <c r="D4556" t="inlineStr">
        <is>
          <t>1330-07-06</t>
        </is>
      </c>
    </row>
    <row r="4557">
      <c r="A4557" s="1" t="n">
        <v>4556</v>
      </c>
      <c r="B4557">
        <f>TEXT(4556, "[$-170000]yyyy-mm-dd")</f>
        <v/>
      </c>
      <c r="C4557">
        <f>TEXT(4556, "[$-060000]yyyy-mm-dd")</f>
        <v/>
      </c>
      <c r="D4557" t="inlineStr">
        <is>
          <t>1330-07-07</t>
        </is>
      </c>
    </row>
    <row r="4558">
      <c r="A4558" s="1" t="n">
        <v>4557</v>
      </c>
      <c r="B4558">
        <f>TEXT(4557, "[$-170000]yyyy-mm-dd")</f>
        <v/>
      </c>
      <c r="C4558">
        <f>TEXT(4557, "[$-060000]yyyy-mm-dd")</f>
        <v/>
      </c>
      <c r="D4558" t="inlineStr">
        <is>
          <t>1330-07-08</t>
        </is>
      </c>
    </row>
    <row r="4559">
      <c r="A4559" s="1" t="n">
        <v>4558</v>
      </c>
      <c r="B4559">
        <f>TEXT(4558, "[$-170000]yyyy-mm-dd")</f>
        <v/>
      </c>
      <c r="C4559">
        <f>TEXT(4558, "[$-060000]yyyy-mm-dd")</f>
        <v/>
      </c>
      <c r="D4559" t="inlineStr">
        <is>
          <t>1330-07-09</t>
        </is>
      </c>
    </row>
    <row r="4560">
      <c r="A4560" s="1" t="n">
        <v>4559</v>
      </c>
      <c r="B4560">
        <f>TEXT(4559, "[$-170000]yyyy-mm-dd")</f>
        <v/>
      </c>
      <c r="C4560">
        <f>TEXT(4559, "[$-060000]yyyy-mm-dd")</f>
        <v/>
      </c>
      <c r="D4560" t="inlineStr">
        <is>
          <t>1330-07-10</t>
        </is>
      </c>
    </row>
    <row r="4561">
      <c r="A4561" s="1" t="n">
        <v>4560</v>
      </c>
      <c r="B4561">
        <f>TEXT(4560, "[$-170000]yyyy-mm-dd")</f>
        <v/>
      </c>
      <c r="C4561">
        <f>TEXT(4560, "[$-060000]yyyy-mm-dd")</f>
        <v/>
      </c>
      <c r="D4561" t="inlineStr">
        <is>
          <t>1330-07-11</t>
        </is>
      </c>
    </row>
    <row r="4562">
      <c r="A4562" s="1" t="n">
        <v>4561</v>
      </c>
      <c r="B4562">
        <f>TEXT(4561, "[$-170000]yyyy-mm-dd")</f>
        <v/>
      </c>
      <c r="C4562">
        <f>TEXT(4561, "[$-060000]yyyy-mm-dd")</f>
        <v/>
      </c>
      <c r="D4562" t="inlineStr">
        <is>
          <t>1330-07-12</t>
        </is>
      </c>
    </row>
    <row r="4563">
      <c r="A4563" s="1" t="n">
        <v>4562</v>
      </c>
      <c r="B4563">
        <f>TEXT(4562, "[$-170000]yyyy-mm-dd")</f>
        <v/>
      </c>
      <c r="C4563">
        <f>TEXT(4562, "[$-060000]yyyy-mm-dd")</f>
        <v/>
      </c>
      <c r="D4563" t="inlineStr">
        <is>
          <t>1330-07-13</t>
        </is>
      </c>
    </row>
    <row r="4564">
      <c r="A4564" s="1" t="n">
        <v>4563</v>
      </c>
      <c r="B4564">
        <f>TEXT(4563, "[$-170000]yyyy-mm-dd")</f>
        <v/>
      </c>
      <c r="C4564">
        <f>TEXT(4563, "[$-060000]yyyy-mm-dd")</f>
        <v/>
      </c>
      <c r="D4564" t="inlineStr">
        <is>
          <t>1330-07-14</t>
        </is>
      </c>
    </row>
    <row r="4565">
      <c r="A4565" s="1" t="n">
        <v>4564</v>
      </c>
      <c r="B4565">
        <f>TEXT(4564, "[$-170000]yyyy-mm-dd")</f>
        <v/>
      </c>
      <c r="C4565">
        <f>TEXT(4564, "[$-060000]yyyy-mm-dd")</f>
        <v/>
      </c>
      <c r="D4565" t="inlineStr">
        <is>
          <t>1330-07-15</t>
        </is>
      </c>
    </row>
    <row r="4566">
      <c r="A4566" s="1" t="n">
        <v>4565</v>
      </c>
      <c r="B4566">
        <f>TEXT(4565, "[$-170000]yyyy-mm-dd")</f>
        <v/>
      </c>
      <c r="C4566">
        <f>TEXT(4565, "[$-060000]yyyy-mm-dd")</f>
        <v/>
      </c>
      <c r="D4566" t="inlineStr">
        <is>
          <t>1330-07-16</t>
        </is>
      </c>
    </row>
    <row r="4567">
      <c r="A4567" s="1" t="n">
        <v>4566</v>
      </c>
      <c r="B4567">
        <f>TEXT(4566, "[$-170000]yyyy-mm-dd")</f>
        <v/>
      </c>
      <c r="C4567">
        <f>TEXT(4566, "[$-060000]yyyy-mm-dd")</f>
        <v/>
      </c>
      <c r="D4567" t="inlineStr">
        <is>
          <t>1330-07-17</t>
        </is>
      </c>
    </row>
    <row r="4568">
      <c r="A4568" s="1" t="n">
        <v>4567</v>
      </c>
      <c r="B4568">
        <f>TEXT(4567, "[$-170000]yyyy-mm-dd")</f>
        <v/>
      </c>
      <c r="C4568">
        <f>TEXT(4567, "[$-060000]yyyy-mm-dd")</f>
        <v/>
      </c>
      <c r="D4568" t="inlineStr">
        <is>
          <t>1330-07-18</t>
        </is>
      </c>
    </row>
    <row r="4569">
      <c r="A4569" s="1" t="n">
        <v>4568</v>
      </c>
      <c r="B4569">
        <f>TEXT(4568, "[$-170000]yyyy-mm-dd")</f>
        <v/>
      </c>
      <c r="C4569">
        <f>TEXT(4568, "[$-060000]yyyy-mm-dd")</f>
        <v/>
      </c>
      <c r="D4569" t="inlineStr">
        <is>
          <t>1330-07-19</t>
        </is>
      </c>
    </row>
    <row r="4570">
      <c r="A4570" s="1" t="n">
        <v>4569</v>
      </c>
      <c r="B4570">
        <f>TEXT(4569, "[$-170000]yyyy-mm-dd")</f>
        <v/>
      </c>
      <c r="C4570">
        <f>TEXT(4569, "[$-060000]yyyy-mm-dd")</f>
        <v/>
      </c>
      <c r="D4570" t="inlineStr">
        <is>
          <t>1330-07-20</t>
        </is>
      </c>
    </row>
    <row r="4571">
      <c r="A4571" s="1" t="n">
        <v>4570</v>
      </c>
      <c r="B4571">
        <f>TEXT(4570, "[$-170000]yyyy-mm-dd")</f>
        <v/>
      </c>
      <c r="C4571">
        <f>TEXT(4570, "[$-060000]yyyy-mm-dd")</f>
        <v/>
      </c>
      <c r="D4571" t="inlineStr">
        <is>
          <t>1330-07-21</t>
        </is>
      </c>
    </row>
    <row r="4572">
      <c r="A4572" s="1" t="n">
        <v>4571</v>
      </c>
      <c r="B4572">
        <f>TEXT(4571, "[$-170000]yyyy-mm-dd")</f>
        <v/>
      </c>
      <c r="C4572">
        <f>TEXT(4571, "[$-060000]yyyy-mm-dd")</f>
        <v/>
      </c>
      <c r="D4572" t="inlineStr">
        <is>
          <t>1330-07-22</t>
        </is>
      </c>
    </row>
    <row r="4573">
      <c r="A4573" s="1" t="n">
        <v>4572</v>
      </c>
      <c r="B4573">
        <f>TEXT(4572, "[$-170000]yyyy-mm-dd")</f>
        <v/>
      </c>
      <c r="C4573">
        <f>TEXT(4572, "[$-060000]yyyy-mm-dd")</f>
        <v/>
      </c>
      <c r="D4573" t="inlineStr">
        <is>
          <t>1330-07-23</t>
        </is>
      </c>
    </row>
    <row r="4574">
      <c r="A4574" s="1" t="n">
        <v>4573</v>
      </c>
      <c r="B4574">
        <f>TEXT(4573, "[$-170000]yyyy-mm-dd")</f>
        <v/>
      </c>
      <c r="C4574">
        <f>TEXT(4573, "[$-060000]yyyy-mm-dd")</f>
        <v/>
      </c>
      <c r="D4574" t="inlineStr">
        <is>
          <t>1330-07-24</t>
        </is>
      </c>
    </row>
    <row r="4575">
      <c r="A4575" s="1" t="n">
        <v>4574</v>
      </c>
      <c r="B4575">
        <f>TEXT(4574, "[$-170000]yyyy-mm-dd")</f>
        <v/>
      </c>
      <c r="C4575">
        <f>TEXT(4574, "[$-060000]yyyy-mm-dd")</f>
        <v/>
      </c>
      <c r="D4575" t="inlineStr">
        <is>
          <t>1330-07-25</t>
        </is>
      </c>
    </row>
    <row r="4576">
      <c r="A4576" s="1" t="n">
        <v>4575</v>
      </c>
      <c r="B4576">
        <f>TEXT(4575, "[$-170000]yyyy-mm-dd")</f>
        <v/>
      </c>
      <c r="C4576">
        <f>TEXT(4575, "[$-060000]yyyy-mm-dd")</f>
        <v/>
      </c>
      <c r="D4576" t="inlineStr">
        <is>
          <t>1330-07-26</t>
        </is>
      </c>
    </row>
    <row r="4577">
      <c r="A4577" s="1" t="n">
        <v>4576</v>
      </c>
      <c r="B4577">
        <f>TEXT(4576, "[$-170000]yyyy-mm-dd")</f>
        <v/>
      </c>
      <c r="C4577">
        <f>TEXT(4576, "[$-060000]yyyy-mm-dd")</f>
        <v/>
      </c>
      <c r="D4577" t="inlineStr">
        <is>
          <t>1330-07-27</t>
        </is>
      </c>
    </row>
    <row r="4578">
      <c r="A4578" s="1" t="n">
        <v>4577</v>
      </c>
      <c r="B4578">
        <f>TEXT(4577, "[$-170000]yyyy-mm-dd")</f>
        <v/>
      </c>
      <c r="C4578">
        <f>TEXT(4577, "[$-060000]yyyy-mm-dd")</f>
        <v/>
      </c>
      <c r="D4578" t="inlineStr">
        <is>
          <t>1330-07-28</t>
        </is>
      </c>
    </row>
    <row r="4579">
      <c r="A4579" s="1" t="n">
        <v>4578</v>
      </c>
      <c r="B4579">
        <f>TEXT(4578, "[$-170000]yyyy-mm-dd")</f>
        <v/>
      </c>
      <c r="C4579">
        <f>TEXT(4578, "[$-060000]yyyy-mm-dd")</f>
        <v/>
      </c>
      <c r="D4579" t="inlineStr">
        <is>
          <t>1330-07-29</t>
        </is>
      </c>
    </row>
    <row r="4580">
      <c r="A4580" s="1" t="n">
        <v>4579</v>
      </c>
      <c r="B4580">
        <f>TEXT(4579, "[$-170000]yyyy-mm-dd")</f>
        <v/>
      </c>
      <c r="C4580">
        <f>TEXT(4579, "[$-060000]yyyy-mm-dd")</f>
        <v/>
      </c>
      <c r="D4580" t="inlineStr">
        <is>
          <t>1330-07-30</t>
        </is>
      </c>
    </row>
    <row r="4581">
      <c r="A4581" s="1" t="n">
        <v>4580</v>
      </c>
      <c r="B4581">
        <f>TEXT(4580, "[$-170000]yyyy-mm-dd")</f>
        <v/>
      </c>
      <c r="C4581">
        <f>TEXT(4580, "[$-060000]yyyy-mm-dd")</f>
        <v/>
      </c>
      <c r="D4581" t="inlineStr">
        <is>
          <t>1330-08-01</t>
        </is>
      </c>
    </row>
    <row r="4582">
      <c r="A4582" s="1" t="n">
        <v>4581</v>
      </c>
      <c r="B4582">
        <f>TEXT(4581, "[$-170000]yyyy-mm-dd")</f>
        <v/>
      </c>
      <c r="C4582">
        <f>TEXT(4581, "[$-060000]yyyy-mm-dd")</f>
        <v/>
      </c>
      <c r="D4582" t="inlineStr">
        <is>
          <t>1330-08-02</t>
        </is>
      </c>
    </row>
    <row r="4583">
      <c r="A4583" s="1" t="n">
        <v>4582</v>
      </c>
      <c r="B4583">
        <f>TEXT(4582, "[$-170000]yyyy-mm-dd")</f>
        <v/>
      </c>
      <c r="C4583">
        <f>TEXT(4582, "[$-060000]yyyy-mm-dd")</f>
        <v/>
      </c>
      <c r="D4583" t="inlineStr">
        <is>
          <t>1330-08-03</t>
        </is>
      </c>
    </row>
    <row r="4584">
      <c r="A4584" s="1" t="n">
        <v>4583</v>
      </c>
      <c r="B4584">
        <f>TEXT(4583, "[$-170000]yyyy-mm-dd")</f>
        <v/>
      </c>
      <c r="C4584">
        <f>TEXT(4583, "[$-060000]yyyy-mm-dd")</f>
        <v/>
      </c>
      <c r="D4584" t="inlineStr">
        <is>
          <t>1330-08-04</t>
        </is>
      </c>
    </row>
    <row r="4585">
      <c r="A4585" s="1" t="n">
        <v>4584</v>
      </c>
      <c r="B4585">
        <f>TEXT(4584, "[$-170000]yyyy-mm-dd")</f>
        <v/>
      </c>
      <c r="C4585">
        <f>TEXT(4584, "[$-060000]yyyy-mm-dd")</f>
        <v/>
      </c>
      <c r="D4585" t="inlineStr">
        <is>
          <t>1330-08-05</t>
        </is>
      </c>
    </row>
    <row r="4586">
      <c r="A4586" s="1" t="n">
        <v>4585</v>
      </c>
      <c r="B4586">
        <f>TEXT(4585, "[$-170000]yyyy-mm-dd")</f>
        <v/>
      </c>
      <c r="C4586">
        <f>TEXT(4585, "[$-060000]yyyy-mm-dd")</f>
        <v/>
      </c>
      <c r="D4586" t="inlineStr">
        <is>
          <t>1330-08-06</t>
        </is>
      </c>
    </row>
    <row r="4587">
      <c r="A4587" s="1" t="n">
        <v>4586</v>
      </c>
      <c r="B4587">
        <f>TEXT(4586, "[$-170000]yyyy-mm-dd")</f>
        <v/>
      </c>
      <c r="C4587">
        <f>TEXT(4586, "[$-060000]yyyy-mm-dd")</f>
        <v/>
      </c>
      <c r="D4587" t="inlineStr">
        <is>
          <t>1330-08-07</t>
        </is>
      </c>
    </row>
    <row r="4588">
      <c r="A4588" s="1" t="n">
        <v>4587</v>
      </c>
      <c r="B4588">
        <f>TEXT(4587, "[$-170000]yyyy-mm-dd")</f>
        <v/>
      </c>
      <c r="C4588">
        <f>TEXT(4587, "[$-060000]yyyy-mm-dd")</f>
        <v/>
      </c>
      <c r="D4588" t="inlineStr">
        <is>
          <t>1330-08-08</t>
        </is>
      </c>
    </row>
    <row r="4589">
      <c r="A4589" s="1" t="n">
        <v>4588</v>
      </c>
      <c r="B4589">
        <f>TEXT(4588, "[$-170000]yyyy-mm-dd")</f>
        <v/>
      </c>
      <c r="C4589">
        <f>TEXT(4588, "[$-060000]yyyy-mm-dd")</f>
        <v/>
      </c>
      <c r="D4589" t="inlineStr">
        <is>
          <t>1330-08-09</t>
        </is>
      </c>
    </row>
    <row r="4590">
      <c r="A4590" s="1" t="n">
        <v>4589</v>
      </c>
      <c r="B4590">
        <f>TEXT(4589, "[$-170000]yyyy-mm-dd")</f>
        <v/>
      </c>
      <c r="C4590">
        <f>TEXT(4589, "[$-060000]yyyy-mm-dd")</f>
        <v/>
      </c>
      <c r="D4590" t="inlineStr">
        <is>
          <t>1330-08-10</t>
        </is>
      </c>
    </row>
    <row r="4591">
      <c r="A4591" s="1" t="n">
        <v>4590</v>
      </c>
      <c r="B4591">
        <f>TEXT(4590, "[$-170000]yyyy-mm-dd")</f>
        <v/>
      </c>
      <c r="C4591">
        <f>TEXT(4590, "[$-060000]yyyy-mm-dd")</f>
        <v/>
      </c>
      <c r="D4591" t="inlineStr">
        <is>
          <t>1330-08-11</t>
        </is>
      </c>
    </row>
    <row r="4592">
      <c r="A4592" s="1" t="n">
        <v>4591</v>
      </c>
      <c r="B4592">
        <f>TEXT(4591, "[$-170000]yyyy-mm-dd")</f>
        <v/>
      </c>
      <c r="C4592">
        <f>TEXT(4591, "[$-060000]yyyy-mm-dd")</f>
        <v/>
      </c>
      <c r="D4592" t="inlineStr">
        <is>
          <t>1330-08-12</t>
        </is>
      </c>
    </row>
    <row r="4593">
      <c r="A4593" s="1" t="n">
        <v>4592</v>
      </c>
      <c r="B4593">
        <f>TEXT(4592, "[$-170000]yyyy-mm-dd")</f>
        <v/>
      </c>
      <c r="C4593">
        <f>TEXT(4592, "[$-060000]yyyy-mm-dd")</f>
        <v/>
      </c>
      <c r="D4593" t="inlineStr">
        <is>
          <t>1330-08-13</t>
        </is>
      </c>
    </row>
    <row r="4594">
      <c r="A4594" s="1" t="n">
        <v>4593</v>
      </c>
      <c r="B4594">
        <f>TEXT(4593, "[$-170000]yyyy-mm-dd")</f>
        <v/>
      </c>
      <c r="C4594">
        <f>TEXT(4593, "[$-060000]yyyy-mm-dd")</f>
        <v/>
      </c>
      <c r="D4594" t="inlineStr">
        <is>
          <t>1330-08-14</t>
        </is>
      </c>
    </row>
    <row r="4595">
      <c r="A4595" s="1" t="n">
        <v>4594</v>
      </c>
      <c r="B4595">
        <f>TEXT(4594, "[$-170000]yyyy-mm-dd")</f>
        <v/>
      </c>
      <c r="C4595">
        <f>TEXT(4594, "[$-060000]yyyy-mm-dd")</f>
        <v/>
      </c>
      <c r="D4595" t="inlineStr">
        <is>
          <t>1330-08-15</t>
        </is>
      </c>
    </row>
    <row r="4596">
      <c r="A4596" s="1" t="n">
        <v>4595</v>
      </c>
      <c r="B4596">
        <f>TEXT(4595, "[$-170000]yyyy-mm-dd")</f>
        <v/>
      </c>
      <c r="C4596">
        <f>TEXT(4595, "[$-060000]yyyy-mm-dd")</f>
        <v/>
      </c>
      <c r="D4596" t="inlineStr">
        <is>
          <t>1330-08-16</t>
        </is>
      </c>
    </row>
    <row r="4597">
      <c r="A4597" s="1" t="n">
        <v>4596</v>
      </c>
      <c r="B4597">
        <f>TEXT(4596, "[$-170000]yyyy-mm-dd")</f>
        <v/>
      </c>
      <c r="C4597">
        <f>TEXT(4596, "[$-060000]yyyy-mm-dd")</f>
        <v/>
      </c>
      <c r="D4597" t="inlineStr">
        <is>
          <t>1330-08-17</t>
        </is>
      </c>
    </row>
    <row r="4598">
      <c r="A4598" s="1" t="n">
        <v>4597</v>
      </c>
      <c r="B4598">
        <f>TEXT(4597, "[$-170000]yyyy-mm-dd")</f>
        <v/>
      </c>
      <c r="C4598">
        <f>TEXT(4597, "[$-060000]yyyy-mm-dd")</f>
        <v/>
      </c>
      <c r="D4598" t="inlineStr">
        <is>
          <t>1330-08-18</t>
        </is>
      </c>
    </row>
    <row r="4599">
      <c r="A4599" s="1" t="n">
        <v>4598</v>
      </c>
      <c r="B4599">
        <f>TEXT(4598, "[$-170000]yyyy-mm-dd")</f>
        <v/>
      </c>
      <c r="C4599">
        <f>TEXT(4598, "[$-060000]yyyy-mm-dd")</f>
        <v/>
      </c>
      <c r="D4599" t="inlineStr">
        <is>
          <t>1330-08-19</t>
        </is>
      </c>
    </row>
    <row r="4600">
      <c r="A4600" s="1" t="n">
        <v>4599</v>
      </c>
      <c r="B4600">
        <f>TEXT(4599, "[$-170000]yyyy-mm-dd")</f>
        <v/>
      </c>
      <c r="C4600">
        <f>TEXT(4599, "[$-060000]yyyy-mm-dd")</f>
        <v/>
      </c>
      <c r="D4600" t="inlineStr">
        <is>
          <t>1330-08-20</t>
        </is>
      </c>
    </row>
    <row r="4601">
      <c r="A4601" s="1" t="n">
        <v>4600</v>
      </c>
      <c r="B4601">
        <f>TEXT(4600, "[$-170000]yyyy-mm-dd")</f>
        <v/>
      </c>
      <c r="C4601">
        <f>TEXT(4600, "[$-060000]yyyy-mm-dd")</f>
        <v/>
      </c>
      <c r="D4601" t="inlineStr">
        <is>
          <t>1330-08-21</t>
        </is>
      </c>
    </row>
    <row r="4602">
      <c r="A4602" s="1" t="n">
        <v>4601</v>
      </c>
      <c r="B4602">
        <f>TEXT(4601, "[$-170000]yyyy-mm-dd")</f>
        <v/>
      </c>
      <c r="C4602">
        <f>TEXT(4601, "[$-060000]yyyy-mm-dd")</f>
        <v/>
      </c>
      <c r="D4602" t="inlineStr">
        <is>
          <t>1330-08-22</t>
        </is>
      </c>
    </row>
    <row r="4603">
      <c r="A4603" s="1" t="n">
        <v>4602</v>
      </c>
      <c r="B4603">
        <f>TEXT(4602, "[$-170000]yyyy-mm-dd")</f>
        <v/>
      </c>
      <c r="C4603">
        <f>TEXT(4602, "[$-060000]yyyy-mm-dd")</f>
        <v/>
      </c>
      <c r="D4603" t="inlineStr">
        <is>
          <t>1330-08-23</t>
        </is>
      </c>
    </row>
    <row r="4604">
      <c r="A4604" s="1" t="n">
        <v>4603</v>
      </c>
      <c r="B4604">
        <f>TEXT(4603, "[$-170000]yyyy-mm-dd")</f>
        <v/>
      </c>
      <c r="C4604">
        <f>TEXT(4603, "[$-060000]yyyy-mm-dd")</f>
        <v/>
      </c>
      <c r="D4604" t="inlineStr">
        <is>
          <t>1330-08-24</t>
        </is>
      </c>
    </row>
    <row r="4605">
      <c r="A4605" s="1" t="n">
        <v>4604</v>
      </c>
      <c r="B4605">
        <f>TEXT(4604, "[$-170000]yyyy-mm-dd")</f>
        <v/>
      </c>
      <c r="C4605">
        <f>TEXT(4604, "[$-060000]yyyy-mm-dd")</f>
        <v/>
      </c>
      <c r="D4605" t="inlineStr">
        <is>
          <t>1330-08-25</t>
        </is>
      </c>
    </row>
    <row r="4606">
      <c r="A4606" s="1" t="n">
        <v>4605</v>
      </c>
      <c r="B4606">
        <f>TEXT(4605, "[$-170000]yyyy-mm-dd")</f>
        <v/>
      </c>
      <c r="C4606">
        <f>TEXT(4605, "[$-060000]yyyy-mm-dd")</f>
        <v/>
      </c>
      <c r="D4606" t="inlineStr">
        <is>
          <t>1330-08-26</t>
        </is>
      </c>
    </row>
    <row r="4607">
      <c r="A4607" s="1" t="n">
        <v>4606</v>
      </c>
      <c r="B4607">
        <f>TEXT(4606, "[$-170000]yyyy-mm-dd")</f>
        <v/>
      </c>
      <c r="C4607">
        <f>TEXT(4606, "[$-060000]yyyy-mm-dd")</f>
        <v/>
      </c>
      <c r="D4607" t="inlineStr">
        <is>
          <t>1330-08-27</t>
        </is>
      </c>
    </row>
    <row r="4608">
      <c r="A4608" s="1" t="n">
        <v>4607</v>
      </c>
      <c r="B4608">
        <f>TEXT(4607, "[$-170000]yyyy-mm-dd")</f>
        <v/>
      </c>
      <c r="C4608">
        <f>TEXT(4607, "[$-060000]yyyy-mm-dd")</f>
        <v/>
      </c>
      <c r="D4608" t="inlineStr">
        <is>
          <t>1330-08-28</t>
        </is>
      </c>
    </row>
    <row r="4609">
      <c r="A4609" s="1" t="n">
        <v>4608</v>
      </c>
      <c r="B4609">
        <f>TEXT(4608, "[$-170000]yyyy-mm-dd")</f>
        <v/>
      </c>
      <c r="C4609">
        <f>TEXT(4608, "[$-060000]yyyy-mm-dd")</f>
        <v/>
      </c>
      <c r="D4609" t="inlineStr">
        <is>
          <t>1330-08-29</t>
        </is>
      </c>
    </row>
    <row r="4610">
      <c r="A4610" s="1" t="n">
        <v>4609</v>
      </c>
      <c r="B4610">
        <f>TEXT(4609, "[$-170000]yyyy-mm-dd")</f>
        <v/>
      </c>
      <c r="C4610">
        <f>TEXT(4609, "[$-060000]yyyy-mm-dd")</f>
        <v/>
      </c>
      <c r="D4610" t="inlineStr">
        <is>
          <t>1330-09-01</t>
        </is>
      </c>
    </row>
    <row r="4611">
      <c r="A4611" s="1" t="n">
        <v>4610</v>
      </c>
      <c r="B4611">
        <f>TEXT(4610, "[$-170000]yyyy-mm-dd")</f>
        <v/>
      </c>
      <c r="C4611">
        <f>TEXT(4610, "[$-060000]yyyy-mm-dd")</f>
        <v/>
      </c>
      <c r="D4611" t="inlineStr">
        <is>
          <t>1330-09-02</t>
        </is>
      </c>
    </row>
    <row r="4612">
      <c r="A4612" s="1" t="n">
        <v>4611</v>
      </c>
      <c r="B4612">
        <f>TEXT(4611, "[$-170000]yyyy-mm-dd")</f>
        <v/>
      </c>
      <c r="C4612">
        <f>TEXT(4611, "[$-060000]yyyy-mm-dd")</f>
        <v/>
      </c>
      <c r="D4612" t="inlineStr">
        <is>
          <t>1330-09-03</t>
        </is>
      </c>
    </row>
    <row r="4613">
      <c r="A4613" s="1" t="n">
        <v>4612</v>
      </c>
      <c r="B4613">
        <f>TEXT(4612, "[$-170000]yyyy-mm-dd")</f>
        <v/>
      </c>
      <c r="C4613">
        <f>TEXT(4612, "[$-060000]yyyy-mm-dd")</f>
        <v/>
      </c>
      <c r="D4613" t="inlineStr">
        <is>
          <t>1330-09-04</t>
        </is>
      </c>
    </row>
    <row r="4614">
      <c r="A4614" s="1" t="n">
        <v>4613</v>
      </c>
      <c r="B4614">
        <f>TEXT(4613, "[$-170000]yyyy-mm-dd")</f>
        <v/>
      </c>
      <c r="C4614">
        <f>TEXT(4613, "[$-060000]yyyy-mm-dd")</f>
        <v/>
      </c>
      <c r="D4614" t="inlineStr">
        <is>
          <t>1330-09-05</t>
        </is>
      </c>
    </row>
    <row r="4615">
      <c r="A4615" s="1" t="n">
        <v>4614</v>
      </c>
      <c r="B4615">
        <f>TEXT(4614, "[$-170000]yyyy-mm-dd")</f>
        <v/>
      </c>
      <c r="C4615">
        <f>TEXT(4614, "[$-060000]yyyy-mm-dd")</f>
        <v/>
      </c>
      <c r="D4615" t="inlineStr">
        <is>
          <t>1330-09-06</t>
        </is>
      </c>
    </row>
    <row r="4616">
      <c r="A4616" s="1" t="n">
        <v>4615</v>
      </c>
      <c r="B4616">
        <f>TEXT(4615, "[$-170000]yyyy-mm-dd")</f>
        <v/>
      </c>
      <c r="C4616">
        <f>TEXT(4615, "[$-060000]yyyy-mm-dd")</f>
        <v/>
      </c>
      <c r="D4616" t="inlineStr">
        <is>
          <t>1330-09-07</t>
        </is>
      </c>
    </row>
    <row r="4617">
      <c r="A4617" s="1" t="n">
        <v>4616</v>
      </c>
      <c r="B4617">
        <f>TEXT(4616, "[$-170000]yyyy-mm-dd")</f>
        <v/>
      </c>
      <c r="C4617">
        <f>TEXT(4616, "[$-060000]yyyy-mm-dd")</f>
        <v/>
      </c>
      <c r="D4617" t="inlineStr">
        <is>
          <t>1330-09-08</t>
        </is>
      </c>
    </row>
    <row r="4618">
      <c r="A4618" s="1" t="n">
        <v>4617</v>
      </c>
      <c r="B4618">
        <f>TEXT(4617, "[$-170000]yyyy-mm-dd")</f>
        <v/>
      </c>
      <c r="C4618">
        <f>TEXT(4617, "[$-060000]yyyy-mm-dd")</f>
        <v/>
      </c>
      <c r="D4618" t="inlineStr">
        <is>
          <t>1330-09-09</t>
        </is>
      </c>
    </row>
    <row r="4619">
      <c r="A4619" s="1" t="n">
        <v>4618</v>
      </c>
      <c r="B4619">
        <f>TEXT(4618, "[$-170000]yyyy-mm-dd")</f>
        <v/>
      </c>
      <c r="C4619">
        <f>TEXT(4618, "[$-060000]yyyy-mm-dd")</f>
        <v/>
      </c>
      <c r="D4619" t="inlineStr">
        <is>
          <t>1330-09-10</t>
        </is>
      </c>
    </row>
    <row r="4620">
      <c r="A4620" s="1" t="n">
        <v>4619</v>
      </c>
      <c r="B4620">
        <f>TEXT(4619, "[$-170000]yyyy-mm-dd")</f>
        <v/>
      </c>
      <c r="C4620">
        <f>TEXT(4619, "[$-060000]yyyy-mm-dd")</f>
        <v/>
      </c>
      <c r="D4620" t="inlineStr">
        <is>
          <t>1330-09-11</t>
        </is>
      </c>
    </row>
    <row r="4621">
      <c r="A4621" s="1" t="n">
        <v>4620</v>
      </c>
      <c r="B4621">
        <f>TEXT(4620, "[$-170000]yyyy-mm-dd")</f>
        <v/>
      </c>
      <c r="C4621">
        <f>TEXT(4620, "[$-060000]yyyy-mm-dd")</f>
        <v/>
      </c>
      <c r="D4621" t="inlineStr">
        <is>
          <t>1330-09-12</t>
        </is>
      </c>
    </row>
    <row r="4622">
      <c r="A4622" s="1" t="n">
        <v>4621</v>
      </c>
      <c r="B4622">
        <f>TEXT(4621, "[$-170000]yyyy-mm-dd")</f>
        <v/>
      </c>
      <c r="C4622">
        <f>TEXT(4621, "[$-060000]yyyy-mm-dd")</f>
        <v/>
      </c>
      <c r="D4622" t="inlineStr">
        <is>
          <t>1330-09-13</t>
        </is>
      </c>
    </row>
    <row r="4623">
      <c r="A4623" s="1" t="n">
        <v>4622</v>
      </c>
      <c r="B4623">
        <f>TEXT(4622, "[$-170000]yyyy-mm-dd")</f>
        <v/>
      </c>
      <c r="C4623">
        <f>TEXT(4622, "[$-060000]yyyy-mm-dd")</f>
        <v/>
      </c>
      <c r="D4623" t="inlineStr">
        <is>
          <t>1330-09-14</t>
        </is>
      </c>
    </row>
    <row r="4624">
      <c r="A4624" s="1" t="n">
        <v>4623</v>
      </c>
      <c r="B4624">
        <f>TEXT(4623, "[$-170000]yyyy-mm-dd")</f>
        <v/>
      </c>
      <c r="C4624">
        <f>TEXT(4623, "[$-060000]yyyy-mm-dd")</f>
        <v/>
      </c>
      <c r="D4624" t="inlineStr">
        <is>
          <t>1330-09-15</t>
        </is>
      </c>
    </row>
    <row r="4625">
      <c r="A4625" s="1" t="n">
        <v>4624</v>
      </c>
      <c r="B4625">
        <f>TEXT(4624, "[$-170000]yyyy-mm-dd")</f>
        <v/>
      </c>
      <c r="C4625">
        <f>TEXT(4624, "[$-060000]yyyy-mm-dd")</f>
        <v/>
      </c>
      <c r="D4625" t="inlineStr">
        <is>
          <t>1330-09-16</t>
        </is>
      </c>
    </row>
    <row r="4626">
      <c r="A4626" s="1" t="n">
        <v>4625</v>
      </c>
      <c r="B4626">
        <f>TEXT(4625, "[$-170000]yyyy-mm-dd")</f>
        <v/>
      </c>
      <c r="C4626">
        <f>TEXT(4625, "[$-060000]yyyy-mm-dd")</f>
        <v/>
      </c>
      <c r="D4626" t="inlineStr">
        <is>
          <t>1330-09-17</t>
        </is>
      </c>
    </row>
    <row r="4627">
      <c r="A4627" s="1" t="n">
        <v>4626</v>
      </c>
      <c r="B4627">
        <f>TEXT(4626, "[$-170000]yyyy-mm-dd")</f>
        <v/>
      </c>
      <c r="C4627">
        <f>TEXT(4626, "[$-060000]yyyy-mm-dd")</f>
        <v/>
      </c>
      <c r="D4627" t="inlineStr">
        <is>
          <t>1330-09-18</t>
        </is>
      </c>
    </row>
    <row r="4628">
      <c r="A4628" s="1" t="n">
        <v>4627</v>
      </c>
      <c r="B4628">
        <f>TEXT(4627, "[$-170000]yyyy-mm-dd")</f>
        <v/>
      </c>
      <c r="C4628">
        <f>TEXT(4627, "[$-060000]yyyy-mm-dd")</f>
        <v/>
      </c>
      <c r="D4628" t="inlineStr">
        <is>
          <t>1330-09-19</t>
        </is>
      </c>
    </row>
    <row r="4629">
      <c r="A4629" s="1" t="n">
        <v>4628</v>
      </c>
      <c r="B4629">
        <f>TEXT(4628, "[$-170000]yyyy-mm-dd")</f>
        <v/>
      </c>
      <c r="C4629">
        <f>TEXT(4628, "[$-060000]yyyy-mm-dd")</f>
        <v/>
      </c>
      <c r="D4629" t="inlineStr">
        <is>
          <t>1330-09-20</t>
        </is>
      </c>
    </row>
    <row r="4630">
      <c r="A4630" s="1" t="n">
        <v>4629</v>
      </c>
      <c r="B4630">
        <f>TEXT(4629, "[$-170000]yyyy-mm-dd")</f>
        <v/>
      </c>
      <c r="C4630">
        <f>TEXT(4629, "[$-060000]yyyy-mm-dd")</f>
        <v/>
      </c>
      <c r="D4630" t="inlineStr">
        <is>
          <t>1330-09-21</t>
        </is>
      </c>
    </row>
    <row r="4631">
      <c r="A4631" s="1" t="n">
        <v>4630</v>
      </c>
      <c r="B4631">
        <f>TEXT(4630, "[$-170000]yyyy-mm-dd")</f>
        <v/>
      </c>
      <c r="C4631">
        <f>TEXT(4630, "[$-060000]yyyy-mm-dd")</f>
        <v/>
      </c>
      <c r="D4631" t="inlineStr">
        <is>
          <t>1330-09-22</t>
        </is>
      </c>
    </row>
    <row r="4632">
      <c r="A4632" s="1" t="n">
        <v>4631</v>
      </c>
      <c r="B4632">
        <f>TEXT(4631, "[$-170000]yyyy-mm-dd")</f>
        <v/>
      </c>
      <c r="C4632">
        <f>TEXT(4631, "[$-060000]yyyy-mm-dd")</f>
        <v/>
      </c>
      <c r="D4632" t="inlineStr">
        <is>
          <t>1330-09-23</t>
        </is>
      </c>
    </row>
    <row r="4633">
      <c r="A4633" s="1" t="n">
        <v>4632</v>
      </c>
      <c r="B4633">
        <f>TEXT(4632, "[$-170000]yyyy-mm-dd")</f>
        <v/>
      </c>
      <c r="C4633">
        <f>TEXT(4632, "[$-060000]yyyy-mm-dd")</f>
        <v/>
      </c>
      <c r="D4633" t="inlineStr">
        <is>
          <t>1330-09-24</t>
        </is>
      </c>
    </row>
    <row r="4634">
      <c r="A4634" s="1" t="n">
        <v>4633</v>
      </c>
      <c r="B4634">
        <f>TEXT(4633, "[$-170000]yyyy-mm-dd")</f>
        <v/>
      </c>
      <c r="C4634">
        <f>TEXT(4633, "[$-060000]yyyy-mm-dd")</f>
        <v/>
      </c>
      <c r="D4634" t="inlineStr">
        <is>
          <t>1330-09-25</t>
        </is>
      </c>
    </row>
    <row r="4635">
      <c r="A4635" s="1" t="n">
        <v>4634</v>
      </c>
      <c r="B4635">
        <f>TEXT(4634, "[$-170000]yyyy-mm-dd")</f>
        <v/>
      </c>
      <c r="C4635">
        <f>TEXT(4634, "[$-060000]yyyy-mm-dd")</f>
        <v/>
      </c>
      <c r="D4635" t="inlineStr">
        <is>
          <t>1330-09-26</t>
        </is>
      </c>
    </row>
    <row r="4636">
      <c r="A4636" s="1" t="n">
        <v>4635</v>
      </c>
      <c r="B4636">
        <f>TEXT(4635, "[$-170000]yyyy-mm-dd")</f>
        <v/>
      </c>
      <c r="C4636">
        <f>TEXT(4635, "[$-060000]yyyy-mm-dd")</f>
        <v/>
      </c>
      <c r="D4636" t="inlineStr">
        <is>
          <t>1330-09-27</t>
        </is>
      </c>
    </row>
    <row r="4637">
      <c r="A4637" s="1" t="n">
        <v>4636</v>
      </c>
      <c r="B4637">
        <f>TEXT(4636, "[$-170000]yyyy-mm-dd")</f>
        <v/>
      </c>
      <c r="C4637">
        <f>TEXT(4636, "[$-060000]yyyy-mm-dd")</f>
        <v/>
      </c>
      <c r="D4637" t="inlineStr">
        <is>
          <t>1330-09-28</t>
        </is>
      </c>
    </row>
    <row r="4638">
      <c r="A4638" s="1" t="n">
        <v>4637</v>
      </c>
      <c r="B4638">
        <f>TEXT(4637, "[$-170000]yyyy-mm-dd")</f>
        <v/>
      </c>
      <c r="C4638">
        <f>TEXT(4637, "[$-060000]yyyy-mm-dd")</f>
        <v/>
      </c>
      <c r="D4638" t="inlineStr">
        <is>
          <t>1330-09-29</t>
        </is>
      </c>
    </row>
    <row r="4639">
      <c r="A4639" s="1" t="n">
        <v>4638</v>
      </c>
      <c r="B4639">
        <f>TEXT(4638, "[$-170000]yyyy-mm-dd")</f>
        <v/>
      </c>
      <c r="C4639">
        <f>TEXT(4638, "[$-060000]yyyy-mm-dd")</f>
        <v/>
      </c>
      <c r="D4639" t="inlineStr">
        <is>
          <t>1330-09-30</t>
        </is>
      </c>
    </row>
    <row r="4640">
      <c r="A4640" s="1" t="n">
        <v>4639</v>
      </c>
      <c r="B4640">
        <f>TEXT(4639, "[$-170000]yyyy-mm-dd")</f>
        <v/>
      </c>
      <c r="C4640">
        <f>TEXT(4639, "[$-060000]yyyy-mm-dd")</f>
        <v/>
      </c>
      <c r="D4640" t="inlineStr">
        <is>
          <t>1330-10-01</t>
        </is>
      </c>
    </row>
    <row r="4641">
      <c r="A4641" s="1" t="n">
        <v>4640</v>
      </c>
      <c r="B4641">
        <f>TEXT(4640, "[$-170000]yyyy-mm-dd")</f>
        <v/>
      </c>
      <c r="C4641">
        <f>TEXT(4640, "[$-060000]yyyy-mm-dd")</f>
        <v/>
      </c>
      <c r="D4641" t="inlineStr">
        <is>
          <t>1330-10-02</t>
        </is>
      </c>
    </row>
    <row r="4642">
      <c r="A4642" s="1" t="n">
        <v>4641</v>
      </c>
      <c r="B4642">
        <f>TEXT(4641, "[$-170000]yyyy-mm-dd")</f>
        <v/>
      </c>
      <c r="C4642">
        <f>TEXT(4641, "[$-060000]yyyy-mm-dd")</f>
        <v/>
      </c>
      <c r="D4642" t="inlineStr">
        <is>
          <t>1330-10-03</t>
        </is>
      </c>
    </row>
    <row r="4643">
      <c r="A4643" s="1" t="n">
        <v>4642</v>
      </c>
      <c r="B4643">
        <f>TEXT(4642, "[$-170000]yyyy-mm-dd")</f>
        <v/>
      </c>
      <c r="C4643">
        <f>TEXT(4642, "[$-060000]yyyy-mm-dd")</f>
        <v/>
      </c>
      <c r="D4643" t="inlineStr">
        <is>
          <t>1330-10-04</t>
        </is>
      </c>
    </row>
    <row r="4644">
      <c r="A4644" s="1" t="n">
        <v>4643</v>
      </c>
      <c r="B4644">
        <f>TEXT(4643, "[$-170000]yyyy-mm-dd")</f>
        <v/>
      </c>
      <c r="C4644">
        <f>TEXT(4643, "[$-060000]yyyy-mm-dd")</f>
        <v/>
      </c>
      <c r="D4644" t="inlineStr">
        <is>
          <t>1330-10-05</t>
        </is>
      </c>
    </row>
    <row r="4645">
      <c r="A4645" s="1" t="n">
        <v>4644</v>
      </c>
      <c r="B4645">
        <f>TEXT(4644, "[$-170000]yyyy-mm-dd")</f>
        <v/>
      </c>
      <c r="C4645">
        <f>TEXT(4644, "[$-060000]yyyy-mm-dd")</f>
        <v/>
      </c>
      <c r="D4645" t="inlineStr">
        <is>
          <t>1330-10-06</t>
        </is>
      </c>
    </row>
    <row r="4646">
      <c r="A4646" s="1" t="n">
        <v>4645</v>
      </c>
      <c r="B4646">
        <f>TEXT(4645, "[$-170000]yyyy-mm-dd")</f>
        <v/>
      </c>
      <c r="C4646">
        <f>TEXT(4645, "[$-060000]yyyy-mm-dd")</f>
        <v/>
      </c>
      <c r="D4646" t="inlineStr">
        <is>
          <t>1330-10-07</t>
        </is>
      </c>
    </row>
    <row r="4647">
      <c r="A4647" s="1" t="n">
        <v>4646</v>
      </c>
      <c r="B4647">
        <f>TEXT(4646, "[$-170000]yyyy-mm-dd")</f>
        <v/>
      </c>
      <c r="C4647">
        <f>TEXT(4646, "[$-060000]yyyy-mm-dd")</f>
        <v/>
      </c>
      <c r="D4647" t="inlineStr">
        <is>
          <t>1330-10-08</t>
        </is>
      </c>
    </row>
    <row r="4648">
      <c r="A4648" s="1" t="n">
        <v>4647</v>
      </c>
      <c r="B4648">
        <f>TEXT(4647, "[$-170000]yyyy-mm-dd")</f>
        <v/>
      </c>
      <c r="C4648">
        <f>TEXT(4647, "[$-060000]yyyy-mm-dd")</f>
        <v/>
      </c>
      <c r="D4648" t="inlineStr">
        <is>
          <t>1330-10-09</t>
        </is>
      </c>
    </row>
    <row r="4649">
      <c r="A4649" s="1" t="n">
        <v>4648</v>
      </c>
      <c r="B4649">
        <f>TEXT(4648, "[$-170000]yyyy-mm-dd")</f>
        <v/>
      </c>
      <c r="C4649">
        <f>TEXT(4648, "[$-060000]yyyy-mm-dd")</f>
        <v/>
      </c>
      <c r="D4649" t="inlineStr">
        <is>
          <t>1330-10-10</t>
        </is>
      </c>
    </row>
    <row r="4650">
      <c r="A4650" s="1" t="n">
        <v>4649</v>
      </c>
      <c r="B4650">
        <f>TEXT(4649, "[$-170000]yyyy-mm-dd")</f>
        <v/>
      </c>
      <c r="C4650">
        <f>TEXT(4649, "[$-060000]yyyy-mm-dd")</f>
        <v/>
      </c>
      <c r="D4650" t="inlineStr">
        <is>
          <t>1330-10-11</t>
        </is>
      </c>
    </row>
    <row r="4651">
      <c r="A4651" s="1" t="n">
        <v>4650</v>
      </c>
      <c r="B4651">
        <f>TEXT(4650, "[$-170000]yyyy-mm-dd")</f>
        <v/>
      </c>
      <c r="C4651">
        <f>TEXT(4650, "[$-060000]yyyy-mm-dd")</f>
        <v/>
      </c>
      <c r="D4651" t="inlineStr">
        <is>
          <t>1330-10-12</t>
        </is>
      </c>
    </row>
    <row r="4652">
      <c r="A4652" s="1" t="n">
        <v>4651</v>
      </c>
      <c r="B4652">
        <f>TEXT(4651, "[$-170000]yyyy-mm-dd")</f>
        <v/>
      </c>
      <c r="C4652">
        <f>TEXT(4651, "[$-060000]yyyy-mm-dd")</f>
        <v/>
      </c>
      <c r="D4652" t="inlineStr">
        <is>
          <t>1330-10-13</t>
        </is>
      </c>
    </row>
    <row r="4653">
      <c r="A4653" s="1" t="n">
        <v>4652</v>
      </c>
      <c r="B4653">
        <f>TEXT(4652, "[$-170000]yyyy-mm-dd")</f>
        <v/>
      </c>
      <c r="C4653">
        <f>TEXT(4652, "[$-060000]yyyy-mm-dd")</f>
        <v/>
      </c>
      <c r="D4653" t="inlineStr">
        <is>
          <t>1330-10-14</t>
        </is>
      </c>
    </row>
    <row r="4654">
      <c r="A4654" s="1" t="n">
        <v>4653</v>
      </c>
      <c r="B4654">
        <f>TEXT(4653, "[$-170000]yyyy-mm-dd")</f>
        <v/>
      </c>
      <c r="C4654">
        <f>TEXT(4653, "[$-060000]yyyy-mm-dd")</f>
        <v/>
      </c>
      <c r="D4654" t="inlineStr">
        <is>
          <t>1330-10-15</t>
        </is>
      </c>
    </row>
    <row r="4655">
      <c r="A4655" s="1" t="n">
        <v>4654</v>
      </c>
      <c r="B4655">
        <f>TEXT(4654, "[$-170000]yyyy-mm-dd")</f>
        <v/>
      </c>
      <c r="C4655">
        <f>TEXT(4654, "[$-060000]yyyy-mm-dd")</f>
        <v/>
      </c>
      <c r="D4655" t="inlineStr">
        <is>
          <t>1330-10-16</t>
        </is>
      </c>
    </row>
    <row r="4656">
      <c r="A4656" s="1" t="n">
        <v>4655</v>
      </c>
      <c r="B4656">
        <f>TEXT(4655, "[$-170000]yyyy-mm-dd")</f>
        <v/>
      </c>
      <c r="C4656">
        <f>TEXT(4655, "[$-060000]yyyy-mm-dd")</f>
        <v/>
      </c>
      <c r="D4656" t="inlineStr">
        <is>
          <t>1330-10-17</t>
        </is>
      </c>
    </row>
    <row r="4657">
      <c r="A4657" s="1" t="n">
        <v>4656</v>
      </c>
      <c r="B4657">
        <f>TEXT(4656, "[$-170000]yyyy-mm-dd")</f>
        <v/>
      </c>
      <c r="C4657">
        <f>TEXT(4656, "[$-060000]yyyy-mm-dd")</f>
        <v/>
      </c>
      <c r="D4657" t="inlineStr">
        <is>
          <t>1330-10-18</t>
        </is>
      </c>
    </row>
    <row r="4658">
      <c r="A4658" s="1" t="n">
        <v>4657</v>
      </c>
      <c r="B4658">
        <f>TEXT(4657, "[$-170000]yyyy-mm-dd")</f>
        <v/>
      </c>
      <c r="C4658">
        <f>TEXT(4657, "[$-060000]yyyy-mm-dd")</f>
        <v/>
      </c>
      <c r="D4658" t="inlineStr">
        <is>
          <t>1330-10-19</t>
        </is>
      </c>
    </row>
    <row r="4659">
      <c r="A4659" s="1" t="n">
        <v>4658</v>
      </c>
      <c r="B4659">
        <f>TEXT(4658, "[$-170000]yyyy-mm-dd")</f>
        <v/>
      </c>
      <c r="C4659">
        <f>TEXT(4658, "[$-060000]yyyy-mm-dd")</f>
        <v/>
      </c>
      <c r="D4659" t="inlineStr">
        <is>
          <t>1330-10-20</t>
        </is>
      </c>
    </row>
    <row r="4660">
      <c r="A4660" s="1" t="n">
        <v>4659</v>
      </c>
      <c r="B4660">
        <f>TEXT(4659, "[$-170000]yyyy-mm-dd")</f>
        <v/>
      </c>
      <c r="C4660">
        <f>TEXT(4659, "[$-060000]yyyy-mm-dd")</f>
        <v/>
      </c>
      <c r="D4660" t="inlineStr">
        <is>
          <t>1330-10-21</t>
        </is>
      </c>
    </row>
    <row r="4661">
      <c r="A4661" s="1" t="n">
        <v>4660</v>
      </c>
      <c r="B4661">
        <f>TEXT(4660, "[$-170000]yyyy-mm-dd")</f>
        <v/>
      </c>
      <c r="C4661">
        <f>TEXT(4660, "[$-060000]yyyy-mm-dd")</f>
        <v/>
      </c>
      <c r="D4661" t="inlineStr">
        <is>
          <t>1330-10-22</t>
        </is>
      </c>
    </row>
    <row r="4662">
      <c r="A4662" s="1" t="n">
        <v>4661</v>
      </c>
      <c r="B4662">
        <f>TEXT(4661, "[$-170000]yyyy-mm-dd")</f>
        <v/>
      </c>
      <c r="C4662">
        <f>TEXT(4661, "[$-060000]yyyy-mm-dd")</f>
        <v/>
      </c>
      <c r="D4662" t="inlineStr">
        <is>
          <t>1330-10-23</t>
        </is>
      </c>
    </row>
    <row r="4663">
      <c r="A4663" s="1" t="n">
        <v>4662</v>
      </c>
      <c r="B4663">
        <f>TEXT(4662, "[$-170000]yyyy-mm-dd")</f>
        <v/>
      </c>
      <c r="C4663">
        <f>TEXT(4662, "[$-060000]yyyy-mm-dd")</f>
        <v/>
      </c>
      <c r="D4663" t="inlineStr">
        <is>
          <t>1330-10-24</t>
        </is>
      </c>
    </row>
    <row r="4664">
      <c r="A4664" s="1" t="n">
        <v>4663</v>
      </c>
      <c r="B4664">
        <f>TEXT(4663, "[$-170000]yyyy-mm-dd")</f>
        <v/>
      </c>
      <c r="C4664">
        <f>TEXT(4663, "[$-060000]yyyy-mm-dd")</f>
        <v/>
      </c>
      <c r="D4664" t="inlineStr">
        <is>
          <t>1330-10-25</t>
        </is>
      </c>
    </row>
    <row r="4665">
      <c r="A4665" s="1" t="n">
        <v>4664</v>
      </c>
      <c r="B4665">
        <f>TEXT(4664, "[$-170000]yyyy-mm-dd")</f>
        <v/>
      </c>
      <c r="C4665">
        <f>TEXT(4664, "[$-060000]yyyy-mm-dd")</f>
        <v/>
      </c>
      <c r="D4665" t="inlineStr">
        <is>
          <t>1330-10-26</t>
        </is>
      </c>
    </row>
    <row r="4666">
      <c r="A4666" s="1" t="n">
        <v>4665</v>
      </c>
      <c r="B4666">
        <f>TEXT(4665, "[$-170000]yyyy-mm-dd")</f>
        <v/>
      </c>
      <c r="C4666">
        <f>TEXT(4665, "[$-060000]yyyy-mm-dd")</f>
        <v/>
      </c>
      <c r="D4666" t="inlineStr">
        <is>
          <t>1330-10-27</t>
        </is>
      </c>
    </row>
    <row r="4667">
      <c r="A4667" s="1" t="n">
        <v>4666</v>
      </c>
      <c r="B4667">
        <f>TEXT(4666, "[$-170000]yyyy-mm-dd")</f>
        <v/>
      </c>
      <c r="C4667">
        <f>TEXT(4666, "[$-060000]yyyy-mm-dd")</f>
        <v/>
      </c>
      <c r="D4667" t="inlineStr">
        <is>
          <t>1330-10-28</t>
        </is>
      </c>
    </row>
    <row r="4668">
      <c r="A4668" s="1" t="n">
        <v>4667</v>
      </c>
      <c r="B4668">
        <f>TEXT(4667, "[$-170000]yyyy-mm-dd")</f>
        <v/>
      </c>
      <c r="C4668">
        <f>TEXT(4667, "[$-060000]yyyy-mm-dd")</f>
        <v/>
      </c>
      <c r="D4668" t="inlineStr">
        <is>
          <t>1330-10-29</t>
        </is>
      </c>
    </row>
    <row r="4669">
      <c r="A4669" s="1" t="n">
        <v>4668</v>
      </c>
      <c r="B4669">
        <f>TEXT(4668, "[$-170000]yyyy-mm-dd")</f>
        <v/>
      </c>
      <c r="C4669">
        <f>TEXT(4668, "[$-060000]yyyy-mm-dd")</f>
        <v/>
      </c>
      <c r="D4669" t="inlineStr">
        <is>
          <t>1330-11-01</t>
        </is>
      </c>
    </row>
    <row r="4670">
      <c r="A4670" s="1" t="n">
        <v>4669</v>
      </c>
      <c r="B4670">
        <f>TEXT(4669, "[$-170000]yyyy-mm-dd")</f>
        <v/>
      </c>
      <c r="C4670">
        <f>TEXT(4669, "[$-060000]yyyy-mm-dd")</f>
        <v/>
      </c>
      <c r="D4670" t="inlineStr">
        <is>
          <t>1330-11-02</t>
        </is>
      </c>
    </row>
    <row r="4671">
      <c r="A4671" s="1" t="n">
        <v>4670</v>
      </c>
      <c r="B4671">
        <f>TEXT(4670, "[$-170000]yyyy-mm-dd")</f>
        <v/>
      </c>
      <c r="C4671">
        <f>TEXT(4670, "[$-060000]yyyy-mm-dd")</f>
        <v/>
      </c>
      <c r="D4671" t="inlineStr">
        <is>
          <t>1330-11-03</t>
        </is>
      </c>
    </row>
    <row r="4672">
      <c r="A4672" s="1" t="n">
        <v>4671</v>
      </c>
      <c r="B4672">
        <f>TEXT(4671, "[$-170000]yyyy-mm-dd")</f>
        <v/>
      </c>
      <c r="C4672">
        <f>TEXT(4671, "[$-060000]yyyy-mm-dd")</f>
        <v/>
      </c>
      <c r="D4672" t="inlineStr">
        <is>
          <t>1330-11-04</t>
        </is>
      </c>
    </row>
    <row r="4673">
      <c r="A4673" s="1" t="n">
        <v>4672</v>
      </c>
      <c r="B4673">
        <f>TEXT(4672, "[$-170000]yyyy-mm-dd")</f>
        <v/>
      </c>
      <c r="C4673">
        <f>TEXT(4672, "[$-060000]yyyy-mm-dd")</f>
        <v/>
      </c>
      <c r="D4673" t="inlineStr">
        <is>
          <t>1330-11-05</t>
        </is>
      </c>
    </row>
    <row r="4674">
      <c r="A4674" s="1" t="n">
        <v>4673</v>
      </c>
      <c r="B4674">
        <f>TEXT(4673, "[$-170000]yyyy-mm-dd")</f>
        <v/>
      </c>
      <c r="C4674">
        <f>TEXT(4673, "[$-060000]yyyy-mm-dd")</f>
        <v/>
      </c>
      <c r="D4674" t="inlineStr">
        <is>
          <t>1330-11-06</t>
        </is>
      </c>
    </row>
    <row r="4675">
      <c r="A4675" s="1" t="n">
        <v>4674</v>
      </c>
      <c r="B4675">
        <f>TEXT(4674, "[$-170000]yyyy-mm-dd")</f>
        <v/>
      </c>
      <c r="C4675">
        <f>TEXT(4674, "[$-060000]yyyy-mm-dd")</f>
        <v/>
      </c>
      <c r="D4675" t="inlineStr">
        <is>
          <t>1330-11-07</t>
        </is>
      </c>
    </row>
    <row r="4676">
      <c r="A4676" s="1" t="n">
        <v>4675</v>
      </c>
      <c r="B4676">
        <f>TEXT(4675, "[$-170000]yyyy-mm-dd")</f>
        <v/>
      </c>
      <c r="C4676">
        <f>TEXT(4675, "[$-060000]yyyy-mm-dd")</f>
        <v/>
      </c>
      <c r="D4676" t="inlineStr">
        <is>
          <t>1330-11-08</t>
        </is>
      </c>
    </row>
    <row r="4677">
      <c r="A4677" s="1" t="n">
        <v>4676</v>
      </c>
      <c r="B4677">
        <f>TEXT(4676, "[$-170000]yyyy-mm-dd")</f>
        <v/>
      </c>
      <c r="C4677">
        <f>TEXT(4676, "[$-060000]yyyy-mm-dd")</f>
        <v/>
      </c>
      <c r="D4677" t="inlineStr">
        <is>
          <t>1330-11-09</t>
        </is>
      </c>
    </row>
    <row r="4678">
      <c r="A4678" s="1" t="n">
        <v>4677</v>
      </c>
      <c r="B4678">
        <f>TEXT(4677, "[$-170000]yyyy-mm-dd")</f>
        <v/>
      </c>
      <c r="C4678">
        <f>TEXT(4677, "[$-060000]yyyy-mm-dd")</f>
        <v/>
      </c>
      <c r="D4678" t="inlineStr">
        <is>
          <t>1330-11-10</t>
        </is>
      </c>
    </row>
    <row r="4679">
      <c r="A4679" s="1" t="n">
        <v>4678</v>
      </c>
      <c r="B4679">
        <f>TEXT(4678, "[$-170000]yyyy-mm-dd")</f>
        <v/>
      </c>
      <c r="C4679">
        <f>TEXT(4678, "[$-060000]yyyy-mm-dd")</f>
        <v/>
      </c>
      <c r="D4679" t="inlineStr">
        <is>
          <t>1330-11-11</t>
        </is>
      </c>
    </row>
    <row r="4680">
      <c r="A4680" s="1" t="n">
        <v>4679</v>
      </c>
      <c r="B4680">
        <f>TEXT(4679, "[$-170000]yyyy-mm-dd")</f>
        <v/>
      </c>
      <c r="C4680">
        <f>TEXT(4679, "[$-060000]yyyy-mm-dd")</f>
        <v/>
      </c>
      <c r="D4680" t="inlineStr">
        <is>
          <t>1330-11-12</t>
        </is>
      </c>
    </row>
    <row r="4681">
      <c r="A4681" s="1" t="n">
        <v>4680</v>
      </c>
      <c r="B4681">
        <f>TEXT(4680, "[$-170000]yyyy-mm-dd")</f>
        <v/>
      </c>
      <c r="C4681">
        <f>TEXT(4680, "[$-060000]yyyy-mm-dd")</f>
        <v/>
      </c>
      <c r="D4681" t="inlineStr">
        <is>
          <t>1330-11-13</t>
        </is>
      </c>
    </row>
    <row r="4682">
      <c r="A4682" s="1" t="n">
        <v>4681</v>
      </c>
      <c r="B4682">
        <f>TEXT(4681, "[$-170000]yyyy-mm-dd")</f>
        <v/>
      </c>
      <c r="C4682">
        <f>TEXT(4681, "[$-060000]yyyy-mm-dd")</f>
        <v/>
      </c>
      <c r="D4682" t="inlineStr">
        <is>
          <t>1330-11-14</t>
        </is>
      </c>
    </row>
    <row r="4683">
      <c r="A4683" s="1" t="n">
        <v>4682</v>
      </c>
      <c r="B4683">
        <f>TEXT(4682, "[$-170000]yyyy-mm-dd")</f>
        <v/>
      </c>
      <c r="C4683">
        <f>TEXT(4682, "[$-060000]yyyy-mm-dd")</f>
        <v/>
      </c>
      <c r="D4683" t="inlineStr">
        <is>
          <t>1330-11-15</t>
        </is>
      </c>
    </row>
    <row r="4684">
      <c r="A4684" s="1" t="n">
        <v>4683</v>
      </c>
      <c r="B4684">
        <f>TEXT(4683, "[$-170000]yyyy-mm-dd")</f>
        <v/>
      </c>
      <c r="C4684">
        <f>TEXT(4683, "[$-060000]yyyy-mm-dd")</f>
        <v/>
      </c>
      <c r="D4684" t="inlineStr">
        <is>
          <t>1330-11-16</t>
        </is>
      </c>
    </row>
    <row r="4685">
      <c r="A4685" s="1" t="n">
        <v>4684</v>
      </c>
      <c r="B4685">
        <f>TEXT(4684, "[$-170000]yyyy-mm-dd")</f>
        <v/>
      </c>
      <c r="C4685">
        <f>TEXT(4684, "[$-060000]yyyy-mm-dd")</f>
        <v/>
      </c>
      <c r="D4685" t="inlineStr">
        <is>
          <t>1330-11-17</t>
        </is>
      </c>
    </row>
    <row r="4686">
      <c r="A4686" s="1" t="n">
        <v>4685</v>
      </c>
      <c r="B4686">
        <f>TEXT(4685, "[$-170000]yyyy-mm-dd")</f>
        <v/>
      </c>
      <c r="C4686">
        <f>TEXT(4685, "[$-060000]yyyy-mm-dd")</f>
        <v/>
      </c>
      <c r="D4686" t="inlineStr">
        <is>
          <t>1330-11-18</t>
        </is>
      </c>
    </row>
    <row r="4687">
      <c r="A4687" s="1" t="n">
        <v>4686</v>
      </c>
      <c r="B4687">
        <f>TEXT(4686, "[$-170000]yyyy-mm-dd")</f>
        <v/>
      </c>
      <c r="C4687">
        <f>TEXT(4686, "[$-060000]yyyy-mm-dd")</f>
        <v/>
      </c>
      <c r="D4687" t="inlineStr">
        <is>
          <t>1330-11-19</t>
        </is>
      </c>
    </row>
    <row r="4688">
      <c r="A4688" s="1" t="n">
        <v>4687</v>
      </c>
      <c r="B4688">
        <f>TEXT(4687, "[$-170000]yyyy-mm-dd")</f>
        <v/>
      </c>
      <c r="C4688">
        <f>TEXT(4687, "[$-060000]yyyy-mm-dd")</f>
        <v/>
      </c>
      <c r="D4688" t="inlineStr">
        <is>
          <t>1330-11-20</t>
        </is>
      </c>
    </row>
    <row r="4689">
      <c r="A4689" s="1" t="n">
        <v>4688</v>
      </c>
      <c r="B4689">
        <f>TEXT(4688, "[$-170000]yyyy-mm-dd")</f>
        <v/>
      </c>
      <c r="C4689">
        <f>TEXT(4688, "[$-060000]yyyy-mm-dd")</f>
        <v/>
      </c>
      <c r="D4689" t="inlineStr">
        <is>
          <t>1330-11-21</t>
        </is>
      </c>
    </row>
    <row r="4690">
      <c r="A4690" s="1" t="n">
        <v>4689</v>
      </c>
      <c r="B4690">
        <f>TEXT(4689, "[$-170000]yyyy-mm-dd")</f>
        <v/>
      </c>
      <c r="C4690">
        <f>TEXT(4689, "[$-060000]yyyy-mm-dd")</f>
        <v/>
      </c>
      <c r="D4690" t="inlineStr">
        <is>
          <t>1330-11-22</t>
        </is>
      </c>
    </row>
    <row r="4691">
      <c r="A4691" s="1" t="n">
        <v>4690</v>
      </c>
      <c r="B4691">
        <f>TEXT(4690, "[$-170000]yyyy-mm-dd")</f>
        <v/>
      </c>
      <c r="C4691">
        <f>TEXT(4690, "[$-060000]yyyy-mm-dd")</f>
        <v/>
      </c>
      <c r="D4691" t="inlineStr">
        <is>
          <t>1330-11-23</t>
        </is>
      </c>
    </row>
    <row r="4692">
      <c r="A4692" s="1" t="n">
        <v>4691</v>
      </c>
      <c r="B4692">
        <f>TEXT(4691, "[$-170000]yyyy-mm-dd")</f>
        <v/>
      </c>
      <c r="C4692">
        <f>TEXT(4691, "[$-060000]yyyy-mm-dd")</f>
        <v/>
      </c>
      <c r="D4692" t="inlineStr">
        <is>
          <t>1330-11-24</t>
        </is>
      </c>
    </row>
    <row r="4693">
      <c r="A4693" s="1" t="n">
        <v>4692</v>
      </c>
      <c r="B4693">
        <f>TEXT(4692, "[$-170000]yyyy-mm-dd")</f>
        <v/>
      </c>
      <c r="C4693">
        <f>TEXT(4692, "[$-060000]yyyy-mm-dd")</f>
        <v/>
      </c>
      <c r="D4693" t="inlineStr">
        <is>
          <t>1330-11-25</t>
        </is>
      </c>
    </row>
    <row r="4694">
      <c r="A4694" s="1" t="n">
        <v>4693</v>
      </c>
      <c r="B4694">
        <f>TEXT(4693, "[$-170000]yyyy-mm-dd")</f>
        <v/>
      </c>
      <c r="C4694">
        <f>TEXT(4693, "[$-060000]yyyy-mm-dd")</f>
        <v/>
      </c>
      <c r="D4694" t="inlineStr">
        <is>
          <t>1330-11-26</t>
        </is>
      </c>
    </row>
    <row r="4695">
      <c r="A4695" s="1" t="n">
        <v>4694</v>
      </c>
      <c r="B4695">
        <f>TEXT(4694, "[$-170000]yyyy-mm-dd")</f>
        <v/>
      </c>
      <c r="C4695">
        <f>TEXT(4694, "[$-060000]yyyy-mm-dd")</f>
        <v/>
      </c>
      <c r="D4695" t="inlineStr">
        <is>
          <t>1330-11-27</t>
        </is>
      </c>
    </row>
    <row r="4696">
      <c r="A4696" s="1" t="n">
        <v>4695</v>
      </c>
      <c r="B4696">
        <f>TEXT(4695, "[$-170000]yyyy-mm-dd")</f>
        <v/>
      </c>
      <c r="C4696">
        <f>TEXT(4695, "[$-060000]yyyy-mm-dd")</f>
        <v/>
      </c>
      <c r="D4696" t="inlineStr">
        <is>
          <t>1330-11-28</t>
        </is>
      </c>
    </row>
    <row r="4697">
      <c r="A4697" s="1" t="n">
        <v>4696</v>
      </c>
      <c r="B4697">
        <f>TEXT(4696, "[$-170000]yyyy-mm-dd")</f>
        <v/>
      </c>
      <c r="C4697">
        <f>TEXT(4696, "[$-060000]yyyy-mm-dd")</f>
        <v/>
      </c>
      <c r="D4697" t="inlineStr">
        <is>
          <t>1330-11-29</t>
        </is>
      </c>
    </row>
    <row r="4698">
      <c r="A4698" s="1" t="n">
        <v>4697</v>
      </c>
      <c r="B4698">
        <f>TEXT(4697, "[$-170000]yyyy-mm-dd")</f>
        <v/>
      </c>
      <c r="C4698">
        <f>TEXT(4697, "[$-060000]yyyy-mm-dd")</f>
        <v/>
      </c>
      <c r="D4698" t="inlineStr">
        <is>
          <t>1330-11-30</t>
        </is>
      </c>
    </row>
    <row r="4699">
      <c r="A4699" s="1" t="n">
        <v>4698</v>
      </c>
      <c r="B4699">
        <f>TEXT(4698, "[$-170000]yyyy-mm-dd")</f>
        <v/>
      </c>
      <c r="C4699">
        <f>TEXT(4698, "[$-060000]yyyy-mm-dd")</f>
        <v/>
      </c>
      <c r="D4699" t="inlineStr">
        <is>
          <t>1330-12-01</t>
        </is>
      </c>
    </row>
    <row r="4700">
      <c r="A4700" s="1" t="n">
        <v>4699</v>
      </c>
      <c r="B4700">
        <f>TEXT(4699, "[$-170000]yyyy-mm-dd")</f>
        <v/>
      </c>
      <c r="C4700">
        <f>TEXT(4699, "[$-060000]yyyy-mm-dd")</f>
        <v/>
      </c>
      <c r="D4700" t="inlineStr">
        <is>
          <t>1330-12-02</t>
        </is>
      </c>
    </row>
    <row r="4701">
      <c r="A4701" s="1" t="n">
        <v>4700</v>
      </c>
      <c r="B4701">
        <f>TEXT(4700, "[$-170000]yyyy-mm-dd")</f>
        <v/>
      </c>
      <c r="C4701">
        <f>TEXT(4700, "[$-060000]yyyy-mm-dd")</f>
        <v/>
      </c>
      <c r="D4701" t="inlineStr">
        <is>
          <t>1330-12-03</t>
        </is>
      </c>
    </row>
    <row r="4702">
      <c r="A4702" s="1" t="n">
        <v>4701</v>
      </c>
      <c r="B4702">
        <f>TEXT(4701, "[$-170000]yyyy-mm-dd")</f>
        <v/>
      </c>
      <c r="C4702">
        <f>TEXT(4701, "[$-060000]yyyy-mm-dd")</f>
        <v/>
      </c>
      <c r="D4702" t="inlineStr">
        <is>
          <t>1330-12-04</t>
        </is>
      </c>
    </row>
    <row r="4703">
      <c r="A4703" s="1" t="n">
        <v>4702</v>
      </c>
      <c r="B4703">
        <f>TEXT(4702, "[$-170000]yyyy-mm-dd")</f>
        <v/>
      </c>
      <c r="C4703">
        <f>TEXT(4702, "[$-060000]yyyy-mm-dd")</f>
        <v/>
      </c>
      <c r="D4703" t="inlineStr">
        <is>
          <t>1330-12-05</t>
        </is>
      </c>
    </row>
    <row r="4704">
      <c r="A4704" s="1" t="n">
        <v>4703</v>
      </c>
      <c r="B4704">
        <f>TEXT(4703, "[$-170000]yyyy-mm-dd")</f>
        <v/>
      </c>
      <c r="C4704">
        <f>TEXT(4703, "[$-060000]yyyy-mm-dd")</f>
        <v/>
      </c>
      <c r="D4704" t="inlineStr">
        <is>
          <t>1330-12-06</t>
        </is>
      </c>
    </row>
    <row r="4705">
      <c r="A4705" s="1" t="n">
        <v>4704</v>
      </c>
      <c r="B4705">
        <f>TEXT(4704, "[$-170000]yyyy-mm-dd")</f>
        <v/>
      </c>
      <c r="C4705">
        <f>TEXT(4704, "[$-060000]yyyy-mm-dd")</f>
        <v/>
      </c>
      <c r="D4705" t="inlineStr">
        <is>
          <t>1330-12-07</t>
        </is>
      </c>
    </row>
    <row r="4706">
      <c r="A4706" s="1" t="n">
        <v>4705</v>
      </c>
      <c r="B4706">
        <f>TEXT(4705, "[$-170000]yyyy-mm-dd")</f>
        <v/>
      </c>
      <c r="C4706">
        <f>TEXT(4705, "[$-060000]yyyy-mm-dd")</f>
        <v/>
      </c>
      <c r="D4706" t="inlineStr">
        <is>
          <t>1330-12-08</t>
        </is>
      </c>
    </row>
    <row r="4707">
      <c r="A4707" s="1" t="n">
        <v>4706</v>
      </c>
      <c r="B4707">
        <f>TEXT(4706, "[$-170000]yyyy-mm-dd")</f>
        <v/>
      </c>
      <c r="C4707">
        <f>TEXT(4706, "[$-060000]yyyy-mm-dd")</f>
        <v/>
      </c>
      <c r="D4707" t="inlineStr">
        <is>
          <t>1330-12-09</t>
        </is>
      </c>
    </row>
    <row r="4708">
      <c r="A4708" s="1" t="n">
        <v>4707</v>
      </c>
      <c r="B4708">
        <f>TEXT(4707, "[$-170000]yyyy-mm-dd")</f>
        <v/>
      </c>
      <c r="C4708">
        <f>TEXT(4707, "[$-060000]yyyy-mm-dd")</f>
        <v/>
      </c>
      <c r="D4708" t="inlineStr">
        <is>
          <t>1330-12-10</t>
        </is>
      </c>
    </row>
    <row r="4709">
      <c r="A4709" s="1" t="n">
        <v>4708</v>
      </c>
      <c r="B4709">
        <f>TEXT(4708, "[$-170000]yyyy-mm-dd")</f>
        <v/>
      </c>
      <c r="C4709">
        <f>TEXT(4708, "[$-060000]yyyy-mm-dd")</f>
        <v/>
      </c>
      <c r="D4709" t="inlineStr">
        <is>
          <t>1330-12-11</t>
        </is>
      </c>
    </row>
    <row r="4710">
      <c r="A4710" s="1" t="n">
        <v>4709</v>
      </c>
      <c r="B4710">
        <f>TEXT(4709, "[$-170000]yyyy-mm-dd")</f>
        <v/>
      </c>
      <c r="C4710">
        <f>TEXT(4709, "[$-060000]yyyy-mm-dd")</f>
        <v/>
      </c>
      <c r="D4710" t="inlineStr">
        <is>
          <t>1330-12-12</t>
        </is>
      </c>
    </row>
    <row r="4711">
      <c r="A4711" s="1" t="n">
        <v>4710</v>
      </c>
      <c r="B4711">
        <f>TEXT(4710, "[$-170000]yyyy-mm-dd")</f>
        <v/>
      </c>
      <c r="C4711">
        <f>TEXT(4710, "[$-060000]yyyy-mm-dd")</f>
        <v/>
      </c>
      <c r="D4711" t="inlineStr">
        <is>
          <t>1330-12-13</t>
        </is>
      </c>
    </row>
    <row r="4712">
      <c r="A4712" s="1" t="n">
        <v>4711</v>
      </c>
      <c r="B4712">
        <f>TEXT(4711, "[$-170000]yyyy-mm-dd")</f>
        <v/>
      </c>
      <c r="C4712">
        <f>TEXT(4711, "[$-060000]yyyy-mm-dd")</f>
        <v/>
      </c>
      <c r="D4712" t="inlineStr">
        <is>
          <t>1330-12-14</t>
        </is>
      </c>
    </row>
    <row r="4713">
      <c r="A4713" s="1" t="n">
        <v>4712</v>
      </c>
      <c r="B4713">
        <f>TEXT(4712, "[$-170000]yyyy-mm-dd")</f>
        <v/>
      </c>
      <c r="C4713">
        <f>TEXT(4712, "[$-060000]yyyy-mm-dd")</f>
        <v/>
      </c>
      <c r="D4713" t="inlineStr">
        <is>
          <t>1330-12-15</t>
        </is>
      </c>
    </row>
    <row r="4714">
      <c r="A4714" s="1" t="n">
        <v>4713</v>
      </c>
      <c r="B4714">
        <f>TEXT(4713, "[$-170000]yyyy-mm-dd")</f>
        <v/>
      </c>
      <c r="C4714">
        <f>TEXT(4713, "[$-060000]yyyy-mm-dd")</f>
        <v/>
      </c>
      <c r="D4714" t="inlineStr">
        <is>
          <t>1330-12-16</t>
        </is>
      </c>
    </row>
    <row r="4715">
      <c r="A4715" s="1" t="n">
        <v>4714</v>
      </c>
      <c r="B4715">
        <f>TEXT(4714, "[$-170000]yyyy-mm-dd")</f>
        <v/>
      </c>
      <c r="C4715">
        <f>TEXT(4714, "[$-060000]yyyy-mm-dd")</f>
        <v/>
      </c>
      <c r="D4715" t="inlineStr">
        <is>
          <t>1330-12-17</t>
        </is>
      </c>
    </row>
    <row r="4716">
      <c r="A4716" s="1" t="n">
        <v>4715</v>
      </c>
      <c r="B4716">
        <f>TEXT(4715, "[$-170000]yyyy-mm-dd")</f>
        <v/>
      </c>
      <c r="C4716">
        <f>TEXT(4715, "[$-060000]yyyy-mm-dd")</f>
        <v/>
      </c>
      <c r="D4716" t="inlineStr">
        <is>
          <t>1330-12-18</t>
        </is>
      </c>
    </row>
    <row r="4717">
      <c r="A4717" s="1" t="n">
        <v>4716</v>
      </c>
      <c r="B4717">
        <f>TEXT(4716, "[$-170000]yyyy-mm-dd")</f>
        <v/>
      </c>
      <c r="C4717">
        <f>TEXT(4716, "[$-060000]yyyy-mm-dd")</f>
        <v/>
      </c>
      <c r="D4717" t="inlineStr">
        <is>
          <t>1330-12-19</t>
        </is>
      </c>
    </row>
    <row r="4718">
      <c r="A4718" s="1" t="n">
        <v>4717</v>
      </c>
      <c r="B4718">
        <f>TEXT(4717, "[$-170000]yyyy-mm-dd")</f>
        <v/>
      </c>
      <c r="C4718">
        <f>TEXT(4717, "[$-060000]yyyy-mm-dd")</f>
        <v/>
      </c>
      <c r="D4718" t="inlineStr">
        <is>
          <t>1330-12-20</t>
        </is>
      </c>
    </row>
    <row r="4719">
      <c r="A4719" s="1" t="n">
        <v>4718</v>
      </c>
      <c r="B4719">
        <f>TEXT(4718, "[$-170000]yyyy-mm-dd")</f>
        <v/>
      </c>
      <c r="C4719">
        <f>TEXT(4718, "[$-060000]yyyy-mm-dd")</f>
        <v/>
      </c>
      <c r="D4719" t="inlineStr">
        <is>
          <t>1330-12-21</t>
        </is>
      </c>
    </row>
    <row r="4720">
      <c r="A4720" s="1" t="n">
        <v>4719</v>
      </c>
      <c r="B4720">
        <f>TEXT(4719, "[$-170000]yyyy-mm-dd")</f>
        <v/>
      </c>
      <c r="C4720">
        <f>TEXT(4719, "[$-060000]yyyy-mm-dd")</f>
        <v/>
      </c>
      <c r="D4720" t="inlineStr">
        <is>
          <t>1330-12-22</t>
        </is>
      </c>
    </row>
    <row r="4721">
      <c r="A4721" s="1" t="n">
        <v>4720</v>
      </c>
      <c r="B4721">
        <f>TEXT(4720, "[$-170000]yyyy-mm-dd")</f>
        <v/>
      </c>
      <c r="C4721">
        <f>TEXT(4720, "[$-060000]yyyy-mm-dd")</f>
        <v/>
      </c>
      <c r="D4721" t="inlineStr">
        <is>
          <t>1330-12-23</t>
        </is>
      </c>
    </row>
    <row r="4722">
      <c r="A4722" s="1" t="n">
        <v>4721</v>
      </c>
      <c r="B4722">
        <f>TEXT(4721, "[$-170000]yyyy-mm-dd")</f>
        <v/>
      </c>
      <c r="C4722">
        <f>TEXT(4721, "[$-060000]yyyy-mm-dd")</f>
        <v/>
      </c>
      <c r="D4722" t="inlineStr">
        <is>
          <t>1330-12-24</t>
        </is>
      </c>
    </row>
    <row r="4723">
      <c r="A4723" s="1" t="n">
        <v>4722</v>
      </c>
      <c r="B4723">
        <f>TEXT(4722, "[$-170000]yyyy-mm-dd")</f>
        <v/>
      </c>
      <c r="C4723">
        <f>TEXT(4722, "[$-060000]yyyy-mm-dd")</f>
        <v/>
      </c>
      <c r="D4723" t="inlineStr">
        <is>
          <t>1330-12-25</t>
        </is>
      </c>
    </row>
    <row r="4724">
      <c r="A4724" s="1" t="n">
        <v>4723</v>
      </c>
      <c r="B4724">
        <f>TEXT(4723, "[$-170000]yyyy-mm-dd")</f>
        <v/>
      </c>
      <c r="C4724">
        <f>TEXT(4723, "[$-060000]yyyy-mm-dd")</f>
        <v/>
      </c>
      <c r="D4724" t="inlineStr">
        <is>
          <t>1330-12-26</t>
        </is>
      </c>
    </row>
    <row r="4725">
      <c r="A4725" s="1" t="n">
        <v>4724</v>
      </c>
      <c r="B4725">
        <f>TEXT(4724, "[$-170000]yyyy-mm-dd")</f>
        <v/>
      </c>
      <c r="C4725">
        <f>TEXT(4724, "[$-060000]yyyy-mm-dd")</f>
        <v/>
      </c>
      <c r="D4725" t="inlineStr">
        <is>
          <t>1330-12-27</t>
        </is>
      </c>
    </row>
    <row r="4726">
      <c r="A4726" s="1" t="n">
        <v>4725</v>
      </c>
      <c r="B4726">
        <f>TEXT(4725, "[$-170000]yyyy-mm-dd")</f>
        <v/>
      </c>
      <c r="C4726">
        <f>TEXT(4725, "[$-060000]yyyy-mm-dd")</f>
        <v/>
      </c>
      <c r="D4726" t="inlineStr">
        <is>
          <t>1330-12-28</t>
        </is>
      </c>
    </row>
    <row r="4727">
      <c r="A4727" s="1" t="n">
        <v>4726</v>
      </c>
      <c r="B4727">
        <f>TEXT(4726, "[$-170000]yyyy-mm-dd")</f>
        <v/>
      </c>
      <c r="C4727">
        <f>TEXT(4726, "[$-060000]yyyy-mm-dd")</f>
        <v/>
      </c>
      <c r="D4727" t="inlineStr">
        <is>
          <t>1330-12-29</t>
        </is>
      </c>
    </row>
    <row r="4728">
      <c r="A4728" s="1" t="n">
        <v>4727</v>
      </c>
      <c r="B4728">
        <f>TEXT(4727, "[$-170000]yyyy-mm-dd")</f>
        <v/>
      </c>
      <c r="C4728">
        <f>TEXT(4727, "[$-060000]yyyy-mm-dd")</f>
        <v/>
      </c>
      <c r="D4728" t="inlineStr">
        <is>
          <t>1330-12-30</t>
        </is>
      </c>
    </row>
    <row r="4729">
      <c r="A4729" s="1" t="n">
        <v>4728</v>
      </c>
      <c r="B4729">
        <f>TEXT(4728, "[$-170000]yyyy-mm-dd")</f>
        <v/>
      </c>
      <c r="C4729">
        <f>TEXT(4728, "[$-060000]yyyy-mm-dd")</f>
        <v/>
      </c>
      <c r="D4729" t="inlineStr">
        <is>
          <t>1331-01-01</t>
        </is>
      </c>
    </row>
    <row r="4730">
      <c r="A4730" s="1" t="n">
        <v>4729</v>
      </c>
      <c r="B4730">
        <f>TEXT(4729, "[$-170000]yyyy-mm-dd")</f>
        <v/>
      </c>
      <c r="C4730">
        <f>TEXT(4729, "[$-060000]yyyy-mm-dd")</f>
        <v/>
      </c>
      <c r="D4730" t="inlineStr">
        <is>
          <t>1331-01-02</t>
        </is>
      </c>
    </row>
    <row r="4731">
      <c r="A4731" s="1" t="n">
        <v>4730</v>
      </c>
      <c r="B4731">
        <f>TEXT(4730, "[$-170000]yyyy-mm-dd")</f>
        <v/>
      </c>
      <c r="C4731">
        <f>TEXT(4730, "[$-060000]yyyy-mm-dd")</f>
        <v/>
      </c>
      <c r="D4731" t="inlineStr">
        <is>
          <t>1331-01-03</t>
        </is>
      </c>
    </row>
    <row r="4732">
      <c r="A4732" s="1" t="n">
        <v>4731</v>
      </c>
      <c r="B4732">
        <f>TEXT(4731, "[$-170000]yyyy-mm-dd")</f>
        <v/>
      </c>
      <c r="C4732">
        <f>TEXT(4731, "[$-060000]yyyy-mm-dd")</f>
        <v/>
      </c>
      <c r="D4732" t="inlineStr">
        <is>
          <t>1331-01-04</t>
        </is>
      </c>
    </row>
    <row r="4733">
      <c r="A4733" s="1" t="n">
        <v>4732</v>
      </c>
      <c r="B4733">
        <f>TEXT(4732, "[$-170000]yyyy-mm-dd")</f>
        <v/>
      </c>
      <c r="C4733">
        <f>TEXT(4732, "[$-060000]yyyy-mm-dd")</f>
        <v/>
      </c>
      <c r="D4733" t="inlineStr">
        <is>
          <t>1331-01-05</t>
        </is>
      </c>
    </row>
    <row r="4734">
      <c r="A4734" s="1" t="n">
        <v>4733</v>
      </c>
      <c r="B4734">
        <f>TEXT(4733, "[$-170000]yyyy-mm-dd")</f>
        <v/>
      </c>
      <c r="C4734">
        <f>TEXT(4733, "[$-060000]yyyy-mm-dd")</f>
        <v/>
      </c>
      <c r="D4734" t="inlineStr">
        <is>
          <t>1331-01-06</t>
        </is>
      </c>
    </row>
    <row r="4735">
      <c r="A4735" s="1" t="n">
        <v>4734</v>
      </c>
      <c r="B4735">
        <f>TEXT(4734, "[$-170000]yyyy-mm-dd")</f>
        <v/>
      </c>
      <c r="C4735">
        <f>TEXT(4734, "[$-060000]yyyy-mm-dd")</f>
        <v/>
      </c>
      <c r="D4735" t="inlineStr">
        <is>
          <t>1331-01-07</t>
        </is>
      </c>
    </row>
    <row r="4736">
      <c r="A4736" s="1" t="n">
        <v>4735</v>
      </c>
      <c r="B4736">
        <f>TEXT(4735, "[$-170000]yyyy-mm-dd")</f>
        <v/>
      </c>
      <c r="C4736">
        <f>TEXT(4735, "[$-060000]yyyy-mm-dd")</f>
        <v/>
      </c>
      <c r="D4736" t="inlineStr">
        <is>
          <t>1331-01-08</t>
        </is>
      </c>
    </row>
    <row r="4737">
      <c r="A4737" s="1" t="n">
        <v>4736</v>
      </c>
      <c r="B4737">
        <f>TEXT(4736, "[$-170000]yyyy-mm-dd")</f>
        <v/>
      </c>
      <c r="C4737">
        <f>TEXT(4736, "[$-060000]yyyy-mm-dd")</f>
        <v/>
      </c>
      <c r="D4737" t="inlineStr">
        <is>
          <t>1331-01-09</t>
        </is>
      </c>
    </row>
    <row r="4738">
      <c r="A4738" s="1" t="n">
        <v>4737</v>
      </c>
      <c r="B4738">
        <f>TEXT(4737, "[$-170000]yyyy-mm-dd")</f>
        <v/>
      </c>
      <c r="C4738">
        <f>TEXT(4737, "[$-060000]yyyy-mm-dd")</f>
        <v/>
      </c>
      <c r="D4738" t="inlineStr">
        <is>
          <t>1331-01-10</t>
        </is>
      </c>
    </row>
    <row r="4739">
      <c r="A4739" s="1" t="n">
        <v>4738</v>
      </c>
      <c r="B4739">
        <f>TEXT(4738, "[$-170000]yyyy-mm-dd")</f>
        <v/>
      </c>
      <c r="C4739">
        <f>TEXT(4738, "[$-060000]yyyy-mm-dd")</f>
        <v/>
      </c>
      <c r="D4739" t="inlineStr">
        <is>
          <t>1331-01-11</t>
        </is>
      </c>
    </row>
    <row r="4740">
      <c r="A4740" s="1" t="n">
        <v>4739</v>
      </c>
      <c r="B4740">
        <f>TEXT(4739, "[$-170000]yyyy-mm-dd")</f>
        <v/>
      </c>
      <c r="C4740">
        <f>TEXT(4739, "[$-060000]yyyy-mm-dd")</f>
        <v/>
      </c>
      <c r="D4740" t="inlineStr">
        <is>
          <t>1331-01-12</t>
        </is>
      </c>
    </row>
    <row r="4741">
      <c r="A4741" s="1" t="n">
        <v>4740</v>
      </c>
      <c r="B4741">
        <f>TEXT(4740, "[$-170000]yyyy-mm-dd")</f>
        <v/>
      </c>
      <c r="C4741">
        <f>TEXT(4740, "[$-060000]yyyy-mm-dd")</f>
        <v/>
      </c>
      <c r="D4741" t="inlineStr">
        <is>
          <t>1331-01-13</t>
        </is>
      </c>
    </row>
    <row r="4742">
      <c r="A4742" s="1" t="n">
        <v>4741</v>
      </c>
      <c r="B4742">
        <f>TEXT(4741, "[$-170000]yyyy-mm-dd")</f>
        <v/>
      </c>
      <c r="C4742">
        <f>TEXT(4741, "[$-060000]yyyy-mm-dd")</f>
        <v/>
      </c>
      <c r="D4742" t="inlineStr">
        <is>
          <t>1331-01-14</t>
        </is>
      </c>
    </row>
    <row r="4743">
      <c r="A4743" s="1" t="n">
        <v>4742</v>
      </c>
      <c r="B4743">
        <f>TEXT(4742, "[$-170000]yyyy-mm-dd")</f>
        <v/>
      </c>
      <c r="C4743">
        <f>TEXT(4742, "[$-060000]yyyy-mm-dd")</f>
        <v/>
      </c>
      <c r="D4743" t="inlineStr">
        <is>
          <t>1331-01-15</t>
        </is>
      </c>
    </row>
    <row r="4744">
      <c r="A4744" s="1" t="n">
        <v>4743</v>
      </c>
      <c r="B4744">
        <f>TEXT(4743, "[$-170000]yyyy-mm-dd")</f>
        <v/>
      </c>
      <c r="C4744">
        <f>TEXT(4743, "[$-060000]yyyy-mm-dd")</f>
        <v/>
      </c>
      <c r="D4744" t="inlineStr">
        <is>
          <t>1331-01-16</t>
        </is>
      </c>
    </row>
    <row r="4745">
      <c r="A4745" s="1" t="n">
        <v>4744</v>
      </c>
      <c r="B4745">
        <f>TEXT(4744, "[$-170000]yyyy-mm-dd")</f>
        <v/>
      </c>
      <c r="C4745">
        <f>TEXT(4744, "[$-060000]yyyy-mm-dd")</f>
        <v/>
      </c>
      <c r="D4745" t="inlineStr">
        <is>
          <t>1331-01-17</t>
        </is>
      </c>
    </row>
    <row r="4746">
      <c r="A4746" s="1" t="n">
        <v>4745</v>
      </c>
      <c r="B4746">
        <f>TEXT(4745, "[$-170000]yyyy-mm-dd")</f>
        <v/>
      </c>
      <c r="C4746">
        <f>TEXT(4745, "[$-060000]yyyy-mm-dd")</f>
        <v/>
      </c>
      <c r="D4746" t="inlineStr">
        <is>
          <t>1331-01-18</t>
        </is>
      </c>
    </row>
    <row r="4747">
      <c r="A4747" s="1" t="n">
        <v>4746</v>
      </c>
      <c r="B4747">
        <f>TEXT(4746, "[$-170000]yyyy-mm-dd")</f>
        <v/>
      </c>
      <c r="C4747">
        <f>TEXT(4746, "[$-060000]yyyy-mm-dd")</f>
        <v/>
      </c>
      <c r="D4747" t="inlineStr">
        <is>
          <t>1331-01-19</t>
        </is>
      </c>
    </row>
    <row r="4748">
      <c r="A4748" s="1" t="n">
        <v>4747</v>
      </c>
      <c r="B4748">
        <f>TEXT(4747, "[$-170000]yyyy-mm-dd")</f>
        <v/>
      </c>
      <c r="C4748">
        <f>TEXT(4747, "[$-060000]yyyy-mm-dd")</f>
        <v/>
      </c>
      <c r="D4748" t="inlineStr">
        <is>
          <t>1331-01-20</t>
        </is>
      </c>
    </row>
    <row r="4749">
      <c r="A4749" s="1" t="n">
        <v>4748</v>
      </c>
      <c r="B4749">
        <f>TEXT(4748, "[$-170000]yyyy-mm-dd")</f>
        <v/>
      </c>
      <c r="C4749">
        <f>TEXT(4748, "[$-060000]yyyy-mm-dd")</f>
        <v/>
      </c>
      <c r="D4749" t="inlineStr">
        <is>
          <t>1331-01-21</t>
        </is>
      </c>
    </row>
    <row r="4750">
      <c r="A4750" s="1" t="n">
        <v>4749</v>
      </c>
      <c r="B4750">
        <f>TEXT(4749, "[$-170000]yyyy-mm-dd")</f>
        <v/>
      </c>
      <c r="C4750">
        <f>TEXT(4749, "[$-060000]yyyy-mm-dd")</f>
        <v/>
      </c>
      <c r="D4750" t="inlineStr">
        <is>
          <t>1331-01-22</t>
        </is>
      </c>
    </row>
    <row r="4751">
      <c r="A4751" s="1" t="n">
        <v>4750</v>
      </c>
      <c r="B4751">
        <f>TEXT(4750, "[$-170000]yyyy-mm-dd")</f>
        <v/>
      </c>
      <c r="C4751">
        <f>TEXT(4750, "[$-060000]yyyy-mm-dd")</f>
        <v/>
      </c>
      <c r="D4751" t="inlineStr">
        <is>
          <t>1331-01-23</t>
        </is>
      </c>
    </row>
    <row r="4752">
      <c r="A4752" s="1" t="n">
        <v>4751</v>
      </c>
      <c r="B4752">
        <f>TEXT(4751, "[$-170000]yyyy-mm-dd")</f>
        <v/>
      </c>
      <c r="C4752">
        <f>TEXT(4751, "[$-060000]yyyy-mm-dd")</f>
        <v/>
      </c>
      <c r="D4752" t="inlineStr">
        <is>
          <t>1331-01-24</t>
        </is>
      </c>
    </row>
    <row r="4753">
      <c r="A4753" s="1" t="n">
        <v>4752</v>
      </c>
      <c r="B4753">
        <f>TEXT(4752, "[$-170000]yyyy-mm-dd")</f>
        <v/>
      </c>
      <c r="C4753">
        <f>TEXT(4752, "[$-060000]yyyy-mm-dd")</f>
        <v/>
      </c>
      <c r="D4753" t="inlineStr">
        <is>
          <t>1331-01-25</t>
        </is>
      </c>
    </row>
    <row r="4754">
      <c r="A4754" s="1" t="n">
        <v>4753</v>
      </c>
      <c r="B4754">
        <f>TEXT(4753, "[$-170000]yyyy-mm-dd")</f>
        <v/>
      </c>
      <c r="C4754">
        <f>TEXT(4753, "[$-060000]yyyy-mm-dd")</f>
        <v/>
      </c>
      <c r="D4754" t="inlineStr">
        <is>
          <t>1331-01-26</t>
        </is>
      </c>
    </row>
    <row r="4755">
      <c r="A4755" s="1" t="n">
        <v>4754</v>
      </c>
      <c r="B4755">
        <f>TEXT(4754, "[$-170000]yyyy-mm-dd")</f>
        <v/>
      </c>
      <c r="C4755">
        <f>TEXT(4754, "[$-060000]yyyy-mm-dd")</f>
        <v/>
      </c>
      <c r="D4755" t="inlineStr">
        <is>
          <t>1331-01-27</t>
        </is>
      </c>
    </row>
    <row r="4756">
      <c r="A4756" s="1" t="n">
        <v>4755</v>
      </c>
      <c r="B4756">
        <f>TEXT(4755, "[$-170000]yyyy-mm-dd")</f>
        <v/>
      </c>
      <c r="C4756">
        <f>TEXT(4755, "[$-060000]yyyy-mm-dd")</f>
        <v/>
      </c>
      <c r="D4756" t="inlineStr">
        <is>
          <t>1331-01-28</t>
        </is>
      </c>
    </row>
    <row r="4757">
      <c r="A4757" s="1" t="n">
        <v>4756</v>
      </c>
      <c r="B4757">
        <f>TEXT(4756, "[$-170000]yyyy-mm-dd")</f>
        <v/>
      </c>
      <c r="C4757">
        <f>TEXT(4756, "[$-060000]yyyy-mm-dd")</f>
        <v/>
      </c>
      <c r="D4757" t="inlineStr">
        <is>
          <t>1331-01-29</t>
        </is>
      </c>
    </row>
    <row r="4758">
      <c r="A4758" s="1" t="n">
        <v>4757</v>
      </c>
      <c r="B4758">
        <f>TEXT(4757, "[$-170000]yyyy-mm-dd")</f>
        <v/>
      </c>
      <c r="C4758">
        <f>TEXT(4757, "[$-060000]yyyy-mm-dd")</f>
        <v/>
      </c>
      <c r="D4758" t="inlineStr">
        <is>
          <t>1331-01-30</t>
        </is>
      </c>
    </row>
    <row r="4759">
      <c r="A4759" s="1" t="n">
        <v>4758</v>
      </c>
      <c r="B4759">
        <f>TEXT(4758, "[$-170000]yyyy-mm-dd")</f>
        <v/>
      </c>
      <c r="C4759">
        <f>TEXT(4758, "[$-060000]yyyy-mm-dd")</f>
        <v/>
      </c>
      <c r="D4759" t="inlineStr">
        <is>
          <t>1331-02-01</t>
        </is>
      </c>
    </row>
    <row r="4760">
      <c r="A4760" s="1" t="n">
        <v>4759</v>
      </c>
      <c r="B4760">
        <f>TEXT(4759, "[$-170000]yyyy-mm-dd")</f>
        <v/>
      </c>
      <c r="C4760">
        <f>TEXT(4759, "[$-060000]yyyy-mm-dd")</f>
        <v/>
      </c>
      <c r="D4760" t="inlineStr">
        <is>
          <t>1331-02-02</t>
        </is>
      </c>
    </row>
    <row r="4761">
      <c r="A4761" s="1" t="n">
        <v>4760</v>
      </c>
      <c r="B4761">
        <f>TEXT(4760, "[$-170000]yyyy-mm-dd")</f>
        <v/>
      </c>
      <c r="C4761">
        <f>TEXT(4760, "[$-060000]yyyy-mm-dd")</f>
        <v/>
      </c>
      <c r="D4761" t="inlineStr">
        <is>
          <t>1331-02-03</t>
        </is>
      </c>
    </row>
    <row r="4762">
      <c r="A4762" s="1" t="n">
        <v>4761</v>
      </c>
      <c r="B4762">
        <f>TEXT(4761, "[$-170000]yyyy-mm-dd")</f>
        <v/>
      </c>
      <c r="C4762">
        <f>TEXT(4761, "[$-060000]yyyy-mm-dd")</f>
        <v/>
      </c>
      <c r="D4762" t="inlineStr">
        <is>
          <t>1331-02-04</t>
        </is>
      </c>
    </row>
    <row r="4763">
      <c r="A4763" s="1" t="n">
        <v>4762</v>
      </c>
      <c r="B4763">
        <f>TEXT(4762, "[$-170000]yyyy-mm-dd")</f>
        <v/>
      </c>
      <c r="C4763">
        <f>TEXT(4762, "[$-060000]yyyy-mm-dd")</f>
        <v/>
      </c>
      <c r="D4763" t="inlineStr">
        <is>
          <t>1331-02-05</t>
        </is>
      </c>
    </row>
    <row r="4764">
      <c r="A4764" s="1" t="n">
        <v>4763</v>
      </c>
      <c r="B4764">
        <f>TEXT(4763, "[$-170000]yyyy-mm-dd")</f>
        <v/>
      </c>
      <c r="C4764">
        <f>TEXT(4763, "[$-060000]yyyy-mm-dd")</f>
        <v/>
      </c>
      <c r="D4764" t="inlineStr">
        <is>
          <t>1331-02-06</t>
        </is>
      </c>
    </row>
    <row r="4765">
      <c r="A4765" s="1" t="n">
        <v>4764</v>
      </c>
      <c r="B4765">
        <f>TEXT(4764, "[$-170000]yyyy-mm-dd")</f>
        <v/>
      </c>
      <c r="C4765">
        <f>TEXT(4764, "[$-060000]yyyy-mm-dd")</f>
        <v/>
      </c>
      <c r="D4765" t="inlineStr">
        <is>
          <t>1331-02-07</t>
        </is>
      </c>
    </row>
    <row r="4766">
      <c r="A4766" s="1" t="n">
        <v>4765</v>
      </c>
      <c r="B4766">
        <f>TEXT(4765, "[$-170000]yyyy-mm-dd")</f>
        <v/>
      </c>
      <c r="C4766">
        <f>TEXT(4765, "[$-060000]yyyy-mm-dd")</f>
        <v/>
      </c>
      <c r="D4766" t="inlineStr">
        <is>
          <t>1331-02-08</t>
        </is>
      </c>
    </row>
    <row r="4767">
      <c r="A4767" s="1" t="n">
        <v>4766</v>
      </c>
      <c r="B4767">
        <f>TEXT(4766, "[$-170000]yyyy-mm-dd")</f>
        <v/>
      </c>
      <c r="C4767">
        <f>TEXT(4766, "[$-060000]yyyy-mm-dd")</f>
        <v/>
      </c>
      <c r="D4767" t="inlineStr">
        <is>
          <t>1331-02-09</t>
        </is>
      </c>
    </row>
    <row r="4768">
      <c r="A4768" s="1" t="n">
        <v>4767</v>
      </c>
      <c r="B4768">
        <f>TEXT(4767, "[$-170000]yyyy-mm-dd")</f>
        <v/>
      </c>
      <c r="C4768">
        <f>TEXT(4767, "[$-060000]yyyy-mm-dd")</f>
        <v/>
      </c>
      <c r="D4768" t="inlineStr">
        <is>
          <t>1331-02-10</t>
        </is>
      </c>
    </row>
    <row r="4769">
      <c r="A4769" s="1" t="n">
        <v>4768</v>
      </c>
      <c r="B4769">
        <f>TEXT(4768, "[$-170000]yyyy-mm-dd")</f>
        <v/>
      </c>
      <c r="C4769">
        <f>TEXT(4768, "[$-060000]yyyy-mm-dd")</f>
        <v/>
      </c>
      <c r="D4769" t="inlineStr">
        <is>
          <t>1331-02-11</t>
        </is>
      </c>
    </row>
    <row r="4770">
      <c r="A4770" s="1" t="n">
        <v>4769</v>
      </c>
      <c r="B4770">
        <f>TEXT(4769, "[$-170000]yyyy-mm-dd")</f>
        <v/>
      </c>
      <c r="C4770">
        <f>TEXT(4769, "[$-060000]yyyy-mm-dd")</f>
        <v/>
      </c>
      <c r="D4770" t="inlineStr">
        <is>
          <t>1331-02-12</t>
        </is>
      </c>
    </row>
    <row r="4771">
      <c r="A4771" s="1" t="n">
        <v>4770</v>
      </c>
      <c r="B4771">
        <f>TEXT(4770, "[$-170000]yyyy-mm-dd")</f>
        <v/>
      </c>
      <c r="C4771">
        <f>TEXT(4770, "[$-060000]yyyy-mm-dd")</f>
        <v/>
      </c>
      <c r="D4771" t="inlineStr">
        <is>
          <t>1331-02-13</t>
        </is>
      </c>
    </row>
    <row r="4772">
      <c r="A4772" s="1" t="n">
        <v>4771</v>
      </c>
      <c r="B4772">
        <f>TEXT(4771, "[$-170000]yyyy-mm-dd")</f>
        <v/>
      </c>
      <c r="C4772">
        <f>TEXT(4771, "[$-060000]yyyy-mm-dd")</f>
        <v/>
      </c>
      <c r="D4772" t="inlineStr">
        <is>
          <t>1331-02-14</t>
        </is>
      </c>
    </row>
    <row r="4773">
      <c r="A4773" s="1" t="n">
        <v>4772</v>
      </c>
      <c r="B4773">
        <f>TEXT(4772, "[$-170000]yyyy-mm-dd")</f>
        <v/>
      </c>
      <c r="C4773">
        <f>TEXT(4772, "[$-060000]yyyy-mm-dd")</f>
        <v/>
      </c>
      <c r="D4773" t="inlineStr">
        <is>
          <t>1331-02-15</t>
        </is>
      </c>
    </row>
    <row r="4774">
      <c r="A4774" s="1" t="n">
        <v>4773</v>
      </c>
      <c r="B4774">
        <f>TEXT(4773, "[$-170000]yyyy-mm-dd")</f>
        <v/>
      </c>
      <c r="C4774">
        <f>TEXT(4773, "[$-060000]yyyy-mm-dd")</f>
        <v/>
      </c>
      <c r="D4774" t="inlineStr">
        <is>
          <t>1331-02-16</t>
        </is>
      </c>
    </row>
    <row r="4775">
      <c r="A4775" s="1" t="n">
        <v>4774</v>
      </c>
      <c r="B4775">
        <f>TEXT(4774, "[$-170000]yyyy-mm-dd")</f>
        <v/>
      </c>
      <c r="C4775">
        <f>TEXT(4774, "[$-060000]yyyy-mm-dd")</f>
        <v/>
      </c>
      <c r="D4775" t="inlineStr">
        <is>
          <t>1331-02-17</t>
        </is>
      </c>
    </row>
    <row r="4776">
      <c r="A4776" s="1" t="n">
        <v>4775</v>
      </c>
      <c r="B4776">
        <f>TEXT(4775, "[$-170000]yyyy-mm-dd")</f>
        <v/>
      </c>
      <c r="C4776">
        <f>TEXT(4775, "[$-060000]yyyy-mm-dd")</f>
        <v/>
      </c>
      <c r="D4776" t="inlineStr">
        <is>
          <t>1331-02-18</t>
        </is>
      </c>
    </row>
    <row r="4777">
      <c r="A4777" s="1" t="n">
        <v>4776</v>
      </c>
      <c r="B4777">
        <f>TEXT(4776, "[$-170000]yyyy-mm-dd")</f>
        <v/>
      </c>
      <c r="C4777">
        <f>TEXT(4776, "[$-060000]yyyy-mm-dd")</f>
        <v/>
      </c>
      <c r="D4777" t="inlineStr">
        <is>
          <t>1331-02-19</t>
        </is>
      </c>
    </row>
    <row r="4778">
      <c r="A4778" s="1" t="n">
        <v>4777</v>
      </c>
      <c r="B4778">
        <f>TEXT(4777, "[$-170000]yyyy-mm-dd")</f>
        <v/>
      </c>
      <c r="C4778">
        <f>TEXT(4777, "[$-060000]yyyy-mm-dd")</f>
        <v/>
      </c>
      <c r="D4778" t="inlineStr">
        <is>
          <t>1331-02-20</t>
        </is>
      </c>
    </row>
    <row r="4779">
      <c r="A4779" s="1" t="n">
        <v>4778</v>
      </c>
      <c r="B4779">
        <f>TEXT(4778, "[$-170000]yyyy-mm-dd")</f>
        <v/>
      </c>
      <c r="C4779">
        <f>TEXT(4778, "[$-060000]yyyy-mm-dd")</f>
        <v/>
      </c>
      <c r="D4779" t="inlineStr">
        <is>
          <t>1331-02-21</t>
        </is>
      </c>
    </row>
    <row r="4780">
      <c r="A4780" s="1" t="n">
        <v>4779</v>
      </c>
      <c r="B4780">
        <f>TEXT(4779, "[$-170000]yyyy-mm-dd")</f>
        <v/>
      </c>
      <c r="C4780">
        <f>TEXT(4779, "[$-060000]yyyy-mm-dd")</f>
        <v/>
      </c>
      <c r="D4780" t="inlineStr">
        <is>
          <t>1331-02-22</t>
        </is>
      </c>
    </row>
    <row r="4781">
      <c r="A4781" s="1" t="n">
        <v>4780</v>
      </c>
      <c r="B4781">
        <f>TEXT(4780, "[$-170000]yyyy-mm-dd")</f>
        <v/>
      </c>
      <c r="C4781">
        <f>TEXT(4780, "[$-060000]yyyy-mm-dd")</f>
        <v/>
      </c>
      <c r="D4781" t="inlineStr">
        <is>
          <t>1331-02-23</t>
        </is>
      </c>
    </row>
    <row r="4782">
      <c r="A4782" s="1" t="n">
        <v>4781</v>
      </c>
      <c r="B4782">
        <f>TEXT(4781, "[$-170000]yyyy-mm-dd")</f>
        <v/>
      </c>
      <c r="C4782">
        <f>TEXT(4781, "[$-060000]yyyy-mm-dd")</f>
        <v/>
      </c>
      <c r="D4782" t="inlineStr">
        <is>
          <t>1331-02-24</t>
        </is>
      </c>
    </row>
    <row r="4783">
      <c r="A4783" s="1" t="n">
        <v>4782</v>
      </c>
      <c r="B4783">
        <f>TEXT(4782, "[$-170000]yyyy-mm-dd")</f>
        <v/>
      </c>
      <c r="C4783">
        <f>TEXT(4782, "[$-060000]yyyy-mm-dd")</f>
        <v/>
      </c>
      <c r="D4783" t="inlineStr">
        <is>
          <t>1331-02-25</t>
        </is>
      </c>
    </row>
    <row r="4784">
      <c r="A4784" s="1" t="n">
        <v>4783</v>
      </c>
      <c r="B4784">
        <f>TEXT(4783, "[$-170000]yyyy-mm-dd")</f>
        <v/>
      </c>
      <c r="C4784">
        <f>TEXT(4783, "[$-060000]yyyy-mm-dd")</f>
        <v/>
      </c>
      <c r="D4784" t="inlineStr">
        <is>
          <t>1331-02-26</t>
        </is>
      </c>
    </row>
    <row r="4785">
      <c r="A4785" s="1" t="n">
        <v>4784</v>
      </c>
      <c r="B4785">
        <f>TEXT(4784, "[$-170000]yyyy-mm-dd")</f>
        <v/>
      </c>
      <c r="C4785">
        <f>TEXT(4784, "[$-060000]yyyy-mm-dd")</f>
        <v/>
      </c>
      <c r="D4785" t="inlineStr">
        <is>
          <t>1331-02-27</t>
        </is>
      </c>
    </row>
    <row r="4786">
      <c r="A4786" s="1" t="n">
        <v>4785</v>
      </c>
      <c r="B4786">
        <f>TEXT(4785, "[$-170000]yyyy-mm-dd")</f>
        <v/>
      </c>
      <c r="C4786">
        <f>TEXT(4785, "[$-060000]yyyy-mm-dd")</f>
        <v/>
      </c>
      <c r="D4786" t="inlineStr">
        <is>
          <t>1331-02-28</t>
        </is>
      </c>
    </row>
    <row r="4787">
      <c r="A4787" s="1" t="n">
        <v>4786</v>
      </c>
      <c r="B4787">
        <f>TEXT(4786, "[$-170000]yyyy-mm-dd")</f>
        <v/>
      </c>
      <c r="C4787">
        <f>TEXT(4786, "[$-060000]yyyy-mm-dd")</f>
        <v/>
      </c>
      <c r="D4787" t="inlineStr">
        <is>
          <t>1331-02-29</t>
        </is>
      </c>
    </row>
    <row r="4788">
      <c r="A4788" s="1" t="n">
        <v>4787</v>
      </c>
      <c r="B4788">
        <f>TEXT(4787, "[$-170000]yyyy-mm-dd")</f>
        <v/>
      </c>
      <c r="C4788">
        <f>TEXT(4787, "[$-060000]yyyy-mm-dd")</f>
        <v/>
      </c>
      <c r="D4788" t="inlineStr">
        <is>
          <t>1331-03-01</t>
        </is>
      </c>
    </row>
    <row r="4789">
      <c r="A4789" s="1" t="n">
        <v>4788</v>
      </c>
      <c r="B4789">
        <f>TEXT(4788, "[$-170000]yyyy-mm-dd")</f>
        <v/>
      </c>
      <c r="C4789">
        <f>TEXT(4788, "[$-060000]yyyy-mm-dd")</f>
        <v/>
      </c>
      <c r="D4789" t="inlineStr">
        <is>
          <t>1331-03-02</t>
        </is>
      </c>
    </row>
    <row r="4790">
      <c r="A4790" s="1" t="n">
        <v>4789</v>
      </c>
      <c r="B4790">
        <f>TEXT(4789, "[$-170000]yyyy-mm-dd")</f>
        <v/>
      </c>
      <c r="C4790">
        <f>TEXT(4789, "[$-060000]yyyy-mm-dd")</f>
        <v/>
      </c>
      <c r="D4790" t="inlineStr">
        <is>
          <t>1331-03-03</t>
        </is>
      </c>
    </row>
    <row r="4791">
      <c r="A4791" s="1" t="n">
        <v>4790</v>
      </c>
      <c r="B4791">
        <f>TEXT(4790, "[$-170000]yyyy-mm-dd")</f>
        <v/>
      </c>
      <c r="C4791">
        <f>TEXT(4790, "[$-060000]yyyy-mm-dd")</f>
        <v/>
      </c>
      <c r="D4791" t="inlineStr">
        <is>
          <t>1331-03-04</t>
        </is>
      </c>
    </row>
    <row r="4792">
      <c r="A4792" s="1" t="n">
        <v>4791</v>
      </c>
      <c r="B4792">
        <f>TEXT(4791, "[$-170000]yyyy-mm-dd")</f>
        <v/>
      </c>
      <c r="C4792">
        <f>TEXT(4791, "[$-060000]yyyy-mm-dd")</f>
        <v/>
      </c>
      <c r="D4792" t="inlineStr">
        <is>
          <t>1331-03-05</t>
        </is>
      </c>
    </row>
    <row r="4793">
      <c r="A4793" s="1" t="n">
        <v>4792</v>
      </c>
      <c r="B4793">
        <f>TEXT(4792, "[$-170000]yyyy-mm-dd")</f>
        <v/>
      </c>
      <c r="C4793">
        <f>TEXT(4792, "[$-060000]yyyy-mm-dd")</f>
        <v/>
      </c>
      <c r="D4793" t="inlineStr">
        <is>
          <t>1331-03-06</t>
        </is>
      </c>
    </row>
    <row r="4794">
      <c r="A4794" s="1" t="n">
        <v>4793</v>
      </c>
      <c r="B4794">
        <f>TEXT(4793, "[$-170000]yyyy-mm-dd")</f>
        <v/>
      </c>
      <c r="C4794">
        <f>TEXT(4793, "[$-060000]yyyy-mm-dd")</f>
        <v/>
      </c>
      <c r="D4794" t="inlineStr">
        <is>
          <t>1331-03-07</t>
        </is>
      </c>
    </row>
    <row r="4795">
      <c r="A4795" s="1" t="n">
        <v>4794</v>
      </c>
      <c r="B4795">
        <f>TEXT(4794, "[$-170000]yyyy-mm-dd")</f>
        <v/>
      </c>
      <c r="C4795">
        <f>TEXT(4794, "[$-060000]yyyy-mm-dd")</f>
        <v/>
      </c>
      <c r="D4795" t="inlineStr">
        <is>
          <t>1331-03-08</t>
        </is>
      </c>
    </row>
    <row r="4796">
      <c r="A4796" s="1" t="n">
        <v>4795</v>
      </c>
      <c r="B4796">
        <f>TEXT(4795, "[$-170000]yyyy-mm-dd")</f>
        <v/>
      </c>
      <c r="C4796">
        <f>TEXT(4795, "[$-060000]yyyy-mm-dd")</f>
        <v/>
      </c>
      <c r="D4796" t="inlineStr">
        <is>
          <t>1331-03-09</t>
        </is>
      </c>
    </row>
    <row r="4797">
      <c r="A4797" s="1" t="n">
        <v>4796</v>
      </c>
      <c r="B4797">
        <f>TEXT(4796, "[$-170000]yyyy-mm-dd")</f>
        <v/>
      </c>
      <c r="C4797">
        <f>TEXT(4796, "[$-060000]yyyy-mm-dd")</f>
        <v/>
      </c>
      <c r="D4797" t="inlineStr">
        <is>
          <t>1331-03-10</t>
        </is>
      </c>
    </row>
    <row r="4798">
      <c r="A4798" s="1" t="n">
        <v>4797</v>
      </c>
      <c r="B4798">
        <f>TEXT(4797, "[$-170000]yyyy-mm-dd")</f>
        <v/>
      </c>
      <c r="C4798">
        <f>TEXT(4797, "[$-060000]yyyy-mm-dd")</f>
        <v/>
      </c>
      <c r="D4798" t="inlineStr">
        <is>
          <t>1331-03-11</t>
        </is>
      </c>
    </row>
    <row r="4799">
      <c r="A4799" s="1" t="n">
        <v>4798</v>
      </c>
      <c r="B4799">
        <f>TEXT(4798, "[$-170000]yyyy-mm-dd")</f>
        <v/>
      </c>
      <c r="C4799">
        <f>TEXT(4798, "[$-060000]yyyy-mm-dd")</f>
        <v/>
      </c>
      <c r="D4799" t="inlineStr">
        <is>
          <t>1331-03-12</t>
        </is>
      </c>
    </row>
    <row r="4800">
      <c r="A4800" s="1" t="n">
        <v>4799</v>
      </c>
      <c r="B4800">
        <f>TEXT(4799, "[$-170000]yyyy-mm-dd")</f>
        <v/>
      </c>
      <c r="C4800">
        <f>TEXT(4799, "[$-060000]yyyy-mm-dd")</f>
        <v/>
      </c>
      <c r="D4800" t="inlineStr">
        <is>
          <t>1331-03-13</t>
        </is>
      </c>
    </row>
    <row r="4801">
      <c r="A4801" s="1" t="n">
        <v>4800</v>
      </c>
      <c r="B4801">
        <f>TEXT(4800, "[$-170000]yyyy-mm-dd")</f>
        <v/>
      </c>
      <c r="C4801">
        <f>TEXT(4800, "[$-060000]yyyy-mm-dd")</f>
        <v/>
      </c>
      <c r="D4801" t="inlineStr">
        <is>
          <t>1331-03-14</t>
        </is>
      </c>
    </row>
    <row r="4802">
      <c r="A4802" s="1" t="n">
        <v>4801</v>
      </c>
      <c r="B4802">
        <f>TEXT(4801, "[$-170000]yyyy-mm-dd")</f>
        <v/>
      </c>
      <c r="C4802">
        <f>TEXT(4801, "[$-060000]yyyy-mm-dd")</f>
        <v/>
      </c>
      <c r="D4802" t="inlineStr">
        <is>
          <t>1331-03-15</t>
        </is>
      </c>
    </row>
    <row r="4803">
      <c r="A4803" s="1" t="n">
        <v>4802</v>
      </c>
      <c r="B4803">
        <f>TEXT(4802, "[$-170000]yyyy-mm-dd")</f>
        <v/>
      </c>
      <c r="C4803">
        <f>TEXT(4802, "[$-060000]yyyy-mm-dd")</f>
        <v/>
      </c>
      <c r="D4803" t="inlineStr">
        <is>
          <t>1331-03-16</t>
        </is>
      </c>
    </row>
    <row r="4804">
      <c r="A4804" s="1" t="n">
        <v>4803</v>
      </c>
      <c r="B4804">
        <f>TEXT(4803, "[$-170000]yyyy-mm-dd")</f>
        <v/>
      </c>
      <c r="C4804">
        <f>TEXT(4803, "[$-060000]yyyy-mm-dd")</f>
        <v/>
      </c>
      <c r="D4804" t="inlineStr">
        <is>
          <t>1331-03-17</t>
        </is>
      </c>
    </row>
    <row r="4805">
      <c r="A4805" s="1" t="n">
        <v>4804</v>
      </c>
      <c r="B4805">
        <f>TEXT(4804, "[$-170000]yyyy-mm-dd")</f>
        <v/>
      </c>
      <c r="C4805">
        <f>TEXT(4804, "[$-060000]yyyy-mm-dd")</f>
        <v/>
      </c>
      <c r="D4805" t="inlineStr">
        <is>
          <t>1331-03-18</t>
        </is>
      </c>
    </row>
    <row r="4806">
      <c r="A4806" s="1" t="n">
        <v>4805</v>
      </c>
      <c r="B4806">
        <f>TEXT(4805, "[$-170000]yyyy-mm-dd")</f>
        <v/>
      </c>
      <c r="C4806">
        <f>TEXT(4805, "[$-060000]yyyy-mm-dd")</f>
        <v/>
      </c>
      <c r="D4806" t="inlineStr">
        <is>
          <t>1331-03-19</t>
        </is>
      </c>
    </row>
    <row r="4807">
      <c r="A4807" s="1" t="n">
        <v>4806</v>
      </c>
      <c r="B4807">
        <f>TEXT(4806, "[$-170000]yyyy-mm-dd")</f>
        <v/>
      </c>
      <c r="C4807">
        <f>TEXT(4806, "[$-060000]yyyy-mm-dd")</f>
        <v/>
      </c>
      <c r="D4807" t="inlineStr">
        <is>
          <t>1331-03-20</t>
        </is>
      </c>
    </row>
    <row r="4808">
      <c r="A4808" s="1" t="n">
        <v>4807</v>
      </c>
      <c r="B4808">
        <f>TEXT(4807, "[$-170000]yyyy-mm-dd")</f>
        <v/>
      </c>
      <c r="C4808">
        <f>TEXT(4807, "[$-060000]yyyy-mm-dd")</f>
        <v/>
      </c>
      <c r="D4808" t="inlineStr">
        <is>
          <t>1331-03-21</t>
        </is>
      </c>
    </row>
    <row r="4809">
      <c r="A4809" s="1" t="n">
        <v>4808</v>
      </c>
      <c r="B4809">
        <f>TEXT(4808, "[$-170000]yyyy-mm-dd")</f>
        <v/>
      </c>
      <c r="C4809">
        <f>TEXT(4808, "[$-060000]yyyy-mm-dd")</f>
        <v/>
      </c>
      <c r="D4809" t="inlineStr">
        <is>
          <t>1331-03-22</t>
        </is>
      </c>
    </row>
    <row r="4810">
      <c r="A4810" s="1" t="n">
        <v>4809</v>
      </c>
      <c r="B4810">
        <f>TEXT(4809, "[$-170000]yyyy-mm-dd")</f>
        <v/>
      </c>
      <c r="C4810">
        <f>TEXT(4809, "[$-060000]yyyy-mm-dd")</f>
        <v/>
      </c>
      <c r="D4810" t="inlineStr">
        <is>
          <t>1331-03-23</t>
        </is>
      </c>
    </row>
    <row r="4811">
      <c r="A4811" s="1" t="n">
        <v>4810</v>
      </c>
      <c r="B4811">
        <f>TEXT(4810, "[$-170000]yyyy-mm-dd")</f>
        <v/>
      </c>
      <c r="C4811">
        <f>TEXT(4810, "[$-060000]yyyy-mm-dd")</f>
        <v/>
      </c>
      <c r="D4811" t="inlineStr">
        <is>
          <t>1331-03-24</t>
        </is>
      </c>
    </row>
    <row r="4812">
      <c r="A4812" s="1" t="n">
        <v>4811</v>
      </c>
      <c r="B4812">
        <f>TEXT(4811, "[$-170000]yyyy-mm-dd")</f>
        <v/>
      </c>
      <c r="C4812">
        <f>TEXT(4811, "[$-060000]yyyy-mm-dd")</f>
        <v/>
      </c>
      <c r="D4812" t="inlineStr">
        <is>
          <t>1331-03-25</t>
        </is>
      </c>
    </row>
    <row r="4813">
      <c r="A4813" s="1" t="n">
        <v>4812</v>
      </c>
      <c r="B4813">
        <f>TEXT(4812, "[$-170000]yyyy-mm-dd")</f>
        <v/>
      </c>
      <c r="C4813">
        <f>TEXT(4812, "[$-060000]yyyy-mm-dd")</f>
        <v/>
      </c>
      <c r="D4813" t="inlineStr">
        <is>
          <t>1331-03-26</t>
        </is>
      </c>
    </row>
    <row r="4814">
      <c r="A4814" s="1" t="n">
        <v>4813</v>
      </c>
      <c r="B4814">
        <f>TEXT(4813, "[$-170000]yyyy-mm-dd")</f>
        <v/>
      </c>
      <c r="C4814">
        <f>TEXT(4813, "[$-060000]yyyy-mm-dd")</f>
        <v/>
      </c>
      <c r="D4814" t="inlineStr">
        <is>
          <t>1331-03-27</t>
        </is>
      </c>
    </row>
    <row r="4815">
      <c r="A4815" s="1" t="n">
        <v>4814</v>
      </c>
      <c r="B4815">
        <f>TEXT(4814, "[$-170000]yyyy-mm-dd")</f>
        <v/>
      </c>
      <c r="C4815">
        <f>TEXT(4814, "[$-060000]yyyy-mm-dd")</f>
        <v/>
      </c>
      <c r="D4815" t="inlineStr">
        <is>
          <t>1331-03-28</t>
        </is>
      </c>
    </row>
    <row r="4816">
      <c r="A4816" s="1" t="n">
        <v>4815</v>
      </c>
      <c r="B4816">
        <f>TEXT(4815, "[$-170000]yyyy-mm-dd")</f>
        <v/>
      </c>
      <c r="C4816">
        <f>TEXT(4815, "[$-060000]yyyy-mm-dd")</f>
        <v/>
      </c>
      <c r="D4816" t="inlineStr">
        <is>
          <t>1331-03-29</t>
        </is>
      </c>
    </row>
    <row r="4817">
      <c r="A4817" s="1" t="n">
        <v>4816</v>
      </c>
      <c r="B4817">
        <f>TEXT(4816, "[$-170000]yyyy-mm-dd")</f>
        <v/>
      </c>
      <c r="C4817">
        <f>TEXT(4816, "[$-060000]yyyy-mm-dd")</f>
        <v/>
      </c>
      <c r="D4817" t="inlineStr">
        <is>
          <t>1331-03-30</t>
        </is>
      </c>
    </row>
    <row r="4818">
      <c r="A4818" s="1" t="n">
        <v>4817</v>
      </c>
      <c r="B4818">
        <f>TEXT(4817, "[$-170000]yyyy-mm-dd")</f>
        <v/>
      </c>
      <c r="C4818">
        <f>TEXT(4817, "[$-060000]yyyy-mm-dd")</f>
        <v/>
      </c>
      <c r="D4818" t="inlineStr">
        <is>
          <t>1331-04-01</t>
        </is>
      </c>
    </row>
    <row r="4819">
      <c r="A4819" s="1" t="n">
        <v>4818</v>
      </c>
      <c r="B4819">
        <f>TEXT(4818, "[$-170000]yyyy-mm-dd")</f>
        <v/>
      </c>
      <c r="C4819">
        <f>TEXT(4818, "[$-060000]yyyy-mm-dd")</f>
        <v/>
      </c>
      <c r="D4819" t="inlineStr">
        <is>
          <t>1331-04-02</t>
        </is>
      </c>
    </row>
    <row r="4820">
      <c r="A4820" s="1" t="n">
        <v>4819</v>
      </c>
      <c r="B4820">
        <f>TEXT(4819, "[$-170000]yyyy-mm-dd")</f>
        <v/>
      </c>
      <c r="C4820">
        <f>TEXT(4819, "[$-060000]yyyy-mm-dd")</f>
        <v/>
      </c>
      <c r="D4820" t="inlineStr">
        <is>
          <t>1331-04-03</t>
        </is>
      </c>
    </row>
    <row r="4821">
      <c r="A4821" s="1" t="n">
        <v>4820</v>
      </c>
      <c r="B4821">
        <f>TEXT(4820, "[$-170000]yyyy-mm-dd")</f>
        <v/>
      </c>
      <c r="C4821">
        <f>TEXT(4820, "[$-060000]yyyy-mm-dd")</f>
        <v/>
      </c>
      <c r="D4821" t="inlineStr">
        <is>
          <t>1331-04-04</t>
        </is>
      </c>
    </row>
    <row r="4822">
      <c r="A4822" s="1" t="n">
        <v>4821</v>
      </c>
      <c r="B4822">
        <f>TEXT(4821, "[$-170000]yyyy-mm-dd")</f>
        <v/>
      </c>
      <c r="C4822">
        <f>TEXT(4821, "[$-060000]yyyy-mm-dd")</f>
        <v/>
      </c>
      <c r="D4822" t="inlineStr">
        <is>
          <t>1331-04-05</t>
        </is>
      </c>
    </row>
    <row r="4823">
      <c r="A4823" s="1" t="n">
        <v>4822</v>
      </c>
      <c r="B4823">
        <f>TEXT(4822, "[$-170000]yyyy-mm-dd")</f>
        <v/>
      </c>
      <c r="C4823">
        <f>TEXT(4822, "[$-060000]yyyy-mm-dd")</f>
        <v/>
      </c>
      <c r="D4823" t="inlineStr">
        <is>
          <t>1331-04-06</t>
        </is>
      </c>
    </row>
    <row r="4824">
      <c r="A4824" s="1" t="n">
        <v>4823</v>
      </c>
      <c r="B4824">
        <f>TEXT(4823, "[$-170000]yyyy-mm-dd")</f>
        <v/>
      </c>
      <c r="C4824">
        <f>TEXT(4823, "[$-060000]yyyy-mm-dd")</f>
        <v/>
      </c>
      <c r="D4824" t="inlineStr">
        <is>
          <t>1331-04-07</t>
        </is>
      </c>
    </row>
    <row r="4825">
      <c r="A4825" s="1" t="n">
        <v>4824</v>
      </c>
      <c r="B4825">
        <f>TEXT(4824, "[$-170000]yyyy-mm-dd")</f>
        <v/>
      </c>
      <c r="C4825">
        <f>TEXT(4824, "[$-060000]yyyy-mm-dd")</f>
        <v/>
      </c>
      <c r="D4825" t="inlineStr">
        <is>
          <t>1331-04-08</t>
        </is>
      </c>
    </row>
    <row r="4826">
      <c r="A4826" s="1" t="n">
        <v>4825</v>
      </c>
      <c r="B4826">
        <f>TEXT(4825, "[$-170000]yyyy-mm-dd")</f>
        <v/>
      </c>
      <c r="C4826">
        <f>TEXT(4825, "[$-060000]yyyy-mm-dd")</f>
        <v/>
      </c>
      <c r="D4826" t="inlineStr">
        <is>
          <t>1331-04-09</t>
        </is>
      </c>
    </row>
    <row r="4827">
      <c r="A4827" s="1" t="n">
        <v>4826</v>
      </c>
      <c r="B4827">
        <f>TEXT(4826, "[$-170000]yyyy-mm-dd")</f>
        <v/>
      </c>
      <c r="C4827">
        <f>TEXT(4826, "[$-060000]yyyy-mm-dd")</f>
        <v/>
      </c>
      <c r="D4827" t="inlineStr">
        <is>
          <t>1331-04-10</t>
        </is>
      </c>
    </row>
    <row r="4828">
      <c r="A4828" s="1" t="n">
        <v>4827</v>
      </c>
      <c r="B4828">
        <f>TEXT(4827, "[$-170000]yyyy-mm-dd")</f>
        <v/>
      </c>
      <c r="C4828">
        <f>TEXT(4827, "[$-060000]yyyy-mm-dd")</f>
        <v/>
      </c>
      <c r="D4828" t="inlineStr">
        <is>
          <t>1331-04-11</t>
        </is>
      </c>
    </row>
    <row r="4829">
      <c r="A4829" s="1" t="n">
        <v>4828</v>
      </c>
      <c r="B4829">
        <f>TEXT(4828, "[$-170000]yyyy-mm-dd")</f>
        <v/>
      </c>
      <c r="C4829">
        <f>TEXT(4828, "[$-060000]yyyy-mm-dd")</f>
        <v/>
      </c>
      <c r="D4829" t="inlineStr">
        <is>
          <t>1331-04-12</t>
        </is>
      </c>
    </row>
    <row r="4830">
      <c r="A4830" s="1" t="n">
        <v>4829</v>
      </c>
      <c r="B4830">
        <f>TEXT(4829, "[$-170000]yyyy-mm-dd")</f>
        <v/>
      </c>
      <c r="C4830">
        <f>TEXT(4829, "[$-060000]yyyy-mm-dd")</f>
        <v/>
      </c>
      <c r="D4830" t="inlineStr">
        <is>
          <t>1331-04-13</t>
        </is>
      </c>
    </row>
    <row r="4831">
      <c r="A4831" s="1" t="n">
        <v>4830</v>
      </c>
      <c r="B4831">
        <f>TEXT(4830, "[$-170000]yyyy-mm-dd")</f>
        <v/>
      </c>
      <c r="C4831">
        <f>TEXT(4830, "[$-060000]yyyy-mm-dd")</f>
        <v/>
      </c>
      <c r="D4831" t="inlineStr">
        <is>
          <t>1331-04-14</t>
        </is>
      </c>
    </row>
    <row r="4832">
      <c r="A4832" s="1" t="n">
        <v>4831</v>
      </c>
      <c r="B4832">
        <f>TEXT(4831, "[$-170000]yyyy-mm-dd")</f>
        <v/>
      </c>
      <c r="C4832">
        <f>TEXT(4831, "[$-060000]yyyy-mm-dd")</f>
        <v/>
      </c>
      <c r="D4832" t="inlineStr">
        <is>
          <t>1331-04-15</t>
        </is>
      </c>
    </row>
    <row r="4833">
      <c r="A4833" s="1" t="n">
        <v>4832</v>
      </c>
      <c r="B4833">
        <f>TEXT(4832, "[$-170000]yyyy-mm-dd")</f>
        <v/>
      </c>
      <c r="C4833">
        <f>TEXT(4832, "[$-060000]yyyy-mm-dd")</f>
        <v/>
      </c>
      <c r="D4833" t="inlineStr">
        <is>
          <t>1331-04-16</t>
        </is>
      </c>
    </row>
    <row r="4834">
      <c r="A4834" s="1" t="n">
        <v>4833</v>
      </c>
      <c r="B4834">
        <f>TEXT(4833, "[$-170000]yyyy-mm-dd")</f>
        <v/>
      </c>
      <c r="C4834">
        <f>TEXT(4833, "[$-060000]yyyy-mm-dd")</f>
        <v/>
      </c>
      <c r="D4834" t="inlineStr">
        <is>
          <t>1331-04-17</t>
        </is>
      </c>
    </row>
    <row r="4835">
      <c r="A4835" s="1" t="n">
        <v>4834</v>
      </c>
      <c r="B4835">
        <f>TEXT(4834, "[$-170000]yyyy-mm-dd")</f>
        <v/>
      </c>
      <c r="C4835">
        <f>TEXT(4834, "[$-060000]yyyy-mm-dd")</f>
        <v/>
      </c>
      <c r="D4835" t="inlineStr">
        <is>
          <t>1331-04-18</t>
        </is>
      </c>
    </row>
    <row r="4836">
      <c r="A4836" s="1" t="n">
        <v>4835</v>
      </c>
      <c r="B4836">
        <f>TEXT(4835, "[$-170000]yyyy-mm-dd")</f>
        <v/>
      </c>
      <c r="C4836">
        <f>TEXT(4835, "[$-060000]yyyy-mm-dd")</f>
        <v/>
      </c>
      <c r="D4836" t="inlineStr">
        <is>
          <t>1331-04-19</t>
        </is>
      </c>
    </row>
    <row r="4837">
      <c r="A4837" s="1" t="n">
        <v>4836</v>
      </c>
      <c r="B4837">
        <f>TEXT(4836, "[$-170000]yyyy-mm-dd")</f>
        <v/>
      </c>
      <c r="C4837">
        <f>TEXT(4836, "[$-060000]yyyy-mm-dd")</f>
        <v/>
      </c>
      <c r="D4837" t="inlineStr">
        <is>
          <t>1331-04-20</t>
        </is>
      </c>
    </row>
    <row r="4838">
      <c r="A4838" s="1" t="n">
        <v>4837</v>
      </c>
      <c r="B4838">
        <f>TEXT(4837, "[$-170000]yyyy-mm-dd")</f>
        <v/>
      </c>
      <c r="C4838">
        <f>TEXT(4837, "[$-060000]yyyy-mm-dd")</f>
        <v/>
      </c>
      <c r="D4838" t="inlineStr">
        <is>
          <t>1331-04-21</t>
        </is>
      </c>
    </row>
    <row r="4839">
      <c r="A4839" s="1" t="n">
        <v>4838</v>
      </c>
      <c r="B4839">
        <f>TEXT(4838, "[$-170000]yyyy-mm-dd")</f>
        <v/>
      </c>
      <c r="C4839">
        <f>TEXT(4838, "[$-060000]yyyy-mm-dd")</f>
        <v/>
      </c>
      <c r="D4839" t="inlineStr">
        <is>
          <t>1331-04-22</t>
        </is>
      </c>
    </row>
    <row r="4840">
      <c r="A4840" s="1" t="n">
        <v>4839</v>
      </c>
      <c r="B4840">
        <f>TEXT(4839, "[$-170000]yyyy-mm-dd")</f>
        <v/>
      </c>
      <c r="C4840">
        <f>TEXT(4839, "[$-060000]yyyy-mm-dd")</f>
        <v/>
      </c>
      <c r="D4840" t="inlineStr">
        <is>
          <t>1331-04-23</t>
        </is>
      </c>
    </row>
    <row r="4841">
      <c r="A4841" s="1" t="n">
        <v>4840</v>
      </c>
      <c r="B4841">
        <f>TEXT(4840, "[$-170000]yyyy-mm-dd")</f>
        <v/>
      </c>
      <c r="C4841">
        <f>TEXT(4840, "[$-060000]yyyy-mm-dd")</f>
        <v/>
      </c>
      <c r="D4841" t="inlineStr">
        <is>
          <t>1331-04-24</t>
        </is>
      </c>
    </row>
    <row r="4842">
      <c r="A4842" s="1" t="n">
        <v>4841</v>
      </c>
      <c r="B4842">
        <f>TEXT(4841, "[$-170000]yyyy-mm-dd")</f>
        <v/>
      </c>
      <c r="C4842">
        <f>TEXT(4841, "[$-060000]yyyy-mm-dd")</f>
        <v/>
      </c>
      <c r="D4842" t="inlineStr">
        <is>
          <t>1331-04-25</t>
        </is>
      </c>
    </row>
    <row r="4843">
      <c r="A4843" s="1" t="n">
        <v>4842</v>
      </c>
      <c r="B4843">
        <f>TEXT(4842, "[$-170000]yyyy-mm-dd")</f>
        <v/>
      </c>
      <c r="C4843">
        <f>TEXT(4842, "[$-060000]yyyy-mm-dd")</f>
        <v/>
      </c>
      <c r="D4843" t="inlineStr">
        <is>
          <t>1331-04-26</t>
        </is>
      </c>
    </row>
    <row r="4844">
      <c r="A4844" s="1" t="n">
        <v>4843</v>
      </c>
      <c r="B4844">
        <f>TEXT(4843, "[$-170000]yyyy-mm-dd")</f>
        <v/>
      </c>
      <c r="C4844">
        <f>TEXT(4843, "[$-060000]yyyy-mm-dd")</f>
        <v/>
      </c>
      <c r="D4844" t="inlineStr">
        <is>
          <t>1331-04-27</t>
        </is>
      </c>
    </row>
    <row r="4845">
      <c r="A4845" s="1" t="n">
        <v>4844</v>
      </c>
      <c r="B4845">
        <f>TEXT(4844, "[$-170000]yyyy-mm-dd")</f>
        <v/>
      </c>
      <c r="C4845">
        <f>TEXT(4844, "[$-060000]yyyy-mm-dd")</f>
        <v/>
      </c>
      <c r="D4845" t="inlineStr">
        <is>
          <t>1331-04-28</t>
        </is>
      </c>
    </row>
    <row r="4846">
      <c r="A4846" s="1" t="n">
        <v>4845</v>
      </c>
      <c r="B4846">
        <f>TEXT(4845, "[$-170000]yyyy-mm-dd")</f>
        <v/>
      </c>
      <c r="C4846">
        <f>TEXT(4845, "[$-060000]yyyy-mm-dd")</f>
        <v/>
      </c>
      <c r="D4846" t="inlineStr">
        <is>
          <t>1331-04-29</t>
        </is>
      </c>
    </row>
    <row r="4847">
      <c r="A4847" s="1" t="n">
        <v>4846</v>
      </c>
      <c r="B4847">
        <f>TEXT(4846, "[$-170000]yyyy-mm-dd")</f>
        <v/>
      </c>
      <c r="C4847">
        <f>TEXT(4846, "[$-060000]yyyy-mm-dd")</f>
        <v/>
      </c>
      <c r="D4847" t="inlineStr">
        <is>
          <t>1331-05-01</t>
        </is>
      </c>
    </row>
    <row r="4848">
      <c r="A4848" s="1" t="n">
        <v>4847</v>
      </c>
      <c r="B4848">
        <f>TEXT(4847, "[$-170000]yyyy-mm-dd")</f>
        <v/>
      </c>
      <c r="C4848">
        <f>TEXT(4847, "[$-060000]yyyy-mm-dd")</f>
        <v/>
      </c>
      <c r="D4848" t="inlineStr">
        <is>
          <t>1331-05-02</t>
        </is>
      </c>
    </row>
    <row r="4849">
      <c r="A4849" s="1" t="n">
        <v>4848</v>
      </c>
      <c r="B4849">
        <f>TEXT(4848, "[$-170000]yyyy-mm-dd")</f>
        <v/>
      </c>
      <c r="C4849">
        <f>TEXT(4848, "[$-060000]yyyy-mm-dd")</f>
        <v/>
      </c>
      <c r="D4849" t="inlineStr">
        <is>
          <t>1331-05-03</t>
        </is>
      </c>
    </row>
    <row r="4850">
      <c r="A4850" s="1" t="n">
        <v>4849</v>
      </c>
      <c r="B4850">
        <f>TEXT(4849, "[$-170000]yyyy-mm-dd")</f>
        <v/>
      </c>
      <c r="C4850">
        <f>TEXT(4849, "[$-060000]yyyy-mm-dd")</f>
        <v/>
      </c>
      <c r="D4850" t="inlineStr">
        <is>
          <t>1331-05-04</t>
        </is>
      </c>
    </row>
    <row r="4851">
      <c r="A4851" s="1" t="n">
        <v>4850</v>
      </c>
      <c r="B4851">
        <f>TEXT(4850, "[$-170000]yyyy-mm-dd")</f>
        <v/>
      </c>
      <c r="C4851">
        <f>TEXT(4850, "[$-060000]yyyy-mm-dd")</f>
        <v/>
      </c>
      <c r="D4851" t="inlineStr">
        <is>
          <t>1331-05-05</t>
        </is>
      </c>
    </row>
    <row r="4852">
      <c r="A4852" s="1" t="n">
        <v>4851</v>
      </c>
      <c r="B4852">
        <f>TEXT(4851, "[$-170000]yyyy-mm-dd")</f>
        <v/>
      </c>
      <c r="C4852">
        <f>TEXT(4851, "[$-060000]yyyy-mm-dd")</f>
        <v/>
      </c>
      <c r="D4852" t="inlineStr">
        <is>
          <t>1331-05-06</t>
        </is>
      </c>
    </row>
    <row r="4853">
      <c r="A4853" s="1" t="n">
        <v>4852</v>
      </c>
      <c r="B4853">
        <f>TEXT(4852, "[$-170000]yyyy-mm-dd")</f>
        <v/>
      </c>
      <c r="C4853">
        <f>TEXT(4852, "[$-060000]yyyy-mm-dd")</f>
        <v/>
      </c>
      <c r="D4853" t="inlineStr">
        <is>
          <t>1331-05-07</t>
        </is>
      </c>
    </row>
    <row r="4854">
      <c r="A4854" s="1" t="n">
        <v>4853</v>
      </c>
      <c r="B4854">
        <f>TEXT(4853, "[$-170000]yyyy-mm-dd")</f>
        <v/>
      </c>
      <c r="C4854">
        <f>TEXT(4853, "[$-060000]yyyy-mm-dd")</f>
        <v/>
      </c>
      <c r="D4854" t="inlineStr">
        <is>
          <t>1331-05-08</t>
        </is>
      </c>
    </row>
    <row r="4855">
      <c r="A4855" s="1" t="n">
        <v>4854</v>
      </c>
      <c r="B4855">
        <f>TEXT(4854, "[$-170000]yyyy-mm-dd")</f>
        <v/>
      </c>
      <c r="C4855">
        <f>TEXT(4854, "[$-060000]yyyy-mm-dd")</f>
        <v/>
      </c>
      <c r="D4855" t="inlineStr">
        <is>
          <t>1331-05-09</t>
        </is>
      </c>
    </row>
    <row r="4856">
      <c r="A4856" s="1" t="n">
        <v>4855</v>
      </c>
      <c r="B4856">
        <f>TEXT(4855, "[$-170000]yyyy-mm-dd")</f>
        <v/>
      </c>
      <c r="C4856">
        <f>TEXT(4855, "[$-060000]yyyy-mm-dd")</f>
        <v/>
      </c>
      <c r="D4856" t="inlineStr">
        <is>
          <t>1331-05-10</t>
        </is>
      </c>
    </row>
    <row r="4857">
      <c r="A4857" s="1" t="n">
        <v>4856</v>
      </c>
      <c r="B4857">
        <f>TEXT(4856, "[$-170000]yyyy-mm-dd")</f>
        <v/>
      </c>
      <c r="C4857">
        <f>TEXT(4856, "[$-060000]yyyy-mm-dd")</f>
        <v/>
      </c>
      <c r="D4857" t="inlineStr">
        <is>
          <t>1331-05-11</t>
        </is>
      </c>
    </row>
    <row r="4858">
      <c r="A4858" s="1" t="n">
        <v>4857</v>
      </c>
      <c r="B4858">
        <f>TEXT(4857, "[$-170000]yyyy-mm-dd")</f>
        <v/>
      </c>
      <c r="C4858">
        <f>TEXT(4857, "[$-060000]yyyy-mm-dd")</f>
        <v/>
      </c>
      <c r="D4858" t="inlineStr">
        <is>
          <t>1331-05-12</t>
        </is>
      </c>
    </row>
    <row r="4859">
      <c r="A4859" s="1" t="n">
        <v>4858</v>
      </c>
      <c r="B4859">
        <f>TEXT(4858, "[$-170000]yyyy-mm-dd")</f>
        <v/>
      </c>
      <c r="C4859">
        <f>TEXT(4858, "[$-060000]yyyy-mm-dd")</f>
        <v/>
      </c>
      <c r="D4859" t="inlineStr">
        <is>
          <t>1331-05-13</t>
        </is>
      </c>
    </row>
    <row r="4860">
      <c r="A4860" s="1" t="n">
        <v>4859</v>
      </c>
      <c r="B4860">
        <f>TEXT(4859, "[$-170000]yyyy-mm-dd")</f>
        <v/>
      </c>
      <c r="C4860">
        <f>TEXT(4859, "[$-060000]yyyy-mm-dd")</f>
        <v/>
      </c>
      <c r="D4860" t="inlineStr">
        <is>
          <t>1331-05-14</t>
        </is>
      </c>
    </row>
    <row r="4861">
      <c r="A4861" s="1" t="n">
        <v>4860</v>
      </c>
      <c r="B4861">
        <f>TEXT(4860, "[$-170000]yyyy-mm-dd")</f>
        <v/>
      </c>
      <c r="C4861">
        <f>TEXT(4860, "[$-060000]yyyy-mm-dd")</f>
        <v/>
      </c>
      <c r="D4861" t="inlineStr">
        <is>
          <t>1331-05-15</t>
        </is>
      </c>
    </row>
    <row r="4862">
      <c r="A4862" s="1" t="n">
        <v>4861</v>
      </c>
      <c r="B4862">
        <f>TEXT(4861, "[$-170000]yyyy-mm-dd")</f>
        <v/>
      </c>
      <c r="C4862">
        <f>TEXT(4861, "[$-060000]yyyy-mm-dd")</f>
        <v/>
      </c>
      <c r="D4862" t="inlineStr">
        <is>
          <t>1331-05-16</t>
        </is>
      </c>
    </row>
    <row r="4863">
      <c r="A4863" s="1" t="n">
        <v>4862</v>
      </c>
      <c r="B4863">
        <f>TEXT(4862, "[$-170000]yyyy-mm-dd")</f>
        <v/>
      </c>
      <c r="C4863">
        <f>TEXT(4862, "[$-060000]yyyy-mm-dd")</f>
        <v/>
      </c>
      <c r="D4863" t="inlineStr">
        <is>
          <t>1331-05-17</t>
        </is>
      </c>
    </row>
    <row r="4864">
      <c r="A4864" s="1" t="n">
        <v>4863</v>
      </c>
      <c r="B4864">
        <f>TEXT(4863, "[$-170000]yyyy-mm-dd")</f>
        <v/>
      </c>
      <c r="C4864">
        <f>TEXT(4863, "[$-060000]yyyy-mm-dd")</f>
        <v/>
      </c>
      <c r="D4864" t="inlineStr">
        <is>
          <t>1331-05-18</t>
        </is>
      </c>
    </row>
    <row r="4865">
      <c r="A4865" s="1" t="n">
        <v>4864</v>
      </c>
      <c r="B4865">
        <f>TEXT(4864, "[$-170000]yyyy-mm-dd")</f>
        <v/>
      </c>
      <c r="C4865">
        <f>TEXT(4864, "[$-060000]yyyy-mm-dd")</f>
        <v/>
      </c>
      <c r="D4865" t="inlineStr">
        <is>
          <t>1331-05-19</t>
        </is>
      </c>
    </row>
    <row r="4866">
      <c r="A4866" s="1" t="n">
        <v>4865</v>
      </c>
      <c r="B4866">
        <f>TEXT(4865, "[$-170000]yyyy-mm-dd")</f>
        <v/>
      </c>
      <c r="C4866">
        <f>TEXT(4865, "[$-060000]yyyy-mm-dd")</f>
        <v/>
      </c>
      <c r="D4866" t="inlineStr">
        <is>
          <t>1331-05-20</t>
        </is>
      </c>
    </row>
    <row r="4867">
      <c r="A4867" s="1" t="n">
        <v>4866</v>
      </c>
      <c r="B4867">
        <f>TEXT(4866, "[$-170000]yyyy-mm-dd")</f>
        <v/>
      </c>
      <c r="C4867">
        <f>TEXT(4866, "[$-060000]yyyy-mm-dd")</f>
        <v/>
      </c>
      <c r="D4867" t="inlineStr">
        <is>
          <t>1331-05-21</t>
        </is>
      </c>
    </row>
    <row r="4868">
      <c r="A4868" s="1" t="n">
        <v>4867</v>
      </c>
      <c r="B4868">
        <f>TEXT(4867, "[$-170000]yyyy-mm-dd")</f>
        <v/>
      </c>
      <c r="C4868">
        <f>TEXT(4867, "[$-060000]yyyy-mm-dd")</f>
        <v/>
      </c>
      <c r="D4868" t="inlineStr">
        <is>
          <t>1331-05-22</t>
        </is>
      </c>
    </row>
    <row r="4869">
      <c r="A4869" s="1" t="n">
        <v>4868</v>
      </c>
      <c r="B4869">
        <f>TEXT(4868, "[$-170000]yyyy-mm-dd")</f>
        <v/>
      </c>
      <c r="C4869">
        <f>TEXT(4868, "[$-060000]yyyy-mm-dd")</f>
        <v/>
      </c>
      <c r="D4869" t="inlineStr">
        <is>
          <t>1331-05-23</t>
        </is>
      </c>
    </row>
    <row r="4870">
      <c r="A4870" s="1" t="n">
        <v>4869</v>
      </c>
      <c r="B4870">
        <f>TEXT(4869, "[$-170000]yyyy-mm-dd")</f>
        <v/>
      </c>
      <c r="C4870">
        <f>TEXT(4869, "[$-060000]yyyy-mm-dd")</f>
        <v/>
      </c>
      <c r="D4870" t="inlineStr">
        <is>
          <t>1331-05-24</t>
        </is>
      </c>
    </row>
    <row r="4871">
      <c r="A4871" s="1" t="n">
        <v>4870</v>
      </c>
      <c r="B4871">
        <f>TEXT(4870, "[$-170000]yyyy-mm-dd")</f>
        <v/>
      </c>
      <c r="C4871">
        <f>TEXT(4870, "[$-060000]yyyy-mm-dd")</f>
        <v/>
      </c>
      <c r="D4871" t="inlineStr">
        <is>
          <t>1331-05-25</t>
        </is>
      </c>
    </row>
    <row r="4872">
      <c r="A4872" s="1" t="n">
        <v>4871</v>
      </c>
      <c r="B4872">
        <f>TEXT(4871, "[$-170000]yyyy-mm-dd")</f>
        <v/>
      </c>
      <c r="C4872">
        <f>TEXT(4871, "[$-060000]yyyy-mm-dd")</f>
        <v/>
      </c>
      <c r="D4872" t="inlineStr">
        <is>
          <t>1331-05-26</t>
        </is>
      </c>
    </row>
    <row r="4873">
      <c r="A4873" s="1" t="n">
        <v>4872</v>
      </c>
      <c r="B4873">
        <f>TEXT(4872, "[$-170000]yyyy-mm-dd")</f>
        <v/>
      </c>
      <c r="C4873">
        <f>TEXT(4872, "[$-060000]yyyy-mm-dd")</f>
        <v/>
      </c>
      <c r="D4873" t="inlineStr">
        <is>
          <t>1331-05-27</t>
        </is>
      </c>
    </row>
    <row r="4874">
      <c r="A4874" s="1" t="n">
        <v>4873</v>
      </c>
      <c r="B4874">
        <f>TEXT(4873, "[$-170000]yyyy-mm-dd")</f>
        <v/>
      </c>
      <c r="C4874">
        <f>TEXT(4873, "[$-060000]yyyy-mm-dd")</f>
        <v/>
      </c>
      <c r="D4874" t="inlineStr">
        <is>
          <t>1331-05-28</t>
        </is>
      </c>
    </row>
    <row r="4875">
      <c r="A4875" s="1" t="n">
        <v>4874</v>
      </c>
      <c r="B4875">
        <f>TEXT(4874, "[$-170000]yyyy-mm-dd")</f>
        <v/>
      </c>
      <c r="C4875">
        <f>TEXT(4874, "[$-060000]yyyy-mm-dd")</f>
        <v/>
      </c>
      <c r="D4875" t="inlineStr">
        <is>
          <t>1331-05-29</t>
        </is>
      </c>
    </row>
    <row r="4876">
      <c r="A4876" s="1" t="n">
        <v>4875</v>
      </c>
      <c r="B4876">
        <f>TEXT(4875, "[$-170000]yyyy-mm-dd")</f>
        <v/>
      </c>
      <c r="C4876">
        <f>TEXT(4875, "[$-060000]yyyy-mm-dd")</f>
        <v/>
      </c>
      <c r="D4876" t="inlineStr">
        <is>
          <t>1331-05-30</t>
        </is>
      </c>
    </row>
    <row r="4877">
      <c r="A4877" s="1" t="n">
        <v>4876</v>
      </c>
      <c r="B4877">
        <f>TEXT(4876, "[$-170000]yyyy-mm-dd")</f>
        <v/>
      </c>
      <c r="C4877">
        <f>TEXT(4876, "[$-060000]yyyy-mm-dd")</f>
        <v/>
      </c>
      <c r="D4877" t="inlineStr">
        <is>
          <t>1331-06-01</t>
        </is>
      </c>
    </row>
    <row r="4878">
      <c r="A4878" s="1" t="n">
        <v>4877</v>
      </c>
      <c r="B4878">
        <f>TEXT(4877, "[$-170000]yyyy-mm-dd")</f>
        <v/>
      </c>
      <c r="C4878">
        <f>TEXT(4877, "[$-060000]yyyy-mm-dd")</f>
        <v/>
      </c>
      <c r="D4878" t="inlineStr">
        <is>
          <t>1331-06-02</t>
        </is>
      </c>
    </row>
    <row r="4879">
      <c r="A4879" s="1" t="n">
        <v>4878</v>
      </c>
      <c r="B4879">
        <f>TEXT(4878, "[$-170000]yyyy-mm-dd")</f>
        <v/>
      </c>
      <c r="C4879">
        <f>TEXT(4878, "[$-060000]yyyy-mm-dd")</f>
        <v/>
      </c>
      <c r="D4879" t="inlineStr">
        <is>
          <t>1331-06-03</t>
        </is>
      </c>
    </row>
    <row r="4880">
      <c r="A4880" s="1" t="n">
        <v>4879</v>
      </c>
      <c r="B4880">
        <f>TEXT(4879, "[$-170000]yyyy-mm-dd")</f>
        <v/>
      </c>
      <c r="C4880">
        <f>TEXT(4879, "[$-060000]yyyy-mm-dd")</f>
        <v/>
      </c>
      <c r="D4880" t="inlineStr">
        <is>
          <t>1331-06-04</t>
        </is>
      </c>
    </row>
    <row r="4881">
      <c r="A4881" s="1" t="n">
        <v>4880</v>
      </c>
      <c r="B4881">
        <f>TEXT(4880, "[$-170000]yyyy-mm-dd")</f>
        <v/>
      </c>
      <c r="C4881">
        <f>TEXT(4880, "[$-060000]yyyy-mm-dd")</f>
        <v/>
      </c>
      <c r="D4881" t="inlineStr">
        <is>
          <t>1331-06-05</t>
        </is>
      </c>
    </row>
    <row r="4882">
      <c r="A4882" s="1" t="n">
        <v>4881</v>
      </c>
      <c r="B4882">
        <f>TEXT(4881, "[$-170000]yyyy-mm-dd")</f>
        <v/>
      </c>
      <c r="C4882">
        <f>TEXT(4881, "[$-060000]yyyy-mm-dd")</f>
        <v/>
      </c>
      <c r="D4882" t="inlineStr">
        <is>
          <t>1331-06-06</t>
        </is>
      </c>
    </row>
    <row r="4883">
      <c r="A4883" s="1" t="n">
        <v>4882</v>
      </c>
      <c r="B4883">
        <f>TEXT(4882, "[$-170000]yyyy-mm-dd")</f>
        <v/>
      </c>
      <c r="C4883">
        <f>TEXT(4882, "[$-060000]yyyy-mm-dd")</f>
        <v/>
      </c>
      <c r="D4883" t="inlineStr">
        <is>
          <t>1331-06-07</t>
        </is>
      </c>
    </row>
    <row r="4884">
      <c r="A4884" s="1" t="n">
        <v>4883</v>
      </c>
      <c r="B4884">
        <f>TEXT(4883, "[$-170000]yyyy-mm-dd")</f>
        <v/>
      </c>
      <c r="C4884">
        <f>TEXT(4883, "[$-060000]yyyy-mm-dd")</f>
        <v/>
      </c>
      <c r="D4884" t="inlineStr">
        <is>
          <t>1331-06-08</t>
        </is>
      </c>
    </row>
    <row r="4885">
      <c r="A4885" s="1" t="n">
        <v>4884</v>
      </c>
      <c r="B4885">
        <f>TEXT(4884, "[$-170000]yyyy-mm-dd")</f>
        <v/>
      </c>
      <c r="C4885">
        <f>TEXT(4884, "[$-060000]yyyy-mm-dd")</f>
        <v/>
      </c>
      <c r="D4885" t="inlineStr">
        <is>
          <t>1331-06-09</t>
        </is>
      </c>
    </row>
    <row r="4886">
      <c r="A4886" s="1" t="n">
        <v>4885</v>
      </c>
      <c r="B4886">
        <f>TEXT(4885, "[$-170000]yyyy-mm-dd")</f>
        <v/>
      </c>
      <c r="C4886">
        <f>TEXT(4885, "[$-060000]yyyy-mm-dd")</f>
        <v/>
      </c>
      <c r="D4886" t="inlineStr">
        <is>
          <t>1331-06-10</t>
        </is>
      </c>
    </row>
    <row r="4887">
      <c r="A4887" s="1" t="n">
        <v>4886</v>
      </c>
      <c r="B4887">
        <f>TEXT(4886, "[$-170000]yyyy-mm-dd")</f>
        <v/>
      </c>
      <c r="C4887">
        <f>TEXT(4886, "[$-060000]yyyy-mm-dd")</f>
        <v/>
      </c>
      <c r="D4887" t="inlineStr">
        <is>
          <t>1331-06-11</t>
        </is>
      </c>
    </row>
    <row r="4888">
      <c r="A4888" s="1" t="n">
        <v>4887</v>
      </c>
      <c r="B4888">
        <f>TEXT(4887, "[$-170000]yyyy-mm-dd")</f>
        <v/>
      </c>
      <c r="C4888">
        <f>TEXT(4887, "[$-060000]yyyy-mm-dd")</f>
        <v/>
      </c>
      <c r="D4888" t="inlineStr">
        <is>
          <t>1331-06-12</t>
        </is>
      </c>
    </row>
    <row r="4889">
      <c r="A4889" s="1" t="n">
        <v>4888</v>
      </c>
      <c r="B4889">
        <f>TEXT(4888, "[$-170000]yyyy-mm-dd")</f>
        <v/>
      </c>
      <c r="C4889">
        <f>TEXT(4888, "[$-060000]yyyy-mm-dd")</f>
        <v/>
      </c>
      <c r="D4889" t="inlineStr">
        <is>
          <t>1331-06-13</t>
        </is>
      </c>
    </row>
    <row r="4890">
      <c r="A4890" s="1" t="n">
        <v>4889</v>
      </c>
      <c r="B4890">
        <f>TEXT(4889, "[$-170000]yyyy-mm-dd")</f>
        <v/>
      </c>
      <c r="C4890">
        <f>TEXT(4889, "[$-060000]yyyy-mm-dd")</f>
        <v/>
      </c>
      <c r="D4890" t="inlineStr">
        <is>
          <t>1331-06-14</t>
        </is>
      </c>
    </row>
    <row r="4891">
      <c r="A4891" s="1" t="n">
        <v>4890</v>
      </c>
      <c r="B4891">
        <f>TEXT(4890, "[$-170000]yyyy-mm-dd")</f>
        <v/>
      </c>
      <c r="C4891">
        <f>TEXT(4890, "[$-060000]yyyy-mm-dd")</f>
        <v/>
      </c>
      <c r="D4891" t="inlineStr">
        <is>
          <t>1331-06-15</t>
        </is>
      </c>
    </row>
    <row r="4892">
      <c r="A4892" s="1" t="n">
        <v>4891</v>
      </c>
      <c r="B4892">
        <f>TEXT(4891, "[$-170000]yyyy-mm-dd")</f>
        <v/>
      </c>
      <c r="C4892">
        <f>TEXT(4891, "[$-060000]yyyy-mm-dd")</f>
        <v/>
      </c>
      <c r="D4892" t="inlineStr">
        <is>
          <t>1331-06-16</t>
        </is>
      </c>
    </row>
    <row r="4893">
      <c r="A4893" s="1" t="n">
        <v>4892</v>
      </c>
      <c r="B4893">
        <f>TEXT(4892, "[$-170000]yyyy-mm-dd")</f>
        <v/>
      </c>
      <c r="C4893">
        <f>TEXT(4892, "[$-060000]yyyy-mm-dd")</f>
        <v/>
      </c>
      <c r="D4893" t="inlineStr">
        <is>
          <t>1331-06-17</t>
        </is>
      </c>
    </row>
    <row r="4894">
      <c r="A4894" s="1" t="n">
        <v>4893</v>
      </c>
      <c r="B4894">
        <f>TEXT(4893, "[$-170000]yyyy-mm-dd")</f>
        <v/>
      </c>
      <c r="C4894">
        <f>TEXT(4893, "[$-060000]yyyy-mm-dd")</f>
        <v/>
      </c>
      <c r="D4894" t="inlineStr">
        <is>
          <t>1331-06-18</t>
        </is>
      </c>
    </row>
    <row r="4895">
      <c r="A4895" s="1" t="n">
        <v>4894</v>
      </c>
      <c r="B4895">
        <f>TEXT(4894, "[$-170000]yyyy-mm-dd")</f>
        <v/>
      </c>
      <c r="C4895">
        <f>TEXT(4894, "[$-060000]yyyy-mm-dd")</f>
        <v/>
      </c>
      <c r="D4895" t="inlineStr">
        <is>
          <t>1331-06-19</t>
        </is>
      </c>
    </row>
    <row r="4896">
      <c r="A4896" s="1" t="n">
        <v>4895</v>
      </c>
      <c r="B4896">
        <f>TEXT(4895, "[$-170000]yyyy-mm-dd")</f>
        <v/>
      </c>
      <c r="C4896">
        <f>TEXT(4895, "[$-060000]yyyy-mm-dd")</f>
        <v/>
      </c>
      <c r="D4896" t="inlineStr">
        <is>
          <t>1331-06-20</t>
        </is>
      </c>
    </row>
    <row r="4897">
      <c r="A4897" s="1" t="n">
        <v>4896</v>
      </c>
      <c r="B4897">
        <f>TEXT(4896, "[$-170000]yyyy-mm-dd")</f>
        <v/>
      </c>
      <c r="C4897">
        <f>TEXT(4896, "[$-060000]yyyy-mm-dd")</f>
        <v/>
      </c>
      <c r="D4897" t="inlineStr">
        <is>
          <t>1331-06-21</t>
        </is>
      </c>
    </row>
    <row r="4898">
      <c r="A4898" s="1" t="n">
        <v>4897</v>
      </c>
      <c r="B4898">
        <f>TEXT(4897, "[$-170000]yyyy-mm-dd")</f>
        <v/>
      </c>
      <c r="C4898">
        <f>TEXT(4897, "[$-060000]yyyy-mm-dd")</f>
        <v/>
      </c>
      <c r="D4898" t="inlineStr">
        <is>
          <t>1331-06-22</t>
        </is>
      </c>
    </row>
    <row r="4899">
      <c r="A4899" s="1" t="n">
        <v>4898</v>
      </c>
      <c r="B4899">
        <f>TEXT(4898, "[$-170000]yyyy-mm-dd")</f>
        <v/>
      </c>
      <c r="C4899">
        <f>TEXT(4898, "[$-060000]yyyy-mm-dd")</f>
        <v/>
      </c>
      <c r="D4899" t="inlineStr">
        <is>
          <t>1331-06-23</t>
        </is>
      </c>
    </row>
    <row r="4900">
      <c r="A4900" s="1" t="n">
        <v>4899</v>
      </c>
      <c r="B4900">
        <f>TEXT(4899, "[$-170000]yyyy-mm-dd")</f>
        <v/>
      </c>
      <c r="C4900">
        <f>TEXT(4899, "[$-060000]yyyy-mm-dd")</f>
        <v/>
      </c>
      <c r="D4900" t="inlineStr">
        <is>
          <t>1331-06-24</t>
        </is>
      </c>
    </row>
    <row r="4901">
      <c r="A4901" s="1" t="n">
        <v>4900</v>
      </c>
      <c r="B4901">
        <f>TEXT(4900, "[$-170000]yyyy-mm-dd")</f>
        <v/>
      </c>
      <c r="C4901">
        <f>TEXT(4900, "[$-060000]yyyy-mm-dd")</f>
        <v/>
      </c>
      <c r="D4901" t="inlineStr">
        <is>
          <t>1331-06-25</t>
        </is>
      </c>
    </row>
    <row r="4902">
      <c r="A4902" s="1" t="n">
        <v>4901</v>
      </c>
      <c r="B4902">
        <f>TEXT(4901, "[$-170000]yyyy-mm-dd")</f>
        <v/>
      </c>
      <c r="C4902">
        <f>TEXT(4901, "[$-060000]yyyy-mm-dd")</f>
        <v/>
      </c>
      <c r="D4902" t="inlineStr">
        <is>
          <t>1331-06-26</t>
        </is>
      </c>
    </row>
    <row r="4903">
      <c r="A4903" s="1" t="n">
        <v>4902</v>
      </c>
      <c r="B4903">
        <f>TEXT(4902, "[$-170000]yyyy-mm-dd")</f>
        <v/>
      </c>
      <c r="C4903">
        <f>TEXT(4902, "[$-060000]yyyy-mm-dd")</f>
        <v/>
      </c>
      <c r="D4903" t="inlineStr">
        <is>
          <t>1331-06-27</t>
        </is>
      </c>
    </row>
    <row r="4904">
      <c r="A4904" s="1" t="n">
        <v>4903</v>
      </c>
      <c r="B4904">
        <f>TEXT(4903, "[$-170000]yyyy-mm-dd")</f>
        <v/>
      </c>
      <c r="C4904">
        <f>TEXT(4903, "[$-060000]yyyy-mm-dd")</f>
        <v/>
      </c>
      <c r="D4904" t="inlineStr">
        <is>
          <t>1331-06-28</t>
        </is>
      </c>
    </row>
    <row r="4905">
      <c r="A4905" s="1" t="n">
        <v>4904</v>
      </c>
      <c r="B4905">
        <f>TEXT(4904, "[$-170000]yyyy-mm-dd")</f>
        <v/>
      </c>
      <c r="C4905">
        <f>TEXT(4904, "[$-060000]yyyy-mm-dd")</f>
        <v/>
      </c>
      <c r="D4905" t="inlineStr">
        <is>
          <t>1331-06-29</t>
        </is>
      </c>
    </row>
    <row r="4906">
      <c r="A4906" s="1" t="n">
        <v>4905</v>
      </c>
      <c r="B4906">
        <f>TEXT(4905, "[$-170000]yyyy-mm-dd")</f>
        <v/>
      </c>
      <c r="C4906">
        <f>TEXT(4905, "[$-060000]yyyy-mm-dd")</f>
        <v/>
      </c>
      <c r="D4906" t="inlineStr">
        <is>
          <t>1331-07-01</t>
        </is>
      </c>
    </row>
    <row r="4907">
      <c r="A4907" s="1" t="n">
        <v>4906</v>
      </c>
      <c r="B4907">
        <f>TEXT(4906, "[$-170000]yyyy-mm-dd")</f>
        <v/>
      </c>
      <c r="C4907">
        <f>TEXT(4906, "[$-060000]yyyy-mm-dd")</f>
        <v/>
      </c>
      <c r="D4907" t="inlineStr">
        <is>
          <t>1331-07-02</t>
        </is>
      </c>
    </row>
    <row r="4908">
      <c r="A4908" s="1" t="n">
        <v>4907</v>
      </c>
      <c r="B4908">
        <f>TEXT(4907, "[$-170000]yyyy-mm-dd")</f>
        <v/>
      </c>
      <c r="C4908">
        <f>TEXT(4907, "[$-060000]yyyy-mm-dd")</f>
        <v/>
      </c>
      <c r="D4908" t="inlineStr">
        <is>
          <t>1331-07-03</t>
        </is>
      </c>
    </row>
    <row r="4909">
      <c r="A4909" s="1" t="n">
        <v>4908</v>
      </c>
      <c r="B4909">
        <f>TEXT(4908, "[$-170000]yyyy-mm-dd")</f>
        <v/>
      </c>
      <c r="C4909">
        <f>TEXT(4908, "[$-060000]yyyy-mm-dd")</f>
        <v/>
      </c>
      <c r="D4909" t="inlineStr">
        <is>
          <t>1331-07-04</t>
        </is>
      </c>
    </row>
    <row r="4910">
      <c r="A4910" s="1" t="n">
        <v>4909</v>
      </c>
      <c r="B4910">
        <f>TEXT(4909, "[$-170000]yyyy-mm-dd")</f>
        <v/>
      </c>
      <c r="C4910">
        <f>TEXT(4909, "[$-060000]yyyy-mm-dd")</f>
        <v/>
      </c>
      <c r="D4910" t="inlineStr">
        <is>
          <t>1331-07-05</t>
        </is>
      </c>
    </row>
    <row r="4911">
      <c r="A4911" s="1" t="n">
        <v>4910</v>
      </c>
      <c r="B4911">
        <f>TEXT(4910, "[$-170000]yyyy-mm-dd")</f>
        <v/>
      </c>
      <c r="C4911">
        <f>TEXT(4910, "[$-060000]yyyy-mm-dd")</f>
        <v/>
      </c>
      <c r="D4911" t="inlineStr">
        <is>
          <t>1331-07-06</t>
        </is>
      </c>
    </row>
    <row r="4912">
      <c r="A4912" s="1" t="n">
        <v>4911</v>
      </c>
      <c r="B4912">
        <f>TEXT(4911, "[$-170000]yyyy-mm-dd")</f>
        <v/>
      </c>
      <c r="C4912">
        <f>TEXT(4911, "[$-060000]yyyy-mm-dd")</f>
        <v/>
      </c>
      <c r="D4912" t="inlineStr">
        <is>
          <t>1331-07-07</t>
        </is>
      </c>
    </row>
    <row r="4913">
      <c r="A4913" s="1" t="n">
        <v>4912</v>
      </c>
      <c r="B4913">
        <f>TEXT(4912, "[$-170000]yyyy-mm-dd")</f>
        <v/>
      </c>
      <c r="C4913">
        <f>TEXT(4912, "[$-060000]yyyy-mm-dd")</f>
        <v/>
      </c>
      <c r="D4913" t="inlineStr">
        <is>
          <t>1331-07-08</t>
        </is>
      </c>
    </row>
    <row r="4914">
      <c r="A4914" s="1" t="n">
        <v>4913</v>
      </c>
      <c r="B4914">
        <f>TEXT(4913, "[$-170000]yyyy-mm-dd")</f>
        <v/>
      </c>
      <c r="C4914">
        <f>TEXT(4913, "[$-060000]yyyy-mm-dd")</f>
        <v/>
      </c>
      <c r="D4914" t="inlineStr">
        <is>
          <t>1331-07-09</t>
        </is>
      </c>
    </row>
    <row r="4915">
      <c r="A4915" s="1" t="n">
        <v>4914</v>
      </c>
      <c r="B4915">
        <f>TEXT(4914, "[$-170000]yyyy-mm-dd")</f>
        <v/>
      </c>
      <c r="C4915">
        <f>TEXT(4914, "[$-060000]yyyy-mm-dd")</f>
        <v/>
      </c>
      <c r="D4915" t="inlineStr">
        <is>
          <t>1331-07-10</t>
        </is>
      </c>
    </row>
    <row r="4916">
      <c r="A4916" s="1" t="n">
        <v>4915</v>
      </c>
      <c r="B4916">
        <f>TEXT(4915, "[$-170000]yyyy-mm-dd")</f>
        <v/>
      </c>
      <c r="C4916">
        <f>TEXT(4915, "[$-060000]yyyy-mm-dd")</f>
        <v/>
      </c>
      <c r="D4916" t="inlineStr">
        <is>
          <t>1331-07-11</t>
        </is>
      </c>
    </row>
    <row r="4917">
      <c r="A4917" s="1" t="n">
        <v>4916</v>
      </c>
      <c r="B4917">
        <f>TEXT(4916, "[$-170000]yyyy-mm-dd")</f>
        <v/>
      </c>
      <c r="C4917">
        <f>TEXT(4916, "[$-060000]yyyy-mm-dd")</f>
        <v/>
      </c>
      <c r="D4917" t="inlineStr">
        <is>
          <t>1331-07-12</t>
        </is>
      </c>
    </row>
    <row r="4918">
      <c r="A4918" s="1" t="n">
        <v>4917</v>
      </c>
      <c r="B4918">
        <f>TEXT(4917, "[$-170000]yyyy-mm-dd")</f>
        <v/>
      </c>
      <c r="C4918">
        <f>TEXT(4917, "[$-060000]yyyy-mm-dd")</f>
        <v/>
      </c>
      <c r="D4918" t="inlineStr">
        <is>
          <t>1331-07-13</t>
        </is>
      </c>
    </row>
    <row r="4919">
      <c r="A4919" s="1" t="n">
        <v>4918</v>
      </c>
      <c r="B4919">
        <f>TEXT(4918, "[$-170000]yyyy-mm-dd")</f>
        <v/>
      </c>
      <c r="C4919">
        <f>TEXT(4918, "[$-060000]yyyy-mm-dd")</f>
        <v/>
      </c>
      <c r="D4919" t="inlineStr">
        <is>
          <t>1331-07-14</t>
        </is>
      </c>
    </row>
    <row r="4920">
      <c r="A4920" s="1" t="n">
        <v>4919</v>
      </c>
      <c r="B4920">
        <f>TEXT(4919, "[$-170000]yyyy-mm-dd")</f>
        <v/>
      </c>
      <c r="C4920">
        <f>TEXT(4919, "[$-060000]yyyy-mm-dd")</f>
        <v/>
      </c>
      <c r="D4920" t="inlineStr">
        <is>
          <t>1331-07-15</t>
        </is>
      </c>
    </row>
    <row r="4921">
      <c r="A4921" s="1" t="n">
        <v>4920</v>
      </c>
      <c r="B4921">
        <f>TEXT(4920, "[$-170000]yyyy-mm-dd")</f>
        <v/>
      </c>
      <c r="C4921">
        <f>TEXT(4920, "[$-060000]yyyy-mm-dd")</f>
        <v/>
      </c>
      <c r="D4921" t="inlineStr">
        <is>
          <t>1331-07-16</t>
        </is>
      </c>
    </row>
    <row r="4922">
      <c r="A4922" s="1" t="n">
        <v>4921</v>
      </c>
      <c r="B4922">
        <f>TEXT(4921, "[$-170000]yyyy-mm-dd")</f>
        <v/>
      </c>
      <c r="C4922">
        <f>TEXT(4921, "[$-060000]yyyy-mm-dd")</f>
        <v/>
      </c>
      <c r="D4922" t="inlineStr">
        <is>
          <t>1331-07-17</t>
        </is>
      </c>
    </row>
    <row r="4923">
      <c r="A4923" s="1" t="n">
        <v>4922</v>
      </c>
      <c r="B4923">
        <f>TEXT(4922, "[$-170000]yyyy-mm-dd")</f>
        <v/>
      </c>
      <c r="C4923">
        <f>TEXT(4922, "[$-060000]yyyy-mm-dd")</f>
        <v/>
      </c>
      <c r="D4923" t="inlineStr">
        <is>
          <t>1331-07-18</t>
        </is>
      </c>
    </row>
    <row r="4924">
      <c r="A4924" s="1" t="n">
        <v>4923</v>
      </c>
      <c r="B4924">
        <f>TEXT(4923, "[$-170000]yyyy-mm-dd")</f>
        <v/>
      </c>
      <c r="C4924">
        <f>TEXT(4923, "[$-060000]yyyy-mm-dd")</f>
        <v/>
      </c>
      <c r="D4924" t="inlineStr">
        <is>
          <t>1331-07-19</t>
        </is>
      </c>
    </row>
    <row r="4925">
      <c r="A4925" s="1" t="n">
        <v>4924</v>
      </c>
      <c r="B4925">
        <f>TEXT(4924, "[$-170000]yyyy-mm-dd")</f>
        <v/>
      </c>
      <c r="C4925">
        <f>TEXT(4924, "[$-060000]yyyy-mm-dd")</f>
        <v/>
      </c>
      <c r="D4925" t="inlineStr">
        <is>
          <t>1331-07-20</t>
        </is>
      </c>
    </row>
    <row r="4926">
      <c r="A4926" s="1" t="n">
        <v>4925</v>
      </c>
      <c r="B4926">
        <f>TEXT(4925, "[$-170000]yyyy-mm-dd")</f>
        <v/>
      </c>
      <c r="C4926">
        <f>TEXT(4925, "[$-060000]yyyy-mm-dd")</f>
        <v/>
      </c>
      <c r="D4926" t="inlineStr">
        <is>
          <t>1331-07-21</t>
        </is>
      </c>
    </row>
    <row r="4927">
      <c r="A4927" s="1" t="n">
        <v>4926</v>
      </c>
      <c r="B4927">
        <f>TEXT(4926, "[$-170000]yyyy-mm-dd")</f>
        <v/>
      </c>
      <c r="C4927">
        <f>TEXT(4926, "[$-060000]yyyy-mm-dd")</f>
        <v/>
      </c>
      <c r="D4927" t="inlineStr">
        <is>
          <t>1331-07-22</t>
        </is>
      </c>
    </row>
    <row r="4928">
      <c r="A4928" s="1" t="n">
        <v>4927</v>
      </c>
      <c r="B4928">
        <f>TEXT(4927, "[$-170000]yyyy-mm-dd")</f>
        <v/>
      </c>
      <c r="C4928">
        <f>TEXT(4927, "[$-060000]yyyy-mm-dd")</f>
        <v/>
      </c>
      <c r="D4928" t="inlineStr">
        <is>
          <t>1331-07-23</t>
        </is>
      </c>
    </row>
    <row r="4929">
      <c r="A4929" s="1" t="n">
        <v>4928</v>
      </c>
      <c r="B4929">
        <f>TEXT(4928, "[$-170000]yyyy-mm-dd")</f>
        <v/>
      </c>
      <c r="C4929">
        <f>TEXT(4928, "[$-060000]yyyy-mm-dd")</f>
        <v/>
      </c>
      <c r="D4929" t="inlineStr">
        <is>
          <t>1331-07-24</t>
        </is>
      </c>
    </row>
    <row r="4930">
      <c r="A4930" s="1" t="n">
        <v>4929</v>
      </c>
      <c r="B4930">
        <f>TEXT(4929, "[$-170000]yyyy-mm-dd")</f>
        <v/>
      </c>
      <c r="C4930">
        <f>TEXT(4929, "[$-060000]yyyy-mm-dd")</f>
        <v/>
      </c>
      <c r="D4930" t="inlineStr">
        <is>
          <t>1331-07-25</t>
        </is>
      </c>
    </row>
    <row r="4931">
      <c r="A4931" s="1" t="n">
        <v>4930</v>
      </c>
      <c r="B4931">
        <f>TEXT(4930, "[$-170000]yyyy-mm-dd")</f>
        <v/>
      </c>
      <c r="C4931">
        <f>TEXT(4930, "[$-060000]yyyy-mm-dd")</f>
        <v/>
      </c>
      <c r="D4931" t="inlineStr">
        <is>
          <t>1331-07-26</t>
        </is>
      </c>
    </row>
    <row r="4932">
      <c r="A4932" s="1" t="n">
        <v>4931</v>
      </c>
      <c r="B4932">
        <f>TEXT(4931, "[$-170000]yyyy-mm-dd")</f>
        <v/>
      </c>
      <c r="C4932">
        <f>TEXT(4931, "[$-060000]yyyy-mm-dd")</f>
        <v/>
      </c>
      <c r="D4932" t="inlineStr">
        <is>
          <t>1331-07-27</t>
        </is>
      </c>
    </row>
    <row r="4933">
      <c r="A4933" s="1" t="n">
        <v>4932</v>
      </c>
      <c r="B4933">
        <f>TEXT(4932, "[$-170000]yyyy-mm-dd")</f>
        <v/>
      </c>
      <c r="C4933">
        <f>TEXT(4932, "[$-060000]yyyy-mm-dd")</f>
        <v/>
      </c>
      <c r="D4933" t="inlineStr">
        <is>
          <t>1331-07-28</t>
        </is>
      </c>
    </row>
    <row r="4934">
      <c r="A4934" s="1" t="n">
        <v>4933</v>
      </c>
      <c r="B4934">
        <f>TEXT(4933, "[$-170000]yyyy-mm-dd")</f>
        <v/>
      </c>
      <c r="C4934">
        <f>TEXT(4933, "[$-060000]yyyy-mm-dd")</f>
        <v/>
      </c>
      <c r="D4934" t="inlineStr">
        <is>
          <t>1331-07-29</t>
        </is>
      </c>
    </row>
    <row r="4935">
      <c r="A4935" s="1" t="n">
        <v>4934</v>
      </c>
      <c r="B4935">
        <f>TEXT(4934, "[$-170000]yyyy-mm-dd")</f>
        <v/>
      </c>
      <c r="C4935">
        <f>TEXT(4934, "[$-060000]yyyy-mm-dd")</f>
        <v/>
      </c>
      <c r="D4935" t="inlineStr">
        <is>
          <t>1331-07-30</t>
        </is>
      </c>
    </row>
    <row r="4936">
      <c r="A4936" s="1" t="n">
        <v>4935</v>
      </c>
      <c r="B4936">
        <f>TEXT(4935, "[$-170000]yyyy-mm-dd")</f>
        <v/>
      </c>
      <c r="C4936">
        <f>TEXT(4935, "[$-060000]yyyy-mm-dd")</f>
        <v/>
      </c>
      <c r="D4936" t="inlineStr">
        <is>
          <t>1331-08-01</t>
        </is>
      </c>
    </row>
    <row r="4937">
      <c r="A4937" s="1" t="n">
        <v>4936</v>
      </c>
      <c r="B4937">
        <f>TEXT(4936, "[$-170000]yyyy-mm-dd")</f>
        <v/>
      </c>
      <c r="C4937">
        <f>TEXT(4936, "[$-060000]yyyy-mm-dd")</f>
        <v/>
      </c>
      <c r="D4937" t="inlineStr">
        <is>
          <t>1331-08-02</t>
        </is>
      </c>
    </row>
    <row r="4938">
      <c r="A4938" s="1" t="n">
        <v>4937</v>
      </c>
      <c r="B4938">
        <f>TEXT(4937, "[$-170000]yyyy-mm-dd")</f>
        <v/>
      </c>
      <c r="C4938">
        <f>TEXT(4937, "[$-060000]yyyy-mm-dd")</f>
        <v/>
      </c>
      <c r="D4938" t="inlineStr">
        <is>
          <t>1331-08-03</t>
        </is>
      </c>
    </row>
    <row r="4939">
      <c r="A4939" s="1" t="n">
        <v>4938</v>
      </c>
      <c r="B4939">
        <f>TEXT(4938, "[$-170000]yyyy-mm-dd")</f>
        <v/>
      </c>
      <c r="C4939">
        <f>TEXT(4938, "[$-060000]yyyy-mm-dd")</f>
        <v/>
      </c>
      <c r="D4939" t="inlineStr">
        <is>
          <t>1331-08-04</t>
        </is>
      </c>
    </row>
    <row r="4940">
      <c r="A4940" s="1" t="n">
        <v>4939</v>
      </c>
      <c r="B4940">
        <f>TEXT(4939, "[$-170000]yyyy-mm-dd")</f>
        <v/>
      </c>
      <c r="C4940">
        <f>TEXT(4939, "[$-060000]yyyy-mm-dd")</f>
        <v/>
      </c>
      <c r="D4940" t="inlineStr">
        <is>
          <t>1331-08-05</t>
        </is>
      </c>
    </row>
    <row r="4941">
      <c r="A4941" s="1" t="n">
        <v>4940</v>
      </c>
      <c r="B4941">
        <f>TEXT(4940, "[$-170000]yyyy-mm-dd")</f>
        <v/>
      </c>
      <c r="C4941">
        <f>TEXT(4940, "[$-060000]yyyy-mm-dd")</f>
        <v/>
      </c>
      <c r="D4941" t="inlineStr">
        <is>
          <t>1331-08-06</t>
        </is>
      </c>
    </row>
    <row r="4942">
      <c r="A4942" s="1" t="n">
        <v>4941</v>
      </c>
      <c r="B4942">
        <f>TEXT(4941, "[$-170000]yyyy-mm-dd")</f>
        <v/>
      </c>
      <c r="C4942">
        <f>TEXT(4941, "[$-060000]yyyy-mm-dd")</f>
        <v/>
      </c>
      <c r="D4942" t="inlineStr">
        <is>
          <t>1331-08-07</t>
        </is>
      </c>
    </row>
    <row r="4943">
      <c r="A4943" s="1" t="n">
        <v>4942</v>
      </c>
      <c r="B4943">
        <f>TEXT(4942, "[$-170000]yyyy-mm-dd")</f>
        <v/>
      </c>
      <c r="C4943">
        <f>TEXT(4942, "[$-060000]yyyy-mm-dd")</f>
        <v/>
      </c>
      <c r="D4943" t="inlineStr">
        <is>
          <t>1331-08-08</t>
        </is>
      </c>
    </row>
    <row r="4944">
      <c r="A4944" s="1" t="n">
        <v>4943</v>
      </c>
      <c r="B4944">
        <f>TEXT(4943, "[$-170000]yyyy-mm-dd")</f>
        <v/>
      </c>
      <c r="C4944">
        <f>TEXT(4943, "[$-060000]yyyy-mm-dd")</f>
        <v/>
      </c>
      <c r="D4944" t="inlineStr">
        <is>
          <t>1331-08-09</t>
        </is>
      </c>
    </row>
    <row r="4945">
      <c r="A4945" s="1" t="n">
        <v>4944</v>
      </c>
      <c r="B4945">
        <f>TEXT(4944, "[$-170000]yyyy-mm-dd")</f>
        <v/>
      </c>
      <c r="C4945">
        <f>TEXT(4944, "[$-060000]yyyy-mm-dd")</f>
        <v/>
      </c>
      <c r="D4945" t="inlineStr">
        <is>
          <t>1331-08-10</t>
        </is>
      </c>
    </row>
    <row r="4946">
      <c r="A4946" s="1" t="n">
        <v>4945</v>
      </c>
      <c r="B4946">
        <f>TEXT(4945, "[$-170000]yyyy-mm-dd")</f>
        <v/>
      </c>
      <c r="C4946">
        <f>TEXT(4945, "[$-060000]yyyy-mm-dd")</f>
        <v/>
      </c>
      <c r="D4946" t="inlineStr">
        <is>
          <t>1331-08-11</t>
        </is>
      </c>
    </row>
    <row r="4947">
      <c r="A4947" s="1" t="n">
        <v>4946</v>
      </c>
      <c r="B4947">
        <f>TEXT(4946, "[$-170000]yyyy-mm-dd")</f>
        <v/>
      </c>
      <c r="C4947">
        <f>TEXT(4946, "[$-060000]yyyy-mm-dd")</f>
        <v/>
      </c>
      <c r="D4947" t="inlineStr">
        <is>
          <t>1331-08-12</t>
        </is>
      </c>
    </row>
    <row r="4948">
      <c r="A4948" s="1" t="n">
        <v>4947</v>
      </c>
      <c r="B4948">
        <f>TEXT(4947, "[$-170000]yyyy-mm-dd")</f>
        <v/>
      </c>
      <c r="C4948">
        <f>TEXT(4947, "[$-060000]yyyy-mm-dd")</f>
        <v/>
      </c>
      <c r="D4948" t="inlineStr">
        <is>
          <t>1331-08-13</t>
        </is>
      </c>
    </row>
    <row r="4949">
      <c r="A4949" s="1" t="n">
        <v>4948</v>
      </c>
      <c r="B4949">
        <f>TEXT(4948, "[$-170000]yyyy-mm-dd")</f>
        <v/>
      </c>
      <c r="C4949">
        <f>TEXT(4948, "[$-060000]yyyy-mm-dd")</f>
        <v/>
      </c>
      <c r="D4949" t="inlineStr">
        <is>
          <t>1331-08-14</t>
        </is>
      </c>
    </row>
    <row r="4950">
      <c r="A4950" s="1" t="n">
        <v>4949</v>
      </c>
      <c r="B4950">
        <f>TEXT(4949, "[$-170000]yyyy-mm-dd")</f>
        <v/>
      </c>
      <c r="C4950">
        <f>TEXT(4949, "[$-060000]yyyy-mm-dd")</f>
        <v/>
      </c>
      <c r="D4950" t="inlineStr">
        <is>
          <t>1331-08-15</t>
        </is>
      </c>
    </row>
    <row r="4951">
      <c r="A4951" s="1" t="n">
        <v>4950</v>
      </c>
      <c r="B4951">
        <f>TEXT(4950, "[$-170000]yyyy-mm-dd")</f>
        <v/>
      </c>
      <c r="C4951">
        <f>TEXT(4950, "[$-060000]yyyy-mm-dd")</f>
        <v/>
      </c>
      <c r="D4951" t="inlineStr">
        <is>
          <t>1331-08-16</t>
        </is>
      </c>
    </row>
    <row r="4952">
      <c r="A4952" s="1" t="n">
        <v>4951</v>
      </c>
      <c r="B4952">
        <f>TEXT(4951, "[$-170000]yyyy-mm-dd")</f>
        <v/>
      </c>
      <c r="C4952">
        <f>TEXT(4951, "[$-060000]yyyy-mm-dd")</f>
        <v/>
      </c>
      <c r="D4952" t="inlineStr">
        <is>
          <t>1331-08-17</t>
        </is>
      </c>
    </row>
    <row r="4953">
      <c r="A4953" s="1" t="n">
        <v>4952</v>
      </c>
      <c r="B4953">
        <f>TEXT(4952, "[$-170000]yyyy-mm-dd")</f>
        <v/>
      </c>
      <c r="C4953">
        <f>TEXT(4952, "[$-060000]yyyy-mm-dd")</f>
        <v/>
      </c>
      <c r="D4953" t="inlineStr">
        <is>
          <t>1331-08-18</t>
        </is>
      </c>
    </row>
    <row r="4954">
      <c r="A4954" s="1" t="n">
        <v>4953</v>
      </c>
      <c r="B4954">
        <f>TEXT(4953, "[$-170000]yyyy-mm-dd")</f>
        <v/>
      </c>
      <c r="C4954">
        <f>TEXT(4953, "[$-060000]yyyy-mm-dd")</f>
        <v/>
      </c>
      <c r="D4954" t="inlineStr">
        <is>
          <t>1331-08-19</t>
        </is>
      </c>
    </row>
    <row r="4955">
      <c r="A4955" s="1" t="n">
        <v>4954</v>
      </c>
      <c r="B4955">
        <f>TEXT(4954, "[$-170000]yyyy-mm-dd")</f>
        <v/>
      </c>
      <c r="C4955">
        <f>TEXT(4954, "[$-060000]yyyy-mm-dd")</f>
        <v/>
      </c>
      <c r="D4955" t="inlineStr">
        <is>
          <t>1331-08-20</t>
        </is>
      </c>
    </row>
    <row r="4956">
      <c r="A4956" s="1" t="n">
        <v>4955</v>
      </c>
      <c r="B4956">
        <f>TEXT(4955, "[$-170000]yyyy-mm-dd")</f>
        <v/>
      </c>
      <c r="C4956">
        <f>TEXT(4955, "[$-060000]yyyy-mm-dd")</f>
        <v/>
      </c>
      <c r="D4956" t="inlineStr">
        <is>
          <t>1331-08-21</t>
        </is>
      </c>
    </row>
    <row r="4957">
      <c r="A4957" s="1" t="n">
        <v>4956</v>
      </c>
      <c r="B4957">
        <f>TEXT(4956, "[$-170000]yyyy-mm-dd")</f>
        <v/>
      </c>
      <c r="C4957">
        <f>TEXT(4956, "[$-060000]yyyy-mm-dd")</f>
        <v/>
      </c>
      <c r="D4957" t="inlineStr">
        <is>
          <t>1331-08-22</t>
        </is>
      </c>
    </row>
    <row r="4958">
      <c r="A4958" s="1" t="n">
        <v>4957</v>
      </c>
      <c r="B4958">
        <f>TEXT(4957, "[$-170000]yyyy-mm-dd")</f>
        <v/>
      </c>
      <c r="C4958">
        <f>TEXT(4957, "[$-060000]yyyy-mm-dd")</f>
        <v/>
      </c>
      <c r="D4958" t="inlineStr">
        <is>
          <t>1331-08-23</t>
        </is>
      </c>
    </row>
    <row r="4959">
      <c r="A4959" s="1" t="n">
        <v>4958</v>
      </c>
      <c r="B4959">
        <f>TEXT(4958, "[$-170000]yyyy-mm-dd")</f>
        <v/>
      </c>
      <c r="C4959">
        <f>TEXT(4958, "[$-060000]yyyy-mm-dd")</f>
        <v/>
      </c>
      <c r="D4959" t="inlineStr">
        <is>
          <t>1331-08-24</t>
        </is>
      </c>
    </row>
    <row r="4960">
      <c r="A4960" s="1" t="n">
        <v>4959</v>
      </c>
      <c r="B4960">
        <f>TEXT(4959, "[$-170000]yyyy-mm-dd")</f>
        <v/>
      </c>
      <c r="C4960">
        <f>TEXT(4959, "[$-060000]yyyy-mm-dd")</f>
        <v/>
      </c>
      <c r="D4960" t="inlineStr">
        <is>
          <t>1331-08-25</t>
        </is>
      </c>
    </row>
    <row r="4961">
      <c r="A4961" s="1" t="n">
        <v>4960</v>
      </c>
      <c r="B4961">
        <f>TEXT(4960, "[$-170000]yyyy-mm-dd")</f>
        <v/>
      </c>
      <c r="C4961">
        <f>TEXT(4960, "[$-060000]yyyy-mm-dd")</f>
        <v/>
      </c>
      <c r="D4961" t="inlineStr">
        <is>
          <t>1331-08-26</t>
        </is>
      </c>
    </row>
    <row r="4962">
      <c r="A4962" s="1" t="n">
        <v>4961</v>
      </c>
      <c r="B4962">
        <f>TEXT(4961, "[$-170000]yyyy-mm-dd")</f>
        <v/>
      </c>
      <c r="C4962">
        <f>TEXT(4961, "[$-060000]yyyy-mm-dd")</f>
        <v/>
      </c>
      <c r="D4962" t="inlineStr">
        <is>
          <t>1331-08-27</t>
        </is>
      </c>
    </row>
    <row r="4963">
      <c r="A4963" s="1" t="n">
        <v>4962</v>
      </c>
      <c r="B4963">
        <f>TEXT(4962, "[$-170000]yyyy-mm-dd")</f>
        <v/>
      </c>
      <c r="C4963">
        <f>TEXT(4962, "[$-060000]yyyy-mm-dd")</f>
        <v/>
      </c>
      <c r="D4963" t="inlineStr">
        <is>
          <t>1331-08-28</t>
        </is>
      </c>
    </row>
    <row r="4964">
      <c r="A4964" s="1" t="n">
        <v>4963</v>
      </c>
      <c r="B4964">
        <f>TEXT(4963, "[$-170000]yyyy-mm-dd")</f>
        <v/>
      </c>
      <c r="C4964">
        <f>TEXT(4963, "[$-060000]yyyy-mm-dd")</f>
        <v/>
      </c>
      <c r="D4964" t="inlineStr">
        <is>
          <t>1331-08-29</t>
        </is>
      </c>
    </row>
    <row r="4965">
      <c r="A4965" s="1" t="n">
        <v>4964</v>
      </c>
      <c r="B4965">
        <f>TEXT(4964, "[$-170000]yyyy-mm-dd")</f>
        <v/>
      </c>
      <c r="C4965">
        <f>TEXT(4964, "[$-060000]yyyy-mm-dd")</f>
        <v/>
      </c>
      <c r="D4965" t="inlineStr">
        <is>
          <t>1331-09-01</t>
        </is>
      </c>
    </row>
    <row r="4966">
      <c r="A4966" s="1" t="n">
        <v>4965</v>
      </c>
      <c r="B4966">
        <f>TEXT(4965, "[$-170000]yyyy-mm-dd")</f>
        <v/>
      </c>
      <c r="C4966">
        <f>TEXT(4965, "[$-060000]yyyy-mm-dd")</f>
        <v/>
      </c>
      <c r="D4966" t="inlineStr">
        <is>
          <t>1331-09-02</t>
        </is>
      </c>
    </row>
    <row r="4967">
      <c r="A4967" s="1" t="n">
        <v>4966</v>
      </c>
      <c r="B4967">
        <f>TEXT(4966, "[$-170000]yyyy-mm-dd")</f>
        <v/>
      </c>
      <c r="C4967">
        <f>TEXT(4966, "[$-060000]yyyy-mm-dd")</f>
        <v/>
      </c>
      <c r="D4967" t="inlineStr">
        <is>
          <t>1331-09-03</t>
        </is>
      </c>
    </row>
    <row r="4968">
      <c r="A4968" s="1" t="n">
        <v>4967</v>
      </c>
      <c r="B4968">
        <f>TEXT(4967, "[$-170000]yyyy-mm-dd")</f>
        <v/>
      </c>
      <c r="C4968">
        <f>TEXT(4967, "[$-060000]yyyy-mm-dd")</f>
        <v/>
      </c>
      <c r="D4968" t="inlineStr">
        <is>
          <t>1331-09-04</t>
        </is>
      </c>
    </row>
    <row r="4969">
      <c r="A4969" s="1" t="n">
        <v>4968</v>
      </c>
      <c r="B4969">
        <f>TEXT(4968, "[$-170000]yyyy-mm-dd")</f>
        <v/>
      </c>
      <c r="C4969">
        <f>TEXT(4968, "[$-060000]yyyy-mm-dd")</f>
        <v/>
      </c>
      <c r="D4969" t="inlineStr">
        <is>
          <t>1331-09-05</t>
        </is>
      </c>
    </row>
    <row r="4970">
      <c r="A4970" s="1" t="n">
        <v>4969</v>
      </c>
      <c r="B4970">
        <f>TEXT(4969, "[$-170000]yyyy-mm-dd")</f>
        <v/>
      </c>
      <c r="C4970">
        <f>TEXT(4969, "[$-060000]yyyy-mm-dd")</f>
        <v/>
      </c>
      <c r="D4970" t="inlineStr">
        <is>
          <t>1331-09-06</t>
        </is>
      </c>
    </row>
    <row r="4971">
      <c r="A4971" s="1" t="n">
        <v>4970</v>
      </c>
      <c r="B4971">
        <f>TEXT(4970, "[$-170000]yyyy-mm-dd")</f>
        <v/>
      </c>
      <c r="C4971">
        <f>TEXT(4970, "[$-060000]yyyy-mm-dd")</f>
        <v/>
      </c>
      <c r="D4971" t="inlineStr">
        <is>
          <t>1331-09-07</t>
        </is>
      </c>
    </row>
    <row r="4972">
      <c r="A4972" s="1" t="n">
        <v>4971</v>
      </c>
      <c r="B4972">
        <f>TEXT(4971, "[$-170000]yyyy-mm-dd")</f>
        <v/>
      </c>
      <c r="C4972">
        <f>TEXT(4971, "[$-060000]yyyy-mm-dd")</f>
        <v/>
      </c>
      <c r="D4972" t="inlineStr">
        <is>
          <t>1331-09-08</t>
        </is>
      </c>
    </row>
    <row r="4973">
      <c r="A4973" s="1" t="n">
        <v>4972</v>
      </c>
      <c r="B4973">
        <f>TEXT(4972, "[$-170000]yyyy-mm-dd")</f>
        <v/>
      </c>
      <c r="C4973">
        <f>TEXT(4972, "[$-060000]yyyy-mm-dd")</f>
        <v/>
      </c>
      <c r="D4973" t="inlineStr">
        <is>
          <t>1331-09-09</t>
        </is>
      </c>
    </row>
    <row r="4974">
      <c r="A4974" s="1" t="n">
        <v>4973</v>
      </c>
      <c r="B4974">
        <f>TEXT(4973, "[$-170000]yyyy-mm-dd")</f>
        <v/>
      </c>
      <c r="C4974">
        <f>TEXT(4973, "[$-060000]yyyy-mm-dd")</f>
        <v/>
      </c>
      <c r="D4974" t="inlineStr">
        <is>
          <t>1331-09-10</t>
        </is>
      </c>
    </row>
    <row r="4975">
      <c r="A4975" s="1" t="n">
        <v>4974</v>
      </c>
      <c r="B4975">
        <f>TEXT(4974, "[$-170000]yyyy-mm-dd")</f>
        <v/>
      </c>
      <c r="C4975">
        <f>TEXT(4974, "[$-060000]yyyy-mm-dd")</f>
        <v/>
      </c>
      <c r="D4975" t="inlineStr">
        <is>
          <t>1331-09-11</t>
        </is>
      </c>
    </row>
    <row r="4976">
      <c r="A4976" s="1" t="n">
        <v>4975</v>
      </c>
      <c r="B4976">
        <f>TEXT(4975, "[$-170000]yyyy-mm-dd")</f>
        <v/>
      </c>
      <c r="C4976">
        <f>TEXT(4975, "[$-060000]yyyy-mm-dd")</f>
        <v/>
      </c>
      <c r="D4976" t="inlineStr">
        <is>
          <t>1331-09-12</t>
        </is>
      </c>
    </row>
    <row r="4977">
      <c r="A4977" s="1" t="n">
        <v>4976</v>
      </c>
      <c r="B4977">
        <f>TEXT(4976, "[$-170000]yyyy-mm-dd")</f>
        <v/>
      </c>
      <c r="C4977">
        <f>TEXT(4976, "[$-060000]yyyy-mm-dd")</f>
        <v/>
      </c>
      <c r="D4977" t="inlineStr">
        <is>
          <t>1331-09-13</t>
        </is>
      </c>
    </row>
    <row r="4978">
      <c r="A4978" s="1" t="n">
        <v>4977</v>
      </c>
      <c r="B4978">
        <f>TEXT(4977, "[$-170000]yyyy-mm-dd")</f>
        <v/>
      </c>
      <c r="C4978">
        <f>TEXT(4977, "[$-060000]yyyy-mm-dd")</f>
        <v/>
      </c>
      <c r="D4978" t="inlineStr">
        <is>
          <t>1331-09-14</t>
        </is>
      </c>
    </row>
    <row r="4979">
      <c r="A4979" s="1" t="n">
        <v>4978</v>
      </c>
      <c r="B4979">
        <f>TEXT(4978, "[$-170000]yyyy-mm-dd")</f>
        <v/>
      </c>
      <c r="C4979">
        <f>TEXT(4978, "[$-060000]yyyy-mm-dd")</f>
        <v/>
      </c>
      <c r="D4979" t="inlineStr">
        <is>
          <t>1331-09-15</t>
        </is>
      </c>
    </row>
    <row r="4980">
      <c r="A4980" s="1" t="n">
        <v>4979</v>
      </c>
      <c r="B4980">
        <f>TEXT(4979, "[$-170000]yyyy-mm-dd")</f>
        <v/>
      </c>
      <c r="C4980">
        <f>TEXT(4979, "[$-060000]yyyy-mm-dd")</f>
        <v/>
      </c>
      <c r="D4980" t="inlineStr">
        <is>
          <t>1331-09-16</t>
        </is>
      </c>
    </row>
    <row r="4981">
      <c r="A4981" s="1" t="n">
        <v>4980</v>
      </c>
      <c r="B4981">
        <f>TEXT(4980, "[$-170000]yyyy-mm-dd")</f>
        <v/>
      </c>
      <c r="C4981">
        <f>TEXT(4980, "[$-060000]yyyy-mm-dd")</f>
        <v/>
      </c>
      <c r="D4981" t="inlineStr">
        <is>
          <t>1331-09-17</t>
        </is>
      </c>
    </row>
    <row r="4982">
      <c r="A4982" s="1" t="n">
        <v>4981</v>
      </c>
      <c r="B4982">
        <f>TEXT(4981, "[$-170000]yyyy-mm-dd")</f>
        <v/>
      </c>
      <c r="C4982">
        <f>TEXT(4981, "[$-060000]yyyy-mm-dd")</f>
        <v/>
      </c>
      <c r="D4982" t="inlineStr">
        <is>
          <t>1331-09-18</t>
        </is>
      </c>
    </row>
    <row r="4983">
      <c r="A4983" s="1" t="n">
        <v>4982</v>
      </c>
      <c r="B4983">
        <f>TEXT(4982, "[$-170000]yyyy-mm-dd")</f>
        <v/>
      </c>
      <c r="C4983">
        <f>TEXT(4982, "[$-060000]yyyy-mm-dd")</f>
        <v/>
      </c>
      <c r="D4983" t="inlineStr">
        <is>
          <t>1331-09-19</t>
        </is>
      </c>
    </row>
    <row r="4984">
      <c r="A4984" s="1" t="n">
        <v>4983</v>
      </c>
      <c r="B4984">
        <f>TEXT(4983, "[$-170000]yyyy-mm-dd")</f>
        <v/>
      </c>
      <c r="C4984">
        <f>TEXT(4983, "[$-060000]yyyy-mm-dd")</f>
        <v/>
      </c>
      <c r="D4984" t="inlineStr">
        <is>
          <t>1331-09-20</t>
        </is>
      </c>
    </row>
    <row r="4985">
      <c r="A4985" s="1" t="n">
        <v>4984</v>
      </c>
      <c r="B4985">
        <f>TEXT(4984, "[$-170000]yyyy-mm-dd")</f>
        <v/>
      </c>
      <c r="C4985">
        <f>TEXT(4984, "[$-060000]yyyy-mm-dd")</f>
        <v/>
      </c>
      <c r="D4985" t="inlineStr">
        <is>
          <t>1331-09-21</t>
        </is>
      </c>
    </row>
    <row r="4986">
      <c r="A4986" s="1" t="n">
        <v>4985</v>
      </c>
      <c r="B4986">
        <f>TEXT(4985, "[$-170000]yyyy-mm-dd")</f>
        <v/>
      </c>
      <c r="C4986">
        <f>TEXT(4985, "[$-060000]yyyy-mm-dd")</f>
        <v/>
      </c>
      <c r="D4986" t="inlineStr">
        <is>
          <t>1331-09-22</t>
        </is>
      </c>
    </row>
    <row r="4987">
      <c r="A4987" s="1" t="n">
        <v>4986</v>
      </c>
      <c r="B4987">
        <f>TEXT(4986, "[$-170000]yyyy-mm-dd")</f>
        <v/>
      </c>
      <c r="C4987">
        <f>TEXT(4986, "[$-060000]yyyy-mm-dd")</f>
        <v/>
      </c>
      <c r="D4987" t="inlineStr">
        <is>
          <t>1331-09-23</t>
        </is>
      </c>
    </row>
    <row r="4988">
      <c r="A4988" s="1" t="n">
        <v>4987</v>
      </c>
      <c r="B4988">
        <f>TEXT(4987, "[$-170000]yyyy-mm-dd")</f>
        <v/>
      </c>
      <c r="C4988">
        <f>TEXT(4987, "[$-060000]yyyy-mm-dd")</f>
        <v/>
      </c>
      <c r="D4988" t="inlineStr">
        <is>
          <t>1331-09-24</t>
        </is>
      </c>
    </row>
    <row r="4989">
      <c r="A4989" s="1" t="n">
        <v>4988</v>
      </c>
      <c r="B4989">
        <f>TEXT(4988, "[$-170000]yyyy-mm-dd")</f>
        <v/>
      </c>
      <c r="C4989">
        <f>TEXT(4988, "[$-060000]yyyy-mm-dd")</f>
        <v/>
      </c>
      <c r="D4989" t="inlineStr">
        <is>
          <t>1331-09-25</t>
        </is>
      </c>
    </row>
    <row r="4990">
      <c r="A4990" s="1" t="n">
        <v>4989</v>
      </c>
      <c r="B4990">
        <f>TEXT(4989, "[$-170000]yyyy-mm-dd")</f>
        <v/>
      </c>
      <c r="C4990">
        <f>TEXT(4989, "[$-060000]yyyy-mm-dd")</f>
        <v/>
      </c>
      <c r="D4990" t="inlineStr">
        <is>
          <t>1331-09-26</t>
        </is>
      </c>
    </row>
    <row r="4991">
      <c r="A4991" s="1" t="n">
        <v>4990</v>
      </c>
      <c r="B4991">
        <f>TEXT(4990, "[$-170000]yyyy-mm-dd")</f>
        <v/>
      </c>
      <c r="C4991">
        <f>TEXT(4990, "[$-060000]yyyy-mm-dd")</f>
        <v/>
      </c>
      <c r="D4991" t="inlineStr">
        <is>
          <t>1331-09-27</t>
        </is>
      </c>
    </row>
    <row r="4992">
      <c r="A4992" s="1" t="n">
        <v>4991</v>
      </c>
      <c r="B4992">
        <f>TEXT(4991, "[$-170000]yyyy-mm-dd")</f>
        <v/>
      </c>
      <c r="C4992">
        <f>TEXT(4991, "[$-060000]yyyy-mm-dd")</f>
        <v/>
      </c>
      <c r="D4992" t="inlineStr">
        <is>
          <t>1331-09-28</t>
        </is>
      </c>
    </row>
    <row r="4993">
      <c r="A4993" s="1" t="n">
        <v>4992</v>
      </c>
      <c r="B4993">
        <f>TEXT(4992, "[$-170000]yyyy-mm-dd")</f>
        <v/>
      </c>
      <c r="C4993">
        <f>TEXT(4992, "[$-060000]yyyy-mm-dd")</f>
        <v/>
      </c>
      <c r="D4993" t="inlineStr">
        <is>
          <t>1331-09-29</t>
        </is>
      </c>
    </row>
    <row r="4994">
      <c r="A4994" s="1" t="n">
        <v>4993</v>
      </c>
      <c r="B4994">
        <f>TEXT(4993, "[$-170000]yyyy-mm-dd")</f>
        <v/>
      </c>
      <c r="C4994">
        <f>TEXT(4993, "[$-060000]yyyy-mm-dd")</f>
        <v/>
      </c>
      <c r="D4994" t="inlineStr">
        <is>
          <t>1331-09-30</t>
        </is>
      </c>
    </row>
    <row r="4995">
      <c r="A4995" s="1" t="n">
        <v>4994</v>
      </c>
      <c r="B4995">
        <f>TEXT(4994, "[$-170000]yyyy-mm-dd")</f>
        <v/>
      </c>
      <c r="C4995">
        <f>TEXT(4994, "[$-060000]yyyy-mm-dd")</f>
        <v/>
      </c>
      <c r="D4995" t="inlineStr">
        <is>
          <t>1331-10-01</t>
        </is>
      </c>
    </row>
    <row r="4996">
      <c r="A4996" s="1" t="n">
        <v>4995</v>
      </c>
      <c r="B4996">
        <f>TEXT(4995, "[$-170000]yyyy-mm-dd")</f>
        <v/>
      </c>
      <c r="C4996">
        <f>TEXT(4995, "[$-060000]yyyy-mm-dd")</f>
        <v/>
      </c>
      <c r="D4996" t="inlineStr">
        <is>
          <t>1331-10-02</t>
        </is>
      </c>
    </row>
    <row r="4997">
      <c r="A4997" s="1" t="n">
        <v>4996</v>
      </c>
      <c r="B4997">
        <f>TEXT(4996, "[$-170000]yyyy-mm-dd")</f>
        <v/>
      </c>
      <c r="C4997">
        <f>TEXT(4996, "[$-060000]yyyy-mm-dd")</f>
        <v/>
      </c>
      <c r="D4997" t="inlineStr">
        <is>
          <t>1331-10-03</t>
        </is>
      </c>
    </row>
    <row r="4998">
      <c r="A4998" s="1" t="n">
        <v>4997</v>
      </c>
      <c r="B4998">
        <f>TEXT(4997, "[$-170000]yyyy-mm-dd")</f>
        <v/>
      </c>
      <c r="C4998">
        <f>TEXT(4997, "[$-060000]yyyy-mm-dd")</f>
        <v/>
      </c>
      <c r="D4998" t="inlineStr">
        <is>
          <t>1331-10-04</t>
        </is>
      </c>
    </row>
    <row r="4999">
      <c r="A4999" s="1" t="n">
        <v>4998</v>
      </c>
      <c r="B4999">
        <f>TEXT(4998, "[$-170000]yyyy-mm-dd")</f>
        <v/>
      </c>
      <c r="C4999">
        <f>TEXT(4998, "[$-060000]yyyy-mm-dd")</f>
        <v/>
      </c>
      <c r="D4999" t="inlineStr">
        <is>
          <t>1331-10-05</t>
        </is>
      </c>
    </row>
    <row r="5000">
      <c r="A5000" s="1" t="n">
        <v>4999</v>
      </c>
      <c r="B5000">
        <f>TEXT(4999, "[$-170000]yyyy-mm-dd")</f>
        <v/>
      </c>
      <c r="C5000">
        <f>TEXT(4999, "[$-060000]yyyy-mm-dd")</f>
        <v/>
      </c>
      <c r="D5000" t="inlineStr">
        <is>
          <t>1331-10-06</t>
        </is>
      </c>
    </row>
    <row r="5001">
      <c r="A5001" s="1" t="n">
        <v>5000</v>
      </c>
      <c r="B5001">
        <f>TEXT(5000, "[$-170000]yyyy-mm-dd")</f>
        <v/>
      </c>
      <c r="C5001">
        <f>TEXT(5000, "[$-060000]yyyy-mm-dd")</f>
        <v/>
      </c>
      <c r="D5001" t="inlineStr">
        <is>
          <t>1331-10-07</t>
        </is>
      </c>
    </row>
    <row r="5002">
      <c r="A5002" s="1" t="n">
        <v>5001</v>
      </c>
      <c r="B5002">
        <f>TEXT(5001, "[$-170000]yyyy-mm-dd")</f>
        <v/>
      </c>
      <c r="C5002">
        <f>TEXT(5001, "[$-060000]yyyy-mm-dd")</f>
        <v/>
      </c>
      <c r="D5002" t="inlineStr">
        <is>
          <t>1331-10-08</t>
        </is>
      </c>
    </row>
    <row r="5003">
      <c r="A5003" s="1" t="n">
        <v>5002</v>
      </c>
      <c r="B5003">
        <f>TEXT(5002, "[$-170000]yyyy-mm-dd")</f>
        <v/>
      </c>
      <c r="C5003">
        <f>TEXT(5002, "[$-060000]yyyy-mm-dd")</f>
        <v/>
      </c>
      <c r="D5003" t="inlineStr">
        <is>
          <t>1331-10-09</t>
        </is>
      </c>
    </row>
    <row r="5004">
      <c r="A5004" s="1" t="n">
        <v>5003</v>
      </c>
      <c r="B5004">
        <f>TEXT(5003, "[$-170000]yyyy-mm-dd")</f>
        <v/>
      </c>
      <c r="C5004">
        <f>TEXT(5003, "[$-060000]yyyy-mm-dd")</f>
        <v/>
      </c>
      <c r="D5004" t="inlineStr">
        <is>
          <t>1331-10-10</t>
        </is>
      </c>
    </row>
    <row r="5005">
      <c r="A5005" s="1" t="n">
        <v>5004</v>
      </c>
      <c r="B5005">
        <f>TEXT(5004, "[$-170000]yyyy-mm-dd")</f>
        <v/>
      </c>
      <c r="C5005">
        <f>TEXT(5004, "[$-060000]yyyy-mm-dd")</f>
        <v/>
      </c>
      <c r="D5005" t="inlineStr">
        <is>
          <t>1331-10-11</t>
        </is>
      </c>
    </row>
    <row r="5006">
      <c r="A5006" s="1" t="n">
        <v>5005</v>
      </c>
      <c r="B5006">
        <f>TEXT(5005, "[$-170000]yyyy-mm-dd")</f>
        <v/>
      </c>
      <c r="C5006">
        <f>TEXT(5005, "[$-060000]yyyy-mm-dd")</f>
        <v/>
      </c>
      <c r="D5006" t="inlineStr">
        <is>
          <t>1331-10-12</t>
        </is>
      </c>
    </row>
    <row r="5007">
      <c r="A5007" s="1" t="n">
        <v>5006</v>
      </c>
      <c r="B5007">
        <f>TEXT(5006, "[$-170000]yyyy-mm-dd")</f>
        <v/>
      </c>
      <c r="C5007">
        <f>TEXT(5006, "[$-060000]yyyy-mm-dd")</f>
        <v/>
      </c>
      <c r="D5007" t="inlineStr">
        <is>
          <t>1331-10-13</t>
        </is>
      </c>
    </row>
    <row r="5008">
      <c r="A5008" s="1" t="n">
        <v>5007</v>
      </c>
      <c r="B5008">
        <f>TEXT(5007, "[$-170000]yyyy-mm-dd")</f>
        <v/>
      </c>
      <c r="C5008">
        <f>TEXT(5007, "[$-060000]yyyy-mm-dd")</f>
        <v/>
      </c>
      <c r="D5008" t="inlineStr">
        <is>
          <t>1331-10-14</t>
        </is>
      </c>
    </row>
    <row r="5009">
      <c r="A5009" s="1" t="n">
        <v>5008</v>
      </c>
      <c r="B5009">
        <f>TEXT(5008, "[$-170000]yyyy-mm-dd")</f>
        <v/>
      </c>
      <c r="C5009">
        <f>TEXT(5008, "[$-060000]yyyy-mm-dd")</f>
        <v/>
      </c>
      <c r="D5009" t="inlineStr">
        <is>
          <t>1331-10-15</t>
        </is>
      </c>
    </row>
    <row r="5010">
      <c r="A5010" s="1" t="n">
        <v>5009</v>
      </c>
      <c r="B5010">
        <f>TEXT(5009, "[$-170000]yyyy-mm-dd")</f>
        <v/>
      </c>
      <c r="C5010">
        <f>TEXT(5009, "[$-060000]yyyy-mm-dd")</f>
        <v/>
      </c>
      <c r="D5010" t="inlineStr">
        <is>
          <t>1331-10-16</t>
        </is>
      </c>
    </row>
    <row r="5011">
      <c r="A5011" s="1" t="n">
        <v>5010</v>
      </c>
      <c r="B5011">
        <f>TEXT(5010, "[$-170000]yyyy-mm-dd")</f>
        <v/>
      </c>
      <c r="C5011">
        <f>TEXT(5010, "[$-060000]yyyy-mm-dd")</f>
        <v/>
      </c>
      <c r="D5011" t="inlineStr">
        <is>
          <t>1331-10-17</t>
        </is>
      </c>
    </row>
    <row r="5012">
      <c r="A5012" s="1" t="n">
        <v>5011</v>
      </c>
      <c r="B5012">
        <f>TEXT(5011, "[$-170000]yyyy-mm-dd")</f>
        <v/>
      </c>
      <c r="C5012">
        <f>TEXT(5011, "[$-060000]yyyy-mm-dd")</f>
        <v/>
      </c>
      <c r="D5012" t="inlineStr">
        <is>
          <t>1331-10-18</t>
        </is>
      </c>
    </row>
    <row r="5013">
      <c r="A5013" s="1" t="n">
        <v>5012</v>
      </c>
      <c r="B5013">
        <f>TEXT(5012, "[$-170000]yyyy-mm-dd")</f>
        <v/>
      </c>
      <c r="C5013">
        <f>TEXT(5012, "[$-060000]yyyy-mm-dd")</f>
        <v/>
      </c>
      <c r="D5013" t="inlineStr">
        <is>
          <t>1331-10-19</t>
        </is>
      </c>
    </row>
    <row r="5014">
      <c r="A5014" s="1" t="n">
        <v>5013</v>
      </c>
      <c r="B5014">
        <f>TEXT(5013, "[$-170000]yyyy-mm-dd")</f>
        <v/>
      </c>
      <c r="C5014">
        <f>TEXT(5013, "[$-060000]yyyy-mm-dd")</f>
        <v/>
      </c>
      <c r="D5014" t="inlineStr">
        <is>
          <t>1331-10-20</t>
        </is>
      </c>
    </row>
    <row r="5015">
      <c r="A5015" s="1" t="n">
        <v>5014</v>
      </c>
      <c r="B5015">
        <f>TEXT(5014, "[$-170000]yyyy-mm-dd")</f>
        <v/>
      </c>
      <c r="C5015">
        <f>TEXT(5014, "[$-060000]yyyy-mm-dd")</f>
        <v/>
      </c>
      <c r="D5015" t="inlineStr">
        <is>
          <t>1331-10-21</t>
        </is>
      </c>
    </row>
    <row r="5016">
      <c r="A5016" s="1" t="n">
        <v>5015</v>
      </c>
      <c r="B5016">
        <f>TEXT(5015, "[$-170000]yyyy-mm-dd")</f>
        <v/>
      </c>
      <c r="C5016">
        <f>TEXT(5015, "[$-060000]yyyy-mm-dd")</f>
        <v/>
      </c>
      <c r="D5016" t="inlineStr">
        <is>
          <t>1331-10-22</t>
        </is>
      </c>
    </row>
    <row r="5017">
      <c r="A5017" s="1" t="n">
        <v>5016</v>
      </c>
      <c r="B5017">
        <f>TEXT(5016, "[$-170000]yyyy-mm-dd")</f>
        <v/>
      </c>
      <c r="C5017">
        <f>TEXT(5016, "[$-060000]yyyy-mm-dd")</f>
        <v/>
      </c>
      <c r="D5017" t="inlineStr">
        <is>
          <t>1331-10-23</t>
        </is>
      </c>
    </row>
    <row r="5018">
      <c r="A5018" s="1" t="n">
        <v>5017</v>
      </c>
      <c r="B5018">
        <f>TEXT(5017, "[$-170000]yyyy-mm-dd")</f>
        <v/>
      </c>
      <c r="C5018">
        <f>TEXT(5017, "[$-060000]yyyy-mm-dd")</f>
        <v/>
      </c>
      <c r="D5018" t="inlineStr">
        <is>
          <t>1331-10-24</t>
        </is>
      </c>
    </row>
    <row r="5019">
      <c r="A5019" s="1" t="n">
        <v>5018</v>
      </c>
      <c r="B5019">
        <f>TEXT(5018, "[$-170000]yyyy-mm-dd")</f>
        <v/>
      </c>
      <c r="C5019">
        <f>TEXT(5018, "[$-060000]yyyy-mm-dd")</f>
        <v/>
      </c>
      <c r="D5019" t="inlineStr">
        <is>
          <t>1331-10-25</t>
        </is>
      </c>
    </row>
    <row r="5020">
      <c r="A5020" s="1" t="n">
        <v>5019</v>
      </c>
      <c r="B5020">
        <f>TEXT(5019, "[$-170000]yyyy-mm-dd")</f>
        <v/>
      </c>
      <c r="C5020">
        <f>TEXT(5019, "[$-060000]yyyy-mm-dd")</f>
        <v/>
      </c>
      <c r="D5020" t="inlineStr">
        <is>
          <t>1331-10-26</t>
        </is>
      </c>
    </row>
    <row r="5021">
      <c r="A5021" s="1" t="n">
        <v>5020</v>
      </c>
      <c r="B5021">
        <f>TEXT(5020, "[$-170000]yyyy-mm-dd")</f>
        <v/>
      </c>
      <c r="C5021">
        <f>TEXT(5020, "[$-060000]yyyy-mm-dd")</f>
        <v/>
      </c>
      <c r="D5021" t="inlineStr">
        <is>
          <t>1331-10-27</t>
        </is>
      </c>
    </row>
    <row r="5022">
      <c r="A5022" s="1" t="n">
        <v>5021</v>
      </c>
      <c r="B5022">
        <f>TEXT(5021, "[$-170000]yyyy-mm-dd")</f>
        <v/>
      </c>
      <c r="C5022">
        <f>TEXT(5021, "[$-060000]yyyy-mm-dd")</f>
        <v/>
      </c>
      <c r="D5022" t="inlineStr">
        <is>
          <t>1331-10-28</t>
        </is>
      </c>
    </row>
    <row r="5023">
      <c r="A5023" s="1" t="n">
        <v>5022</v>
      </c>
      <c r="B5023">
        <f>TEXT(5022, "[$-170000]yyyy-mm-dd")</f>
        <v/>
      </c>
      <c r="C5023">
        <f>TEXT(5022, "[$-060000]yyyy-mm-dd")</f>
        <v/>
      </c>
      <c r="D5023" t="inlineStr">
        <is>
          <t>1331-10-29</t>
        </is>
      </c>
    </row>
    <row r="5024">
      <c r="A5024" s="1" t="n">
        <v>5023</v>
      </c>
      <c r="B5024">
        <f>TEXT(5023, "[$-170000]yyyy-mm-dd")</f>
        <v/>
      </c>
      <c r="C5024">
        <f>TEXT(5023, "[$-060000]yyyy-mm-dd")</f>
        <v/>
      </c>
      <c r="D5024" t="inlineStr">
        <is>
          <t>1331-11-01</t>
        </is>
      </c>
    </row>
    <row r="5025">
      <c r="A5025" s="1" t="n">
        <v>5024</v>
      </c>
      <c r="B5025">
        <f>TEXT(5024, "[$-170000]yyyy-mm-dd")</f>
        <v/>
      </c>
      <c r="C5025">
        <f>TEXT(5024, "[$-060000]yyyy-mm-dd")</f>
        <v/>
      </c>
      <c r="D5025" t="inlineStr">
        <is>
          <t>1331-11-02</t>
        </is>
      </c>
    </row>
    <row r="5026">
      <c r="A5026" s="1" t="n">
        <v>5025</v>
      </c>
      <c r="B5026">
        <f>TEXT(5025, "[$-170000]yyyy-mm-dd")</f>
        <v/>
      </c>
      <c r="C5026">
        <f>TEXT(5025, "[$-060000]yyyy-mm-dd")</f>
        <v/>
      </c>
      <c r="D5026" t="inlineStr">
        <is>
          <t>1331-11-03</t>
        </is>
      </c>
    </row>
    <row r="5027">
      <c r="A5027" s="1" t="n">
        <v>5026</v>
      </c>
      <c r="B5027">
        <f>TEXT(5026, "[$-170000]yyyy-mm-dd")</f>
        <v/>
      </c>
      <c r="C5027">
        <f>TEXT(5026, "[$-060000]yyyy-mm-dd")</f>
        <v/>
      </c>
      <c r="D5027" t="inlineStr">
        <is>
          <t>1331-11-04</t>
        </is>
      </c>
    </row>
    <row r="5028">
      <c r="A5028" s="1" t="n">
        <v>5027</v>
      </c>
      <c r="B5028">
        <f>TEXT(5027, "[$-170000]yyyy-mm-dd")</f>
        <v/>
      </c>
      <c r="C5028">
        <f>TEXT(5027, "[$-060000]yyyy-mm-dd")</f>
        <v/>
      </c>
      <c r="D5028" t="inlineStr">
        <is>
          <t>1331-11-05</t>
        </is>
      </c>
    </row>
    <row r="5029">
      <c r="A5029" s="1" t="n">
        <v>5028</v>
      </c>
      <c r="B5029">
        <f>TEXT(5028, "[$-170000]yyyy-mm-dd")</f>
        <v/>
      </c>
      <c r="C5029">
        <f>TEXT(5028, "[$-060000]yyyy-mm-dd")</f>
        <v/>
      </c>
      <c r="D5029" t="inlineStr">
        <is>
          <t>1331-11-06</t>
        </is>
      </c>
    </row>
    <row r="5030">
      <c r="A5030" s="1" t="n">
        <v>5029</v>
      </c>
      <c r="B5030">
        <f>TEXT(5029, "[$-170000]yyyy-mm-dd")</f>
        <v/>
      </c>
      <c r="C5030">
        <f>TEXT(5029, "[$-060000]yyyy-mm-dd")</f>
        <v/>
      </c>
      <c r="D5030" t="inlineStr">
        <is>
          <t>1331-11-07</t>
        </is>
      </c>
    </row>
    <row r="5031">
      <c r="A5031" s="1" t="n">
        <v>5030</v>
      </c>
      <c r="B5031">
        <f>TEXT(5030, "[$-170000]yyyy-mm-dd")</f>
        <v/>
      </c>
      <c r="C5031">
        <f>TEXT(5030, "[$-060000]yyyy-mm-dd")</f>
        <v/>
      </c>
      <c r="D5031" t="inlineStr">
        <is>
          <t>1331-11-08</t>
        </is>
      </c>
    </row>
    <row r="5032">
      <c r="A5032" s="1" t="n">
        <v>5031</v>
      </c>
      <c r="B5032">
        <f>TEXT(5031, "[$-170000]yyyy-mm-dd")</f>
        <v/>
      </c>
      <c r="C5032">
        <f>TEXT(5031, "[$-060000]yyyy-mm-dd")</f>
        <v/>
      </c>
      <c r="D5032" t="inlineStr">
        <is>
          <t>1331-11-09</t>
        </is>
      </c>
    </row>
    <row r="5033">
      <c r="A5033" s="1" t="n">
        <v>5032</v>
      </c>
      <c r="B5033">
        <f>TEXT(5032, "[$-170000]yyyy-mm-dd")</f>
        <v/>
      </c>
      <c r="C5033">
        <f>TEXT(5032, "[$-060000]yyyy-mm-dd")</f>
        <v/>
      </c>
      <c r="D5033" t="inlineStr">
        <is>
          <t>1331-11-10</t>
        </is>
      </c>
    </row>
    <row r="5034">
      <c r="A5034" s="1" t="n">
        <v>5033</v>
      </c>
      <c r="B5034">
        <f>TEXT(5033, "[$-170000]yyyy-mm-dd")</f>
        <v/>
      </c>
      <c r="C5034">
        <f>TEXT(5033, "[$-060000]yyyy-mm-dd")</f>
        <v/>
      </c>
      <c r="D5034" t="inlineStr">
        <is>
          <t>1331-11-11</t>
        </is>
      </c>
    </row>
    <row r="5035">
      <c r="A5035" s="1" t="n">
        <v>5034</v>
      </c>
      <c r="B5035">
        <f>TEXT(5034, "[$-170000]yyyy-mm-dd")</f>
        <v/>
      </c>
      <c r="C5035">
        <f>TEXT(5034, "[$-060000]yyyy-mm-dd")</f>
        <v/>
      </c>
      <c r="D5035" t="inlineStr">
        <is>
          <t>1331-11-12</t>
        </is>
      </c>
    </row>
    <row r="5036">
      <c r="A5036" s="1" t="n">
        <v>5035</v>
      </c>
      <c r="B5036">
        <f>TEXT(5035, "[$-170000]yyyy-mm-dd")</f>
        <v/>
      </c>
      <c r="C5036">
        <f>TEXT(5035, "[$-060000]yyyy-mm-dd")</f>
        <v/>
      </c>
      <c r="D5036" t="inlineStr">
        <is>
          <t>1331-11-13</t>
        </is>
      </c>
    </row>
    <row r="5037">
      <c r="A5037" s="1" t="n">
        <v>5036</v>
      </c>
      <c r="B5037">
        <f>TEXT(5036, "[$-170000]yyyy-mm-dd")</f>
        <v/>
      </c>
      <c r="C5037">
        <f>TEXT(5036, "[$-060000]yyyy-mm-dd")</f>
        <v/>
      </c>
      <c r="D5037" t="inlineStr">
        <is>
          <t>1331-11-14</t>
        </is>
      </c>
    </row>
    <row r="5038">
      <c r="A5038" s="1" t="n">
        <v>5037</v>
      </c>
      <c r="B5038">
        <f>TEXT(5037, "[$-170000]yyyy-mm-dd")</f>
        <v/>
      </c>
      <c r="C5038">
        <f>TEXT(5037, "[$-060000]yyyy-mm-dd")</f>
        <v/>
      </c>
      <c r="D5038" t="inlineStr">
        <is>
          <t>1331-11-15</t>
        </is>
      </c>
    </row>
    <row r="5039">
      <c r="A5039" s="1" t="n">
        <v>5038</v>
      </c>
      <c r="B5039">
        <f>TEXT(5038, "[$-170000]yyyy-mm-dd")</f>
        <v/>
      </c>
      <c r="C5039">
        <f>TEXT(5038, "[$-060000]yyyy-mm-dd")</f>
        <v/>
      </c>
      <c r="D5039" t="inlineStr">
        <is>
          <t>1331-11-16</t>
        </is>
      </c>
    </row>
    <row r="5040">
      <c r="A5040" s="1" t="n">
        <v>5039</v>
      </c>
      <c r="B5040">
        <f>TEXT(5039, "[$-170000]yyyy-mm-dd")</f>
        <v/>
      </c>
      <c r="C5040">
        <f>TEXT(5039, "[$-060000]yyyy-mm-dd")</f>
        <v/>
      </c>
      <c r="D5040" t="inlineStr">
        <is>
          <t>1331-11-17</t>
        </is>
      </c>
    </row>
    <row r="5041">
      <c r="A5041" s="1" t="n">
        <v>5040</v>
      </c>
      <c r="B5041">
        <f>TEXT(5040, "[$-170000]yyyy-mm-dd")</f>
        <v/>
      </c>
      <c r="C5041">
        <f>TEXT(5040, "[$-060000]yyyy-mm-dd")</f>
        <v/>
      </c>
      <c r="D5041" t="inlineStr">
        <is>
          <t>1331-11-18</t>
        </is>
      </c>
    </row>
    <row r="5042">
      <c r="A5042" s="1" t="n">
        <v>5041</v>
      </c>
      <c r="B5042">
        <f>TEXT(5041, "[$-170000]yyyy-mm-dd")</f>
        <v/>
      </c>
      <c r="C5042">
        <f>TEXT(5041, "[$-060000]yyyy-mm-dd")</f>
        <v/>
      </c>
      <c r="D5042" t="inlineStr">
        <is>
          <t>1331-11-19</t>
        </is>
      </c>
    </row>
    <row r="5043">
      <c r="A5043" s="1" t="n">
        <v>5042</v>
      </c>
      <c r="B5043">
        <f>TEXT(5042, "[$-170000]yyyy-mm-dd")</f>
        <v/>
      </c>
      <c r="C5043">
        <f>TEXT(5042, "[$-060000]yyyy-mm-dd")</f>
        <v/>
      </c>
      <c r="D5043" t="inlineStr">
        <is>
          <t>1331-11-20</t>
        </is>
      </c>
    </row>
    <row r="5044">
      <c r="A5044" s="1" t="n">
        <v>5043</v>
      </c>
      <c r="B5044">
        <f>TEXT(5043, "[$-170000]yyyy-mm-dd")</f>
        <v/>
      </c>
      <c r="C5044">
        <f>TEXT(5043, "[$-060000]yyyy-mm-dd")</f>
        <v/>
      </c>
      <c r="D5044" t="inlineStr">
        <is>
          <t>1331-11-21</t>
        </is>
      </c>
    </row>
    <row r="5045">
      <c r="A5045" s="1" t="n">
        <v>5044</v>
      </c>
      <c r="B5045">
        <f>TEXT(5044, "[$-170000]yyyy-mm-dd")</f>
        <v/>
      </c>
      <c r="C5045">
        <f>TEXT(5044, "[$-060000]yyyy-mm-dd")</f>
        <v/>
      </c>
      <c r="D5045" t="inlineStr">
        <is>
          <t>1331-11-22</t>
        </is>
      </c>
    </row>
    <row r="5046">
      <c r="A5046" s="1" t="n">
        <v>5045</v>
      </c>
      <c r="B5046">
        <f>TEXT(5045, "[$-170000]yyyy-mm-dd")</f>
        <v/>
      </c>
      <c r="C5046">
        <f>TEXT(5045, "[$-060000]yyyy-mm-dd")</f>
        <v/>
      </c>
      <c r="D5046" t="inlineStr">
        <is>
          <t>1331-11-23</t>
        </is>
      </c>
    </row>
    <row r="5047">
      <c r="A5047" s="1" t="n">
        <v>5046</v>
      </c>
      <c r="B5047">
        <f>TEXT(5046, "[$-170000]yyyy-mm-dd")</f>
        <v/>
      </c>
      <c r="C5047">
        <f>TEXT(5046, "[$-060000]yyyy-mm-dd")</f>
        <v/>
      </c>
      <c r="D5047" t="inlineStr">
        <is>
          <t>1331-11-24</t>
        </is>
      </c>
    </row>
    <row r="5048">
      <c r="A5048" s="1" t="n">
        <v>5047</v>
      </c>
      <c r="B5048">
        <f>TEXT(5047, "[$-170000]yyyy-mm-dd")</f>
        <v/>
      </c>
      <c r="C5048">
        <f>TEXT(5047, "[$-060000]yyyy-mm-dd")</f>
        <v/>
      </c>
      <c r="D5048" t="inlineStr">
        <is>
          <t>1331-11-25</t>
        </is>
      </c>
    </row>
    <row r="5049">
      <c r="A5049" s="1" t="n">
        <v>5048</v>
      </c>
      <c r="B5049">
        <f>TEXT(5048, "[$-170000]yyyy-mm-dd")</f>
        <v/>
      </c>
      <c r="C5049">
        <f>TEXT(5048, "[$-060000]yyyy-mm-dd")</f>
        <v/>
      </c>
      <c r="D5049" t="inlineStr">
        <is>
          <t>1331-11-26</t>
        </is>
      </c>
    </row>
    <row r="5050">
      <c r="A5050" s="1" t="n">
        <v>5049</v>
      </c>
      <c r="B5050">
        <f>TEXT(5049, "[$-170000]yyyy-mm-dd")</f>
        <v/>
      </c>
      <c r="C5050">
        <f>TEXT(5049, "[$-060000]yyyy-mm-dd")</f>
        <v/>
      </c>
      <c r="D5050" t="inlineStr">
        <is>
          <t>1331-11-27</t>
        </is>
      </c>
    </row>
    <row r="5051">
      <c r="A5051" s="1" t="n">
        <v>5050</v>
      </c>
      <c r="B5051">
        <f>TEXT(5050, "[$-170000]yyyy-mm-dd")</f>
        <v/>
      </c>
      <c r="C5051">
        <f>TEXT(5050, "[$-060000]yyyy-mm-dd")</f>
        <v/>
      </c>
      <c r="D5051" t="inlineStr">
        <is>
          <t>1331-11-28</t>
        </is>
      </c>
    </row>
    <row r="5052">
      <c r="A5052" s="1" t="n">
        <v>5051</v>
      </c>
      <c r="B5052">
        <f>TEXT(5051, "[$-170000]yyyy-mm-dd")</f>
        <v/>
      </c>
      <c r="C5052">
        <f>TEXT(5051, "[$-060000]yyyy-mm-dd")</f>
        <v/>
      </c>
      <c r="D5052" t="inlineStr">
        <is>
          <t>1331-11-29</t>
        </is>
      </c>
    </row>
    <row r="5053">
      <c r="A5053" s="1" t="n">
        <v>5052</v>
      </c>
      <c r="B5053">
        <f>TEXT(5052, "[$-170000]yyyy-mm-dd")</f>
        <v/>
      </c>
      <c r="C5053">
        <f>TEXT(5052, "[$-060000]yyyy-mm-dd")</f>
        <v/>
      </c>
      <c r="D5053" t="inlineStr">
        <is>
          <t>1331-11-30</t>
        </is>
      </c>
    </row>
    <row r="5054">
      <c r="A5054" s="1" t="n">
        <v>5053</v>
      </c>
      <c r="B5054">
        <f>TEXT(5053, "[$-170000]yyyy-mm-dd")</f>
        <v/>
      </c>
      <c r="C5054">
        <f>TEXT(5053, "[$-060000]yyyy-mm-dd")</f>
        <v/>
      </c>
      <c r="D5054" t="inlineStr">
        <is>
          <t>1331-12-01</t>
        </is>
      </c>
    </row>
    <row r="5055">
      <c r="A5055" s="1" t="n">
        <v>5054</v>
      </c>
      <c r="B5055">
        <f>TEXT(5054, "[$-170000]yyyy-mm-dd")</f>
        <v/>
      </c>
      <c r="C5055">
        <f>TEXT(5054, "[$-060000]yyyy-mm-dd")</f>
        <v/>
      </c>
      <c r="D5055" t="inlineStr">
        <is>
          <t>1331-12-02</t>
        </is>
      </c>
    </row>
    <row r="5056">
      <c r="A5056" s="1" t="n">
        <v>5055</v>
      </c>
      <c r="B5056">
        <f>TEXT(5055, "[$-170000]yyyy-mm-dd")</f>
        <v/>
      </c>
      <c r="C5056">
        <f>TEXT(5055, "[$-060000]yyyy-mm-dd")</f>
        <v/>
      </c>
      <c r="D5056" t="inlineStr">
        <is>
          <t>1331-12-03</t>
        </is>
      </c>
    </row>
    <row r="5057">
      <c r="A5057" s="1" t="n">
        <v>5056</v>
      </c>
      <c r="B5057">
        <f>TEXT(5056, "[$-170000]yyyy-mm-dd")</f>
        <v/>
      </c>
      <c r="C5057">
        <f>TEXT(5056, "[$-060000]yyyy-mm-dd")</f>
        <v/>
      </c>
      <c r="D5057" t="inlineStr">
        <is>
          <t>1331-12-04</t>
        </is>
      </c>
    </row>
    <row r="5058">
      <c r="A5058" s="1" t="n">
        <v>5057</v>
      </c>
      <c r="B5058">
        <f>TEXT(5057, "[$-170000]yyyy-mm-dd")</f>
        <v/>
      </c>
      <c r="C5058">
        <f>TEXT(5057, "[$-060000]yyyy-mm-dd")</f>
        <v/>
      </c>
      <c r="D5058" t="inlineStr">
        <is>
          <t>1331-12-05</t>
        </is>
      </c>
    </row>
    <row r="5059">
      <c r="A5059" s="1" t="n">
        <v>5058</v>
      </c>
      <c r="B5059">
        <f>TEXT(5058, "[$-170000]yyyy-mm-dd")</f>
        <v/>
      </c>
      <c r="C5059">
        <f>TEXT(5058, "[$-060000]yyyy-mm-dd")</f>
        <v/>
      </c>
      <c r="D5059" t="inlineStr">
        <is>
          <t>1331-12-06</t>
        </is>
      </c>
    </row>
    <row r="5060">
      <c r="A5060" s="1" t="n">
        <v>5059</v>
      </c>
      <c r="B5060">
        <f>TEXT(5059, "[$-170000]yyyy-mm-dd")</f>
        <v/>
      </c>
      <c r="C5060">
        <f>TEXT(5059, "[$-060000]yyyy-mm-dd")</f>
        <v/>
      </c>
      <c r="D5060" t="inlineStr">
        <is>
          <t>1331-12-07</t>
        </is>
      </c>
    </row>
    <row r="5061">
      <c r="A5061" s="1" t="n">
        <v>5060</v>
      </c>
      <c r="B5061">
        <f>TEXT(5060, "[$-170000]yyyy-mm-dd")</f>
        <v/>
      </c>
      <c r="C5061">
        <f>TEXT(5060, "[$-060000]yyyy-mm-dd")</f>
        <v/>
      </c>
      <c r="D5061" t="inlineStr">
        <is>
          <t>1331-12-08</t>
        </is>
      </c>
    </row>
    <row r="5062">
      <c r="A5062" s="1" t="n">
        <v>5061</v>
      </c>
      <c r="B5062">
        <f>TEXT(5061, "[$-170000]yyyy-mm-dd")</f>
        <v/>
      </c>
      <c r="C5062">
        <f>TEXT(5061, "[$-060000]yyyy-mm-dd")</f>
        <v/>
      </c>
      <c r="D5062" t="inlineStr">
        <is>
          <t>1331-12-09</t>
        </is>
      </c>
    </row>
    <row r="5063">
      <c r="A5063" s="1" t="n">
        <v>5062</v>
      </c>
      <c r="B5063">
        <f>TEXT(5062, "[$-170000]yyyy-mm-dd")</f>
        <v/>
      </c>
      <c r="C5063">
        <f>TEXT(5062, "[$-060000]yyyy-mm-dd")</f>
        <v/>
      </c>
      <c r="D5063" t="inlineStr">
        <is>
          <t>1331-12-10</t>
        </is>
      </c>
    </row>
    <row r="5064">
      <c r="A5064" s="1" t="n">
        <v>5063</v>
      </c>
      <c r="B5064">
        <f>TEXT(5063, "[$-170000]yyyy-mm-dd")</f>
        <v/>
      </c>
      <c r="C5064">
        <f>TEXT(5063, "[$-060000]yyyy-mm-dd")</f>
        <v/>
      </c>
      <c r="D5064" t="inlineStr">
        <is>
          <t>1331-12-11</t>
        </is>
      </c>
    </row>
    <row r="5065">
      <c r="A5065" s="1" t="n">
        <v>5064</v>
      </c>
      <c r="B5065">
        <f>TEXT(5064, "[$-170000]yyyy-mm-dd")</f>
        <v/>
      </c>
      <c r="C5065">
        <f>TEXT(5064, "[$-060000]yyyy-mm-dd")</f>
        <v/>
      </c>
      <c r="D5065" t="inlineStr">
        <is>
          <t>1331-12-12</t>
        </is>
      </c>
    </row>
    <row r="5066">
      <c r="A5066" s="1" t="n">
        <v>5065</v>
      </c>
      <c r="B5066">
        <f>TEXT(5065, "[$-170000]yyyy-mm-dd")</f>
        <v/>
      </c>
      <c r="C5066">
        <f>TEXT(5065, "[$-060000]yyyy-mm-dd")</f>
        <v/>
      </c>
      <c r="D5066" t="inlineStr">
        <is>
          <t>1331-12-13</t>
        </is>
      </c>
    </row>
    <row r="5067">
      <c r="A5067" s="1" t="n">
        <v>5066</v>
      </c>
      <c r="B5067">
        <f>TEXT(5066, "[$-170000]yyyy-mm-dd")</f>
        <v/>
      </c>
      <c r="C5067">
        <f>TEXT(5066, "[$-060000]yyyy-mm-dd")</f>
        <v/>
      </c>
      <c r="D5067" t="inlineStr">
        <is>
          <t>1331-12-14</t>
        </is>
      </c>
    </row>
    <row r="5068">
      <c r="A5068" s="1" t="n">
        <v>5067</v>
      </c>
      <c r="B5068">
        <f>TEXT(5067, "[$-170000]yyyy-mm-dd")</f>
        <v/>
      </c>
      <c r="C5068">
        <f>TEXT(5067, "[$-060000]yyyy-mm-dd")</f>
        <v/>
      </c>
      <c r="D5068" t="inlineStr">
        <is>
          <t>1331-12-15</t>
        </is>
      </c>
    </row>
    <row r="5069">
      <c r="A5069" s="1" t="n">
        <v>5068</v>
      </c>
      <c r="B5069">
        <f>TEXT(5068, "[$-170000]yyyy-mm-dd")</f>
        <v/>
      </c>
      <c r="C5069">
        <f>TEXT(5068, "[$-060000]yyyy-mm-dd")</f>
        <v/>
      </c>
      <c r="D5069" t="inlineStr">
        <is>
          <t>1331-12-16</t>
        </is>
      </c>
    </row>
    <row r="5070">
      <c r="A5070" s="1" t="n">
        <v>5069</v>
      </c>
      <c r="B5070">
        <f>TEXT(5069, "[$-170000]yyyy-mm-dd")</f>
        <v/>
      </c>
      <c r="C5070">
        <f>TEXT(5069, "[$-060000]yyyy-mm-dd")</f>
        <v/>
      </c>
      <c r="D5070" t="inlineStr">
        <is>
          <t>1331-12-17</t>
        </is>
      </c>
    </row>
    <row r="5071">
      <c r="A5071" s="1" t="n">
        <v>5070</v>
      </c>
      <c r="B5071">
        <f>TEXT(5070, "[$-170000]yyyy-mm-dd")</f>
        <v/>
      </c>
      <c r="C5071">
        <f>TEXT(5070, "[$-060000]yyyy-mm-dd")</f>
        <v/>
      </c>
      <c r="D5071" t="inlineStr">
        <is>
          <t>1331-12-18</t>
        </is>
      </c>
    </row>
    <row r="5072">
      <c r="A5072" s="1" t="n">
        <v>5071</v>
      </c>
      <c r="B5072">
        <f>TEXT(5071, "[$-170000]yyyy-mm-dd")</f>
        <v/>
      </c>
      <c r="C5072">
        <f>TEXT(5071, "[$-060000]yyyy-mm-dd")</f>
        <v/>
      </c>
      <c r="D5072" t="inlineStr">
        <is>
          <t>1331-12-19</t>
        </is>
      </c>
    </row>
    <row r="5073">
      <c r="A5073" s="1" t="n">
        <v>5072</v>
      </c>
      <c r="B5073">
        <f>TEXT(5072, "[$-170000]yyyy-mm-dd")</f>
        <v/>
      </c>
      <c r="C5073">
        <f>TEXT(5072, "[$-060000]yyyy-mm-dd")</f>
        <v/>
      </c>
      <c r="D5073" t="inlineStr">
        <is>
          <t>1331-12-20</t>
        </is>
      </c>
    </row>
    <row r="5074">
      <c r="A5074" s="1" t="n">
        <v>5073</v>
      </c>
      <c r="B5074">
        <f>TEXT(5073, "[$-170000]yyyy-mm-dd")</f>
        <v/>
      </c>
      <c r="C5074">
        <f>TEXT(5073, "[$-060000]yyyy-mm-dd")</f>
        <v/>
      </c>
      <c r="D5074" t="inlineStr">
        <is>
          <t>1331-12-21</t>
        </is>
      </c>
    </row>
    <row r="5075">
      <c r="A5075" s="1" t="n">
        <v>5074</v>
      </c>
      <c r="B5075">
        <f>TEXT(5074, "[$-170000]yyyy-mm-dd")</f>
        <v/>
      </c>
      <c r="C5075">
        <f>TEXT(5074, "[$-060000]yyyy-mm-dd")</f>
        <v/>
      </c>
      <c r="D5075" t="inlineStr">
        <is>
          <t>1331-12-22</t>
        </is>
      </c>
    </row>
    <row r="5076">
      <c r="A5076" s="1" t="n">
        <v>5075</v>
      </c>
      <c r="B5076">
        <f>TEXT(5075, "[$-170000]yyyy-mm-dd")</f>
        <v/>
      </c>
      <c r="C5076">
        <f>TEXT(5075, "[$-060000]yyyy-mm-dd")</f>
        <v/>
      </c>
      <c r="D5076" t="inlineStr">
        <is>
          <t>1331-12-23</t>
        </is>
      </c>
    </row>
    <row r="5077">
      <c r="A5077" s="1" t="n">
        <v>5076</v>
      </c>
      <c r="B5077">
        <f>TEXT(5076, "[$-170000]yyyy-mm-dd")</f>
        <v/>
      </c>
      <c r="C5077">
        <f>TEXT(5076, "[$-060000]yyyy-mm-dd")</f>
        <v/>
      </c>
      <c r="D5077" t="inlineStr">
        <is>
          <t>1331-12-24</t>
        </is>
      </c>
    </row>
    <row r="5078">
      <c r="A5078" s="1" t="n">
        <v>5077</v>
      </c>
      <c r="B5078">
        <f>TEXT(5077, "[$-170000]yyyy-mm-dd")</f>
        <v/>
      </c>
      <c r="C5078">
        <f>TEXT(5077, "[$-060000]yyyy-mm-dd")</f>
        <v/>
      </c>
      <c r="D5078" t="inlineStr">
        <is>
          <t>1331-12-25</t>
        </is>
      </c>
    </row>
    <row r="5079">
      <c r="A5079" s="1" t="n">
        <v>5078</v>
      </c>
      <c r="B5079">
        <f>TEXT(5078, "[$-170000]yyyy-mm-dd")</f>
        <v/>
      </c>
      <c r="C5079">
        <f>TEXT(5078, "[$-060000]yyyy-mm-dd")</f>
        <v/>
      </c>
      <c r="D5079" t="inlineStr">
        <is>
          <t>1331-12-26</t>
        </is>
      </c>
    </row>
    <row r="5080">
      <c r="A5080" s="1" t="n">
        <v>5079</v>
      </c>
      <c r="B5080">
        <f>TEXT(5079, "[$-170000]yyyy-mm-dd")</f>
        <v/>
      </c>
      <c r="C5080">
        <f>TEXT(5079, "[$-060000]yyyy-mm-dd")</f>
        <v/>
      </c>
      <c r="D5080" t="inlineStr">
        <is>
          <t>1331-12-27</t>
        </is>
      </c>
    </row>
    <row r="5081">
      <c r="A5081" s="1" t="n">
        <v>5080</v>
      </c>
      <c r="B5081">
        <f>TEXT(5080, "[$-170000]yyyy-mm-dd")</f>
        <v/>
      </c>
      <c r="C5081">
        <f>TEXT(5080, "[$-060000]yyyy-mm-dd")</f>
        <v/>
      </c>
      <c r="D5081" t="inlineStr">
        <is>
          <t>1331-12-28</t>
        </is>
      </c>
    </row>
    <row r="5082">
      <c r="A5082" s="1" t="n">
        <v>5081</v>
      </c>
      <c r="B5082">
        <f>TEXT(5081, "[$-170000]yyyy-mm-dd")</f>
        <v/>
      </c>
      <c r="C5082">
        <f>TEXT(5081, "[$-060000]yyyy-mm-dd")</f>
        <v/>
      </c>
      <c r="D5082" t="inlineStr">
        <is>
          <t>1331-12-29</t>
        </is>
      </c>
    </row>
    <row r="5083">
      <c r="A5083" s="1" t="n">
        <v>5082</v>
      </c>
      <c r="B5083">
        <f>TEXT(5082, "[$-170000]yyyy-mm-dd")</f>
        <v/>
      </c>
      <c r="C5083">
        <f>TEXT(5082, "[$-060000]yyyy-mm-dd")</f>
        <v/>
      </c>
      <c r="D5083" t="inlineStr">
        <is>
          <t>1332-01-01</t>
        </is>
      </c>
    </row>
    <row r="5084">
      <c r="A5084" s="1" t="n">
        <v>5083</v>
      </c>
      <c r="B5084">
        <f>TEXT(5083, "[$-170000]yyyy-mm-dd")</f>
        <v/>
      </c>
      <c r="C5084">
        <f>TEXT(5083, "[$-060000]yyyy-mm-dd")</f>
        <v/>
      </c>
      <c r="D5084" t="inlineStr">
        <is>
          <t>1332-01-02</t>
        </is>
      </c>
    </row>
    <row r="5085">
      <c r="A5085" s="1" t="n">
        <v>5084</v>
      </c>
      <c r="B5085">
        <f>TEXT(5084, "[$-170000]yyyy-mm-dd")</f>
        <v/>
      </c>
      <c r="C5085">
        <f>TEXT(5084, "[$-060000]yyyy-mm-dd")</f>
        <v/>
      </c>
      <c r="D5085" t="inlineStr">
        <is>
          <t>1332-01-03</t>
        </is>
      </c>
    </row>
    <row r="5086">
      <c r="A5086" s="1" t="n">
        <v>5085</v>
      </c>
      <c r="B5086">
        <f>TEXT(5085, "[$-170000]yyyy-mm-dd")</f>
        <v/>
      </c>
      <c r="C5086">
        <f>TEXT(5085, "[$-060000]yyyy-mm-dd")</f>
        <v/>
      </c>
      <c r="D5086" t="inlineStr">
        <is>
          <t>1332-01-04</t>
        </is>
      </c>
    </row>
    <row r="5087">
      <c r="A5087" s="1" t="n">
        <v>5086</v>
      </c>
      <c r="B5087">
        <f>TEXT(5086, "[$-170000]yyyy-mm-dd")</f>
        <v/>
      </c>
      <c r="C5087">
        <f>TEXT(5086, "[$-060000]yyyy-mm-dd")</f>
        <v/>
      </c>
      <c r="D5087" t="inlineStr">
        <is>
          <t>1332-01-05</t>
        </is>
      </c>
    </row>
    <row r="5088">
      <c r="A5088" s="1" t="n">
        <v>5087</v>
      </c>
      <c r="B5088">
        <f>TEXT(5087, "[$-170000]yyyy-mm-dd")</f>
        <v/>
      </c>
      <c r="C5088">
        <f>TEXT(5087, "[$-060000]yyyy-mm-dd")</f>
        <v/>
      </c>
      <c r="D5088" t="inlineStr">
        <is>
          <t>1332-01-06</t>
        </is>
      </c>
    </row>
    <row r="5089">
      <c r="A5089" s="1" t="n">
        <v>5088</v>
      </c>
      <c r="B5089">
        <f>TEXT(5088, "[$-170000]yyyy-mm-dd")</f>
        <v/>
      </c>
      <c r="C5089">
        <f>TEXT(5088, "[$-060000]yyyy-mm-dd")</f>
        <v/>
      </c>
      <c r="D5089" t="inlineStr">
        <is>
          <t>1332-01-07</t>
        </is>
      </c>
    </row>
    <row r="5090">
      <c r="A5090" s="1" t="n">
        <v>5089</v>
      </c>
      <c r="B5090">
        <f>TEXT(5089, "[$-170000]yyyy-mm-dd")</f>
        <v/>
      </c>
      <c r="C5090">
        <f>TEXT(5089, "[$-060000]yyyy-mm-dd")</f>
        <v/>
      </c>
      <c r="D5090" t="inlineStr">
        <is>
          <t>1332-01-08</t>
        </is>
      </c>
    </row>
    <row r="5091">
      <c r="A5091" s="1" t="n">
        <v>5090</v>
      </c>
      <c r="B5091">
        <f>TEXT(5090, "[$-170000]yyyy-mm-dd")</f>
        <v/>
      </c>
      <c r="C5091">
        <f>TEXT(5090, "[$-060000]yyyy-mm-dd")</f>
        <v/>
      </c>
      <c r="D5091" t="inlineStr">
        <is>
          <t>1332-01-09</t>
        </is>
      </c>
    </row>
    <row r="5092">
      <c r="A5092" s="1" t="n">
        <v>5091</v>
      </c>
      <c r="B5092">
        <f>TEXT(5091, "[$-170000]yyyy-mm-dd")</f>
        <v/>
      </c>
      <c r="C5092">
        <f>TEXT(5091, "[$-060000]yyyy-mm-dd")</f>
        <v/>
      </c>
      <c r="D5092" t="inlineStr">
        <is>
          <t>1332-01-10</t>
        </is>
      </c>
    </row>
    <row r="5093">
      <c r="A5093" s="1" t="n">
        <v>5092</v>
      </c>
      <c r="B5093">
        <f>TEXT(5092, "[$-170000]yyyy-mm-dd")</f>
        <v/>
      </c>
      <c r="C5093">
        <f>TEXT(5092, "[$-060000]yyyy-mm-dd")</f>
        <v/>
      </c>
      <c r="D5093" t="inlineStr">
        <is>
          <t>1332-01-11</t>
        </is>
      </c>
    </row>
    <row r="5094">
      <c r="A5094" s="1" t="n">
        <v>5093</v>
      </c>
      <c r="B5094">
        <f>TEXT(5093, "[$-170000]yyyy-mm-dd")</f>
        <v/>
      </c>
      <c r="C5094">
        <f>TEXT(5093, "[$-060000]yyyy-mm-dd")</f>
        <v/>
      </c>
      <c r="D5094" t="inlineStr">
        <is>
          <t>1332-01-12</t>
        </is>
      </c>
    </row>
    <row r="5095">
      <c r="A5095" s="1" t="n">
        <v>5094</v>
      </c>
      <c r="B5095">
        <f>TEXT(5094, "[$-170000]yyyy-mm-dd")</f>
        <v/>
      </c>
      <c r="C5095">
        <f>TEXT(5094, "[$-060000]yyyy-mm-dd")</f>
        <v/>
      </c>
      <c r="D5095" t="inlineStr">
        <is>
          <t>1332-01-13</t>
        </is>
      </c>
    </row>
    <row r="5096">
      <c r="A5096" s="1" t="n">
        <v>5095</v>
      </c>
      <c r="B5096">
        <f>TEXT(5095, "[$-170000]yyyy-mm-dd")</f>
        <v/>
      </c>
      <c r="C5096">
        <f>TEXT(5095, "[$-060000]yyyy-mm-dd")</f>
        <v/>
      </c>
      <c r="D5096" t="inlineStr">
        <is>
          <t>1332-01-14</t>
        </is>
      </c>
    </row>
    <row r="5097">
      <c r="A5097" s="1" t="n">
        <v>5096</v>
      </c>
      <c r="B5097">
        <f>TEXT(5096, "[$-170000]yyyy-mm-dd")</f>
        <v/>
      </c>
      <c r="C5097">
        <f>TEXT(5096, "[$-060000]yyyy-mm-dd")</f>
        <v/>
      </c>
      <c r="D5097" t="inlineStr">
        <is>
          <t>1332-01-15</t>
        </is>
      </c>
    </row>
    <row r="5098">
      <c r="A5098" s="1" t="n">
        <v>5097</v>
      </c>
      <c r="B5098">
        <f>TEXT(5097, "[$-170000]yyyy-mm-dd")</f>
        <v/>
      </c>
      <c r="C5098">
        <f>TEXT(5097, "[$-060000]yyyy-mm-dd")</f>
        <v/>
      </c>
      <c r="D5098" t="inlineStr">
        <is>
          <t>1332-01-16</t>
        </is>
      </c>
    </row>
    <row r="5099">
      <c r="A5099" s="1" t="n">
        <v>5098</v>
      </c>
      <c r="B5099">
        <f>TEXT(5098, "[$-170000]yyyy-mm-dd")</f>
        <v/>
      </c>
      <c r="C5099">
        <f>TEXT(5098, "[$-060000]yyyy-mm-dd")</f>
        <v/>
      </c>
      <c r="D5099" t="inlineStr">
        <is>
          <t>1332-01-17</t>
        </is>
      </c>
    </row>
    <row r="5100">
      <c r="A5100" s="1" t="n">
        <v>5099</v>
      </c>
      <c r="B5100">
        <f>TEXT(5099, "[$-170000]yyyy-mm-dd")</f>
        <v/>
      </c>
      <c r="C5100">
        <f>TEXT(5099, "[$-060000]yyyy-mm-dd")</f>
        <v/>
      </c>
      <c r="D5100" t="inlineStr">
        <is>
          <t>1332-01-18</t>
        </is>
      </c>
    </row>
    <row r="5101">
      <c r="A5101" s="1" t="n">
        <v>5100</v>
      </c>
      <c r="B5101">
        <f>TEXT(5100, "[$-170000]yyyy-mm-dd")</f>
        <v/>
      </c>
      <c r="C5101">
        <f>TEXT(5100, "[$-060000]yyyy-mm-dd")</f>
        <v/>
      </c>
      <c r="D5101" t="inlineStr">
        <is>
          <t>1332-01-19</t>
        </is>
      </c>
    </row>
    <row r="5102">
      <c r="A5102" s="1" t="n">
        <v>5101</v>
      </c>
      <c r="B5102">
        <f>TEXT(5101, "[$-170000]yyyy-mm-dd")</f>
        <v/>
      </c>
      <c r="C5102">
        <f>TEXT(5101, "[$-060000]yyyy-mm-dd")</f>
        <v/>
      </c>
      <c r="D5102" t="inlineStr">
        <is>
          <t>1332-01-20</t>
        </is>
      </c>
    </row>
    <row r="5103">
      <c r="A5103" s="1" t="n">
        <v>5102</v>
      </c>
      <c r="B5103">
        <f>TEXT(5102, "[$-170000]yyyy-mm-dd")</f>
        <v/>
      </c>
      <c r="C5103">
        <f>TEXT(5102, "[$-060000]yyyy-mm-dd")</f>
        <v/>
      </c>
      <c r="D5103" t="inlineStr">
        <is>
          <t>1332-01-21</t>
        </is>
      </c>
    </row>
    <row r="5104">
      <c r="A5104" s="1" t="n">
        <v>5103</v>
      </c>
      <c r="B5104">
        <f>TEXT(5103, "[$-170000]yyyy-mm-dd")</f>
        <v/>
      </c>
      <c r="C5104">
        <f>TEXT(5103, "[$-060000]yyyy-mm-dd")</f>
        <v/>
      </c>
      <c r="D5104" t="inlineStr">
        <is>
          <t>1332-01-22</t>
        </is>
      </c>
    </row>
    <row r="5105">
      <c r="A5105" s="1" t="n">
        <v>5104</v>
      </c>
      <c r="B5105">
        <f>TEXT(5104, "[$-170000]yyyy-mm-dd")</f>
        <v/>
      </c>
      <c r="C5105">
        <f>TEXT(5104, "[$-060000]yyyy-mm-dd")</f>
        <v/>
      </c>
      <c r="D5105" t="inlineStr">
        <is>
          <t>1332-01-23</t>
        </is>
      </c>
    </row>
    <row r="5106">
      <c r="A5106" s="1" t="n">
        <v>5105</v>
      </c>
      <c r="B5106">
        <f>TEXT(5105, "[$-170000]yyyy-mm-dd")</f>
        <v/>
      </c>
      <c r="C5106">
        <f>TEXT(5105, "[$-060000]yyyy-mm-dd")</f>
        <v/>
      </c>
      <c r="D5106" t="inlineStr">
        <is>
          <t>1332-01-24</t>
        </is>
      </c>
    </row>
    <row r="5107">
      <c r="A5107" s="1" t="n">
        <v>5106</v>
      </c>
      <c r="B5107">
        <f>TEXT(5106, "[$-170000]yyyy-mm-dd")</f>
        <v/>
      </c>
      <c r="C5107">
        <f>TEXT(5106, "[$-060000]yyyy-mm-dd")</f>
        <v/>
      </c>
      <c r="D5107" t="inlineStr">
        <is>
          <t>1332-01-25</t>
        </is>
      </c>
    </row>
    <row r="5108">
      <c r="A5108" s="1" t="n">
        <v>5107</v>
      </c>
      <c r="B5108">
        <f>TEXT(5107, "[$-170000]yyyy-mm-dd")</f>
        <v/>
      </c>
      <c r="C5108">
        <f>TEXT(5107, "[$-060000]yyyy-mm-dd")</f>
        <v/>
      </c>
      <c r="D5108" t="inlineStr">
        <is>
          <t>1332-01-26</t>
        </is>
      </c>
    </row>
    <row r="5109">
      <c r="A5109" s="1" t="n">
        <v>5108</v>
      </c>
      <c r="B5109">
        <f>TEXT(5108, "[$-170000]yyyy-mm-dd")</f>
        <v/>
      </c>
      <c r="C5109">
        <f>TEXT(5108, "[$-060000]yyyy-mm-dd")</f>
        <v/>
      </c>
      <c r="D5109" t="inlineStr">
        <is>
          <t>1332-01-27</t>
        </is>
      </c>
    </row>
    <row r="5110">
      <c r="A5110" s="1" t="n">
        <v>5109</v>
      </c>
      <c r="B5110">
        <f>TEXT(5109, "[$-170000]yyyy-mm-dd")</f>
        <v/>
      </c>
      <c r="C5110">
        <f>TEXT(5109, "[$-060000]yyyy-mm-dd")</f>
        <v/>
      </c>
      <c r="D5110" t="inlineStr">
        <is>
          <t>1332-01-28</t>
        </is>
      </c>
    </row>
    <row r="5111">
      <c r="A5111" s="1" t="n">
        <v>5110</v>
      </c>
      <c r="B5111">
        <f>TEXT(5110, "[$-170000]yyyy-mm-dd")</f>
        <v/>
      </c>
      <c r="C5111">
        <f>TEXT(5110, "[$-060000]yyyy-mm-dd")</f>
        <v/>
      </c>
      <c r="D5111" t="inlineStr">
        <is>
          <t>1332-01-29</t>
        </is>
      </c>
    </row>
    <row r="5112">
      <c r="A5112" s="1" t="n">
        <v>5111</v>
      </c>
      <c r="B5112">
        <f>TEXT(5111, "[$-170000]yyyy-mm-dd")</f>
        <v/>
      </c>
      <c r="C5112">
        <f>TEXT(5111, "[$-060000]yyyy-mm-dd")</f>
        <v/>
      </c>
      <c r="D5112" t="inlineStr">
        <is>
          <t>1332-01-30</t>
        </is>
      </c>
    </row>
    <row r="5113">
      <c r="A5113" s="1" t="n">
        <v>5112</v>
      </c>
      <c r="B5113">
        <f>TEXT(5112, "[$-170000]yyyy-mm-dd")</f>
        <v/>
      </c>
      <c r="C5113">
        <f>TEXT(5112, "[$-060000]yyyy-mm-dd")</f>
        <v/>
      </c>
      <c r="D5113" t="inlineStr">
        <is>
          <t>1332-02-01</t>
        </is>
      </c>
    </row>
    <row r="5114">
      <c r="A5114" s="1" t="n">
        <v>5113</v>
      </c>
      <c r="B5114">
        <f>TEXT(5113, "[$-170000]yyyy-mm-dd")</f>
        <v/>
      </c>
      <c r="C5114">
        <f>TEXT(5113, "[$-060000]yyyy-mm-dd")</f>
        <v/>
      </c>
      <c r="D5114" t="inlineStr">
        <is>
          <t>1332-02-02</t>
        </is>
      </c>
    </row>
    <row r="5115">
      <c r="A5115" s="1" t="n">
        <v>5114</v>
      </c>
      <c r="B5115">
        <f>TEXT(5114, "[$-170000]yyyy-mm-dd")</f>
        <v/>
      </c>
      <c r="C5115">
        <f>TEXT(5114, "[$-060000]yyyy-mm-dd")</f>
        <v/>
      </c>
      <c r="D5115" t="inlineStr">
        <is>
          <t>1332-02-03</t>
        </is>
      </c>
    </row>
    <row r="5116">
      <c r="A5116" s="1" t="n">
        <v>5115</v>
      </c>
      <c r="B5116">
        <f>TEXT(5115, "[$-170000]yyyy-mm-dd")</f>
        <v/>
      </c>
      <c r="C5116">
        <f>TEXT(5115, "[$-060000]yyyy-mm-dd")</f>
        <v/>
      </c>
      <c r="D5116" t="inlineStr">
        <is>
          <t>1332-02-04</t>
        </is>
      </c>
    </row>
    <row r="5117">
      <c r="A5117" s="1" t="n">
        <v>5116</v>
      </c>
      <c r="B5117">
        <f>TEXT(5116, "[$-170000]yyyy-mm-dd")</f>
        <v/>
      </c>
      <c r="C5117">
        <f>TEXT(5116, "[$-060000]yyyy-mm-dd")</f>
        <v/>
      </c>
      <c r="D5117" t="inlineStr">
        <is>
          <t>1332-02-05</t>
        </is>
      </c>
    </row>
    <row r="5118">
      <c r="A5118" s="1" t="n">
        <v>5117</v>
      </c>
      <c r="B5118">
        <f>TEXT(5117, "[$-170000]yyyy-mm-dd")</f>
        <v/>
      </c>
      <c r="C5118">
        <f>TEXT(5117, "[$-060000]yyyy-mm-dd")</f>
        <v/>
      </c>
      <c r="D5118" t="inlineStr">
        <is>
          <t>1332-02-06</t>
        </is>
      </c>
    </row>
    <row r="5119">
      <c r="A5119" s="1" t="n">
        <v>5118</v>
      </c>
      <c r="B5119">
        <f>TEXT(5118, "[$-170000]yyyy-mm-dd")</f>
        <v/>
      </c>
      <c r="C5119">
        <f>TEXT(5118, "[$-060000]yyyy-mm-dd")</f>
        <v/>
      </c>
      <c r="D5119" t="inlineStr">
        <is>
          <t>1332-02-07</t>
        </is>
      </c>
    </row>
    <row r="5120">
      <c r="A5120" s="1" t="n">
        <v>5119</v>
      </c>
      <c r="B5120">
        <f>TEXT(5119, "[$-170000]yyyy-mm-dd")</f>
        <v/>
      </c>
      <c r="C5120">
        <f>TEXT(5119, "[$-060000]yyyy-mm-dd")</f>
        <v/>
      </c>
      <c r="D5120" t="inlineStr">
        <is>
          <t>1332-02-08</t>
        </is>
      </c>
    </row>
    <row r="5121">
      <c r="A5121" s="1" t="n">
        <v>5120</v>
      </c>
      <c r="B5121">
        <f>TEXT(5120, "[$-170000]yyyy-mm-dd")</f>
        <v/>
      </c>
      <c r="C5121">
        <f>TEXT(5120, "[$-060000]yyyy-mm-dd")</f>
        <v/>
      </c>
      <c r="D5121" t="inlineStr">
        <is>
          <t>1332-02-09</t>
        </is>
      </c>
    </row>
    <row r="5122">
      <c r="A5122" s="1" t="n">
        <v>5121</v>
      </c>
      <c r="B5122">
        <f>TEXT(5121, "[$-170000]yyyy-mm-dd")</f>
        <v/>
      </c>
      <c r="C5122">
        <f>TEXT(5121, "[$-060000]yyyy-mm-dd")</f>
        <v/>
      </c>
      <c r="D5122" t="inlineStr">
        <is>
          <t>1332-02-10</t>
        </is>
      </c>
    </row>
    <row r="5123">
      <c r="A5123" s="1" t="n">
        <v>5122</v>
      </c>
      <c r="B5123">
        <f>TEXT(5122, "[$-170000]yyyy-mm-dd")</f>
        <v/>
      </c>
      <c r="C5123">
        <f>TEXT(5122, "[$-060000]yyyy-mm-dd")</f>
        <v/>
      </c>
      <c r="D5123" t="inlineStr">
        <is>
          <t>1332-02-11</t>
        </is>
      </c>
    </row>
    <row r="5124">
      <c r="A5124" s="1" t="n">
        <v>5123</v>
      </c>
      <c r="B5124">
        <f>TEXT(5123, "[$-170000]yyyy-mm-dd")</f>
        <v/>
      </c>
      <c r="C5124">
        <f>TEXT(5123, "[$-060000]yyyy-mm-dd")</f>
        <v/>
      </c>
      <c r="D5124" t="inlineStr">
        <is>
          <t>1332-02-12</t>
        </is>
      </c>
    </row>
    <row r="5125">
      <c r="A5125" s="1" t="n">
        <v>5124</v>
      </c>
      <c r="B5125">
        <f>TEXT(5124, "[$-170000]yyyy-mm-dd")</f>
        <v/>
      </c>
      <c r="C5125">
        <f>TEXT(5124, "[$-060000]yyyy-mm-dd")</f>
        <v/>
      </c>
      <c r="D5125" t="inlineStr">
        <is>
          <t>1332-02-13</t>
        </is>
      </c>
    </row>
    <row r="5126">
      <c r="A5126" s="1" t="n">
        <v>5125</v>
      </c>
      <c r="B5126">
        <f>TEXT(5125, "[$-170000]yyyy-mm-dd")</f>
        <v/>
      </c>
      <c r="C5126">
        <f>TEXT(5125, "[$-060000]yyyy-mm-dd")</f>
        <v/>
      </c>
      <c r="D5126" t="inlineStr">
        <is>
          <t>1332-02-14</t>
        </is>
      </c>
    </row>
    <row r="5127">
      <c r="A5127" s="1" t="n">
        <v>5126</v>
      </c>
      <c r="B5127">
        <f>TEXT(5126, "[$-170000]yyyy-mm-dd")</f>
        <v/>
      </c>
      <c r="C5127">
        <f>TEXT(5126, "[$-060000]yyyy-mm-dd")</f>
        <v/>
      </c>
      <c r="D5127" t="inlineStr">
        <is>
          <t>1332-02-15</t>
        </is>
      </c>
    </row>
    <row r="5128">
      <c r="A5128" s="1" t="n">
        <v>5127</v>
      </c>
      <c r="B5128">
        <f>TEXT(5127, "[$-170000]yyyy-mm-dd")</f>
        <v/>
      </c>
      <c r="C5128">
        <f>TEXT(5127, "[$-060000]yyyy-mm-dd")</f>
        <v/>
      </c>
      <c r="D5128" t="inlineStr">
        <is>
          <t>1332-02-16</t>
        </is>
      </c>
    </row>
    <row r="5129">
      <c r="A5129" s="1" t="n">
        <v>5128</v>
      </c>
      <c r="B5129">
        <f>TEXT(5128, "[$-170000]yyyy-mm-dd")</f>
        <v/>
      </c>
      <c r="C5129">
        <f>TEXT(5128, "[$-060000]yyyy-mm-dd")</f>
        <v/>
      </c>
      <c r="D5129" t="inlineStr">
        <is>
          <t>1332-02-17</t>
        </is>
      </c>
    </row>
    <row r="5130">
      <c r="A5130" s="1" t="n">
        <v>5129</v>
      </c>
      <c r="B5130">
        <f>TEXT(5129, "[$-170000]yyyy-mm-dd")</f>
        <v/>
      </c>
      <c r="C5130">
        <f>TEXT(5129, "[$-060000]yyyy-mm-dd")</f>
        <v/>
      </c>
      <c r="D5130" t="inlineStr">
        <is>
          <t>1332-02-18</t>
        </is>
      </c>
    </row>
    <row r="5131">
      <c r="A5131" s="1" t="n">
        <v>5130</v>
      </c>
      <c r="B5131">
        <f>TEXT(5130, "[$-170000]yyyy-mm-dd")</f>
        <v/>
      </c>
      <c r="C5131">
        <f>TEXT(5130, "[$-060000]yyyy-mm-dd")</f>
        <v/>
      </c>
      <c r="D5131" t="inlineStr">
        <is>
          <t>1332-02-19</t>
        </is>
      </c>
    </row>
    <row r="5132">
      <c r="A5132" s="1" t="n">
        <v>5131</v>
      </c>
      <c r="B5132">
        <f>TEXT(5131, "[$-170000]yyyy-mm-dd")</f>
        <v/>
      </c>
      <c r="C5132">
        <f>TEXT(5131, "[$-060000]yyyy-mm-dd")</f>
        <v/>
      </c>
      <c r="D5132" t="inlineStr">
        <is>
          <t>1332-02-20</t>
        </is>
      </c>
    </row>
    <row r="5133">
      <c r="A5133" s="1" t="n">
        <v>5132</v>
      </c>
      <c r="B5133">
        <f>TEXT(5132, "[$-170000]yyyy-mm-dd")</f>
        <v/>
      </c>
      <c r="C5133">
        <f>TEXT(5132, "[$-060000]yyyy-mm-dd")</f>
        <v/>
      </c>
      <c r="D5133" t="inlineStr">
        <is>
          <t>1332-02-21</t>
        </is>
      </c>
    </row>
    <row r="5134">
      <c r="A5134" s="1" t="n">
        <v>5133</v>
      </c>
      <c r="B5134">
        <f>TEXT(5133, "[$-170000]yyyy-mm-dd")</f>
        <v/>
      </c>
      <c r="C5134">
        <f>TEXT(5133, "[$-060000]yyyy-mm-dd")</f>
        <v/>
      </c>
      <c r="D5134" t="inlineStr">
        <is>
          <t>1332-02-22</t>
        </is>
      </c>
    </row>
    <row r="5135">
      <c r="A5135" s="1" t="n">
        <v>5134</v>
      </c>
      <c r="B5135">
        <f>TEXT(5134, "[$-170000]yyyy-mm-dd")</f>
        <v/>
      </c>
      <c r="C5135">
        <f>TEXT(5134, "[$-060000]yyyy-mm-dd")</f>
        <v/>
      </c>
      <c r="D5135" t="inlineStr">
        <is>
          <t>1332-02-23</t>
        </is>
      </c>
    </row>
    <row r="5136">
      <c r="A5136" s="1" t="n">
        <v>5135</v>
      </c>
      <c r="B5136">
        <f>TEXT(5135, "[$-170000]yyyy-mm-dd")</f>
        <v/>
      </c>
      <c r="C5136">
        <f>TEXT(5135, "[$-060000]yyyy-mm-dd")</f>
        <v/>
      </c>
      <c r="D5136" t="inlineStr">
        <is>
          <t>1332-02-24</t>
        </is>
      </c>
    </row>
    <row r="5137">
      <c r="A5137" s="1" t="n">
        <v>5136</v>
      </c>
      <c r="B5137">
        <f>TEXT(5136, "[$-170000]yyyy-mm-dd")</f>
        <v/>
      </c>
      <c r="C5137">
        <f>TEXT(5136, "[$-060000]yyyy-mm-dd")</f>
        <v/>
      </c>
      <c r="D5137" t="inlineStr">
        <is>
          <t>1332-02-25</t>
        </is>
      </c>
    </row>
    <row r="5138">
      <c r="A5138" s="1" t="n">
        <v>5137</v>
      </c>
      <c r="B5138">
        <f>TEXT(5137, "[$-170000]yyyy-mm-dd")</f>
        <v/>
      </c>
      <c r="C5138">
        <f>TEXT(5137, "[$-060000]yyyy-mm-dd")</f>
        <v/>
      </c>
      <c r="D5138" t="inlineStr">
        <is>
          <t>1332-02-26</t>
        </is>
      </c>
    </row>
    <row r="5139">
      <c r="A5139" s="1" t="n">
        <v>5138</v>
      </c>
      <c r="B5139">
        <f>TEXT(5138, "[$-170000]yyyy-mm-dd")</f>
        <v/>
      </c>
      <c r="C5139">
        <f>TEXT(5138, "[$-060000]yyyy-mm-dd")</f>
        <v/>
      </c>
      <c r="D5139" t="inlineStr">
        <is>
          <t>1332-02-27</t>
        </is>
      </c>
    </row>
    <row r="5140">
      <c r="A5140" s="1" t="n">
        <v>5139</v>
      </c>
      <c r="B5140">
        <f>TEXT(5139, "[$-170000]yyyy-mm-dd")</f>
        <v/>
      </c>
      <c r="C5140">
        <f>TEXT(5139, "[$-060000]yyyy-mm-dd")</f>
        <v/>
      </c>
      <c r="D5140" t="inlineStr">
        <is>
          <t>1332-02-28</t>
        </is>
      </c>
    </row>
    <row r="5141">
      <c r="A5141" s="1" t="n">
        <v>5140</v>
      </c>
      <c r="B5141">
        <f>TEXT(5140, "[$-170000]yyyy-mm-dd")</f>
        <v/>
      </c>
      <c r="C5141">
        <f>TEXT(5140, "[$-060000]yyyy-mm-dd")</f>
        <v/>
      </c>
      <c r="D5141" t="inlineStr">
        <is>
          <t>1332-02-29</t>
        </is>
      </c>
    </row>
    <row r="5142">
      <c r="A5142" s="1" t="n">
        <v>5141</v>
      </c>
      <c r="B5142">
        <f>TEXT(5141, "[$-170000]yyyy-mm-dd")</f>
        <v/>
      </c>
      <c r="C5142">
        <f>TEXT(5141, "[$-060000]yyyy-mm-dd")</f>
        <v/>
      </c>
      <c r="D5142" t="inlineStr">
        <is>
          <t>1332-03-01</t>
        </is>
      </c>
    </row>
    <row r="5143">
      <c r="A5143" s="1" t="n">
        <v>5142</v>
      </c>
      <c r="B5143">
        <f>TEXT(5142, "[$-170000]yyyy-mm-dd")</f>
        <v/>
      </c>
      <c r="C5143">
        <f>TEXT(5142, "[$-060000]yyyy-mm-dd")</f>
        <v/>
      </c>
      <c r="D5143" t="inlineStr">
        <is>
          <t>1332-03-02</t>
        </is>
      </c>
    </row>
    <row r="5144">
      <c r="A5144" s="1" t="n">
        <v>5143</v>
      </c>
      <c r="B5144">
        <f>TEXT(5143, "[$-170000]yyyy-mm-dd")</f>
        <v/>
      </c>
      <c r="C5144">
        <f>TEXT(5143, "[$-060000]yyyy-mm-dd")</f>
        <v/>
      </c>
      <c r="D5144" t="inlineStr">
        <is>
          <t>1332-03-03</t>
        </is>
      </c>
    </row>
    <row r="5145">
      <c r="A5145" s="1" t="n">
        <v>5144</v>
      </c>
      <c r="B5145">
        <f>TEXT(5144, "[$-170000]yyyy-mm-dd")</f>
        <v/>
      </c>
      <c r="C5145">
        <f>TEXT(5144, "[$-060000]yyyy-mm-dd")</f>
        <v/>
      </c>
      <c r="D5145" t="inlineStr">
        <is>
          <t>1332-03-04</t>
        </is>
      </c>
    </row>
    <row r="5146">
      <c r="A5146" s="1" t="n">
        <v>5145</v>
      </c>
      <c r="B5146">
        <f>TEXT(5145, "[$-170000]yyyy-mm-dd")</f>
        <v/>
      </c>
      <c r="C5146">
        <f>TEXT(5145, "[$-060000]yyyy-mm-dd")</f>
        <v/>
      </c>
      <c r="D5146" t="inlineStr">
        <is>
          <t>1332-03-05</t>
        </is>
      </c>
    </row>
    <row r="5147">
      <c r="A5147" s="1" t="n">
        <v>5146</v>
      </c>
      <c r="B5147">
        <f>TEXT(5146, "[$-170000]yyyy-mm-dd")</f>
        <v/>
      </c>
      <c r="C5147">
        <f>TEXT(5146, "[$-060000]yyyy-mm-dd")</f>
        <v/>
      </c>
      <c r="D5147" t="inlineStr">
        <is>
          <t>1332-03-06</t>
        </is>
      </c>
    </row>
    <row r="5148">
      <c r="A5148" s="1" t="n">
        <v>5147</v>
      </c>
      <c r="B5148">
        <f>TEXT(5147, "[$-170000]yyyy-mm-dd")</f>
        <v/>
      </c>
      <c r="C5148">
        <f>TEXT(5147, "[$-060000]yyyy-mm-dd")</f>
        <v/>
      </c>
      <c r="D5148" t="inlineStr">
        <is>
          <t>1332-03-07</t>
        </is>
      </c>
    </row>
    <row r="5149">
      <c r="A5149" s="1" t="n">
        <v>5148</v>
      </c>
      <c r="B5149">
        <f>TEXT(5148, "[$-170000]yyyy-mm-dd")</f>
        <v/>
      </c>
      <c r="C5149">
        <f>TEXT(5148, "[$-060000]yyyy-mm-dd")</f>
        <v/>
      </c>
      <c r="D5149" t="inlineStr">
        <is>
          <t>1332-03-08</t>
        </is>
      </c>
    </row>
    <row r="5150">
      <c r="A5150" s="1" t="n">
        <v>5149</v>
      </c>
      <c r="B5150">
        <f>TEXT(5149, "[$-170000]yyyy-mm-dd")</f>
        <v/>
      </c>
      <c r="C5150">
        <f>TEXT(5149, "[$-060000]yyyy-mm-dd")</f>
        <v/>
      </c>
      <c r="D5150" t="inlineStr">
        <is>
          <t>1332-03-09</t>
        </is>
      </c>
    </row>
    <row r="5151">
      <c r="A5151" s="1" t="n">
        <v>5150</v>
      </c>
      <c r="B5151">
        <f>TEXT(5150, "[$-170000]yyyy-mm-dd")</f>
        <v/>
      </c>
      <c r="C5151">
        <f>TEXT(5150, "[$-060000]yyyy-mm-dd")</f>
        <v/>
      </c>
      <c r="D5151" t="inlineStr">
        <is>
          <t>1332-03-10</t>
        </is>
      </c>
    </row>
    <row r="5152">
      <c r="A5152" s="1" t="n">
        <v>5151</v>
      </c>
      <c r="B5152">
        <f>TEXT(5151, "[$-170000]yyyy-mm-dd")</f>
        <v/>
      </c>
      <c r="C5152">
        <f>TEXT(5151, "[$-060000]yyyy-mm-dd")</f>
        <v/>
      </c>
      <c r="D5152" t="inlineStr">
        <is>
          <t>1332-03-11</t>
        </is>
      </c>
    </row>
    <row r="5153">
      <c r="A5153" s="1" t="n">
        <v>5152</v>
      </c>
      <c r="B5153">
        <f>TEXT(5152, "[$-170000]yyyy-mm-dd")</f>
        <v/>
      </c>
      <c r="C5153">
        <f>TEXT(5152, "[$-060000]yyyy-mm-dd")</f>
        <v/>
      </c>
      <c r="D5153" t="inlineStr">
        <is>
          <t>1332-03-12</t>
        </is>
      </c>
    </row>
    <row r="5154">
      <c r="A5154" s="1" t="n">
        <v>5153</v>
      </c>
      <c r="B5154">
        <f>TEXT(5153, "[$-170000]yyyy-mm-dd")</f>
        <v/>
      </c>
      <c r="C5154">
        <f>TEXT(5153, "[$-060000]yyyy-mm-dd")</f>
        <v/>
      </c>
      <c r="D5154" t="inlineStr">
        <is>
          <t>1332-03-13</t>
        </is>
      </c>
    </row>
    <row r="5155">
      <c r="A5155" s="1" t="n">
        <v>5154</v>
      </c>
      <c r="B5155">
        <f>TEXT(5154, "[$-170000]yyyy-mm-dd")</f>
        <v/>
      </c>
      <c r="C5155">
        <f>TEXT(5154, "[$-060000]yyyy-mm-dd")</f>
        <v/>
      </c>
      <c r="D5155" t="inlineStr">
        <is>
          <t>1332-03-14</t>
        </is>
      </c>
    </row>
    <row r="5156">
      <c r="A5156" s="1" t="n">
        <v>5155</v>
      </c>
      <c r="B5156">
        <f>TEXT(5155, "[$-170000]yyyy-mm-dd")</f>
        <v/>
      </c>
      <c r="C5156">
        <f>TEXT(5155, "[$-060000]yyyy-mm-dd")</f>
        <v/>
      </c>
      <c r="D5156" t="inlineStr">
        <is>
          <t>1332-03-15</t>
        </is>
      </c>
    </row>
    <row r="5157">
      <c r="A5157" s="1" t="n">
        <v>5156</v>
      </c>
      <c r="B5157">
        <f>TEXT(5156, "[$-170000]yyyy-mm-dd")</f>
        <v/>
      </c>
      <c r="C5157">
        <f>TEXT(5156, "[$-060000]yyyy-mm-dd")</f>
        <v/>
      </c>
      <c r="D5157" t="inlineStr">
        <is>
          <t>1332-03-16</t>
        </is>
      </c>
    </row>
    <row r="5158">
      <c r="A5158" s="1" t="n">
        <v>5157</v>
      </c>
      <c r="B5158">
        <f>TEXT(5157, "[$-170000]yyyy-mm-dd")</f>
        <v/>
      </c>
      <c r="C5158">
        <f>TEXT(5157, "[$-060000]yyyy-mm-dd")</f>
        <v/>
      </c>
      <c r="D5158" t="inlineStr">
        <is>
          <t>1332-03-17</t>
        </is>
      </c>
    </row>
    <row r="5159">
      <c r="A5159" s="1" t="n">
        <v>5158</v>
      </c>
      <c r="B5159">
        <f>TEXT(5158, "[$-170000]yyyy-mm-dd")</f>
        <v/>
      </c>
      <c r="C5159">
        <f>TEXT(5158, "[$-060000]yyyy-mm-dd")</f>
        <v/>
      </c>
      <c r="D5159" t="inlineStr">
        <is>
          <t>1332-03-18</t>
        </is>
      </c>
    </row>
    <row r="5160">
      <c r="A5160" s="1" t="n">
        <v>5159</v>
      </c>
      <c r="B5160">
        <f>TEXT(5159, "[$-170000]yyyy-mm-dd")</f>
        <v/>
      </c>
      <c r="C5160">
        <f>TEXT(5159, "[$-060000]yyyy-mm-dd")</f>
        <v/>
      </c>
      <c r="D5160" t="inlineStr">
        <is>
          <t>1332-03-19</t>
        </is>
      </c>
    </row>
    <row r="5161">
      <c r="A5161" s="1" t="n">
        <v>5160</v>
      </c>
      <c r="B5161">
        <f>TEXT(5160, "[$-170000]yyyy-mm-dd")</f>
        <v/>
      </c>
      <c r="C5161">
        <f>TEXT(5160, "[$-060000]yyyy-mm-dd")</f>
        <v/>
      </c>
      <c r="D5161" t="inlineStr">
        <is>
          <t>1332-03-20</t>
        </is>
      </c>
    </row>
    <row r="5162">
      <c r="A5162" s="1" t="n">
        <v>5161</v>
      </c>
      <c r="B5162">
        <f>TEXT(5161, "[$-170000]yyyy-mm-dd")</f>
        <v/>
      </c>
      <c r="C5162">
        <f>TEXT(5161, "[$-060000]yyyy-mm-dd")</f>
        <v/>
      </c>
      <c r="D5162" t="inlineStr">
        <is>
          <t>1332-03-21</t>
        </is>
      </c>
    </row>
    <row r="5163">
      <c r="A5163" s="1" t="n">
        <v>5162</v>
      </c>
      <c r="B5163">
        <f>TEXT(5162, "[$-170000]yyyy-mm-dd")</f>
        <v/>
      </c>
      <c r="C5163">
        <f>TEXT(5162, "[$-060000]yyyy-mm-dd")</f>
        <v/>
      </c>
      <c r="D5163" t="inlineStr">
        <is>
          <t>1332-03-22</t>
        </is>
      </c>
    </row>
    <row r="5164">
      <c r="A5164" s="1" t="n">
        <v>5163</v>
      </c>
      <c r="B5164">
        <f>TEXT(5163, "[$-170000]yyyy-mm-dd")</f>
        <v/>
      </c>
      <c r="C5164">
        <f>TEXT(5163, "[$-060000]yyyy-mm-dd")</f>
        <v/>
      </c>
      <c r="D5164" t="inlineStr">
        <is>
          <t>1332-03-23</t>
        </is>
      </c>
    </row>
    <row r="5165">
      <c r="A5165" s="1" t="n">
        <v>5164</v>
      </c>
      <c r="B5165">
        <f>TEXT(5164, "[$-170000]yyyy-mm-dd")</f>
        <v/>
      </c>
      <c r="C5165">
        <f>TEXT(5164, "[$-060000]yyyy-mm-dd")</f>
        <v/>
      </c>
      <c r="D5165" t="inlineStr">
        <is>
          <t>1332-03-24</t>
        </is>
      </c>
    </row>
    <row r="5166">
      <c r="A5166" s="1" t="n">
        <v>5165</v>
      </c>
      <c r="B5166">
        <f>TEXT(5165, "[$-170000]yyyy-mm-dd")</f>
        <v/>
      </c>
      <c r="C5166">
        <f>TEXT(5165, "[$-060000]yyyy-mm-dd")</f>
        <v/>
      </c>
      <c r="D5166" t="inlineStr">
        <is>
          <t>1332-03-25</t>
        </is>
      </c>
    </row>
    <row r="5167">
      <c r="A5167" s="1" t="n">
        <v>5166</v>
      </c>
      <c r="B5167">
        <f>TEXT(5166, "[$-170000]yyyy-mm-dd")</f>
        <v/>
      </c>
      <c r="C5167">
        <f>TEXT(5166, "[$-060000]yyyy-mm-dd")</f>
        <v/>
      </c>
      <c r="D5167" t="inlineStr">
        <is>
          <t>1332-03-26</t>
        </is>
      </c>
    </row>
    <row r="5168">
      <c r="A5168" s="1" t="n">
        <v>5167</v>
      </c>
      <c r="B5168">
        <f>TEXT(5167, "[$-170000]yyyy-mm-dd")</f>
        <v/>
      </c>
      <c r="C5168">
        <f>TEXT(5167, "[$-060000]yyyy-mm-dd")</f>
        <v/>
      </c>
      <c r="D5168" t="inlineStr">
        <is>
          <t>1332-03-27</t>
        </is>
      </c>
    </row>
    <row r="5169">
      <c r="A5169" s="1" t="n">
        <v>5168</v>
      </c>
      <c r="B5169">
        <f>TEXT(5168, "[$-170000]yyyy-mm-dd")</f>
        <v/>
      </c>
      <c r="C5169">
        <f>TEXT(5168, "[$-060000]yyyy-mm-dd")</f>
        <v/>
      </c>
      <c r="D5169" t="inlineStr">
        <is>
          <t>1332-03-28</t>
        </is>
      </c>
    </row>
    <row r="5170">
      <c r="A5170" s="1" t="n">
        <v>5169</v>
      </c>
      <c r="B5170">
        <f>TEXT(5169, "[$-170000]yyyy-mm-dd")</f>
        <v/>
      </c>
      <c r="C5170">
        <f>TEXT(5169, "[$-060000]yyyy-mm-dd")</f>
        <v/>
      </c>
      <c r="D5170" t="inlineStr">
        <is>
          <t>1332-03-29</t>
        </is>
      </c>
    </row>
    <row r="5171">
      <c r="A5171" s="1" t="n">
        <v>5170</v>
      </c>
      <c r="B5171">
        <f>TEXT(5170, "[$-170000]yyyy-mm-dd")</f>
        <v/>
      </c>
      <c r="C5171">
        <f>TEXT(5170, "[$-060000]yyyy-mm-dd")</f>
        <v/>
      </c>
      <c r="D5171" t="inlineStr">
        <is>
          <t>1332-03-30</t>
        </is>
      </c>
    </row>
    <row r="5172">
      <c r="A5172" s="1" t="n">
        <v>5171</v>
      </c>
      <c r="B5172">
        <f>TEXT(5171, "[$-170000]yyyy-mm-dd")</f>
        <v/>
      </c>
      <c r="C5172">
        <f>TEXT(5171, "[$-060000]yyyy-mm-dd")</f>
        <v/>
      </c>
      <c r="D5172" t="inlineStr">
        <is>
          <t>1332-04-01</t>
        </is>
      </c>
    </row>
    <row r="5173">
      <c r="A5173" s="1" t="n">
        <v>5172</v>
      </c>
      <c r="B5173">
        <f>TEXT(5172, "[$-170000]yyyy-mm-dd")</f>
        <v/>
      </c>
      <c r="C5173">
        <f>TEXT(5172, "[$-060000]yyyy-mm-dd")</f>
        <v/>
      </c>
      <c r="D5173" t="inlineStr">
        <is>
          <t>1332-04-02</t>
        </is>
      </c>
    </row>
    <row r="5174">
      <c r="A5174" s="1" t="n">
        <v>5173</v>
      </c>
      <c r="B5174">
        <f>TEXT(5173, "[$-170000]yyyy-mm-dd")</f>
        <v/>
      </c>
      <c r="C5174">
        <f>TEXT(5173, "[$-060000]yyyy-mm-dd")</f>
        <v/>
      </c>
      <c r="D5174" t="inlineStr">
        <is>
          <t>1332-04-03</t>
        </is>
      </c>
    </row>
    <row r="5175">
      <c r="A5175" s="1" t="n">
        <v>5174</v>
      </c>
      <c r="B5175">
        <f>TEXT(5174, "[$-170000]yyyy-mm-dd")</f>
        <v/>
      </c>
      <c r="C5175">
        <f>TEXT(5174, "[$-060000]yyyy-mm-dd")</f>
        <v/>
      </c>
      <c r="D5175" t="inlineStr">
        <is>
          <t>1332-04-04</t>
        </is>
      </c>
    </row>
    <row r="5176">
      <c r="A5176" s="1" t="n">
        <v>5175</v>
      </c>
      <c r="B5176">
        <f>TEXT(5175, "[$-170000]yyyy-mm-dd")</f>
        <v/>
      </c>
      <c r="C5176">
        <f>TEXT(5175, "[$-060000]yyyy-mm-dd")</f>
        <v/>
      </c>
      <c r="D5176" t="inlineStr">
        <is>
          <t>1332-04-05</t>
        </is>
      </c>
    </row>
    <row r="5177">
      <c r="A5177" s="1" t="n">
        <v>5176</v>
      </c>
      <c r="B5177">
        <f>TEXT(5176, "[$-170000]yyyy-mm-dd")</f>
        <v/>
      </c>
      <c r="C5177">
        <f>TEXT(5176, "[$-060000]yyyy-mm-dd")</f>
        <v/>
      </c>
      <c r="D5177" t="inlineStr">
        <is>
          <t>1332-04-06</t>
        </is>
      </c>
    </row>
    <row r="5178">
      <c r="A5178" s="1" t="n">
        <v>5177</v>
      </c>
      <c r="B5178">
        <f>TEXT(5177, "[$-170000]yyyy-mm-dd")</f>
        <v/>
      </c>
      <c r="C5178">
        <f>TEXT(5177, "[$-060000]yyyy-mm-dd")</f>
        <v/>
      </c>
      <c r="D5178" t="inlineStr">
        <is>
          <t>1332-04-07</t>
        </is>
      </c>
    </row>
    <row r="5179">
      <c r="A5179" s="1" t="n">
        <v>5178</v>
      </c>
      <c r="B5179">
        <f>TEXT(5178, "[$-170000]yyyy-mm-dd")</f>
        <v/>
      </c>
      <c r="C5179">
        <f>TEXT(5178, "[$-060000]yyyy-mm-dd")</f>
        <v/>
      </c>
      <c r="D5179" t="inlineStr">
        <is>
          <t>1332-04-08</t>
        </is>
      </c>
    </row>
    <row r="5180">
      <c r="A5180" s="1" t="n">
        <v>5179</v>
      </c>
      <c r="B5180">
        <f>TEXT(5179, "[$-170000]yyyy-mm-dd")</f>
        <v/>
      </c>
      <c r="C5180">
        <f>TEXT(5179, "[$-060000]yyyy-mm-dd")</f>
        <v/>
      </c>
      <c r="D5180" t="inlineStr">
        <is>
          <t>1332-04-09</t>
        </is>
      </c>
    </row>
    <row r="5181">
      <c r="A5181" s="1" t="n">
        <v>5180</v>
      </c>
      <c r="B5181">
        <f>TEXT(5180, "[$-170000]yyyy-mm-dd")</f>
        <v/>
      </c>
      <c r="C5181">
        <f>TEXT(5180, "[$-060000]yyyy-mm-dd")</f>
        <v/>
      </c>
      <c r="D5181" t="inlineStr">
        <is>
          <t>1332-04-10</t>
        </is>
      </c>
    </row>
    <row r="5182">
      <c r="A5182" s="1" t="n">
        <v>5181</v>
      </c>
      <c r="B5182">
        <f>TEXT(5181, "[$-170000]yyyy-mm-dd")</f>
        <v/>
      </c>
      <c r="C5182">
        <f>TEXT(5181, "[$-060000]yyyy-mm-dd")</f>
        <v/>
      </c>
      <c r="D5182" t="inlineStr">
        <is>
          <t>1332-04-11</t>
        </is>
      </c>
    </row>
    <row r="5183">
      <c r="A5183" s="1" t="n">
        <v>5182</v>
      </c>
      <c r="B5183">
        <f>TEXT(5182, "[$-170000]yyyy-mm-dd")</f>
        <v/>
      </c>
      <c r="C5183">
        <f>TEXT(5182, "[$-060000]yyyy-mm-dd")</f>
        <v/>
      </c>
      <c r="D5183" t="inlineStr">
        <is>
          <t>1332-04-12</t>
        </is>
      </c>
    </row>
    <row r="5184">
      <c r="A5184" s="1" t="n">
        <v>5183</v>
      </c>
      <c r="B5184">
        <f>TEXT(5183, "[$-170000]yyyy-mm-dd")</f>
        <v/>
      </c>
      <c r="C5184">
        <f>TEXT(5183, "[$-060000]yyyy-mm-dd")</f>
        <v/>
      </c>
      <c r="D5184" t="inlineStr">
        <is>
          <t>1332-04-13</t>
        </is>
      </c>
    </row>
    <row r="5185">
      <c r="A5185" s="1" t="n">
        <v>5184</v>
      </c>
      <c r="B5185">
        <f>TEXT(5184, "[$-170000]yyyy-mm-dd")</f>
        <v/>
      </c>
      <c r="C5185">
        <f>TEXT(5184, "[$-060000]yyyy-mm-dd")</f>
        <v/>
      </c>
      <c r="D5185" t="inlineStr">
        <is>
          <t>1332-04-14</t>
        </is>
      </c>
    </row>
    <row r="5186">
      <c r="A5186" s="1" t="n">
        <v>5185</v>
      </c>
      <c r="B5186">
        <f>TEXT(5185, "[$-170000]yyyy-mm-dd")</f>
        <v/>
      </c>
      <c r="C5186">
        <f>TEXT(5185, "[$-060000]yyyy-mm-dd")</f>
        <v/>
      </c>
      <c r="D5186" t="inlineStr">
        <is>
          <t>1332-04-15</t>
        </is>
      </c>
    </row>
    <row r="5187">
      <c r="A5187" s="1" t="n">
        <v>5186</v>
      </c>
      <c r="B5187">
        <f>TEXT(5186, "[$-170000]yyyy-mm-dd")</f>
        <v/>
      </c>
      <c r="C5187">
        <f>TEXT(5186, "[$-060000]yyyy-mm-dd")</f>
        <v/>
      </c>
      <c r="D5187" t="inlineStr">
        <is>
          <t>1332-04-16</t>
        </is>
      </c>
    </row>
    <row r="5188">
      <c r="A5188" s="1" t="n">
        <v>5187</v>
      </c>
      <c r="B5188">
        <f>TEXT(5187, "[$-170000]yyyy-mm-dd")</f>
        <v/>
      </c>
      <c r="C5188">
        <f>TEXT(5187, "[$-060000]yyyy-mm-dd")</f>
        <v/>
      </c>
      <c r="D5188" t="inlineStr">
        <is>
          <t>1332-04-17</t>
        </is>
      </c>
    </row>
    <row r="5189">
      <c r="A5189" s="1" t="n">
        <v>5188</v>
      </c>
      <c r="B5189">
        <f>TEXT(5188, "[$-170000]yyyy-mm-dd")</f>
        <v/>
      </c>
      <c r="C5189">
        <f>TEXT(5188, "[$-060000]yyyy-mm-dd")</f>
        <v/>
      </c>
      <c r="D5189" t="inlineStr">
        <is>
          <t>1332-04-18</t>
        </is>
      </c>
    </row>
    <row r="5190">
      <c r="A5190" s="1" t="n">
        <v>5189</v>
      </c>
      <c r="B5190">
        <f>TEXT(5189, "[$-170000]yyyy-mm-dd")</f>
        <v/>
      </c>
      <c r="C5190">
        <f>TEXT(5189, "[$-060000]yyyy-mm-dd")</f>
        <v/>
      </c>
      <c r="D5190" t="inlineStr">
        <is>
          <t>1332-04-19</t>
        </is>
      </c>
    </row>
    <row r="5191">
      <c r="A5191" s="1" t="n">
        <v>5190</v>
      </c>
      <c r="B5191">
        <f>TEXT(5190, "[$-170000]yyyy-mm-dd")</f>
        <v/>
      </c>
      <c r="C5191">
        <f>TEXT(5190, "[$-060000]yyyy-mm-dd")</f>
        <v/>
      </c>
      <c r="D5191" t="inlineStr">
        <is>
          <t>1332-04-20</t>
        </is>
      </c>
    </row>
    <row r="5192">
      <c r="A5192" s="1" t="n">
        <v>5191</v>
      </c>
      <c r="B5192">
        <f>TEXT(5191, "[$-170000]yyyy-mm-dd")</f>
        <v/>
      </c>
      <c r="C5192">
        <f>TEXT(5191, "[$-060000]yyyy-mm-dd")</f>
        <v/>
      </c>
      <c r="D5192" t="inlineStr">
        <is>
          <t>1332-04-21</t>
        </is>
      </c>
    </row>
    <row r="5193">
      <c r="A5193" s="1" t="n">
        <v>5192</v>
      </c>
      <c r="B5193">
        <f>TEXT(5192, "[$-170000]yyyy-mm-dd")</f>
        <v/>
      </c>
      <c r="C5193">
        <f>TEXT(5192, "[$-060000]yyyy-mm-dd")</f>
        <v/>
      </c>
      <c r="D5193" t="inlineStr">
        <is>
          <t>1332-04-22</t>
        </is>
      </c>
    </row>
    <row r="5194">
      <c r="A5194" s="1" t="n">
        <v>5193</v>
      </c>
      <c r="B5194">
        <f>TEXT(5193, "[$-170000]yyyy-mm-dd")</f>
        <v/>
      </c>
      <c r="C5194">
        <f>TEXT(5193, "[$-060000]yyyy-mm-dd")</f>
        <v/>
      </c>
      <c r="D5194" t="inlineStr">
        <is>
          <t>1332-04-23</t>
        </is>
      </c>
    </row>
    <row r="5195">
      <c r="A5195" s="1" t="n">
        <v>5194</v>
      </c>
      <c r="B5195">
        <f>TEXT(5194, "[$-170000]yyyy-mm-dd")</f>
        <v/>
      </c>
      <c r="C5195">
        <f>TEXT(5194, "[$-060000]yyyy-mm-dd")</f>
        <v/>
      </c>
      <c r="D5195" t="inlineStr">
        <is>
          <t>1332-04-24</t>
        </is>
      </c>
    </row>
    <row r="5196">
      <c r="A5196" s="1" t="n">
        <v>5195</v>
      </c>
      <c r="B5196">
        <f>TEXT(5195, "[$-170000]yyyy-mm-dd")</f>
        <v/>
      </c>
      <c r="C5196">
        <f>TEXT(5195, "[$-060000]yyyy-mm-dd")</f>
        <v/>
      </c>
      <c r="D5196" t="inlineStr">
        <is>
          <t>1332-04-25</t>
        </is>
      </c>
    </row>
    <row r="5197">
      <c r="A5197" s="1" t="n">
        <v>5196</v>
      </c>
      <c r="B5197">
        <f>TEXT(5196, "[$-170000]yyyy-mm-dd")</f>
        <v/>
      </c>
      <c r="C5197">
        <f>TEXT(5196, "[$-060000]yyyy-mm-dd")</f>
        <v/>
      </c>
      <c r="D5197" t="inlineStr">
        <is>
          <t>1332-04-26</t>
        </is>
      </c>
    </row>
    <row r="5198">
      <c r="A5198" s="1" t="n">
        <v>5197</v>
      </c>
      <c r="B5198">
        <f>TEXT(5197, "[$-170000]yyyy-mm-dd")</f>
        <v/>
      </c>
      <c r="C5198">
        <f>TEXT(5197, "[$-060000]yyyy-mm-dd")</f>
        <v/>
      </c>
      <c r="D5198" t="inlineStr">
        <is>
          <t>1332-04-27</t>
        </is>
      </c>
    </row>
    <row r="5199">
      <c r="A5199" s="1" t="n">
        <v>5198</v>
      </c>
      <c r="B5199">
        <f>TEXT(5198, "[$-170000]yyyy-mm-dd")</f>
        <v/>
      </c>
      <c r="C5199">
        <f>TEXT(5198, "[$-060000]yyyy-mm-dd")</f>
        <v/>
      </c>
      <c r="D5199" t="inlineStr">
        <is>
          <t>1332-04-28</t>
        </is>
      </c>
    </row>
    <row r="5200">
      <c r="A5200" s="1" t="n">
        <v>5199</v>
      </c>
      <c r="B5200">
        <f>TEXT(5199, "[$-170000]yyyy-mm-dd")</f>
        <v/>
      </c>
      <c r="C5200">
        <f>TEXT(5199, "[$-060000]yyyy-mm-dd")</f>
        <v/>
      </c>
      <c r="D5200" t="inlineStr">
        <is>
          <t>1332-04-29</t>
        </is>
      </c>
    </row>
    <row r="5201">
      <c r="A5201" s="1" t="n">
        <v>5200</v>
      </c>
      <c r="B5201">
        <f>TEXT(5200, "[$-170000]yyyy-mm-dd")</f>
        <v/>
      </c>
      <c r="C5201">
        <f>TEXT(5200, "[$-060000]yyyy-mm-dd")</f>
        <v/>
      </c>
      <c r="D5201" t="inlineStr">
        <is>
          <t>1332-05-01</t>
        </is>
      </c>
    </row>
    <row r="5202">
      <c r="A5202" s="1" t="n">
        <v>5201</v>
      </c>
      <c r="B5202">
        <f>TEXT(5201, "[$-170000]yyyy-mm-dd")</f>
        <v/>
      </c>
      <c r="C5202">
        <f>TEXT(5201, "[$-060000]yyyy-mm-dd")</f>
        <v/>
      </c>
      <c r="D5202" t="inlineStr">
        <is>
          <t>1332-05-02</t>
        </is>
      </c>
    </row>
    <row r="5203">
      <c r="A5203" s="1" t="n">
        <v>5202</v>
      </c>
      <c r="B5203">
        <f>TEXT(5202, "[$-170000]yyyy-mm-dd")</f>
        <v/>
      </c>
      <c r="C5203">
        <f>TEXT(5202, "[$-060000]yyyy-mm-dd")</f>
        <v/>
      </c>
      <c r="D5203" t="inlineStr">
        <is>
          <t>1332-05-03</t>
        </is>
      </c>
    </row>
    <row r="5204">
      <c r="A5204" s="1" t="n">
        <v>5203</v>
      </c>
      <c r="B5204">
        <f>TEXT(5203, "[$-170000]yyyy-mm-dd")</f>
        <v/>
      </c>
      <c r="C5204">
        <f>TEXT(5203, "[$-060000]yyyy-mm-dd")</f>
        <v/>
      </c>
      <c r="D5204" t="inlineStr">
        <is>
          <t>1332-05-04</t>
        </is>
      </c>
    </row>
    <row r="5205">
      <c r="A5205" s="1" t="n">
        <v>5204</v>
      </c>
      <c r="B5205">
        <f>TEXT(5204, "[$-170000]yyyy-mm-dd")</f>
        <v/>
      </c>
      <c r="C5205">
        <f>TEXT(5204, "[$-060000]yyyy-mm-dd")</f>
        <v/>
      </c>
      <c r="D5205" t="inlineStr">
        <is>
          <t>1332-05-05</t>
        </is>
      </c>
    </row>
    <row r="5206">
      <c r="A5206" s="1" t="n">
        <v>5205</v>
      </c>
      <c r="B5206">
        <f>TEXT(5205, "[$-170000]yyyy-mm-dd")</f>
        <v/>
      </c>
      <c r="C5206">
        <f>TEXT(5205, "[$-060000]yyyy-mm-dd")</f>
        <v/>
      </c>
      <c r="D5206" t="inlineStr">
        <is>
          <t>1332-05-06</t>
        </is>
      </c>
    </row>
    <row r="5207">
      <c r="A5207" s="1" t="n">
        <v>5206</v>
      </c>
      <c r="B5207">
        <f>TEXT(5206, "[$-170000]yyyy-mm-dd")</f>
        <v/>
      </c>
      <c r="C5207">
        <f>TEXT(5206, "[$-060000]yyyy-mm-dd")</f>
        <v/>
      </c>
      <c r="D5207" t="inlineStr">
        <is>
          <t>1332-05-07</t>
        </is>
      </c>
    </row>
    <row r="5208">
      <c r="A5208" s="1" t="n">
        <v>5207</v>
      </c>
      <c r="B5208">
        <f>TEXT(5207, "[$-170000]yyyy-mm-dd")</f>
        <v/>
      </c>
      <c r="C5208">
        <f>TEXT(5207, "[$-060000]yyyy-mm-dd")</f>
        <v/>
      </c>
      <c r="D5208" t="inlineStr">
        <is>
          <t>1332-05-08</t>
        </is>
      </c>
    </row>
    <row r="5209">
      <c r="A5209" s="1" t="n">
        <v>5208</v>
      </c>
      <c r="B5209">
        <f>TEXT(5208, "[$-170000]yyyy-mm-dd")</f>
        <v/>
      </c>
      <c r="C5209">
        <f>TEXT(5208, "[$-060000]yyyy-mm-dd")</f>
        <v/>
      </c>
      <c r="D5209" t="inlineStr">
        <is>
          <t>1332-05-09</t>
        </is>
      </c>
    </row>
    <row r="5210">
      <c r="A5210" s="1" t="n">
        <v>5209</v>
      </c>
      <c r="B5210">
        <f>TEXT(5209, "[$-170000]yyyy-mm-dd")</f>
        <v/>
      </c>
      <c r="C5210">
        <f>TEXT(5209, "[$-060000]yyyy-mm-dd")</f>
        <v/>
      </c>
      <c r="D5210" t="inlineStr">
        <is>
          <t>1332-05-10</t>
        </is>
      </c>
    </row>
    <row r="5211">
      <c r="A5211" s="1" t="n">
        <v>5210</v>
      </c>
      <c r="B5211">
        <f>TEXT(5210, "[$-170000]yyyy-mm-dd")</f>
        <v/>
      </c>
      <c r="C5211">
        <f>TEXT(5210, "[$-060000]yyyy-mm-dd")</f>
        <v/>
      </c>
      <c r="D5211" t="inlineStr">
        <is>
          <t>1332-05-11</t>
        </is>
      </c>
    </row>
    <row r="5212">
      <c r="A5212" s="1" t="n">
        <v>5211</v>
      </c>
      <c r="B5212">
        <f>TEXT(5211, "[$-170000]yyyy-mm-dd")</f>
        <v/>
      </c>
      <c r="C5212">
        <f>TEXT(5211, "[$-060000]yyyy-mm-dd")</f>
        <v/>
      </c>
      <c r="D5212" t="inlineStr">
        <is>
          <t>1332-05-12</t>
        </is>
      </c>
    </row>
    <row r="5213">
      <c r="A5213" s="1" t="n">
        <v>5212</v>
      </c>
      <c r="B5213">
        <f>TEXT(5212, "[$-170000]yyyy-mm-dd")</f>
        <v/>
      </c>
      <c r="C5213">
        <f>TEXT(5212, "[$-060000]yyyy-mm-dd")</f>
        <v/>
      </c>
      <c r="D5213" t="inlineStr">
        <is>
          <t>1332-05-13</t>
        </is>
      </c>
    </row>
    <row r="5214">
      <c r="A5214" s="1" t="n">
        <v>5213</v>
      </c>
      <c r="B5214">
        <f>TEXT(5213, "[$-170000]yyyy-mm-dd")</f>
        <v/>
      </c>
      <c r="C5214">
        <f>TEXT(5213, "[$-060000]yyyy-mm-dd")</f>
        <v/>
      </c>
      <c r="D5214" t="inlineStr">
        <is>
          <t>1332-05-14</t>
        </is>
      </c>
    </row>
    <row r="5215">
      <c r="A5215" s="1" t="n">
        <v>5214</v>
      </c>
      <c r="B5215">
        <f>TEXT(5214, "[$-170000]yyyy-mm-dd")</f>
        <v/>
      </c>
      <c r="C5215">
        <f>TEXT(5214, "[$-060000]yyyy-mm-dd")</f>
        <v/>
      </c>
      <c r="D5215" t="inlineStr">
        <is>
          <t>1332-05-15</t>
        </is>
      </c>
    </row>
    <row r="5216">
      <c r="A5216" s="1" t="n">
        <v>5215</v>
      </c>
      <c r="B5216">
        <f>TEXT(5215, "[$-170000]yyyy-mm-dd")</f>
        <v/>
      </c>
      <c r="C5216">
        <f>TEXT(5215, "[$-060000]yyyy-mm-dd")</f>
        <v/>
      </c>
      <c r="D5216" t="inlineStr">
        <is>
          <t>1332-05-16</t>
        </is>
      </c>
    </row>
    <row r="5217">
      <c r="A5217" s="1" t="n">
        <v>5216</v>
      </c>
      <c r="B5217">
        <f>TEXT(5216, "[$-170000]yyyy-mm-dd")</f>
        <v/>
      </c>
      <c r="C5217">
        <f>TEXT(5216, "[$-060000]yyyy-mm-dd")</f>
        <v/>
      </c>
      <c r="D5217" t="inlineStr">
        <is>
          <t>1332-05-17</t>
        </is>
      </c>
    </row>
    <row r="5218">
      <c r="A5218" s="1" t="n">
        <v>5217</v>
      </c>
      <c r="B5218">
        <f>TEXT(5217, "[$-170000]yyyy-mm-dd")</f>
        <v/>
      </c>
      <c r="C5218">
        <f>TEXT(5217, "[$-060000]yyyy-mm-dd")</f>
        <v/>
      </c>
      <c r="D5218" t="inlineStr">
        <is>
          <t>1332-05-18</t>
        </is>
      </c>
    </row>
    <row r="5219">
      <c r="A5219" s="1" t="n">
        <v>5218</v>
      </c>
      <c r="B5219">
        <f>TEXT(5218, "[$-170000]yyyy-mm-dd")</f>
        <v/>
      </c>
      <c r="C5219">
        <f>TEXT(5218, "[$-060000]yyyy-mm-dd")</f>
        <v/>
      </c>
      <c r="D5219" t="inlineStr">
        <is>
          <t>1332-05-19</t>
        </is>
      </c>
    </row>
    <row r="5220">
      <c r="A5220" s="1" t="n">
        <v>5219</v>
      </c>
      <c r="B5220">
        <f>TEXT(5219, "[$-170000]yyyy-mm-dd")</f>
        <v/>
      </c>
      <c r="C5220">
        <f>TEXT(5219, "[$-060000]yyyy-mm-dd")</f>
        <v/>
      </c>
      <c r="D5220" t="inlineStr">
        <is>
          <t>1332-05-20</t>
        </is>
      </c>
    </row>
    <row r="5221">
      <c r="A5221" s="1" t="n">
        <v>5220</v>
      </c>
      <c r="B5221">
        <f>TEXT(5220, "[$-170000]yyyy-mm-dd")</f>
        <v/>
      </c>
      <c r="C5221">
        <f>TEXT(5220, "[$-060000]yyyy-mm-dd")</f>
        <v/>
      </c>
      <c r="D5221" t="inlineStr">
        <is>
          <t>1332-05-21</t>
        </is>
      </c>
    </row>
    <row r="5222">
      <c r="A5222" s="1" t="n">
        <v>5221</v>
      </c>
      <c r="B5222">
        <f>TEXT(5221, "[$-170000]yyyy-mm-dd")</f>
        <v/>
      </c>
      <c r="C5222">
        <f>TEXT(5221, "[$-060000]yyyy-mm-dd")</f>
        <v/>
      </c>
      <c r="D5222" t="inlineStr">
        <is>
          <t>1332-05-22</t>
        </is>
      </c>
    </row>
    <row r="5223">
      <c r="A5223" s="1" t="n">
        <v>5222</v>
      </c>
      <c r="B5223">
        <f>TEXT(5222, "[$-170000]yyyy-mm-dd")</f>
        <v/>
      </c>
      <c r="C5223">
        <f>TEXT(5222, "[$-060000]yyyy-mm-dd")</f>
        <v/>
      </c>
      <c r="D5223" t="inlineStr">
        <is>
          <t>1332-05-23</t>
        </is>
      </c>
    </row>
    <row r="5224">
      <c r="A5224" s="1" t="n">
        <v>5223</v>
      </c>
      <c r="B5224">
        <f>TEXT(5223, "[$-170000]yyyy-mm-dd")</f>
        <v/>
      </c>
      <c r="C5224">
        <f>TEXT(5223, "[$-060000]yyyy-mm-dd")</f>
        <v/>
      </c>
      <c r="D5224" t="inlineStr">
        <is>
          <t>1332-05-24</t>
        </is>
      </c>
    </row>
    <row r="5225">
      <c r="A5225" s="1" t="n">
        <v>5224</v>
      </c>
      <c r="B5225">
        <f>TEXT(5224, "[$-170000]yyyy-mm-dd")</f>
        <v/>
      </c>
      <c r="C5225">
        <f>TEXT(5224, "[$-060000]yyyy-mm-dd")</f>
        <v/>
      </c>
      <c r="D5225" t="inlineStr">
        <is>
          <t>1332-05-25</t>
        </is>
      </c>
    </row>
    <row r="5226">
      <c r="A5226" s="1" t="n">
        <v>5225</v>
      </c>
      <c r="B5226">
        <f>TEXT(5225, "[$-170000]yyyy-mm-dd")</f>
        <v/>
      </c>
      <c r="C5226">
        <f>TEXT(5225, "[$-060000]yyyy-mm-dd")</f>
        <v/>
      </c>
      <c r="D5226" t="inlineStr">
        <is>
          <t>1332-05-26</t>
        </is>
      </c>
    </row>
    <row r="5227">
      <c r="A5227" s="1" t="n">
        <v>5226</v>
      </c>
      <c r="B5227">
        <f>TEXT(5226, "[$-170000]yyyy-mm-dd")</f>
        <v/>
      </c>
      <c r="C5227">
        <f>TEXT(5226, "[$-060000]yyyy-mm-dd")</f>
        <v/>
      </c>
      <c r="D5227" t="inlineStr">
        <is>
          <t>1332-05-27</t>
        </is>
      </c>
    </row>
    <row r="5228">
      <c r="A5228" s="1" t="n">
        <v>5227</v>
      </c>
      <c r="B5228">
        <f>TEXT(5227, "[$-170000]yyyy-mm-dd")</f>
        <v/>
      </c>
      <c r="C5228">
        <f>TEXT(5227, "[$-060000]yyyy-mm-dd")</f>
        <v/>
      </c>
      <c r="D5228" t="inlineStr">
        <is>
          <t>1332-05-28</t>
        </is>
      </c>
    </row>
    <row r="5229">
      <c r="A5229" s="1" t="n">
        <v>5228</v>
      </c>
      <c r="B5229">
        <f>TEXT(5228, "[$-170000]yyyy-mm-dd")</f>
        <v/>
      </c>
      <c r="C5229">
        <f>TEXT(5228, "[$-060000]yyyy-mm-dd")</f>
        <v/>
      </c>
      <c r="D5229" t="inlineStr">
        <is>
          <t>1332-05-29</t>
        </is>
      </c>
    </row>
    <row r="5230">
      <c r="A5230" s="1" t="n">
        <v>5229</v>
      </c>
      <c r="B5230">
        <f>TEXT(5229, "[$-170000]yyyy-mm-dd")</f>
        <v/>
      </c>
      <c r="C5230">
        <f>TEXT(5229, "[$-060000]yyyy-mm-dd")</f>
        <v/>
      </c>
      <c r="D5230" t="inlineStr">
        <is>
          <t>1332-05-30</t>
        </is>
      </c>
    </row>
    <row r="5231">
      <c r="A5231" s="1" t="n">
        <v>5230</v>
      </c>
      <c r="B5231">
        <f>TEXT(5230, "[$-170000]yyyy-mm-dd")</f>
        <v/>
      </c>
      <c r="C5231">
        <f>TEXT(5230, "[$-060000]yyyy-mm-dd")</f>
        <v/>
      </c>
      <c r="D5231" t="inlineStr">
        <is>
          <t>1332-06-01</t>
        </is>
      </c>
    </row>
    <row r="5232">
      <c r="A5232" s="1" t="n">
        <v>5231</v>
      </c>
      <c r="B5232">
        <f>TEXT(5231, "[$-170000]yyyy-mm-dd")</f>
        <v/>
      </c>
      <c r="C5232">
        <f>TEXT(5231, "[$-060000]yyyy-mm-dd")</f>
        <v/>
      </c>
      <c r="D5232" t="inlineStr">
        <is>
          <t>1332-06-02</t>
        </is>
      </c>
    </row>
    <row r="5233">
      <c r="A5233" s="1" t="n">
        <v>5232</v>
      </c>
      <c r="B5233">
        <f>TEXT(5232, "[$-170000]yyyy-mm-dd")</f>
        <v/>
      </c>
      <c r="C5233">
        <f>TEXT(5232, "[$-060000]yyyy-mm-dd")</f>
        <v/>
      </c>
      <c r="D5233" t="inlineStr">
        <is>
          <t>1332-06-03</t>
        </is>
      </c>
    </row>
    <row r="5234">
      <c r="A5234" s="1" t="n">
        <v>5233</v>
      </c>
      <c r="B5234">
        <f>TEXT(5233, "[$-170000]yyyy-mm-dd")</f>
        <v/>
      </c>
      <c r="C5234">
        <f>TEXT(5233, "[$-060000]yyyy-mm-dd")</f>
        <v/>
      </c>
      <c r="D5234" t="inlineStr">
        <is>
          <t>1332-06-04</t>
        </is>
      </c>
    </row>
    <row r="5235">
      <c r="A5235" s="1" t="n">
        <v>5234</v>
      </c>
      <c r="B5235">
        <f>TEXT(5234, "[$-170000]yyyy-mm-dd")</f>
        <v/>
      </c>
      <c r="C5235">
        <f>TEXT(5234, "[$-060000]yyyy-mm-dd")</f>
        <v/>
      </c>
      <c r="D5235" t="inlineStr">
        <is>
          <t>1332-06-05</t>
        </is>
      </c>
    </row>
    <row r="5236">
      <c r="A5236" s="1" t="n">
        <v>5235</v>
      </c>
      <c r="B5236">
        <f>TEXT(5235, "[$-170000]yyyy-mm-dd")</f>
        <v/>
      </c>
      <c r="C5236">
        <f>TEXT(5235, "[$-060000]yyyy-mm-dd")</f>
        <v/>
      </c>
      <c r="D5236" t="inlineStr">
        <is>
          <t>1332-06-06</t>
        </is>
      </c>
    </row>
    <row r="5237">
      <c r="A5237" s="1" t="n">
        <v>5236</v>
      </c>
      <c r="B5237">
        <f>TEXT(5236, "[$-170000]yyyy-mm-dd")</f>
        <v/>
      </c>
      <c r="C5237">
        <f>TEXT(5236, "[$-060000]yyyy-mm-dd")</f>
        <v/>
      </c>
      <c r="D5237" t="inlineStr">
        <is>
          <t>1332-06-07</t>
        </is>
      </c>
    </row>
    <row r="5238">
      <c r="A5238" s="1" t="n">
        <v>5237</v>
      </c>
      <c r="B5238">
        <f>TEXT(5237, "[$-170000]yyyy-mm-dd")</f>
        <v/>
      </c>
      <c r="C5238">
        <f>TEXT(5237, "[$-060000]yyyy-mm-dd")</f>
        <v/>
      </c>
      <c r="D5238" t="inlineStr">
        <is>
          <t>1332-06-08</t>
        </is>
      </c>
    </row>
    <row r="5239">
      <c r="A5239" s="1" t="n">
        <v>5238</v>
      </c>
      <c r="B5239">
        <f>TEXT(5238, "[$-170000]yyyy-mm-dd")</f>
        <v/>
      </c>
      <c r="C5239">
        <f>TEXT(5238, "[$-060000]yyyy-mm-dd")</f>
        <v/>
      </c>
      <c r="D5239" t="inlineStr">
        <is>
          <t>1332-06-09</t>
        </is>
      </c>
    </row>
    <row r="5240">
      <c r="A5240" s="1" t="n">
        <v>5239</v>
      </c>
      <c r="B5240">
        <f>TEXT(5239, "[$-170000]yyyy-mm-dd")</f>
        <v/>
      </c>
      <c r="C5240">
        <f>TEXT(5239, "[$-060000]yyyy-mm-dd")</f>
        <v/>
      </c>
      <c r="D5240" t="inlineStr">
        <is>
          <t>1332-06-10</t>
        </is>
      </c>
    </row>
    <row r="5241">
      <c r="A5241" s="1" t="n">
        <v>5240</v>
      </c>
      <c r="B5241">
        <f>TEXT(5240, "[$-170000]yyyy-mm-dd")</f>
        <v/>
      </c>
      <c r="C5241">
        <f>TEXT(5240, "[$-060000]yyyy-mm-dd")</f>
        <v/>
      </c>
      <c r="D5241" t="inlineStr">
        <is>
          <t>1332-06-11</t>
        </is>
      </c>
    </row>
    <row r="5242">
      <c r="A5242" s="1" t="n">
        <v>5241</v>
      </c>
      <c r="B5242">
        <f>TEXT(5241, "[$-170000]yyyy-mm-dd")</f>
        <v/>
      </c>
      <c r="C5242">
        <f>TEXT(5241, "[$-060000]yyyy-mm-dd")</f>
        <v/>
      </c>
      <c r="D5242" t="inlineStr">
        <is>
          <t>1332-06-12</t>
        </is>
      </c>
    </row>
    <row r="5243">
      <c r="A5243" s="1" t="n">
        <v>5242</v>
      </c>
      <c r="B5243">
        <f>TEXT(5242, "[$-170000]yyyy-mm-dd")</f>
        <v/>
      </c>
      <c r="C5243">
        <f>TEXT(5242, "[$-060000]yyyy-mm-dd")</f>
        <v/>
      </c>
      <c r="D5243" t="inlineStr">
        <is>
          <t>1332-06-13</t>
        </is>
      </c>
    </row>
    <row r="5244">
      <c r="A5244" s="1" t="n">
        <v>5243</v>
      </c>
      <c r="B5244">
        <f>TEXT(5243, "[$-170000]yyyy-mm-dd")</f>
        <v/>
      </c>
      <c r="C5244">
        <f>TEXT(5243, "[$-060000]yyyy-mm-dd")</f>
        <v/>
      </c>
      <c r="D5244" t="inlineStr">
        <is>
          <t>1332-06-14</t>
        </is>
      </c>
    </row>
    <row r="5245">
      <c r="A5245" s="1" t="n">
        <v>5244</v>
      </c>
      <c r="B5245">
        <f>TEXT(5244, "[$-170000]yyyy-mm-dd")</f>
        <v/>
      </c>
      <c r="C5245">
        <f>TEXT(5244, "[$-060000]yyyy-mm-dd")</f>
        <v/>
      </c>
      <c r="D5245" t="inlineStr">
        <is>
          <t>1332-06-15</t>
        </is>
      </c>
    </row>
    <row r="5246">
      <c r="A5246" s="1" t="n">
        <v>5245</v>
      </c>
      <c r="B5246">
        <f>TEXT(5245, "[$-170000]yyyy-mm-dd")</f>
        <v/>
      </c>
      <c r="C5246">
        <f>TEXT(5245, "[$-060000]yyyy-mm-dd")</f>
        <v/>
      </c>
      <c r="D5246" t="inlineStr">
        <is>
          <t>1332-06-16</t>
        </is>
      </c>
    </row>
    <row r="5247">
      <c r="A5247" s="1" t="n">
        <v>5246</v>
      </c>
      <c r="B5247">
        <f>TEXT(5246, "[$-170000]yyyy-mm-dd")</f>
        <v/>
      </c>
      <c r="C5247">
        <f>TEXT(5246, "[$-060000]yyyy-mm-dd")</f>
        <v/>
      </c>
      <c r="D5247" t="inlineStr">
        <is>
          <t>1332-06-17</t>
        </is>
      </c>
    </row>
    <row r="5248">
      <c r="A5248" s="1" t="n">
        <v>5247</v>
      </c>
      <c r="B5248">
        <f>TEXT(5247, "[$-170000]yyyy-mm-dd")</f>
        <v/>
      </c>
      <c r="C5248">
        <f>TEXT(5247, "[$-060000]yyyy-mm-dd")</f>
        <v/>
      </c>
      <c r="D5248" t="inlineStr">
        <is>
          <t>1332-06-18</t>
        </is>
      </c>
    </row>
    <row r="5249">
      <c r="A5249" s="1" t="n">
        <v>5248</v>
      </c>
      <c r="B5249">
        <f>TEXT(5248, "[$-170000]yyyy-mm-dd")</f>
        <v/>
      </c>
      <c r="C5249">
        <f>TEXT(5248, "[$-060000]yyyy-mm-dd")</f>
        <v/>
      </c>
      <c r="D5249" t="inlineStr">
        <is>
          <t>1332-06-19</t>
        </is>
      </c>
    </row>
    <row r="5250">
      <c r="A5250" s="1" t="n">
        <v>5249</v>
      </c>
      <c r="B5250">
        <f>TEXT(5249, "[$-170000]yyyy-mm-dd")</f>
        <v/>
      </c>
      <c r="C5250">
        <f>TEXT(5249, "[$-060000]yyyy-mm-dd")</f>
        <v/>
      </c>
      <c r="D5250" t="inlineStr">
        <is>
          <t>1332-06-20</t>
        </is>
      </c>
    </row>
    <row r="5251">
      <c r="A5251" s="1" t="n">
        <v>5250</v>
      </c>
      <c r="B5251">
        <f>TEXT(5250, "[$-170000]yyyy-mm-dd")</f>
        <v/>
      </c>
      <c r="C5251">
        <f>TEXT(5250, "[$-060000]yyyy-mm-dd")</f>
        <v/>
      </c>
      <c r="D5251" t="inlineStr">
        <is>
          <t>1332-06-21</t>
        </is>
      </c>
    </row>
    <row r="5252">
      <c r="A5252" s="1" t="n">
        <v>5251</v>
      </c>
      <c r="B5252">
        <f>TEXT(5251, "[$-170000]yyyy-mm-dd")</f>
        <v/>
      </c>
      <c r="C5252">
        <f>TEXT(5251, "[$-060000]yyyy-mm-dd")</f>
        <v/>
      </c>
      <c r="D5252" t="inlineStr">
        <is>
          <t>1332-06-22</t>
        </is>
      </c>
    </row>
    <row r="5253">
      <c r="A5253" s="1" t="n">
        <v>5252</v>
      </c>
      <c r="B5253">
        <f>TEXT(5252, "[$-170000]yyyy-mm-dd")</f>
        <v/>
      </c>
      <c r="C5253">
        <f>TEXT(5252, "[$-060000]yyyy-mm-dd")</f>
        <v/>
      </c>
      <c r="D5253" t="inlineStr">
        <is>
          <t>1332-06-23</t>
        </is>
      </c>
    </row>
    <row r="5254">
      <c r="A5254" s="1" t="n">
        <v>5253</v>
      </c>
      <c r="B5254">
        <f>TEXT(5253, "[$-170000]yyyy-mm-dd")</f>
        <v/>
      </c>
      <c r="C5254">
        <f>TEXT(5253, "[$-060000]yyyy-mm-dd")</f>
        <v/>
      </c>
      <c r="D5254" t="inlineStr">
        <is>
          <t>1332-06-24</t>
        </is>
      </c>
    </row>
    <row r="5255">
      <c r="A5255" s="1" t="n">
        <v>5254</v>
      </c>
      <c r="B5255">
        <f>TEXT(5254, "[$-170000]yyyy-mm-dd")</f>
        <v/>
      </c>
      <c r="C5255">
        <f>TEXT(5254, "[$-060000]yyyy-mm-dd")</f>
        <v/>
      </c>
      <c r="D5255" t="inlineStr">
        <is>
          <t>1332-06-25</t>
        </is>
      </c>
    </row>
    <row r="5256">
      <c r="A5256" s="1" t="n">
        <v>5255</v>
      </c>
      <c r="B5256">
        <f>TEXT(5255, "[$-170000]yyyy-mm-dd")</f>
        <v/>
      </c>
      <c r="C5256">
        <f>TEXT(5255, "[$-060000]yyyy-mm-dd")</f>
        <v/>
      </c>
      <c r="D5256" t="inlineStr">
        <is>
          <t>1332-06-26</t>
        </is>
      </c>
    </row>
    <row r="5257">
      <c r="A5257" s="1" t="n">
        <v>5256</v>
      </c>
      <c r="B5257">
        <f>TEXT(5256, "[$-170000]yyyy-mm-dd")</f>
        <v/>
      </c>
      <c r="C5257">
        <f>TEXT(5256, "[$-060000]yyyy-mm-dd")</f>
        <v/>
      </c>
      <c r="D5257" t="inlineStr">
        <is>
          <t>1332-06-27</t>
        </is>
      </c>
    </row>
    <row r="5258">
      <c r="A5258" s="1" t="n">
        <v>5257</v>
      </c>
      <c r="B5258">
        <f>TEXT(5257, "[$-170000]yyyy-mm-dd")</f>
        <v/>
      </c>
      <c r="C5258">
        <f>TEXT(5257, "[$-060000]yyyy-mm-dd")</f>
        <v/>
      </c>
      <c r="D5258" t="inlineStr">
        <is>
          <t>1332-06-28</t>
        </is>
      </c>
    </row>
    <row r="5259">
      <c r="A5259" s="1" t="n">
        <v>5258</v>
      </c>
      <c r="B5259">
        <f>TEXT(5258, "[$-170000]yyyy-mm-dd")</f>
        <v/>
      </c>
      <c r="C5259">
        <f>TEXT(5258, "[$-060000]yyyy-mm-dd")</f>
        <v/>
      </c>
      <c r="D5259" t="inlineStr">
        <is>
          <t>1332-06-29</t>
        </is>
      </c>
    </row>
    <row r="5260">
      <c r="A5260" s="1" t="n">
        <v>5259</v>
      </c>
      <c r="B5260">
        <f>TEXT(5259, "[$-170000]yyyy-mm-dd")</f>
        <v/>
      </c>
      <c r="C5260">
        <f>TEXT(5259, "[$-060000]yyyy-mm-dd")</f>
        <v/>
      </c>
      <c r="D5260" t="inlineStr">
        <is>
          <t>1332-07-01</t>
        </is>
      </c>
    </row>
    <row r="5261">
      <c r="A5261" s="1" t="n">
        <v>5260</v>
      </c>
      <c r="B5261">
        <f>TEXT(5260, "[$-170000]yyyy-mm-dd")</f>
        <v/>
      </c>
      <c r="C5261">
        <f>TEXT(5260, "[$-060000]yyyy-mm-dd")</f>
        <v/>
      </c>
      <c r="D5261" t="inlineStr">
        <is>
          <t>1332-07-02</t>
        </is>
      </c>
    </row>
    <row r="5262">
      <c r="A5262" s="1" t="n">
        <v>5261</v>
      </c>
      <c r="B5262">
        <f>TEXT(5261, "[$-170000]yyyy-mm-dd")</f>
        <v/>
      </c>
      <c r="C5262">
        <f>TEXT(5261, "[$-060000]yyyy-mm-dd")</f>
        <v/>
      </c>
      <c r="D5262" t="inlineStr">
        <is>
          <t>1332-07-03</t>
        </is>
      </c>
    </row>
    <row r="5263">
      <c r="A5263" s="1" t="n">
        <v>5262</v>
      </c>
      <c r="B5263">
        <f>TEXT(5262, "[$-170000]yyyy-mm-dd")</f>
        <v/>
      </c>
      <c r="C5263">
        <f>TEXT(5262, "[$-060000]yyyy-mm-dd")</f>
        <v/>
      </c>
      <c r="D5263" t="inlineStr">
        <is>
          <t>1332-07-04</t>
        </is>
      </c>
    </row>
    <row r="5264">
      <c r="A5264" s="1" t="n">
        <v>5263</v>
      </c>
      <c r="B5264">
        <f>TEXT(5263, "[$-170000]yyyy-mm-dd")</f>
        <v/>
      </c>
      <c r="C5264">
        <f>TEXT(5263, "[$-060000]yyyy-mm-dd")</f>
        <v/>
      </c>
      <c r="D5264" t="inlineStr">
        <is>
          <t>1332-07-05</t>
        </is>
      </c>
    </row>
    <row r="5265">
      <c r="A5265" s="1" t="n">
        <v>5264</v>
      </c>
      <c r="B5265">
        <f>TEXT(5264, "[$-170000]yyyy-mm-dd")</f>
        <v/>
      </c>
      <c r="C5265">
        <f>TEXT(5264, "[$-060000]yyyy-mm-dd")</f>
        <v/>
      </c>
      <c r="D5265" t="inlineStr">
        <is>
          <t>1332-07-06</t>
        </is>
      </c>
    </row>
    <row r="5266">
      <c r="A5266" s="1" t="n">
        <v>5265</v>
      </c>
      <c r="B5266">
        <f>TEXT(5265, "[$-170000]yyyy-mm-dd")</f>
        <v/>
      </c>
      <c r="C5266">
        <f>TEXT(5265, "[$-060000]yyyy-mm-dd")</f>
        <v/>
      </c>
      <c r="D5266" t="inlineStr">
        <is>
          <t>1332-07-07</t>
        </is>
      </c>
    </row>
    <row r="5267">
      <c r="A5267" s="1" t="n">
        <v>5266</v>
      </c>
      <c r="B5267">
        <f>TEXT(5266, "[$-170000]yyyy-mm-dd")</f>
        <v/>
      </c>
      <c r="C5267">
        <f>TEXT(5266, "[$-060000]yyyy-mm-dd")</f>
        <v/>
      </c>
      <c r="D5267" t="inlineStr">
        <is>
          <t>1332-07-08</t>
        </is>
      </c>
    </row>
    <row r="5268">
      <c r="A5268" s="1" t="n">
        <v>5267</v>
      </c>
      <c r="B5268">
        <f>TEXT(5267, "[$-170000]yyyy-mm-dd")</f>
        <v/>
      </c>
      <c r="C5268">
        <f>TEXT(5267, "[$-060000]yyyy-mm-dd")</f>
        <v/>
      </c>
      <c r="D5268" t="inlineStr">
        <is>
          <t>1332-07-09</t>
        </is>
      </c>
    </row>
    <row r="5269">
      <c r="A5269" s="1" t="n">
        <v>5268</v>
      </c>
      <c r="B5269">
        <f>TEXT(5268, "[$-170000]yyyy-mm-dd")</f>
        <v/>
      </c>
      <c r="C5269">
        <f>TEXT(5268, "[$-060000]yyyy-mm-dd")</f>
        <v/>
      </c>
      <c r="D5269" t="inlineStr">
        <is>
          <t>1332-07-10</t>
        </is>
      </c>
    </row>
    <row r="5270">
      <c r="A5270" s="1" t="n">
        <v>5269</v>
      </c>
      <c r="B5270">
        <f>TEXT(5269, "[$-170000]yyyy-mm-dd")</f>
        <v/>
      </c>
      <c r="C5270">
        <f>TEXT(5269, "[$-060000]yyyy-mm-dd")</f>
        <v/>
      </c>
      <c r="D5270" t="inlineStr">
        <is>
          <t>1332-07-11</t>
        </is>
      </c>
    </row>
    <row r="5271">
      <c r="A5271" s="1" t="n">
        <v>5270</v>
      </c>
      <c r="B5271">
        <f>TEXT(5270, "[$-170000]yyyy-mm-dd")</f>
        <v/>
      </c>
      <c r="C5271">
        <f>TEXT(5270, "[$-060000]yyyy-mm-dd")</f>
        <v/>
      </c>
      <c r="D5271" t="inlineStr">
        <is>
          <t>1332-07-12</t>
        </is>
      </c>
    </row>
    <row r="5272">
      <c r="A5272" s="1" t="n">
        <v>5271</v>
      </c>
      <c r="B5272">
        <f>TEXT(5271, "[$-170000]yyyy-mm-dd")</f>
        <v/>
      </c>
      <c r="C5272">
        <f>TEXT(5271, "[$-060000]yyyy-mm-dd")</f>
        <v/>
      </c>
      <c r="D5272" t="inlineStr">
        <is>
          <t>1332-07-13</t>
        </is>
      </c>
    </row>
    <row r="5273">
      <c r="A5273" s="1" t="n">
        <v>5272</v>
      </c>
      <c r="B5273">
        <f>TEXT(5272, "[$-170000]yyyy-mm-dd")</f>
        <v/>
      </c>
      <c r="C5273">
        <f>TEXT(5272, "[$-060000]yyyy-mm-dd")</f>
        <v/>
      </c>
      <c r="D5273" t="inlineStr">
        <is>
          <t>1332-07-14</t>
        </is>
      </c>
    </row>
    <row r="5274">
      <c r="A5274" s="1" t="n">
        <v>5273</v>
      </c>
      <c r="B5274">
        <f>TEXT(5273, "[$-170000]yyyy-mm-dd")</f>
        <v/>
      </c>
      <c r="C5274">
        <f>TEXT(5273, "[$-060000]yyyy-mm-dd")</f>
        <v/>
      </c>
      <c r="D5274" t="inlineStr">
        <is>
          <t>1332-07-15</t>
        </is>
      </c>
    </row>
    <row r="5275">
      <c r="A5275" s="1" t="n">
        <v>5274</v>
      </c>
      <c r="B5275">
        <f>TEXT(5274, "[$-170000]yyyy-mm-dd")</f>
        <v/>
      </c>
      <c r="C5275">
        <f>TEXT(5274, "[$-060000]yyyy-mm-dd")</f>
        <v/>
      </c>
      <c r="D5275" t="inlineStr">
        <is>
          <t>1332-07-16</t>
        </is>
      </c>
    </row>
    <row r="5276">
      <c r="A5276" s="1" t="n">
        <v>5275</v>
      </c>
      <c r="B5276">
        <f>TEXT(5275, "[$-170000]yyyy-mm-dd")</f>
        <v/>
      </c>
      <c r="C5276">
        <f>TEXT(5275, "[$-060000]yyyy-mm-dd")</f>
        <v/>
      </c>
      <c r="D5276" t="inlineStr">
        <is>
          <t>1332-07-17</t>
        </is>
      </c>
    </row>
    <row r="5277">
      <c r="A5277" s="1" t="n">
        <v>5276</v>
      </c>
      <c r="B5277">
        <f>TEXT(5276, "[$-170000]yyyy-mm-dd")</f>
        <v/>
      </c>
      <c r="C5277">
        <f>TEXT(5276, "[$-060000]yyyy-mm-dd")</f>
        <v/>
      </c>
      <c r="D5277" t="inlineStr">
        <is>
          <t>1332-07-18</t>
        </is>
      </c>
    </row>
    <row r="5278">
      <c r="A5278" s="1" t="n">
        <v>5277</v>
      </c>
      <c r="B5278">
        <f>TEXT(5277, "[$-170000]yyyy-mm-dd")</f>
        <v/>
      </c>
      <c r="C5278">
        <f>TEXT(5277, "[$-060000]yyyy-mm-dd")</f>
        <v/>
      </c>
      <c r="D5278" t="inlineStr">
        <is>
          <t>1332-07-19</t>
        </is>
      </c>
    </row>
    <row r="5279">
      <c r="A5279" s="1" t="n">
        <v>5278</v>
      </c>
      <c r="B5279">
        <f>TEXT(5278, "[$-170000]yyyy-mm-dd")</f>
        <v/>
      </c>
      <c r="C5279">
        <f>TEXT(5278, "[$-060000]yyyy-mm-dd")</f>
        <v/>
      </c>
      <c r="D5279" t="inlineStr">
        <is>
          <t>1332-07-20</t>
        </is>
      </c>
    </row>
    <row r="5280">
      <c r="A5280" s="1" t="n">
        <v>5279</v>
      </c>
      <c r="B5280">
        <f>TEXT(5279, "[$-170000]yyyy-mm-dd")</f>
        <v/>
      </c>
      <c r="C5280">
        <f>TEXT(5279, "[$-060000]yyyy-mm-dd")</f>
        <v/>
      </c>
      <c r="D5280" t="inlineStr">
        <is>
          <t>1332-07-21</t>
        </is>
      </c>
    </row>
    <row r="5281">
      <c r="A5281" s="1" t="n">
        <v>5280</v>
      </c>
      <c r="B5281">
        <f>TEXT(5280, "[$-170000]yyyy-mm-dd")</f>
        <v/>
      </c>
      <c r="C5281">
        <f>TEXT(5280, "[$-060000]yyyy-mm-dd")</f>
        <v/>
      </c>
      <c r="D5281" t="inlineStr">
        <is>
          <t>1332-07-22</t>
        </is>
      </c>
    </row>
    <row r="5282">
      <c r="A5282" s="1" t="n">
        <v>5281</v>
      </c>
      <c r="B5282">
        <f>TEXT(5281, "[$-170000]yyyy-mm-dd")</f>
        <v/>
      </c>
      <c r="C5282">
        <f>TEXT(5281, "[$-060000]yyyy-mm-dd")</f>
        <v/>
      </c>
      <c r="D5282" t="inlineStr">
        <is>
          <t>1332-07-23</t>
        </is>
      </c>
    </row>
    <row r="5283">
      <c r="A5283" s="1" t="n">
        <v>5282</v>
      </c>
      <c r="B5283">
        <f>TEXT(5282, "[$-170000]yyyy-mm-dd")</f>
        <v/>
      </c>
      <c r="C5283">
        <f>TEXT(5282, "[$-060000]yyyy-mm-dd")</f>
        <v/>
      </c>
      <c r="D5283" t="inlineStr">
        <is>
          <t>1332-07-24</t>
        </is>
      </c>
    </row>
    <row r="5284">
      <c r="A5284" s="1" t="n">
        <v>5283</v>
      </c>
      <c r="B5284">
        <f>TEXT(5283, "[$-170000]yyyy-mm-dd")</f>
        <v/>
      </c>
      <c r="C5284">
        <f>TEXT(5283, "[$-060000]yyyy-mm-dd")</f>
        <v/>
      </c>
      <c r="D5284" t="inlineStr">
        <is>
          <t>1332-07-25</t>
        </is>
      </c>
    </row>
    <row r="5285">
      <c r="A5285" s="1" t="n">
        <v>5284</v>
      </c>
      <c r="B5285">
        <f>TEXT(5284, "[$-170000]yyyy-mm-dd")</f>
        <v/>
      </c>
      <c r="C5285">
        <f>TEXT(5284, "[$-060000]yyyy-mm-dd")</f>
        <v/>
      </c>
      <c r="D5285" t="inlineStr">
        <is>
          <t>1332-07-26</t>
        </is>
      </c>
    </row>
    <row r="5286">
      <c r="A5286" s="1" t="n">
        <v>5285</v>
      </c>
      <c r="B5286">
        <f>TEXT(5285, "[$-170000]yyyy-mm-dd")</f>
        <v/>
      </c>
      <c r="C5286">
        <f>TEXT(5285, "[$-060000]yyyy-mm-dd")</f>
        <v/>
      </c>
      <c r="D5286" t="inlineStr">
        <is>
          <t>1332-07-27</t>
        </is>
      </c>
    </row>
    <row r="5287">
      <c r="A5287" s="1" t="n">
        <v>5286</v>
      </c>
      <c r="B5287">
        <f>TEXT(5286, "[$-170000]yyyy-mm-dd")</f>
        <v/>
      </c>
      <c r="C5287">
        <f>TEXT(5286, "[$-060000]yyyy-mm-dd")</f>
        <v/>
      </c>
      <c r="D5287" t="inlineStr">
        <is>
          <t>1332-07-28</t>
        </is>
      </c>
    </row>
    <row r="5288">
      <c r="A5288" s="1" t="n">
        <v>5287</v>
      </c>
      <c r="B5288">
        <f>TEXT(5287, "[$-170000]yyyy-mm-dd")</f>
        <v/>
      </c>
      <c r="C5288">
        <f>TEXT(5287, "[$-060000]yyyy-mm-dd")</f>
        <v/>
      </c>
      <c r="D5288" t="inlineStr">
        <is>
          <t>1332-07-29</t>
        </is>
      </c>
    </row>
    <row r="5289">
      <c r="A5289" s="1" t="n">
        <v>5288</v>
      </c>
      <c r="B5289">
        <f>TEXT(5288, "[$-170000]yyyy-mm-dd")</f>
        <v/>
      </c>
      <c r="C5289">
        <f>TEXT(5288, "[$-060000]yyyy-mm-dd")</f>
        <v/>
      </c>
      <c r="D5289" t="inlineStr">
        <is>
          <t>1332-07-30</t>
        </is>
      </c>
    </row>
    <row r="5290">
      <c r="A5290" s="1" t="n">
        <v>5289</v>
      </c>
      <c r="B5290">
        <f>TEXT(5289, "[$-170000]yyyy-mm-dd")</f>
        <v/>
      </c>
      <c r="C5290">
        <f>TEXT(5289, "[$-060000]yyyy-mm-dd")</f>
        <v/>
      </c>
      <c r="D5290" t="inlineStr">
        <is>
          <t>1332-08-01</t>
        </is>
      </c>
    </row>
    <row r="5291">
      <c r="A5291" s="1" t="n">
        <v>5290</v>
      </c>
      <c r="B5291">
        <f>TEXT(5290, "[$-170000]yyyy-mm-dd")</f>
        <v/>
      </c>
      <c r="C5291">
        <f>TEXT(5290, "[$-060000]yyyy-mm-dd")</f>
        <v/>
      </c>
      <c r="D5291" t="inlineStr">
        <is>
          <t>1332-08-02</t>
        </is>
      </c>
    </row>
    <row r="5292">
      <c r="A5292" s="1" t="n">
        <v>5291</v>
      </c>
      <c r="B5292">
        <f>TEXT(5291, "[$-170000]yyyy-mm-dd")</f>
        <v/>
      </c>
      <c r="C5292">
        <f>TEXT(5291, "[$-060000]yyyy-mm-dd")</f>
        <v/>
      </c>
      <c r="D5292" t="inlineStr">
        <is>
          <t>1332-08-03</t>
        </is>
      </c>
    </row>
    <row r="5293">
      <c r="A5293" s="1" t="n">
        <v>5292</v>
      </c>
      <c r="B5293">
        <f>TEXT(5292, "[$-170000]yyyy-mm-dd")</f>
        <v/>
      </c>
      <c r="C5293">
        <f>TEXT(5292, "[$-060000]yyyy-mm-dd")</f>
        <v/>
      </c>
      <c r="D5293" t="inlineStr">
        <is>
          <t>1332-08-04</t>
        </is>
      </c>
    </row>
    <row r="5294">
      <c r="A5294" s="1" t="n">
        <v>5293</v>
      </c>
      <c r="B5294">
        <f>TEXT(5293, "[$-170000]yyyy-mm-dd")</f>
        <v/>
      </c>
      <c r="C5294">
        <f>TEXT(5293, "[$-060000]yyyy-mm-dd")</f>
        <v/>
      </c>
      <c r="D5294" t="inlineStr">
        <is>
          <t>1332-08-05</t>
        </is>
      </c>
    </row>
    <row r="5295">
      <c r="A5295" s="1" t="n">
        <v>5294</v>
      </c>
      <c r="B5295">
        <f>TEXT(5294, "[$-170000]yyyy-mm-dd")</f>
        <v/>
      </c>
      <c r="C5295">
        <f>TEXT(5294, "[$-060000]yyyy-mm-dd")</f>
        <v/>
      </c>
      <c r="D5295" t="inlineStr">
        <is>
          <t>1332-08-06</t>
        </is>
      </c>
    </row>
    <row r="5296">
      <c r="A5296" s="1" t="n">
        <v>5295</v>
      </c>
      <c r="B5296">
        <f>TEXT(5295, "[$-170000]yyyy-mm-dd")</f>
        <v/>
      </c>
      <c r="C5296">
        <f>TEXT(5295, "[$-060000]yyyy-mm-dd")</f>
        <v/>
      </c>
      <c r="D5296" t="inlineStr">
        <is>
          <t>1332-08-07</t>
        </is>
      </c>
    </row>
    <row r="5297">
      <c r="A5297" s="1" t="n">
        <v>5296</v>
      </c>
      <c r="B5297">
        <f>TEXT(5296, "[$-170000]yyyy-mm-dd")</f>
        <v/>
      </c>
      <c r="C5297">
        <f>TEXT(5296, "[$-060000]yyyy-mm-dd")</f>
        <v/>
      </c>
      <c r="D5297" t="inlineStr">
        <is>
          <t>1332-08-08</t>
        </is>
      </c>
    </row>
    <row r="5298">
      <c r="A5298" s="1" t="n">
        <v>5297</v>
      </c>
      <c r="B5298">
        <f>TEXT(5297, "[$-170000]yyyy-mm-dd")</f>
        <v/>
      </c>
      <c r="C5298">
        <f>TEXT(5297, "[$-060000]yyyy-mm-dd")</f>
        <v/>
      </c>
      <c r="D5298" t="inlineStr">
        <is>
          <t>1332-08-09</t>
        </is>
      </c>
    </row>
    <row r="5299">
      <c r="A5299" s="1" t="n">
        <v>5298</v>
      </c>
      <c r="B5299">
        <f>TEXT(5298, "[$-170000]yyyy-mm-dd")</f>
        <v/>
      </c>
      <c r="C5299">
        <f>TEXT(5298, "[$-060000]yyyy-mm-dd")</f>
        <v/>
      </c>
      <c r="D5299" t="inlineStr">
        <is>
          <t>1332-08-10</t>
        </is>
      </c>
    </row>
    <row r="5300">
      <c r="A5300" s="1" t="n">
        <v>5299</v>
      </c>
      <c r="B5300">
        <f>TEXT(5299, "[$-170000]yyyy-mm-dd")</f>
        <v/>
      </c>
      <c r="C5300">
        <f>TEXT(5299, "[$-060000]yyyy-mm-dd")</f>
        <v/>
      </c>
      <c r="D5300" t="inlineStr">
        <is>
          <t>1332-08-11</t>
        </is>
      </c>
    </row>
    <row r="5301">
      <c r="A5301" s="1" t="n">
        <v>5300</v>
      </c>
      <c r="B5301">
        <f>TEXT(5300, "[$-170000]yyyy-mm-dd")</f>
        <v/>
      </c>
      <c r="C5301">
        <f>TEXT(5300, "[$-060000]yyyy-mm-dd")</f>
        <v/>
      </c>
      <c r="D5301" t="inlineStr">
        <is>
          <t>1332-08-12</t>
        </is>
      </c>
    </row>
    <row r="5302">
      <c r="A5302" s="1" t="n">
        <v>5301</v>
      </c>
      <c r="B5302">
        <f>TEXT(5301, "[$-170000]yyyy-mm-dd")</f>
        <v/>
      </c>
      <c r="C5302">
        <f>TEXT(5301, "[$-060000]yyyy-mm-dd")</f>
        <v/>
      </c>
      <c r="D5302" t="inlineStr">
        <is>
          <t>1332-08-13</t>
        </is>
      </c>
    </row>
    <row r="5303">
      <c r="A5303" s="1" t="n">
        <v>5302</v>
      </c>
      <c r="B5303">
        <f>TEXT(5302, "[$-170000]yyyy-mm-dd")</f>
        <v/>
      </c>
      <c r="C5303">
        <f>TEXT(5302, "[$-060000]yyyy-mm-dd")</f>
        <v/>
      </c>
      <c r="D5303" t="inlineStr">
        <is>
          <t>1332-08-14</t>
        </is>
      </c>
    </row>
    <row r="5304">
      <c r="A5304" s="1" t="n">
        <v>5303</v>
      </c>
      <c r="B5304">
        <f>TEXT(5303, "[$-170000]yyyy-mm-dd")</f>
        <v/>
      </c>
      <c r="C5304">
        <f>TEXT(5303, "[$-060000]yyyy-mm-dd")</f>
        <v/>
      </c>
      <c r="D5304" t="inlineStr">
        <is>
          <t>1332-08-15</t>
        </is>
      </c>
    </row>
    <row r="5305">
      <c r="A5305" s="1" t="n">
        <v>5304</v>
      </c>
      <c r="B5305">
        <f>TEXT(5304, "[$-170000]yyyy-mm-dd")</f>
        <v/>
      </c>
      <c r="C5305">
        <f>TEXT(5304, "[$-060000]yyyy-mm-dd")</f>
        <v/>
      </c>
      <c r="D5305" t="inlineStr">
        <is>
          <t>1332-08-16</t>
        </is>
      </c>
    </row>
    <row r="5306">
      <c r="A5306" s="1" t="n">
        <v>5305</v>
      </c>
      <c r="B5306">
        <f>TEXT(5305, "[$-170000]yyyy-mm-dd")</f>
        <v/>
      </c>
      <c r="C5306">
        <f>TEXT(5305, "[$-060000]yyyy-mm-dd")</f>
        <v/>
      </c>
      <c r="D5306" t="inlineStr">
        <is>
          <t>1332-08-17</t>
        </is>
      </c>
    </row>
    <row r="5307">
      <c r="A5307" s="1" t="n">
        <v>5306</v>
      </c>
      <c r="B5307">
        <f>TEXT(5306, "[$-170000]yyyy-mm-dd")</f>
        <v/>
      </c>
      <c r="C5307">
        <f>TEXT(5306, "[$-060000]yyyy-mm-dd")</f>
        <v/>
      </c>
      <c r="D5307" t="inlineStr">
        <is>
          <t>1332-08-18</t>
        </is>
      </c>
    </row>
    <row r="5308">
      <c r="A5308" s="1" t="n">
        <v>5307</v>
      </c>
      <c r="B5308">
        <f>TEXT(5307, "[$-170000]yyyy-mm-dd")</f>
        <v/>
      </c>
      <c r="C5308">
        <f>TEXT(5307, "[$-060000]yyyy-mm-dd")</f>
        <v/>
      </c>
      <c r="D5308" t="inlineStr">
        <is>
          <t>1332-08-19</t>
        </is>
      </c>
    </row>
    <row r="5309">
      <c r="A5309" s="1" t="n">
        <v>5308</v>
      </c>
      <c r="B5309">
        <f>TEXT(5308, "[$-170000]yyyy-mm-dd")</f>
        <v/>
      </c>
      <c r="C5309">
        <f>TEXT(5308, "[$-060000]yyyy-mm-dd")</f>
        <v/>
      </c>
      <c r="D5309" t="inlineStr">
        <is>
          <t>1332-08-20</t>
        </is>
      </c>
    </row>
    <row r="5310">
      <c r="A5310" s="1" t="n">
        <v>5309</v>
      </c>
      <c r="B5310">
        <f>TEXT(5309, "[$-170000]yyyy-mm-dd")</f>
        <v/>
      </c>
      <c r="C5310">
        <f>TEXT(5309, "[$-060000]yyyy-mm-dd")</f>
        <v/>
      </c>
      <c r="D5310" t="inlineStr">
        <is>
          <t>1332-08-21</t>
        </is>
      </c>
    </row>
    <row r="5311">
      <c r="A5311" s="1" t="n">
        <v>5310</v>
      </c>
      <c r="B5311">
        <f>TEXT(5310, "[$-170000]yyyy-mm-dd")</f>
        <v/>
      </c>
      <c r="C5311">
        <f>TEXT(5310, "[$-060000]yyyy-mm-dd")</f>
        <v/>
      </c>
      <c r="D5311" t="inlineStr">
        <is>
          <t>1332-08-22</t>
        </is>
      </c>
    </row>
    <row r="5312">
      <c r="A5312" s="1" t="n">
        <v>5311</v>
      </c>
      <c r="B5312">
        <f>TEXT(5311, "[$-170000]yyyy-mm-dd")</f>
        <v/>
      </c>
      <c r="C5312">
        <f>TEXT(5311, "[$-060000]yyyy-mm-dd")</f>
        <v/>
      </c>
      <c r="D5312" t="inlineStr">
        <is>
          <t>1332-08-23</t>
        </is>
      </c>
    </row>
    <row r="5313">
      <c r="A5313" s="1" t="n">
        <v>5312</v>
      </c>
      <c r="B5313">
        <f>TEXT(5312, "[$-170000]yyyy-mm-dd")</f>
        <v/>
      </c>
      <c r="C5313">
        <f>TEXT(5312, "[$-060000]yyyy-mm-dd")</f>
        <v/>
      </c>
      <c r="D5313" t="inlineStr">
        <is>
          <t>1332-08-24</t>
        </is>
      </c>
    </row>
    <row r="5314">
      <c r="A5314" s="1" t="n">
        <v>5313</v>
      </c>
      <c r="B5314">
        <f>TEXT(5313, "[$-170000]yyyy-mm-dd")</f>
        <v/>
      </c>
      <c r="C5314">
        <f>TEXT(5313, "[$-060000]yyyy-mm-dd")</f>
        <v/>
      </c>
      <c r="D5314" t="inlineStr">
        <is>
          <t>1332-08-25</t>
        </is>
      </c>
    </row>
    <row r="5315">
      <c r="A5315" s="1" t="n">
        <v>5314</v>
      </c>
      <c r="B5315">
        <f>TEXT(5314, "[$-170000]yyyy-mm-dd")</f>
        <v/>
      </c>
      <c r="C5315">
        <f>TEXT(5314, "[$-060000]yyyy-mm-dd")</f>
        <v/>
      </c>
      <c r="D5315" t="inlineStr">
        <is>
          <t>1332-08-26</t>
        </is>
      </c>
    </row>
    <row r="5316">
      <c r="A5316" s="1" t="n">
        <v>5315</v>
      </c>
      <c r="B5316">
        <f>TEXT(5315, "[$-170000]yyyy-mm-dd")</f>
        <v/>
      </c>
      <c r="C5316">
        <f>TEXT(5315, "[$-060000]yyyy-mm-dd")</f>
        <v/>
      </c>
      <c r="D5316" t="inlineStr">
        <is>
          <t>1332-08-27</t>
        </is>
      </c>
    </row>
    <row r="5317">
      <c r="A5317" s="1" t="n">
        <v>5316</v>
      </c>
      <c r="B5317">
        <f>TEXT(5316, "[$-170000]yyyy-mm-dd")</f>
        <v/>
      </c>
      <c r="C5317">
        <f>TEXT(5316, "[$-060000]yyyy-mm-dd")</f>
        <v/>
      </c>
      <c r="D5317" t="inlineStr">
        <is>
          <t>1332-08-28</t>
        </is>
      </c>
    </row>
    <row r="5318">
      <c r="A5318" s="1" t="n">
        <v>5317</v>
      </c>
      <c r="B5318">
        <f>TEXT(5317, "[$-170000]yyyy-mm-dd")</f>
        <v/>
      </c>
      <c r="C5318">
        <f>TEXT(5317, "[$-060000]yyyy-mm-dd")</f>
        <v/>
      </c>
      <c r="D5318" t="inlineStr">
        <is>
          <t>1332-08-29</t>
        </is>
      </c>
    </row>
    <row r="5319">
      <c r="A5319" s="1" t="n">
        <v>5318</v>
      </c>
      <c r="B5319">
        <f>TEXT(5318, "[$-170000]yyyy-mm-dd")</f>
        <v/>
      </c>
      <c r="C5319">
        <f>TEXT(5318, "[$-060000]yyyy-mm-dd")</f>
        <v/>
      </c>
      <c r="D5319" t="inlineStr">
        <is>
          <t>1332-09-01</t>
        </is>
      </c>
    </row>
    <row r="5320">
      <c r="A5320" s="1" t="n">
        <v>5319</v>
      </c>
      <c r="B5320">
        <f>TEXT(5319, "[$-170000]yyyy-mm-dd")</f>
        <v/>
      </c>
      <c r="C5320">
        <f>TEXT(5319, "[$-060000]yyyy-mm-dd")</f>
        <v/>
      </c>
      <c r="D5320" t="inlineStr">
        <is>
          <t>1332-09-02</t>
        </is>
      </c>
    </row>
    <row r="5321">
      <c r="A5321" s="1" t="n">
        <v>5320</v>
      </c>
      <c r="B5321">
        <f>TEXT(5320, "[$-170000]yyyy-mm-dd")</f>
        <v/>
      </c>
      <c r="C5321">
        <f>TEXT(5320, "[$-060000]yyyy-mm-dd")</f>
        <v/>
      </c>
      <c r="D5321" t="inlineStr">
        <is>
          <t>1332-09-03</t>
        </is>
      </c>
    </row>
    <row r="5322">
      <c r="A5322" s="1" t="n">
        <v>5321</v>
      </c>
      <c r="B5322">
        <f>TEXT(5321, "[$-170000]yyyy-mm-dd")</f>
        <v/>
      </c>
      <c r="C5322">
        <f>TEXT(5321, "[$-060000]yyyy-mm-dd")</f>
        <v/>
      </c>
      <c r="D5322" t="inlineStr">
        <is>
          <t>1332-09-04</t>
        </is>
      </c>
    </row>
    <row r="5323">
      <c r="A5323" s="1" t="n">
        <v>5322</v>
      </c>
      <c r="B5323">
        <f>TEXT(5322, "[$-170000]yyyy-mm-dd")</f>
        <v/>
      </c>
      <c r="C5323">
        <f>TEXT(5322, "[$-060000]yyyy-mm-dd")</f>
        <v/>
      </c>
      <c r="D5323" t="inlineStr">
        <is>
          <t>1332-09-05</t>
        </is>
      </c>
    </row>
    <row r="5324">
      <c r="A5324" s="1" t="n">
        <v>5323</v>
      </c>
      <c r="B5324">
        <f>TEXT(5323, "[$-170000]yyyy-mm-dd")</f>
        <v/>
      </c>
      <c r="C5324">
        <f>TEXT(5323, "[$-060000]yyyy-mm-dd")</f>
        <v/>
      </c>
      <c r="D5324" t="inlineStr">
        <is>
          <t>1332-09-06</t>
        </is>
      </c>
    </row>
    <row r="5325">
      <c r="A5325" s="1" t="n">
        <v>5324</v>
      </c>
      <c r="B5325">
        <f>TEXT(5324, "[$-170000]yyyy-mm-dd")</f>
        <v/>
      </c>
      <c r="C5325">
        <f>TEXT(5324, "[$-060000]yyyy-mm-dd")</f>
        <v/>
      </c>
      <c r="D5325" t="inlineStr">
        <is>
          <t>1332-09-07</t>
        </is>
      </c>
    </row>
    <row r="5326">
      <c r="A5326" s="1" t="n">
        <v>5325</v>
      </c>
      <c r="B5326">
        <f>TEXT(5325, "[$-170000]yyyy-mm-dd")</f>
        <v/>
      </c>
      <c r="C5326">
        <f>TEXT(5325, "[$-060000]yyyy-mm-dd")</f>
        <v/>
      </c>
      <c r="D5326" t="inlineStr">
        <is>
          <t>1332-09-08</t>
        </is>
      </c>
    </row>
    <row r="5327">
      <c r="A5327" s="1" t="n">
        <v>5326</v>
      </c>
      <c r="B5327">
        <f>TEXT(5326, "[$-170000]yyyy-mm-dd")</f>
        <v/>
      </c>
      <c r="C5327">
        <f>TEXT(5326, "[$-060000]yyyy-mm-dd")</f>
        <v/>
      </c>
      <c r="D5327" t="inlineStr">
        <is>
          <t>1332-09-09</t>
        </is>
      </c>
    </row>
    <row r="5328">
      <c r="A5328" s="1" t="n">
        <v>5327</v>
      </c>
      <c r="B5328">
        <f>TEXT(5327, "[$-170000]yyyy-mm-dd")</f>
        <v/>
      </c>
      <c r="C5328">
        <f>TEXT(5327, "[$-060000]yyyy-mm-dd")</f>
        <v/>
      </c>
      <c r="D5328" t="inlineStr">
        <is>
          <t>1332-09-10</t>
        </is>
      </c>
    </row>
    <row r="5329">
      <c r="A5329" s="1" t="n">
        <v>5328</v>
      </c>
      <c r="B5329">
        <f>TEXT(5328, "[$-170000]yyyy-mm-dd")</f>
        <v/>
      </c>
      <c r="C5329">
        <f>TEXT(5328, "[$-060000]yyyy-mm-dd")</f>
        <v/>
      </c>
      <c r="D5329" t="inlineStr">
        <is>
          <t>1332-09-11</t>
        </is>
      </c>
    </row>
    <row r="5330">
      <c r="A5330" s="1" t="n">
        <v>5329</v>
      </c>
      <c r="B5330">
        <f>TEXT(5329, "[$-170000]yyyy-mm-dd")</f>
        <v/>
      </c>
      <c r="C5330">
        <f>TEXT(5329, "[$-060000]yyyy-mm-dd")</f>
        <v/>
      </c>
      <c r="D5330" t="inlineStr">
        <is>
          <t>1332-09-12</t>
        </is>
      </c>
    </row>
    <row r="5331">
      <c r="A5331" s="1" t="n">
        <v>5330</v>
      </c>
      <c r="B5331">
        <f>TEXT(5330, "[$-170000]yyyy-mm-dd")</f>
        <v/>
      </c>
      <c r="C5331">
        <f>TEXT(5330, "[$-060000]yyyy-mm-dd")</f>
        <v/>
      </c>
      <c r="D5331" t="inlineStr">
        <is>
          <t>1332-09-13</t>
        </is>
      </c>
    </row>
    <row r="5332">
      <c r="A5332" s="1" t="n">
        <v>5331</v>
      </c>
      <c r="B5332">
        <f>TEXT(5331, "[$-170000]yyyy-mm-dd")</f>
        <v/>
      </c>
      <c r="C5332">
        <f>TEXT(5331, "[$-060000]yyyy-mm-dd")</f>
        <v/>
      </c>
      <c r="D5332" t="inlineStr">
        <is>
          <t>1332-09-14</t>
        </is>
      </c>
    </row>
    <row r="5333">
      <c r="A5333" s="1" t="n">
        <v>5332</v>
      </c>
      <c r="B5333">
        <f>TEXT(5332, "[$-170000]yyyy-mm-dd")</f>
        <v/>
      </c>
      <c r="C5333">
        <f>TEXT(5332, "[$-060000]yyyy-mm-dd")</f>
        <v/>
      </c>
      <c r="D5333" t="inlineStr">
        <is>
          <t>1332-09-15</t>
        </is>
      </c>
    </row>
    <row r="5334">
      <c r="A5334" s="1" t="n">
        <v>5333</v>
      </c>
      <c r="B5334">
        <f>TEXT(5333, "[$-170000]yyyy-mm-dd")</f>
        <v/>
      </c>
      <c r="C5334">
        <f>TEXT(5333, "[$-060000]yyyy-mm-dd")</f>
        <v/>
      </c>
      <c r="D5334" t="inlineStr">
        <is>
          <t>1332-09-16</t>
        </is>
      </c>
    </row>
    <row r="5335">
      <c r="A5335" s="1" t="n">
        <v>5334</v>
      </c>
      <c r="B5335">
        <f>TEXT(5334, "[$-170000]yyyy-mm-dd")</f>
        <v/>
      </c>
      <c r="C5335">
        <f>TEXT(5334, "[$-060000]yyyy-mm-dd")</f>
        <v/>
      </c>
      <c r="D5335" t="inlineStr">
        <is>
          <t>1332-09-17</t>
        </is>
      </c>
    </row>
    <row r="5336">
      <c r="A5336" s="1" t="n">
        <v>5335</v>
      </c>
      <c r="B5336">
        <f>TEXT(5335, "[$-170000]yyyy-mm-dd")</f>
        <v/>
      </c>
      <c r="C5336">
        <f>TEXT(5335, "[$-060000]yyyy-mm-dd")</f>
        <v/>
      </c>
      <c r="D5336" t="inlineStr">
        <is>
          <t>1332-09-18</t>
        </is>
      </c>
    </row>
    <row r="5337">
      <c r="A5337" s="1" t="n">
        <v>5336</v>
      </c>
      <c r="B5337">
        <f>TEXT(5336, "[$-170000]yyyy-mm-dd")</f>
        <v/>
      </c>
      <c r="C5337">
        <f>TEXT(5336, "[$-060000]yyyy-mm-dd")</f>
        <v/>
      </c>
      <c r="D5337" t="inlineStr">
        <is>
          <t>1332-09-19</t>
        </is>
      </c>
    </row>
    <row r="5338">
      <c r="A5338" s="1" t="n">
        <v>5337</v>
      </c>
      <c r="B5338">
        <f>TEXT(5337, "[$-170000]yyyy-mm-dd")</f>
        <v/>
      </c>
      <c r="C5338">
        <f>TEXT(5337, "[$-060000]yyyy-mm-dd")</f>
        <v/>
      </c>
      <c r="D5338" t="inlineStr">
        <is>
          <t>1332-09-20</t>
        </is>
      </c>
    </row>
    <row r="5339">
      <c r="A5339" s="1" t="n">
        <v>5338</v>
      </c>
      <c r="B5339">
        <f>TEXT(5338, "[$-170000]yyyy-mm-dd")</f>
        <v/>
      </c>
      <c r="C5339">
        <f>TEXT(5338, "[$-060000]yyyy-mm-dd")</f>
        <v/>
      </c>
      <c r="D5339" t="inlineStr">
        <is>
          <t>1332-09-21</t>
        </is>
      </c>
    </row>
    <row r="5340">
      <c r="A5340" s="1" t="n">
        <v>5339</v>
      </c>
      <c r="B5340">
        <f>TEXT(5339, "[$-170000]yyyy-mm-dd")</f>
        <v/>
      </c>
      <c r="C5340">
        <f>TEXT(5339, "[$-060000]yyyy-mm-dd")</f>
        <v/>
      </c>
      <c r="D5340" t="inlineStr">
        <is>
          <t>1332-09-22</t>
        </is>
      </c>
    </row>
    <row r="5341">
      <c r="A5341" s="1" t="n">
        <v>5340</v>
      </c>
      <c r="B5341">
        <f>TEXT(5340, "[$-170000]yyyy-mm-dd")</f>
        <v/>
      </c>
      <c r="C5341">
        <f>TEXT(5340, "[$-060000]yyyy-mm-dd")</f>
        <v/>
      </c>
      <c r="D5341" t="inlineStr">
        <is>
          <t>1332-09-23</t>
        </is>
      </c>
    </row>
    <row r="5342">
      <c r="A5342" s="1" t="n">
        <v>5341</v>
      </c>
      <c r="B5342">
        <f>TEXT(5341, "[$-170000]yyyy-mm-dd")</f>
        <v/>
      </c>
      <c r="C5342">
        <f>TEXT(5341, "[$-060000]yyyy-mm-dd")</f>
        <v/>
      </c>
      <c r="D5342" t="inlineStr">
        <is>
          <t>1332-09-24</t>
        </is>
      </c>
    </row>
    <row r="5343">
      <c r="A5343" s="1" t="n">
        <v>5342</v>
      </c>
      <c r="B5343">
        <f>TEXT(5342, "[$-170000]yyyy-mm-dd")</f>
        <v/>
      </c>
      <c r="C5343">
        <f>TEXT(5342, "[$-060000]yyyy-mm-dd")</f>
        <v/>
      </c>
      <c r="D5343" t="inlineStr">
        <is>
          <t>1332-09-25</t>
        </is>
      </c>
    </row>
    <row r="5344">
      <c r="A5344" s="1" t="n">
        <v>5343</v>
      </c>
      <c r="B5344">
        <f>TEXT(5343, "[$-170000]yyyy-mm-dd")</f>
        <v/>
      </c>
      <c r="C5344">
        <f>TEXT(5343, "[$-060000]yyyy-mm-dd")</f>
        <v/>
      </c>
      <c r="D5344" t="inlineStr">
        <is>
          <t>1332-09-26</t>
        </is>
      </c>
    </row>
    <row r="5345">
      <c r="A5345" s="1" t="n">
        <v>5344</v>
      </c>
      <c r="B5345">
        <f>TEXT(5344, "[$-170000]yyyy-mm-dd")</f>
        <v/>
      </c>
      <c r="C5345">
        <f>TEXT(5344, "[$-060000]yyyy-mm-dd")</f>
        <v/>
      </c>
      <c r="D5345" t="inlineStr">
        <is>
          <t>1332-09-27</t>
        </is>
      </c>
    </row>
    <row r="5346">
      <c r="A5346" s="1" t="n">
        <v>5345</v>
      </c>
      <c r="B5346">
        <f>TEXT(5345, "[$-170000]yyyy-mm-dd")</f>
        <v/>
      </c>
      <c r="C5346">
        <f>TEXT(5345, "[$-060000]yyyy-mm-dd")</f>
        <v/>
      </c>
      <c r="D5346" t="inlineStr">
        <is>
          <t>1332-09-28</t>
        </is>
      </c>
    </row>
    <row r="5347">
      <c r="A5347" s="1" t="n">
        <v>5346</v>
      </c>
      <c r="B5347">
        <f>TEXT(5346, "[$-170000]yyyy-mm-dd")</f>
        <v/>
      </c>
      <c r="C5347">
        <f>TEXT(5346, "[$-060000]yyyy-mm-dd")</f>
        <v/>
      </c>
      <c r="D5347" t="inlineStr">
        <is>
          <t>1332-09-29</t>
        </is>
      </c>
    </row>
    <row r="5348">
      <c r="A5348" s="1" t="n">
        <v>5347</v>
      </c>
      <c r="B5348">
        <f>TEXT(5347, "[$-170000]yyyy-mm-dd")</f>
        <v/>
      </c>
      <c r="C5348">
        <f>TEXT(5347, "[$-060000]yyyy-mm-dd")</f>
        <v/>
      </c>
      <c r="D5348" t="inlineStr">
        <is>
          <t>1332-09-30</t>
        </is>
      </c>
    </row>
    <row r="5349">
      <c r="A5349" s="1" t="n">
        <v>5348</v>
      </c>
      <c r="B5349">
        <f>TEXT(5348, "[$-170000]yyyy-mm-dd")</f>
        <v/>
      </c>
      <c r="C5349">
        <f>TEXT(5348, "[$-060000]yyyy-mm-dd")</f>
        <v/>
      </c>
      <c r="D5349" t="inlineStr">
        <is>
          <t>1332-10-01</t>
        </is>
      </c>
    </row>
    <row r="5350">
      <c r="A5350" s="1" t="n">
        <v>5349</v>
      </c>
      <c r="B5350">
        <f>TEXT(5349, "[$-170000]yyyy-mm-dd")</f>
        <v/>
      </c>
      <c r="C5350">
        <f>TEXT(5349, "[$-060000]yyyy-mm-dd")</f>
        <v/>
      </c>
      <c r="D5350" t="inlineStr">
        <is>
          <t>1332-10-02</t>
        </is>
      </c>
    </row>
    <row r="5351">
      <c r="A5351" s="1" t="n">
        <v>5350</v>
      </c>
      <c r="B5351">
        <f>TEXT(5350, "[$-170000]yyyy-mm-dd")</f>
        <v/>
      </c>
      <c r="C5351">
        <f>TEXT(5350, "[$-060000]yyyy-mm-dd")</f>
        <v/>
      </c>
      <c r="D5351" t="inlineStr">
        <is>
          <t>1332-10-03</t>
        </is>
      </c>
    </row>
    <row r="5352">
      <c r="A5352" s="1" t="n">
        <v>5351</v>
      </c>
      <c r="B5352">
        <f>TEXT(5351, "[$-170000]yyyy-mm-dd")</f>
        <v/>
      </c>
      <c r="C5352">
        <f>TEXT(5351, "[$-060000]yyyy-mm-dd")</f>
        <v/>
      </c>
      <c r="D5352" t="inlineStr">
        <is>
          <t>1332-10-04</t>
        </is>
      </c>
    </row>
    <row r="5353">
      <c r="A5353" s="1" t="n">
        <v>5352</v>
      </c>
      <c r="B5353">
        <f>TEXT(5352, "[$-170000]yyyy-mm-dd")</f>
        <v/>
      </c>
      <c r="C5353">
        <f>TEXT(5352, "[$-060000]yyyy-mm-dd")</f>
        <v/>
      </c>
      <c r="D5353" t="inlineStr">
        <is>
          <t>1332-10-05</t>
        </is>
      </c>
    </row>
    <row r="5354">
      <c r="A5354" s="1" t="n">
        <v>5353</v>
      </c>
      <c r="B5354">
        <f>TEXT(5353, "[$-170000]yyyy-mm-dd")</f>
        <v/>
      </c>
      <c r="C5354">
        <f>TEXT(5353, "[$-060000]yyyy-mm-dd")</f>
        <v/>
      </c>
      <c r="D5354" t="inlineStr">
        <is>
          <t>1332-10-06</t>
        </is>
      </c>
    </row>
    <row r="5355">
      <c r="A5355" s="1" t="n">
        <v>5354</v>
      </c>
      <c r="B5355">
        <f>TEXT(5354, "[$-170000]yyyy-mm-dd")</f>
        <v/>
      </c>
      <c r="C5355">
        <f>TEXT(5354, "[$-060000]yyyy-mm-dd")</f>
        <v/>
      </c>
      <c r="D5355" t="inlineStr">
        <is>
          <t>1332-10-07</t>
        </is>
      </c>
    </row>
    <row r="5356">
      <c r="A5356" s="1" t="n">
        <v>5355</v>
      </c>
      <c r="B5356">
        <f>TEXT(5355, "[$-170000]yyyy-mm-dd")</f>
        <v/>
      </c>
      <c r="C5356">
        <f>TEXT(5355, "[$-060000]yyyy-mm-dd")</f>
        <v/>
      </c>
      <c r="D5356" t="inlineStr">
        <is>
          <t>1332-10-08</t>
        </is>
      </c>
    </row>
    <row r="5357">
      <c r="A5357" s="1" t="n">
        <v>5356</v>
      </c>
      <c r="B5357">
        <f>TEXT(5356, "[$-170000]yyyy-mm-dd")</f>
        <v/>
      </c>
      <c r="C5357">
        <f>TEXT(5356, "[$-060000]yyyy-mm-dd")</f>
        <v/>
      </c>
      <c r="D5357" t="inlineStr">
        <is>
          <t>1332-10-09</t>
        </is>
      </c>
    </row>
    <row r="5358">
      <c r="A5358" s="1" t="n">
        <v>5357</v>
      </c>
      <c r="B5358">
        <f>TEXT(5357, "[$-170000]yyyy-mm-dd")</f>
        <v/>
      </c>
      <c r="C5358">
        <f>TEXT(5357, "[$-060000]yyyy-mm-dd")</f>
        <v/>
      </c>
      <c r="D5358" t="inlineStr">
        <is>
          <t>1332-10-10</t>
        </is>
      </c>
    </row>
    <row r="5359">
      <c r="A5359" s="1" t="n">
        <v>5358</v>
      </c>
      <c r="B5359">
        <f>TEXT(5358, "[$-170000]yyyy-mm-dd")</f>
        <v/>
      </c>
      <c r="C5359">
        <f>TEXT(5358, "[$-060000]yyyy-mm-dd")</f>
        <v/>
      </c>
      <c r="D5359" t="inlineStr">
        <is>
          <t>1332-10-11</t>
        </is>
      </c>
    </row>
    <row r="5360">
      <c r="A5360" s="1" t="n">
        <v>5359</v>
      </c>
      <c r="B5360">
        <f>TEXT(5359, "[$-170000]yyyy-mm-dd")</f>
        <v/>
      </c>
      <c r="C5360">
        <f>TEXT(5359, "[$-060000]yyyy-mm-dd")</f>
        <v/>
      </c>
      <c r="D5360" t="inlineStr">
        <is>
          <t>1332-10-12</t>
        </is>
      </c>
    </row>
    <row r="5361">
      <c r="A5361" s="1" t="n">
        <v>5360</v>
      </c>
      <c r="B5361">
        <f>TEXT(5360, "[$-170000]yyyy-mm-dd")</f>
        <v/>
      </c>
      <c r="C5361">
        <f>TEXT(5360, "[$-060000]yyyy-mm-dd")</f>
        <v/>
      </c>
      <c r="D5361" t="inlineStr">
        <is>
          <t>1332-10-13</t>
        </is>
      </c>
    </row>
    <row r="5362">
      <c r="A5362" s="1" t="n">
        <v>5361</v>
      </c>
      <c r="B5362">
        <f>TEXT(5361, "[$-170000]yyyy-mm-dd")</f>
        <v/>
      </c>
      <c r="C5362">
        <f>TEXT(5361, "[$-060000]yyyy-mm-dd")</f>
        <v/>
      </c>
      <c r="D5362" t="inlineStr">
        <is>
          <t>1332-10-14</t>
        </is>
      </c>
    </row>
    <row r="5363">
      <c r="A5363" s="1" t="n">
        <v>5362</v>
      </c>
      <c r="B5363">
        <f>TEXT(5362, "[$-170000]yyyy-mm-dd")</f>
        <v/>
      </c>
      <c r="C5363">
        <f>TEXT(5362, "[$-060000]yyyy-mm-dd")</f>
        <v/>
      </c>
      <c r="D5363" t="inlineStr">
        <is>
          <t>1332-10-15</t>
        </is>
      </c>
    </row>
    <row r="5364">
      <c r="A5364" s="1" t="n">
        <v>5363</v>
      </c>
      <c r="B5364">
        <f>TEXT(5363, "[$-170000]yyyy-mm-dd")</f>
        <v/>
      </c>
      <c r="C5364">
        <f>TEXT(5363, "[$-060000]yyyy-mm-dd")</f>
        <v/>
      </c>
      <c r="D5364" t="inlineStr">
        <is>
          <t>1332-10-16</t>
        </is>
      </c>
    </row>
    <row r="5365">
      <c r="A5365" s="1" t="n">
        <v>5364</v>
      </c>
      <c r="B5365">
        <f>TEXT(5364, "[$-170000]yyyy-mm-dd")</f>
        <v/>
      </c>
      <c r="C5365">
        <f>TEXT(5364, "[$-060000]yyyy-mm-dd")</f>
        <v/>
      </c>
      <c r="D5365" t="inlineStr">
        <is>
          <t>1332-10-17</t>
        </is>
      </c>
    </row>
    <row r="5366">
      <c r="A5366" s="1" t="n">
        <v>5365</v>
      </c>
      <c r="B5366">
        <f>TEXT(5365, "[$-170000]yyyy-mm-dd")</f>
        <v/>
      </c>
      <c r="C5366">
        <f>TEXT(5365, "[$-060000]yyyy-mm-dd")</f>
        <v/>
      </c>
      <c r="D5366" t="inlineStr">
        <is>
          <t>1332-10-18</t>
        </is>
      </c>
    </row>
    <row r="5367">
      <c r="A5367" s="1" t="n">
        <v>5366</v>
      </c>
      <c r="B5367">
        <f>TEXT(5366, "[$-170000]yyyy-mm-dd")</f>
        <v/>
      </c>
      <c r="C5367">
        <f>TEXT(5366, "[$-060000]yyyy-mm-dd")</f>
        <v/>
      </c>
      <c r="D5367" t="inlineStr">
        <is>
          <t>1332-10-19</t>
        </is>
      </c>
    </row>
    <row r="5368">
      <c r="A5368" s="1" t="n">
        <v>5367</v>
      </c>
      <c r="B5368">
        <f>TEXT(5367, "[$-170000]yyyy-mm-dd")</f>
        <v/>
      </c>
      <c r="C5368">
        <f>TEXT(5367, "[$-060000]yyyy-mm-dd")</f>
        <v/>
      </c>
      <c r="D5368" t="inlineStr">
        <is>
          <t>1332-10-20</t>
        </is>
      </c>
    </row>
    <row r="5369">
      <c r="A5369" s="1" t="n">
        <v>5368</v>
      </c>
      <c r="B5369">
        <f>TEXT(5368, "[$-170000]yyyy-mm-dd")</f>
        <v/>
      </c>
      <c r="C5369">
        <f>TEXT(5368, "[$-060000]yyyy-mm-dd")</f>
        <v/>
      </c>
      <c r="D5369" t="inlineStr">
        <is>
          <t>1332-10-21</t>
        </is>
      </c>
    </row>
    <row r="5370">
      <c r="A5370" s="1" t="n">
        <v>5369</v>
      </c>
      <c r="B5370">
        <f>TEXT(5369, "[$-170000]yyyy-mm-dd")</f>
        <v/>
      </c>
      <c r="C5370">
        <f>TEXT(5369, "[$-060000]yyyy-mm-dd")</f>
        <v/>
      </c>
      <c r="D5370" t="inlineStr">
        <is>
          <t>1332-10-22</t>
        </is>
      </c>
    </row>
    <row r="5371">
      <c r="A5371" s="1" t="n">
        <v>5370</v>
      </c>
      <c r="B5371">
        <f>TEXT(5370, "[$-170000]yyyy-mm-dd")</f>
        <v/>
      </c>
      <c r="C5371">
        <f>TEXT(5370, "[$-060000]yyyy-mm-dd")</f>
        <v/>
      </c>
      <c r="D5371" t="inlineStr">
        <is>
          <t>1332-10-23</t>
        </is>
      </c>
    </row>
    <row r="5372">
      <c r="A5372" s="1" t="n">
        <v>5371</v>
      </c>
      <c r="B5372">
        <f>TEXT(5371, "[$-170000]yyyy-mm-dd")</f>
        <v/>
      </c>
      <c r="C5372">
        <f>TEXT(5371, "[$-060000]yyyy-mm-dd")</f>
        <v/>
      </c>
      <c r="D5372" t="inlineStr">
        <is>
          <t>1332-10-24</t>
        </is>
      </c>
    </row>
    <row r="5373">
      <c r="A5373" s="1" t="n">
        <v>5372</v>
      </c>
      <c r="B5373">
        <f>TEXT(5372, "[$-170000]yyyy-mm-dd")</f>
        <v/>
      </c>
      <c r="C5373">
        <f>TEXT(5372, "[$-060000]yyyy-mm-dd")</f>
        <v/>
      </c>
      <c r="D5373" t="inlineStr">
        <is>
          <t>1332-10-25</t>
        </is>
      </c>
    </row>
    <row r="5374">
      <c r="A5374" s="1" t="n">
        <v>5373</v>
      </c>
      <c r="B5374">
        <f>TEXT(5373, "[$-170000]yyyy-mm-dd")</f>
        <v/>
      </c>
      <c r="C5374">
        <f>TEXT(5373, "[$-060000]yyyy-mm-dd")</f>
        <v/>
      </c>
      <c r="D5374" t="inlineStr">
        <is>
          <t>1332-10-26</t>
        </is>
      </c>
    </row>
    <row r="5375">
      <c r="A5375" s="1" t="n">
        <v>5374</v>
      </c>
      <c r="B5375">
        <f>TEXT(5374, "[$-170000]yyyy-mm-dd")</f>
        <v/>
      </c>
      <c r="C5375">
        <f>TEXT(5374, "[$-060000]yyyy-mm-dd")</f>
        <v/>
      </c>
      <c r="D5375" t="inlineStr">
        <is>
          <t>1332-10-27</t>
        </is>
      </c>
    </row>
    <row r="5376">
      <c r="A5376" s="1" t="n">
        <v>5375</v>
      </c>
      <c r="B5376">
        <f>TEXT(5375, "[$-170000]yyyy-mm-dd")</f>
        <v/>
      </c>
      <c r="C5376">
        <f>TEXT(5375, "[$-060000]yyyy-mm-dd")</f>
        <v/>
      </c>
      <c r="D5376" t="inlineStr">
        <is>
          <t>1332-10-28</t>
        </is>
      </c>
    </row>
    <row r="5377">
      <c r="A5377" s="1" t="n">
        <v>5376</v>
      </c>
      <c r="B5377">
        <f>TEXT(5376, "[$-170000]yyyy-mm-dd")</f>
        <v/>
      </c>
      <c r="C5377">
        <f>TEXT(5376, "[$-060000]yyyy-mm-dd")</f>
        <v/>
      </c>
      <c r="D5377" t="inlineStr">
        <is>
          <t>1332-10-29</t>
        </is>
      </c>
    </row>
    <row r="5378">
      <c r="A5378" s="1" t="n">
        <v>5377</v>
      </c>
      <c r="B5378">
        <f>TEXT(5377, "[$-170000]yyyy-mm-dd")</f>
        <v/>
      </c>
      <c r="C5378">
        <f>TEXT(5377, "[$-060000]yyyy-mm-dd")</f>
        <v/>
      </c>
      <c r="D5378" t="inlineStr">
        <is>
          <t>1332-11-01</t>
        </is>
      </c>
    </row>
    <row r="5379">
      <c r="A5379" s="1" t="n">
        <v>5378</v>
      </c>
      <c r="B5379">
        <f>TEXT(5378, "[$-170000]yyyy-mm-dd")</f>
        <v/>
      </c>
      <c r="C5379">
        <f>TEXT(5378, "[$-060000]yyyy-mm-dd")</f>
        <v/>
      </c>
      <c r="D5379" t="inlineStr">
        <is>
          <t>1332-11-02</t>
        </is>
      </c>
    </row>
    <row r="5380">
      <c r="A5380" s="1" t="n">
        <v>5379</v>
      </c>
      <c r="B5380">
        <f>TEXT(5379, "[$-170000]yyyy-mm-dd")</f>
        <v/>
      </c>
      <c r="C5380">
        <f>TEXT(5379, "[$-060000]yyyy-mm-dd")</f>
        <v/>
      </c>
      <c r="D5380" t="inlineStr">
        <is>
          <t>1332-11-03</t>
        </is>
      </c>
    </row>
    <row r="5381">
      <c r="A5381" s="1" t="n">
        <v>5380</v>
      </c>
      <c r="B5381">
        <f>TEXT(5380, "[$-170000]yyyy-mm-dd")</f>
        <v/>
      </c>
      <c r="C5381">
        <f>TEXT(5380, "[$-060000]yyyy-mm-dd")</f>
        <v/>
      </c>
      <c r="D5381" t="inlineStr">
        <is>
          <t>1332-11-04</t>
        </is>
      </c>
    </row>
    <row r="5382">
      <c r="A5382" s="1" t="n">
        <v>5381</v>
      </c>
      <c r="B5382">
        <f>TEXT(5381, "[$-170000]yyyy-mm-dd")</f>
        <v/>
      </c>
      <c r="C5382">
        <f>TEXT(5381, "[$-060000]yyyy-mm-dd")</f>
        <v/>
      </c>
      <c r="D5382" t="inlineStr">
        <is>
          <t>1332-11-05</t>
        </is>
      </c>
    </row>
    <row r="5383">
      <c r="A5383" s="1" t="n">
        <v>5382</v>
      </c>
      <c r="B5383">
        <f>TEXT(5382, "[$-170000]yyyy-mm-dd")</f>
        <v/>
      </c>
      <c r="C5383">
        <f>TEXT(5382, "[$-060000]yyyy-mm-dd")</f>
        <v/>
      </c>
      <c r="D5383" t="inlineStr">
        <is>
          <t>1332-11-06</t>
        </is>
      </c>
    </row>
    <row r="5384">
      <c r="A5384" s="1" t="n">
        <v>5383</v>
      </c>
      <c r="B5384">
        <f>TEXT(5383, "[$-170000]yyyy-mm-dd")</f>
        <v/>
      </c>
      <c r="C5384">
        <f>TEXT(5383, "[$-060000]yyyy-mm-dd")</f>
        <v/>
      </c>
      <c r="D5384" t="inlineStr">
        <is>
          <t>1332-11-07</t>
        </is>
      </c>
    </row>
    <row r="5385">
      <c r="A5385" s="1" t="n">
        <v>5384</v>
      </c>
      <c r="B5385">
        <f>TEXT(5384, "[$-170000]yyyy-mm-dd")</f>
        <v/>
      </c>
      <c r="C5385">
        <f>TEXT(5384, "[$-060000]yyyy-mm-dd")</f>
        <v/>
      </c>
      <c r="D5385" t="inlineStr">
        <is>
          <t>1332-11-08</t>
        </is>
      </c>
    </row>
    <row r="5386">
      <c r="A5386" s="1" t="n">
        <v>5385</v>
      </c>
      <c r="B5386">
        <f>TEXT(5385, "[$-170000]yyyy-mm-dd")</f>
        <v/>
      </c>
      <c r="C5386">
        <f>TEXT(5385, "[$-060000]yyyy-mm-dd")</f>
        <v/>
      </c>
      <c r="D5386" t="inlineStr">
        <is>
          <t>1332-11-09</t>
        </is>
      </c>
    </row>
    <row r="5387">
      <c r="A5387" s="1" t="n">
        <v>5386</v>
      </c>
      <c r="B5387">
        <f>TEXT(5386, "[$-170000]yyyy-mm-dd")</f>
        <v/>
      </c>
      <c r="C5387">
        <f>TEXT(5386, "[$-060000]yyyy-mm-dd")</f>
        <v/>
      </c>
      <c r="D5387" t="inlineStr">
        <is>
          <t>1332-11-10</t>
        </is>
      </c>
    </row>
    <row r="5388">
      <c r="A5388" s="1" t="n">
        <v>5387</v>
      </c>
      <c r="B5388">
        <f>TEXT(5387, "[$-170000]yyyy-mm-dd")</f>
        <v/>
      </c>
      <c r="C5388">
        <f>TEXT(5387, "[$-060000]yyyy-mm-dd")</f>
        <v/>
      </c>
      <c r="D5388" t="inlineStr">
        <is>
          <t>1332-11-11</t>
        </is>
      </c>
    </row>
    <row r="5389">
      <c r="A5389" s="1" t="n">
        <v>5388</v>
      </c>
      <c r="B5389">
        <f>TEXT(5388, "[$-170000]yyyy-mm-dd")</f>
        <v/>
      </c>
      <c r="C5389">
        <f>TEXT(5388, "[$-060000]yyyy-mm-dd")</f>
        <v/>
      </c>
      <c r="D5389" t="inlineStr">
        <is>
          <t>1332-11-12</t>
        </is>
      </c>
    </row>
    <row r="5390">
      <c r="A5390" s="1" t="n">
        <v>5389</v>
      </c>
      <c r="B5390">
        <f>TEXT(5389, "[$-170000]yyyy-mm-dd")</f>
        <v/>
      </c>
      <c r="C5390">
        <f>TEXT(5389, "[$-060000]yyyy-mm-dd")</f>
        <v/>
      </c>
      <c r="D5390" t="inlineStr">
        <is>
          <t>1332-11-13</t>
        </is>
      </c>
    </row>
    <row r="5391">
      <c r="A5391" s="1" t="n">
        <v>5390</v>
      </c>
      <c r="B5391">
        <f>TEXT(5390, "[$-170000]yyyy-mm-dd")</f>
        <v/>
      </c>
      <c r="C5391">
        <f>TEXT(5390, "[$-060000]yyyy-mm-dd")</f>
        <v/>
      </c>
      <c r="D5391" t="inlineStr">
        <is>
          <t>1332-11-14</t>
        </is>
      </c>
    </row>
    <row r="5392">
      <c r="A5392" s="1" t="n">
        <v>5391</v>
      </c>
      <c r="B5392">
        <f>TEXT(5391, "[$-170000]yyyy-mm-dd")</f>
        <v/>
      </c>
      <c r="C5392">
        <f>TEXT(5391, "[$-060000]yyyy-mm-dd")</f>
        <v/>
      </c>
      <c r="D5392" t="inlineStr">
        <is>
          <t>1332-11-15</t>
        </is>
      </c>
    </row>
    <row r="5393">
      <c r="A5393" s="1" t="n">
        <v>5392</v>
      </c>
      <c r="B5393">
        <f>TEXT(5392, "[$-170000]yyyy-mm-dd")</f>
        <v/>
      </c>
      <c r="C5393">
        <f>TEXT(5392, "[$-060000]yyyy-mm-dd")</f>
        <v/>
      </c>
      <c r="D5393" t="inlineStr">
        <is>
          <t>1332-11-16</t>
        </is>
      </c>
    </row>
    <row r="5394">
      <c r="A5394" s="1" t="n">
        <v>5393</v>
      </c>
      <c r="B5394">
        <f>TEXT(5393, "[$-170000]yyyy-mm-dd")</f>
        <v/>
      </c>
      <c r="C5394">
        <f>TEXT(5393, "[$-060000]yyyy-mm-dd")</f>
        <v/>
      </c>
      <c r="D5394" t="inlineStr">
        <is>
          <t>1332-11-17</t>
        </is>
      </c>
    </row>
    <row r="5395">
      <c r="A5395" s="1" t="n">
        <v>5394</v>
      </c>
      <c r="B5395">
        <f>TEXT(5394, "[$-170000]yyyy-mm-dd")</f>
        <v/>
      </c>
      <c r="C5395">
        <f>TEXT(5394, "[$-060000]yyyy-mm-dd")</f>
        <v/>
      </c>
      <c r="D5395" t="inlineStr">
        <is>
          <t>1332-11-18</t>
        </is>
      </c>
    </row>
    <row r="5396">
      <c r="A5396" s="1" t="n">
        <v>5395</v>
      </c>
      <c r="B5396">
        <f>TEXT(5395, "[$-170000]yyyy-mm-dd")</f>
        <v/>
      </c>
      <c r="C5396">
        <f>TEXT(5395, "[$-060000]yyyy-mm-dd")</f>
        <v/>
      </c>
      <c r="D5396" t="inlineStr">
        <is>
          <t>1332-11-19</t>
        </is>
      </c>
    </row>
    <row r="5397">
      <c r="A5397" s="1" t="n">
        <v>5396</v>
      </c>
      <c r="B5397">
        <f>TEXT(5396, "[$-170000]yyyy-mm-dd")</f>
        <v/>
      </c>
      <c r="C5397">
        <f>TEXT(5396, "[$-060000]yyyy-mm-dd")</f>
        <v/>
      </c>
      <c r="D5397" t="inlineStr">
        <is>
          <t>1332-11-20</t>
        </is>
      </c>
    </row>
    <row r="5398">
      <c r="A5398" s="1" t="n">
        <v>5397</v>
      </c>
      <c r="B5398">
        <f>TEXT(5397, "[$-170000]yyyy-mm-dd")</f>
        <v/>
      </c>
      <c r="C5398">
        <f>TEXT(5397, "[$-060000]yyyy-mm-dd")</f>
        <v/>
      </c>
      <c r="D5398" t="inlineStr">
        <is>
          <t>1332-11-21</t>
        </is>
      </c>
    </row>
    <row r="5399">
      <c r="A5399" s="1" t="n">
        <v>5398</v>
      </c>
      <c r="B5399">
        <f>TEXT(5398, "[$-170000]yyyy-mm-dd")</f>
        <v/>
      </c>
      <c r="C5399">
        <f>TEXT(5398, "[$-060000]yyyy-mm-dd")</f>
        <v/>
      </c>
      <c r="D5399" t="inlineStr">
        <is>
          <t>1332-11-22</t>
        </is>
      </c>
    </row>
    <row r="5400">
      <c r="A5400" s="1" t="n">
        <v>5399</v>
      </c>
      <c r="B5400">
        <f>TEXT(5399, "[$-170000]yyyy-mm-dd")</f>
        <v/>
      </c>
      <c r="C5400">
        <f>TEXT(5399, "[$-060000]yyyy-mm-dd")</f>
        <v/>
      </c>
      <c r="D5400" t="inlineStr">
        <is>
          <t>1332-11-23</t>
        </is>
      </c>
    </row>
    <row r="5401">
      <c r="A5401" s="1" t="n">
        <v>5400</v>
      </c>
      <c r="B5401">
        <f>TEXT(5400, "[$-170000]yyyy-mm-dd")</f>
        <v/>
      </c>
      <c r="C5401">
        <f>TEXT(5400, "[$-060000]yyyy-mm-dd")</f>
        <v/>
      </c>
      <c r="D5401" t="inlineStr">
        <is>
          <t>1332-11-24</t>
        </is>
      </c>
    </row>
    <row r="5402">
      <c r="A5402" s="1" t="n">
        <v>5401</v>
      </c>
      <c r="B5402">
        <f>TEXT(5401, "[$-170000]yyyy-mm-dd")</f>
        <v/>
      </c>
      <c r="C5402">
        <f>TEXT(5401, "[$-060000]yyyy-mm-dd")</f>
        <v/>
      </c>
      <c r="D5402" t="inlineStr">
        <is>
          <t>1332-11-25</t>
        </is>
      </c>
    </row>
    <row r="5403">
      <c r="A5403" s="1" t="n">
        <v>5402</v>
      </c>
      <c r="B5403">
        <f>TEXT(5402, "[$-170000]yyyy-mm-dd")</f>
        <v/>
      </c>
      <c r="C5403">
        <f>TEXT(5402, "[$-060000]yyyy-mm-dd")</f>
        <v/>
      </c>
      <c r="D5403" t="inlineStr">
        <is>
          <t>1332-11-26</t>
        </is>
      </c>
    </row>
    <row r="5404">
      <c r="A5404" s="1" t="n">
        <v>5403</v>
      </c>
      <c r="B5404">
        <f>TEXT(5403, "[$-170000]yyyy-mm-dd")</f>
        <v/>
      </c>
      <c r="C5404">
        <f>TEXT(5403, "[$-060000]yyyy-mm-dd")</f>
        <v/>
      </c>
      <c r="D5404" t="inlineStr">
        <is>
          <t>1332-11-27</t>
        </is>
      </c>
    </row>
    <row r="5405">
      <c r="A5405" s="1" t="n">
        <v>5404</v>
      </c>
      <c r="B5405">
        <f>TEXT(5404, "[$-170000]yyyy-mm-dd")</f>
        <v/>
      </c>
      <c r="C5405">
        <f>TEXT(5404, "[$-060000]yyyy-mm-dd")</f>
        <v/>
      </c>
      <c r="D5405" t="inlineStr">
        <is>
          <t>1332-11-28</t>
        </is>
      </c>
    </row>
    <row r="5406">
      <c r="A5406" s="1" t="n">
        <v>5405</v>
      </c>
      <c r="B5406">
        <f>TEXT(5405, "[$-170000]yyyy-mm-dd")</f>
        <v/>
      </c>
      <c r="C5406">
        <f>TEXT(5405, "[$-060000]yyyy-mm-dd")</f>
        <v/>
      </c>
      <c r="D5406" t="inlineStr">
        <is>
          <t>1332-11-29</t>
        </is>
      </c>
    </row>
    <row r="5407">
      <c r="A5407" s="1" t="n">
        <v>5406</v>
      </c>
      <c r="B5407">
        <f>TEXT(5406, "[$-170000]yyyy-mm-dd")</f>
        <v/>
      </c>
      <c r="C5407">
        <f>TEXT(5406, "[$-060000]yyyy-mm-dd")</f>
        <v/>
      </c>
      <c r="D5407" t="inlineStr">
        <is>
          <t>1332-11-30</t>
        </is>
      </c>
    </row>
    <row r="5408">
      <c r="A5408" s="1" t="n">
        <v>5407</v>
      </c>
      <c r="B5408">
        <f>TEXT(5407, "[$-170000]yyyy-mm-dd")</f>
        <v/>
      </c>
      <c r="C5408">
        <f>TEXT(5407, "[$-060000]yyyy-mm-dd")</f>
        <v/>
      </c>
      <c r="D5408" t="inlineStr">
        <is>
          <t>1332-12-01</t>
        </is>
      </c>
    </row>
    <row r="5409">
      <c r="A5409" s="1" t="n">
        <v>5408</v>
      </c>
      <c r="B5409">
        <f>TEXT(5408, "[$-170000]yyyy-mm-dd")</f>
        <v/>
      </c>
      <c r="C5409">
        <f>TEXT(5408, "[$-060000]yyyy-mm-dd")</f>
        <v/>
      </c>
      <c r="D5409" t="inlineStr">
        <is>
          <t>1332-12-02</t>
        </is>
      </c>
    </row>
    <row r="5410">
      <c r="A5410" s="1" t="n">
        <v>5409</v>
      </c>
      <c r="B5410">
        <f>TEXT(5409, "[$-170000]yyyy-mm-dd")</f>
        <v/>
      </c>
      <c r="C5410">
        <f>TEXT(5409, "[$-060000]yyyy-mm-dd")</f>
        <v/>
      </c>
      <c r="D5410" t="inlineStr">
        <is>
          <t>1332-12-03</t>
        </is>
      </c>
    </row>
    <row r="5411">
      <c r="A5411" s="1" t="n">
        <v>5410</v>
      </c>
      <c r="B5411">
        <f>TEXT(5410, "[$-170000]yyyy-mm-dd")</f>
        <v/>
      </c>
      <c r="C5411">
        <f>TEXT(5410, "[$-060000]yyyy-mm-dd")</f>
        <v/>
      </c>
      <c r="D5411" t="inlineStr">
        <is>
          <t>1332-12-04</t>
        </is>
      </c>
    </row>
    <row r="5412">
      <c r="A5412" s="1" t="n">
        <v>5411</v>
      </c>
      <c r="B5412">
        <f>TEXT(5411, "[$-170000]yyyy-mm-dd")</f>
        <v/>
      </c>
      <c r="C5412">
        <f>TEXT(5411, "[$-060000]yyyy-mm-dd")</f>
        <v/>
      </c>
      <c r="D5412" t="inlineStr">
        <is>
          <t>1332-12-05</t>
        </is>
      </c>
    </row>
    <row r="5413">
      <c r="A5413" s="1" t="n">
        <v>5412</v>
      </c>
      <c r="B5413">
        <f>TEXT(5412, "[$-170000]yyyy-mm-dd")</f>
        <v/>
      </c>
      <c r="C5413">
        <f>TEXT(5412, "[$-060000]yyyy-mm-dd")</f>
        <v/>
      </c>
      <c r="D5413" t="inlineStr">
        <is>
          <t>1332-12-06</t>
        </is>
      </c>
    </row>
    <row r="5414">
      <c r="A5414" s="1" t="n">
        <v>5413</v>
      </c>
      <c r="B5414">
        <f>TEXT(5413, "[$-170000]yyyy-mm-dd")</f>
        <v/>
      </c>
      <c r="C5414">
        <f>TEXT(5413, "[$-060000]yyyy-mm-dd")</f>
        <v/>
      </c>
      <c r="D5414" t="inlineStr">
        <is>
          <t>1332-12-07</t>
        </is>
      </c>
    </row>
    <row r="5415">
      <c r="A5415" s="1" t="n">
        <v>5414</v>
      </c>
      <c r="B5415">
        <f>TEXT(5414, "[$-170000]yyyy-mm-dd")</f>
        <v/>
      </c>
      <c r="C5415">
        <f>TEXT(5414, "[$-060000]yyyy-mm-dd")</f>
        <v/>
      </c>
      <c r="D5415" t="inlineStr">
        <is>
          <t>1332-12-08</t>
        </is>
      </c>
    </row>
    <row r="5416">
      <c r="A5416" s="1" t="n">
        <v>5415</v>
      </c>
      <c r="B5416">
        <f>TEXT(5415, "[$-170000]yyyy-mm-dd")</f>
        <v/>
      </c>
      <c r="C5416">
        <f>TEXT(5415, "[$-060000]yyyy-mm-dd")</f>
        <v/>
      </c>
      <c r="D5416" t="inlineStr">
        <is>
          <t>1332-12-09</t>
        </is>
      </c>
    </row>
    <row r="5417">
      <c r="A5417" s="1" t="n">
        <v>5416</v>
      </c>
      <c r="B5417">
        <f>TEXT(5416, "[$-170000]yyyy-mm-dd")</f>
        <v/>
      </c>
      <c r="C5417">
        <f>TEXT(5416, "[$-060000]yyyy-mm-dd")</f>
        <v/>
      </c>
      <c r="D5417" t="inlineStr">
        <is>
          <t>1332-12-10</t>
        </is>
      </c>
    </row>
    <row r="5418">
      <c r="A5418" s="1" t="n">
        <v>5417</v>
      </c>
      <c r="B5418">
        <f>TEXT(5417, "[$-170000]yyyy-mm-dd")</f>
        <v/>
      </c>
      <c r="C5418">
        <f>TEXT(5417, "[$-060000]yyyy-mm-dd")</f>
        <v/>
      </c>
      <c r="D5418" t="inlineStr">
        <is>
          <t>1332-12-11</t>
        </is>
      </c>
    </row>
    <row r="5419">
      <c r="A5419" s="1" t="n">
        <v>5418</v>
      </c>
      <c r="B5419">
        <f>TEXT(5418, "[$-170000]yyyy-mm-dd")</f>
        <v/>
      </c>
      <c r="C5419">
        <f>TEXT(5418, "[$-060000]yyyy-mm-dd")</f>
        <v/>
      </c>
      <c r="D5419" t="inlineStr">
        <is>
          <t>1332-12-12</t>
        </is>
      </c>
    </row>
    <row r="5420">
      <c r="A5420" s="1" t="n">
        <v>5419</v>
      </c>
      <c r="B5420">
        <f>TEXT(5419, "[$-170000]yyyy-mm-dd")</f>
        <v/>
      </c>
      <c r="C5420">
        <f>TEXT(5419, "[$-060000]yyyy-mm-dd")</f>
        <v/>
      </c>
      <c r="D5420" t="inlineStr">
        <is>
          <t>1332-12-13</t>
        </is>
      </c>
    </row>
    <row r="5421">
      <c r="A5421" s="1" t="n">
        <v>5420</v>
      </c>
      <c r="B5421">
        <f>TEXT(5420, "[$-170000]yyyy-mm-dd")</f>
        <v/>
      </c>
      <c r="C5421">
        <f>TEXT(5420, "[$-060000]yyyy-mm-dd")</f>
        <v/>
      </c>
      <c r="D5421" t="inlineStr">
        <is>
          <t>1332-12-14</t>
        </is>
      </c>
    </row>
    <row r="5422">
      <c r="A5422" s="1" t="n">
        <v>5421</v>
      </c>
      <c r="B5422">
        <f>TEXT(5421, "[$-170000]yyyy-mm-dd")</f>
        <v/>
      </c>
      <c r="C5422">
        <f>TEXT(5421, "[$-060000]yyyy-mm-dd")</f>
        <v/>
      </c>
      <c r="D5422" t="inlineStr">
        <is>
          <t>1332-12-15</t>
        </is>
      </c>
    </row>
    <row r="5423">
      <c r="A5423" s="1" t="n">
        <v>5422</v>
      </c>
      <c r="B5423">
        <f>TEXT(5422, "[$-170000]yyyy-mm-dd")</f>
        <v/>
      </c>
      <c r="C5423">
        <f>TEXT(5422, "[$-060000]yyyy-mm-dd")</f>
        <v/>
      </c>
      <c r="D5423" t="inlineStr">
        <is>
          <t>1332-12-16</t>
        </is>
      </c>
    </row>
    <row r="5424">
      <c r="A5424" s="1" t="n">
        <v>5423</v>
      </c>
      <c r="B5424">
        <f>TEXT(5423, "[$-170000]yyyy-mm-dd")</f>
        <v/>
      </c>
      <c r="C5424">
        <f>TEXT(5423, "[$-060000]yyyy-mm-dd")</f>
        <v/>
      </c>
      <c r="D5424" t="inlineStr">
        <is>
          <t>1332-12-17</t>
        </is>
      </c>
    </row>
    <row r="5425">
      <c r="A5425" s="1" t="n">
        <v>5424</v>
      </c>
      <c r="B5425">
        <f>TEXT(5424, "[$-170000]yyyy-mm-dd")</f>
        <v/>
      </c>
      <c r="C5425">
        <f>TEXT(5424, "[$-060000]yyyy-mm-dd")</f>
        <v/>
      </c>
      <c r="D5425" t="inlineStr">
        <is>
          <t>1332-12-18</t>
        </is>
      </c>
    </row>
    <row r="5426">
      <c r="A5426" s="1" t="n">
        <v>5425</v>
      </c>
      <c r="B5426">
        <f>TEXT(5425, "[$-170000]yyyy-mm-dd")</f>
        <v/>
      </c>
      <c r="C5426">
        <f>TEXT(5425, "[$-060000]yyyy-mm-dd")</f>
        <v/>
      </c>
      <c r="D5426" t="inlineStr">
        <is>
          <t>1332-12-19</t>
        </is>
      </c>
    </row>
    <row r="5427">
      <c r="A5427" s="1" t="n">
        <v>5426</v>
      </c>
      <c r="B5427">
        <f>TEXT(5426, "[$-170000]yyyy-mm-dd")</f>
        <v/>
      </c>
      <c r="C5427">
        <f>TEXT(5426, "[$-060000]yyyy-mm-dd")</f>
        <v/>
      </c>
      <c r="D5427" t="inlineStr">
        <is>
          <t>1332-12-20</t>
        </is>
      </c>
    </row>
    <row r="5428">
      <c r="A5428" s="1" t="n">
        <v>5427</v>
      </c>
      <c r="B5428">
        <f>TEXT(5427, "[$-170000]yyyy-mm-dd")</f>
        <v/>
      </c>
      <c r="C5428">
        <f>TEXT(5427, "[$-060000]yyyy-mm-dd")</f>
        <v/>
      </c>
      <c r="D5428" t="inlineStr">
        <is>
          <t>1332-12-21</t>
        </is>
      </c>
    </row>
    <row r="5429">
      <c r="A5429" s="1" t="n">
        <v>5428</v>
      </c>
      <c r="B5429">
        <f>TEXT(5428, "[$-170000]yyyy-mm-dd")</f>
        <v/>
      </c>
      <c r="C5429">
        <f>TEXT(5428, "[$-060000]yyyy-mm-dd")</f>
        <v/>
      </c>
      <c r="D5429" t="inlineStr">
        <is>
          <t>1332-12-22</t>
        </is>
      </c>
    </row>
    <row r="5430">
      <c r="A5430" s="1" t="n">
        <v>5429</v>
      </c>
      <c r="B5430">
        <f>TEXT(5429, "[$-170000]yyyy-mm-dd")</f>
        <v/>
      </c>
      <c r="C5430">
        <f>TEXT(5429, "[$-060000]yyyy-mm-dd")</f>
        <v/>
      </c>
      <c r="D5430" t="inlineStr">
        <is>
          <t>1332-12-23</t>
        </is>
      </c>
    </row>
    <row r="5431">
      <c r="A5431" s="1" t="n">
        <v>5430</v>
      </c>
      <c r="B5431">
        <f>TEXT(5430, "[$-170000]yyyy-mm-dd")</f>
        <v/>
      </c>
      <c r="C5431">
        <f>TEXT(5430, "[$-060000]yyyy-mm-dd")</f>
        <v/>
      </c>
      <c r="D5431" t="inlineStr">
        <is>
          <t>1332-12-24</t>
        </is>
      </c>
    </row>
    <row r="5432">
      <c r="A5432" s="1" t="n">
        <v>5431</v>
      </c>
      <c r="B5432">
        <f>TEXT(5431, "[$-170000]yyyy-mm-dd")</f>
        <v/>
      </c>
      <c r="C5432">
        <f>TEXT(5431, "[$-060000]yyyy-mm-dd")</f>
        <v/>
      </c>
      <c r="D5432" t="inlineStr">
        <is>
          <t>1332-12-25</t>
        </is>
      </c>
    </row>
    <row r="5433">
      <c r="A5433" s="1" t="n">
        <v>5432</v>
      </c>
      <c r="B5433">
        <f>TEXT(5432, "[$-170000]yyyy-mm-dd")</f>
        <v/>
      </c>
      <c r="C5433">
        <f>TEXT(5432, "[$-060000]yyyy-mm-dd")</f>
        <v/>
      </c>
      <c r="D5433" t="inlineStr">
        <is>
          <t>1332-12-26</t>
        </is>
      </c>
    </row>
    <row r="5434">
      <c r="A5434" s="1" t="n">
        <v>5433</v>
      </c>
      <c r="B5434">
        <f>TEXT(5433, "[$-170000]yyyy-mm-dd")</f>
        <v/>
      </c>
      <c r="C5434">
        <f>TEXT(5433, "[$-060000]yyyy-mm-dd")</f>
        <v/>
      </c>
      <c r="D5434" t="inlineStr">
        <is>
          <t>1332-12-27</t>
        </is>
      </c>
    </row>
    <row r="5435">
      <c r="A5435" s="1" t="n">
        <v>5434</v>
      </c>
      <c r="B5435">
        <f>TEXT(5434, "[$-170000]yyyy-mm-dd")</f>
        <v/>
      </c>
      <c r="C5435">
        <f>TEXT(5434, "[$-060000]yyyy-mm-dd")</f>
        <v/>
      </c>
      <c r="D5435" t="inlineStr">
        <is>
          <t>1332-12-28</t>
        </is>
      </c>
    </row>
    <row r="5436">
      <c r="A5436" s="1" t="n">
        <v>5435</v>
      </c>
      <c r="B5436">
        <f>TEXT(5435, "[$-170000]yyyy-mm-dd")</f>
        <v/>
      </c>
      <c r="C5436">
        <f>TEXT(5435, "[$-060000]yyyy-mm-dd")</f>
        <v/>
      </c>
      <c r="D5436" t="inlineStr">
        <is>
          <t>1332-12-29</t>
        </is>
      </c>
    </row>
    <row r="5437">
      <c r="A5437" s="1" t="n">
        <v>5436</v>
      </c>
      <c r="B5437">
        <f>TEXT(5436, "[$-170000]yyyy-mm-dd")</f>
        <v/>
      </c>
      <c r="C5437">
        <f>TEXT(5436, "[$-060000]yyyy-mm-dd")</f>
        <v/>
      </c>
      <c r="D5437" t="inlineStr">
        <is>
          <t>1333-01-01</t>
        </is>
      </c>
    </row>
    <row r="5438">
      <c r="A5438" s="1" t="n">
        <v>5437</v>
      </c>
      <c r="B5438">
        <f>TEXT(5437, "[$-170000]yyyy-mm-dd")</f>
        <v/>
      </c>
      <c r="C5438">
        <f>TEXT(5437, "[$-060000]yyyy-mm-dd")</f>
        <v/>
      </c>
      <c r="D5438" t="inlineStr">
        <is>
          <t>1333-01-02</t>
        </is>
      </c>
    </row>
    <row r="5439">
      <c r="A5439" s="1" t="n">
        <v>5438</v>
      </c>
      <c r="B5439">
        <f>TEXT(5438, "[$-170000]yyyy-mm-dd")</f>
        <v/>
      </c>
      <c r="C5439">
        <f>TEXT(5438, "[$-060000]yyyy-mm-dd")</f>
        <v/>
      </c>
      <c r="D5439" t="inlineStr">
        <is>
          <t>1333-01-03</t>
        </is>
      </c>
    </row>
    <row r="5440">
      <c r="A5440" s="1" t="n">
        <v>5439</v>
      </c>
      <c r="B5440">
        <f>TEXT(5439, "[$-170000]yyyy-mm-dd")</f>
        <v/>
      </c>
      <c r="C5440">
        <f>TEXT(5439, "[$-060000]yyyy-mm-dd")</f>
        <v/>
      </c>
      <c r="D5440" t="inlineStr">
        <is>
          <t>1333-01-04</t>
        </is>
      </c>
    </row>
    <row r="5441">
      <c r="A5441" s="1" t="n">
        <v>5440</v>
      </c>
      <c r="B5441">
        <f>TEXT(5440, "[$-170000]yyyy-mm-dd")</f>
        <v/>
      </c>
      <c r="C5441">
        <f>TEXT(5440, "[$-060000]yyyy-mm-dd")</f>
        <v/>
      </c>
      <c r="D5441" t="inlineStr">
        <is>
          <t>1333-01-05</t>
        </is>
      </c>
    </row>
    <row r="5442">
      <c r="A5442" s="1" t="n">
        <v>5441</v>
      </c>
      <c r="B5442">
        <f>TEXT(5441, "[$-170000]yyyy-mm-dd")</f>
        <v/>
      </c>
      <c r="C5442">
        <f>TEXT(5441, "[$-060000]yyyy-mm-dd")</f>
        <v/>
      </c>
      <c r="D5442" t="inlineStr">
        <is>
          <t>1333-01-06</t>
        </is>
      </c>
    </row>
    <row r="5443">
      <c r="A5443" s="1" t="n">
        <v>5442</v>
      </c>
      <c r="B5443">
        <f>TEXT(5442, "[$-170000]yyyy-mm-dd")</f>
        <v/>
      </c>
      <c r="C5443">
        <f>TEXT(5442, "[$-060000]yyyy-mm-dd")</f>
        <v/>
      </c>
      <c r="D5443" t="inlineStr">
        <is>
          <t>1333-01-07</t>
        </is>
      </c>
    </row>
    <row r="5444">
      <c r="A5444" s="1" t="n">
        <v>5443</v>
      </c>
      <c r="B5444">
        <f>TEXT(5443, "[$-170000]yyyy-mm-dd")</f>
        <v/>
      </c>
      <c r="C5444">
        <f>TEXT(5443, "[$-060000]yyyy-mm-dd")</f>
        <v/>
      </c>
      <c r="D5444" t="inlineStr">
        <is>
          <t>1333-01-08</t>
        </is>
      </c>
    </row>
    <row r="5445">
      <c r="A5445" s="1" t="n">
        <v>5444</v>
      </c>
      <c r="B5445">
        <f>TEXT(5444, "[$-170000]yyyy-mm-dd")</f>
        <v/>
      </c>
      <c r="C5445">
        <f>TEXT(5444, "[$-060000]yyyy-mm-dd")</f>
        <v/>
      </c>
      <c r="D5445" t="inlineStr">
        <is>
          <t>1333-01-09</t>
        </is>
      </c>
    </row>
    <row r="5446">
      <c r="A5446" s="1" t="n">
        <v>5445</v>
      </c>
      <c r="B5446">
        <f>TEXT(5445, "[$-170000]yyyy-mm-dd")</f>
        <v/>
      </c>
      <c r="C5446">
        <f>TEXT(5445, "[$-060000]yyyy-mm-dd")</f>
        <v/>
      </c>
      <c r="D5446" t="inlineStr">
        <is>
          <t>1333-01-10</t>
        </is>
      </c>
    </row>
    <row r="5447">
      <c r="A5447" s="1" t="n">
        <v>5446</v>
      </c>
      <c r="B5447">
        <f>TEXT(5446, "[$-170000]yyyy-mm-dd")</f>
        <v/>
      </c>
      <c r="C5447">
        <f>TEXT(5446, "[$-060000]yyyy-mm-dd")</f>
        <v/>
      </c>
      <c r="D5447" t="inlineStr">
        <is>
          <t>1333-01-11</t>
        </is>
      </c>
    </row>
    <row r="5448">
      <c r="A5448" s="1" t="n">
        <v>5447</v>
      </c>
      <c r="B5448">
        <f>TEXT(5447, "[$-170000]yyyy-mm-dd")</f>
        <v/>
      </c>
      <c r="C5448">
        <f>TEXT(5447, "[$-060000]yyyy-mm-dd")</f>
        <v/>
      </c>
      <c r="D5448" t="inlineStr">
        <is>
          <t>1333-01-12</t>
        </is>
      </c>
    </row>
    <row r="5449">
      <c r="A5449" s="1" t="n">
        <v>5448</v>
      </c>
      <c r="B5449">
        <f>TEXT(5448, "[$-170000]yyyy-mm-dd")</f>
        <v/>
      </c>
      <c r="C5449">
        <f>TEXT(5448, "[$-060000]yyyy-mm-dd")</f>
        <v/>
      </c>
      <c r="D5449" t="inlineStr">
        <is>
          <t>1333-01-13</t>
        </is>
      </c>
    </row>
    <row r="5450">
      <c r="A5450" s="1" t="n">
        <v>5449</v>
      </c>
      <c r="B5450">
        <f>TEXT(5449, "[$-170000]yyyy-mm-dd")</f>
        <v/>
      </c>
      <c r="C5450">
        <f>TEXT(5449, "[$-060000]yyyy-mm-dd")</f>
        <v/>
      </c>
      <c r="D5450" t="inlineStr">
        <is>
          <t>1333-01-14</t>
        </is>
      </c>
    </row>
    <row r="5451">
      <c r="A5451" s="1" t="n">
        <v>5450</v>
      </c>
      <c r="B5451">
        <f>TEXT(5450, "[$-170000]yyyy-mm-dd")</f>
        <v/>
      </c>
      <c r="C5451">
        <f>TEXT(5450, "[$-060000]yyyy-mm-dd")</f>
        <v/>
      </c>
      <c r="D5451" t="inlineStr">
        <is>
          <t>1333-01-15</t>
        </is>
      </c>
    </row>
    <row r="5452">
      <c r="A5452" s="1" t="n">
        <v>5451</v>
      </c>
      <c r="B5452">
        <f>TEXT(5451, "[$-170000]yyyy-mm-dd")</f>
        <v/>
      </c>
      <c r="C5452">
        <f>TEXT(5451, "[$-060000]yyyy-mm-dd")</f>
        <v/>
      </c>
      <c r="D5452" t="inlineStr">
        <is>
          <t>1333-01-16</t>
        </is>
      </c>
    </row>
    <row r="5453">
      <c r="A5453" s="1" t="n">
        <v>5452</v>
      </c>
      <c r="B5453">
        <f>TEXT(5452, "[$-170000]yyyy-mm-dd")</f>
        <v/>
      </c>
      <c r="C5453">
        <f>TEXT(5452, "[$-060000]yyyy-mm-dd")</f>
        <v/>
      </c>
      <c r="D5453" t="inlineStr">
        <is>
          <t>1333-01-17</t>
        </is>
      </c>
    </row>
    <row r="5454">
      <c r="A5454" s="1" t="n">
        <v>5453</v>
      </c>
      <c r="B5454">
        <f>TEXT(5453, "[$-170000]yyyy-mm-dd")</f>
        <v/>
      </c>
      <c r="C5454">
        <f>TEXT(5453, "[$-060000]yyyy-mm-dd")</f>
        <v/>
      </c>
      <c r="D5454" t="inlineStr">
        <is>
          <t>1333-01-18</t>
        </is>
      </c>
    </row>
    <row r="5455">
      <c r="A5455" s="1" t="n">
        <v>5454</v>
      </c>
      <c r="B5455">
        <f>TEXT(5454, "[$-170000]yyyy-mm-dd")</f>
        <v/>
      </c>
      <c r="C5455">
        <f>TEXT(5454, "[$-060000]yyyy-mm-dd")</f>
        <v/>
      </c>
      <c r="D5455" t="inlineStr">
        <is>
          <t>1333-01-19</t>
        </is>
      </c>
    </row>
    <row r="5456">
      <c r="A5456" s="1" t="n">
        <v>5455</v>
      </c>
      <c r="B5456">
        <f>TEXT(5455, "[$-170000]yyyy-mm-dd")</f>
        <v/>
      </c>
      <c r="C5456">
        <f>TEXT(5455, "[$-060000]yyyy-mm-dd")</f>
        <v/>
      </c>
      <c r="D5456" t="inlineStr">
        <is>
          <t>1333-01-20</t>
        </is>
      </c>
    </row>
    <row r="5457">
      <c r="A5457" s="1" t="n">
        <v>5456</v>
      </c>
      <c r="B5457">
        <f>TEXT(5456, "[$-170000]yyyy-mm-dd")</f>
        <v/>
      </c>
      <c r="C5457">
        <f>TEXT(5456, "[$-060000]yyyy-mm-dd")</f>
        <v/>
      </c>
      <c r="D5457" t="inlineStr">
        <is>
          <t>1333-01-21</t>
        </is>
      </c>
    </row>
    <row r="5458">
      <c r="A5458" s="1" t="n">
        <v>5457</v>
      </c>
      <c r="B5458">
        <f>TEXT(5457, "[$-170000]yyyy-mm-dd")</f>
        <v/>
      </c>
      <c r="C5458">
        <f>TEXT(5457, "[$-060000]yyyy-mm-dd")</f>
        <v/>
      </c>
      <c r="D5458" t="inlineStr">
        <is>
          <t>1333-01-22</t>
        </is>
      </c>
    </row>
    <row r="5459">
      <c r="A5459" s="1" t="n">
        <v>5458</v>
      </c>
      <c r="B5459">
        <f>TEXT(5458, "[$-170000]yyyy-mm-dd")</f>
        <v/>
      </c>
      <c r="C5459">
        <f>TEXT(5458, "[$-060000]yyyy-mm-dd")</f>
        <v/>
      </c>
      <c r="D5459" t="inlineStr">
        <is>
          <t>1333-01-23</t>
        </is>
      </c>
    </row>
    <row r="5460">
      <c r="A5460" s="1" t="n">
        <v>5459</v>
      </c>
      <c r="B5460">
        <f>TEXT(5459, "[$-170000]yyyy-mm-dd")</f>
        <v/>
      </c>
      <c r="C5460">
        <f>TEXT(5459, "[$-060000]yyyy-mm-dd")</f>
        <v/>
      </c>
      <c r="D5460" t="inlineStr">
        <is>
          <t>1333-01-24</t>
        </is>
      </c>
    </row>
    <row r="5461">
      <c r="A5461" s="1" t="n">
        <v>5460</v>
      </c>
      <c r="B5461">
        <f>TEXT(5460, "[$-170000]yyyy-mm-dd")</f>
        <v/>
      </c>
      <c r="C5461">
        <f>TEXT(5460, "[$-060000]yyyy-mm-dd")</f>
        <v/>
      </c>
      <c r="D5461" t="inlineStr">
        <is>
          <t>1333-01-25</t>
        </is>
      </c>
    </row>
    <row r="5462">
      <c r="A5462" s="1" t="n">
        <v>5461</v>
      </c>
      <c r="B5462">
        <f>TEXT(5461, "[$-170000]yyyy-mm-dd")</f>
        <v/>
      </c>
      <c r="C5462">
        <f>TEXT(5461, "[$-060000]yyyy-mm-dd")</f>
        <v/>
      </c>
      <c r="D5462" t="inlineStr">
        <is>
          <t>1333-01-26</t>
        </is>
      </c>
    </row>
    <row r="5463">
      <c r="A5463" s="1" t="n">
        <v>5462</v>
      </c>
      <c r="B5463">
        <f>TEXT(5462, "[$-170000]yyyy-mm-dd")</f>
        <v/>
      </c>
      <c r="C5463">
        <f>TEXT(5462, "[$-060000]yyyy-mm-dd")</f>
        <v/>
      </c>
      <c r="D5463" t="inlineStr">
        <is>
          <t>1333-01-27</t>
        </is>
      </c>
    </row>
    <row r="5464">
      <c r="A5464" s="1" t="n">
        <v>5463</v>
      </c>
      <c r="B5464">
        <f>TEXT(5463, "[$-170000]yyyy-mm-dd")</f>
        <v/>
      </c>
      <c r="C5464">
        <f>TEXT(5463, "[$-060000]yyyy-mm-dd")</f>
        <v/>
      </c>
      <c r="D5464" t="inlineStr">
        <is>
          <t>1333-01-28</t>
        </is>
      </c>
    </row>
    <row r="5465">
      <c r="A5465" s="1" t="n">
        <v>5464</v>
      </c>
      <c r="B5465">
        <f>TEXT(5464, "[$-170000]yyyy-mm-dd")</f>
        <v/>
      </c>
      <c r="C5465">
        <f>TEXT(5464, "[$-060000]yyyy-mm-dd")</f>
        <v/>
      </c>
      <c r="D5465" t="inlineStr">
        <is>
          <t>1333-01-29</t>
        </is>
      </c>
    </row>
    <row r="5466">
      <c r="A5466" s="1" t="n">
        <v>5465</v>
      </c>
      <c r="B5466">
        <f>TEXT(5465, "[$-170000]yyyy-mm-dd")</f>
        <v/>
      </c>
      <c r="C5466">
        <f>TEXT(5465, "[$-060000]yyyy-mm-dd")</f>
        <v/>
      </c>
      <c r="D5466" t="inlineStr">
        <is>
          <t>1333-01-30</t>
        </is>
      </c>
    </row>
    <row r="5467">
      <c r="A5467" s="1" t="n">
        <v>5466</v>
      </c>
      <c r="B5467">
        <f>TEXT(5466, "[$-170000]yyyy-mm-dd")</f>
        <v/>
      </c>
      <c r="C5467">
        <f>TEXT(5466, "[$-060000]yyyy-mm-dd")</f>
        <v/>
      </c>
      <c r="D5467" t="inlineStr">
        <is>
          <t>1333-02-01</t>
        </is>
      </c>
    </row>
    <row r="5468">
      <c r="A5468" s="1" t="n">
        <v>5467</v>
      </c>
      <c r="B5468">
        <f>TEXT(5467, "[$-170000]yyyy-mm-dd")</f>
        <v/>
      </c>
      <c r="C5468">
        <f>TEXT(5467, "[$-060000]yyyy-mm-dd")</f>
        <v/>
      </c>
      <c r="D5468" t="inlineStr">
        <is>
          <t>1333-02-02</t>
        </is>
      </c>
    </row>
    <row r="5469">
      <c r="A5469" s="1" t="n">
        <v>5468</v>
      </c>
      <c r="B5469">
        <f>TEXT(5468, "[$-170000]yyyy-mm-dd")</f>
        <v/>
      </c>
      <c r="C5469">
        <f>TEXT(5468, "[$-060000]yyyy-mm-dd")</f>
        <v/>
      </c>
      <c r="D5469" t="inlineStr">
        <is>
          <t>1333-02-03</t>
        </is>
      </c>
    </row>
    <row r="5470">
      <c r="A5470" s="1" t="n">
        <v>5469</v>
      </c>
      <c r="B5470">
        <f>TEXT(5469, "[$-170000]yyyy-mm-dd")</f>
        <v/>
      </c>
      <c r="C5470">
        <f>TEXT(5469, "[$-060000]yyyy-mm-dd")</f>
        <v/>
      </c>
      <c r="D5470" t="inlineStr">
        <is>
          <t>1333-02-04</t>
        </is>
      </c>
    </row>
    <row r="5471">
      <c r="A5471" s="1" t="n">
        <v>5470</v>
      </c>
      <c r="B5471">
        <f>TEXT(5470, "[$-170000]yyyy-mm-dd")</f>
        <v/>
      </c>
      <c r="C5471">
        <f>TEXT(5470, "[$-060000]yyyy-mm-dd")</f>
        <v/>
      </c>
      <c r="D5471" t="inlineStr">
        <is>
          <t>1333-02-05</t>
        </is>
      </c>
    </row>
    <row r="5472">
      <c r="A5472" s="1" t="n">
        <v>5471</v>
      </c>
      <c r="B5472">
        <f>TEXT(5471, "[$-170000]yyyy-mm-dd")</f>
        <v/>
      </c>
      <c r="C5472">
        <f>TEXT(5471, "[$-060000]yyyy-mm-dd")</f>
        <v/>
      </c>
      <c r="D5472" t="inlineStr">
        <is>
          <t>1333-02-06</t>
        </is>
      </c>
    </row>
    <row r="5473">
      <c r="A5473" s="1" t="n">
        <v>5472</v>
      </c>
      <c r="B5473">
        <f>TEXT(5472, "[$-170000]yyyy-mm-dd")</f>
        <v/>
      </c>
      <c r="C5473">
        <f>TEXT(5472, "[$-060000]yyyy-mm-dd")</f>
        <v/>
      </c>
      <c r="D5473" t="inlineStr">
        <is>
          <t>1333-02-07</t>
        </is>
      </c>
    </row>
    <row r="5474">
      <c r="A5474" s="1" t="n">
        <v>5473</v>
      </c>
      <c r="B5474">
        <f>TEXT(5473, "[$-170000]yyyy-mm-dd")</f>
        <v/>
      </c>
      <c r="C5474">
        <f>TEXT(5473, "[$-060000]yyyy-mm-dd")</f>
        <v/>
      </c>
      <c r="D5474" t="inlineStr">
        <is>
          <t>1333-02-08</t>
        </is>
      </c>
    </row>
    <row r="5475">
      <c r="A5475" s="1" t="n">
        <v>5474</v>
      </c>
      <c r="B5475">
        <f>TEXT(5474, "[$-170000]yyyy-mm-dd")</f>
        <v/>
      </c>
      <c r="C5475">
        <f>TEXT(5474, "[$-060000]yyyy-mm-dd")</f>
        <v/>
      </c>
      <c r="D5475" t="inlineStr">
        <is>
          <t>1333-02-09</t>
        </is>
      </c>
    </row>
    <row r="5476">
      <c r="A5476" s="1" t="n">
        <v>5475</v>
      </c>
      <c r="B5476">
        <f>TEXT(5475, "[$-170000]yyyy-mm-dd")</f>
        <v/>
      </c>
      <c r="C5476">
        <f>TEXT(5475, "[$-060000]yyyy-mm-dd")</f>
        <v/>
      </c>
      <c r="D5476" t="inlineStr">
        <is>
          <t>1333-02-10</t>
        </is>
      </c>
    </row>
    <row r="5477">
      <c r="A5477" s="1" t="n">
        <v>5476</v>
      </c>
      <c r="B5477">
        <f>TEXT(5476, "[$-170000]yyyy-mm-dd")</f>
        <v/>
      </c>
      <c r="C5477">
        <f>TEXT(5476, "[$-060000]yyyy-mm-dd")</f>
        <v/>
      </c>
      <c r="D5477" t="inlineStr">
        <is>
          <t>1333-02-11</t>
        </is>
      </c>
    </row>
    <row r="5478">
      <c r="A5478" s="1" t="n">
        <v>5477</v>
      </c>
      <c r="B5478">
        <f>TEXT(5477, "[$-170000]yyyy-mm-dd")</f>
        <v/>
      </c>
      <c r="C5478">
        <f>TEXT(5477, "[$-060000]yyyy-mm-dd")</f>
        <v/>
      </c>
      <c r="D5478" t="inlineStr">
        <is>
          <t>1333-02-12</t>
        </is>
      </c>
    </row>
    <row r="5479">
      <c r="A5479" s="1" t="n">
        <v>5478</v>
      </c>
      <c r="B5479">
        <f>TEXT(5478, "[$-170000]yyyy-mm-dd")</f>
        <v/>
      </c>
      <c r="C5479">
        <f>TEXT(5478, "[$-060000]yyyy-mm-dd")</f>
        <v/>
      </c>
      <c r="D5479" t="inlineStr">
        <is>
          <t>1333-02-13</t>
        </is>
      </c>
    </row>
    <row r="5480">
      <c r="A5480" s="1" t="n">
        <v>5479</v>
      </c>
      <c r="B5480">
        <f>TEXT(5479, "[$-170000]yyyy-mm-dd")</f>
        <v/>
      </c>
      <c r="C5480">
        <f>TEXT(5479, "[$-060000]yyyy-mm-dd")</f>
        <v/>
      </c>
      <c r="D5480" t="inlineStr">
        <is>
          <t>1333-02-14</t>
        </is>
      </c>
    </row>
    <row r="5481">
      <c r="A5481" s="1" t="n">
        <v>5480</v>
      </c>
      <c r="B5481">
        <f>TEXT(5480, "[$-170000]yyyy-mm-dd")</f>
        <v/>
      </c>
      <c r="C5481">
        <f>TEXT(5480, "[$-060000]yyyy-mm-dd")</f>
        <v/>
      </c>
      <c r="D5481" t="inlineStr">
        <is>
          <t>1333-02-15</t>
        </is>
      </c>
    </row>
    <row r="5482">
      <c r="A5482" s="1" t="n">
        <v>5481</v>
      </c>
      <c r="B5482">
        <f>TEXT(5481, "[$-170000]yyyy-mm-dd")</f>
        <v/>
      </c>
      <c r="C5482">
        <f>TEXT(5481, "[$-060000]yyyy-mm-dd")</f>
        <v/>
      </c>
      <c r="D5482" t="inlineStr">
        <is>
          <t>1333-02-16</t>
        </is>
      </c>
    </row>
    <row r="5483">
      <c r="A5483" s="1" t="n">
        <v>5482</v>
      </c>
      <c r="B5483">
        <f>TEXT(5482, "[$-170000]yyyy-mm-dd")</f>
        <v/>
      </c>
      <c r="C5483">
        <f>TEXT(5482, "[$-060000]yyyy-mm-dd")</f>
        <v/>
      </c>
      <c r="D5483" t="inlineStr">
        <is>
          <t>1333-02-17</t>
        </is>
      </c>
    </row>
    <row r="5484">
      <c r="A5484" s="1" t="n">
        <v>5483</v>
      </c>
      <c r="B5484">
        <f>TEXT(5483, "[$-170000]yyyy-mm-dd")</f>
        <v/>
      </c>
      <c r="C5484">
        <f>TEXT(5483, "[$-060000]yyyy-mm-dd")</f>
        <v/>
      </c>
      <c r="D5484" t="inlineStr">
        <is>
          <t>1333-02-18</t>
        </is>
      </c>
    </row>
    <row r="5485">
      <c r="A5485" s="1" t="n">
        <v>5484</v>
      </c>
      <c r="B5485">
        <f>TEXT(5484, "[$-170000]yyyy-mm-dd")</f>
        <v/>
      </c>
      <c r="C5485">
        <f>TEXT(5484, "[$-060000]yyyy-mm-dd")</f>
        <v/>
      </c>
      <c r="D5485" t="inlineStr">
        <is>
          <t>1333-02-19</t>
        </is>
      </c>
    </row>
    <row r="5486">
      <c r="A5486" s="1" t="n">
        <v>5485</v>
      </c>
      <c r="B5486">
        <f>TEXT(5485, "[$-170000]yyyy-mm-dd")</f>
        <v/>
      </c>
      <c r="C5486">
        <f>TEXT(5485, "[$-060000]yyyy-mm-dd")</f>
        <v/>
      </c>
      <c r="D5486" t="inlineStr">
        <is>
          <t>1333-02-20</t>
        </is>
      </c>
    </row>
    <row r="5487">
      <c r="A5487" s="1" t="n">
        <v>5486</v>
      </c>
      <c r="B5487">
        <f>TEXT(5486, "[$-170000]yyyy-mm-dd")</f>
        <v/>
      </c>
      <c r="C5487">
        <f>TEXT(5486, "[$-060000]yyyy-mm-dd")</f>
        <v/>
      </c>
      <c r="D5487" t="inlineStr">
        <is>
          <t>1333-02-21</t>
        </is>
      </c>
    </row>
    <row r="5488">
      <c r="A5488" s="1" t="n">
        <v>5487</v>
      </c>
      <c r="B5488">
        <f>TEXT(5487, "[$-170000]yyyy-mm-dd")</f>
        <v/>
      </c>
      <c r="C5488">
        <f>TEXT(5487, "[$-060000]yyyy-mm-dd")</f>
        <v/>
      </c>
      <c r="D5488" t="inlineStr">
        <is>
          <t>1333-02-22</t>
        </is>
      </c>
    </row>
    <row r="5489">
      <c r="A5489" s="1" t="n">
        <v>5488</v>
      </c>
      <c r="B5489">
        <f>TEXT(5488, "[$-170000]yyyy-mm-dd")</f>
        <v/>
      </c>
      <c r="C5489">
        <f>TEXT(5488, "[$-060000]yyyy-mm-dd")</f>
        <v/>
      </c>
      <c r="D5489" t="inlineStr">
        <is>
          <t>1333-02-23</t>
        </is>
      </c>
    </row>
    <row r="5490">
      <c r="A5490" s="1" t="n">
        <v>5489</v>
      </c>
      <c r="B5490">
        <f>TEXT(5489, "[$-170000]yyyy-mm-dd")</f>
        <v/>
      </c>
      <c r="C5490">
        <f>TEXT(5489, "[$-060000]yyyy-mm-dd")</f>
        <v/>
      </c>
      <c r="D5490" t="inlineStr">
        <is>
          <t>1333-02-24</t>
        </is>
      </c>
    </row>
    <row r="5491">
      <c r="A5491" s="1" t="n">
        <v>5490</v>
      </c>
      <c r="B5491">
        <f>TEXT(5490, "[$-170000]yyyy-mm-dd")</f>
        <v/>
      </c>
      <c r="C5491">
        <f>TEXT(5490, "[$-060000]yyyy-mm-dd")</f>
        <v/>
      </c>
      <c r="D5491" t="inlineStr">
        <is>
          <t>1333-02-25</t>
        </is>
      </c>
    </row>
    <row r="5492">
      <c r="A5492" s="1" t="n">
        <v>5491</v>
      </c>
      <c r="B5492">
        <f>TEXT(5491, "[$-170000]yyyy-mm-dd")</f>
        <v/>
      </c>
      <c r="C5492">
        <f>TEXT(5491, "[$-060000]yyyy-mm-dd")</f>
        <v/>
      </c>
      <c r="D5492" t="inlineStr">
        <is>
          <t>1333-02-26</t>
        </is>
      </c>
    </row>
    <row r="5493">
      <c r="A5493" s="1" t="n">
        <v>5492</v>
      </c>
      <c r="B5493">
        <f>TEXT(5492, "[$-170000]yyyy-mm-dd")</f>
        <v/>
      </c>
      <c r="C5493">
        <f>TEXT(5492, "[$-060000]yyyy-mm-dd")</f>
        <v/>
      </c>
      <c r="D5493" t="inlineStr">
        <is>
          <t>1333-02-27</t>
        </is>
      </c>
    </row>
    <row r="5494">
      <c r="A5494" s="1" t="n">
        <v>5493</v>
      </c>
      <c r="B5494">
        <f>TEXT(5493, "[$-170000]yyyy-mm-dd")</f>
        <v/>
      </c>
      <c r="C5494">
        <f>TEXT(5493, "[$-060000]yyyy-mm-dd")</f>
        <v/>
      </c>
      <c r="D5494" t="inlineStr">
        <is>
          <t>1333-02-28</t>
        </is>
      </c>
    </row>
    <row r="5495">
      <c r="A5495" s="1" t="n">
        <v>5494</v>
      </c>
      <c r="B5495">
        <f>TEXT(5494, "[$-170000]yyyy-mm-dd")</f>
        <v/>
      </c>
      <c r="C5495">
        <f>TEXT(5494, "[$-060000]yyyy-mm-dd")</f>
        <v/>
      </c>
      <c r="D5495" t="inlineStr">
        <is>
          <t>1333-02-29</t>
        </is>
      </c>
    </row>
    <row r="5496">
      <c r="A5496" s="1" t="n">
        <v>5495</v>
      </c>
      <c r="B5496">
        <f>TEXT(5495, "[$-170000]yyyy-mm-dd")</f>
        <v/>
      </c>
      <c r="C5496">
        <f>TEXT(5495, "[$-060000]yyyy-mm-dd")</f>
        <v/>
      </c>
      <c r="D5496" t="inlineStr">
        <is>
          <t>1333-03-01</t>
        </is>
      </c>
    </row>
    <row r="5497">
      <c r="A5497" s="1" t="n">
        <v>5496</v>
      </c>
      <c r="B5497">
        <f>TEXT(5496, "[$-170000]yyyy-mm-dd")</f>
        <v/>
      </c>
      <c r="C5497">
        <f>TEXT(5496, "[$-060000]yyyy-mm-dd")</f>
        <v/>
      </c>
      <c r="D5497" t="inlineStr">
        <is>
          <t>1333-03-02</t>
        </is>
      </c>
    </row>
    <row r="5498">
      <c r="A5498" s="1" t="n">
        <v>5497</v>
      </c>
      <c r="B5498">
        <f>TEXT(5497, "[$-170000]yyyy-mm-dd")</f>
        <v/>
      </c>
      <c r="C5498">
        <f>TEXT(5497, "[$-060000]yyyy-mm-dd")</f>
        <v/>
      </c>
      <c r="D5498" t="inlineStr">
        <is>
          <t>1333-03-03</t>
        </is>
      </c>
    </row>
    <row r="5499">
      <c r="A5499" s="1" t="n">
        <v>5498</v>
      </c>
      <c r="B5499">
        <f>TEXT(5498, "[$-170000]yyyy-mm-dd")</f>
        <v/>
      </c>
      <c r="C5499">
        <f>TEXT(5498, "[$-060000]yyyy-mm-dd")</f>
        <v/>
      </c>
      <c r="D5499" t="inlineStr">
        <is>
          <t>1333-03-04</t>
        </is>
      </c>
    </row>
    <row r="5500">
      <c r="A5500" s="1" t="n">
        <v>5499</v>
      </c>
      <c r="B5500">
        <f>TEXT(5499, "[$-170000]yyyy-mm-dd")</f>
        <v/>
      </c>
      <c r="C5500">
        <f>TEXT(5499, "[$-060000]yyyy-mm-dd")</f>
        <v/>
      </c>
      <c r="D5500" t="inlineStr">
        <is>
          <t>1333-03-05</t>
        </is>
      </c>
    </row>
    <row r="5501">
      <c r="A5501" s="1" t="n">
        <v>5500</v>
      </c>
      <c r="B5501">
        <f>TEXT(5500, "[$-170000]yyyy-mm-dd")</f>
        <v/>
      </c>
      <c r="C5501">
        <f>TEXT(5500, "[$-060000]yyyy-mm-dd")</f>
        <v/>
      </c>
      <c r="D5501" t="inlineStr">
        <is>
          <t>1333-03-06</t>
        </is>
      </c>
    </row>
    <row r="5502">
      <c r="A5502" s="1" t="n">
        <v>5501</v>
      </c>
      <c r="B5502">
        <f>TEXT(5501, "[$-170000]yyyy-mm-dd")</f>
        <v/>
      </c>
      <c r="C5502">
        <f>TEXT(5501, "[$-060000]yyyy-mm-dd")</f>
        <v/>
      </c>
      <c r="D5502" t="inlineStr">
        <is>
          <t>1333-03-07</t>
        </is>
      </c>
    </row>
    <row r="5503">
      <c r="A5503" s="1" t="n">
        <v>5502</v>
      </c>
      <c r="B5503">
        <f>TEXT(5502, "[$-170000]yyyy-mm-dd")</f>
        <v/>
      </c>
      <c r="C5503">
        <f>TEXT(5502, "[$-060000]yyyy-mm-dd")</f>
        <v/>
      </c>
      <c r="D5503" t="inlineStr">
        <is>
          <t>1333-03-08</t>
        </is>
      </c>
    </row>
    <row r="5504">
      <c r="A5504" s="1" t="n">
        <v>5503</v>
      </c>
      <c r="B5504">
        <f>TEXT(5503, "[$-170000]yyyy-mm-dd")</f>
        <v/>
      </c>
      <c r="C5504">
        <f>TEXT(5503, "[$-060000]yyyy-mm-dd")</f>
        <v/>
      </c>
      <c r="D5504" t="inlineStr">
        <is>
          <t>1333-03-09</t>
        </is>
      </c>
    </row>
    <row r="5505">
      <c r="A5505" s="1" t="n">
        <v>5504</v>
      </c>
      <c r="B5505">
        <f>TEXT(5504, "[$-170000]yyyy-mm-dd")</f>
        <v/>
      </c>
      <c r="C5505">
        <f>TEXT(5504, "[$-060000]yyyy-mm-dd")</f>
        <v/>
      </c>
      <c r="D5505" t="inlineStr">
        <is>
          <t>1333-03-10</t>
        </is>
      </c>
    </row>
    <row r="5506">
      <c r="A5506" s="1" t="n">
        <v>5505</v>
      </c>
      <c r="B5506">
        <f>TEXT(5505, "[$-170000]yyyy-mm-dd")</f>
        <v/>
      </c>
      <c r="C5506">
        <f>TEXT(5505, "[$-060000]yyyy-mm-dd")</f>
        <v/>
      </c>
      <c r="D5506" t="inlineStr">
        <is>
          <t>1333-03-11</t>
        </is>
      </c>
    </row>
    <row r="5507">
      <c r="A5507" s="1" t="n">
        <v>5506</v>
      </c>
      <c r="B5507">
        <f>TEXT(5506, "[$-170000]yyyy-mm-dd")</f>
        <v/>
      </c>
      <c r="C5507">
        <f>TEXT(5506, "[$-060000]yyyy-mm-dd")</f>
        <v/>
      </c>
      <c r="D5507" t="inlineStr">
        <is>
          <t>1333-03-12</t>
        </is>
      </c>
    </row>
    <row r="5508">
      <c r="A5508" s="1" t="n">
        <v>5507</v>
      </c>
      <c r="B5508">
        <f>TEXT(5507, "[$-170000]yyyy-mm-dd")</f>
        <v/>
      </c>
      <c r="C5508">
        <f>TEXT(5507, "[$-060000]yyyy-mm-dd")</f>
        <v/>
      </c>
      <c r="D5508" t="inlineStr">
        <is>
          <t>1333-03-13</t>
        </is>
      </c>
    </row>
    <row r="5509">
      <c r="A5509" s="1" t="n">
        <v>5508</v>
      </c>
      <c r="B5509">
        <f>TEXT(5508, "[$-170000]yyyy-mm-dd")</f>
        <v/>
      </c>
      <c r="C5509">
        <f>TEXT(5508, "[$-060000]yyyy-mm-dd")</f>
        <v/>
      </c>
      <c r="D5509" t="inlineStr">
        <is>
          <t>1333-03-14</t>
        </is>
      </c>
    </row>
    <row r="5510">
      <c r="A5510" s="1" t="n">
        <v>5509</v>
      </c>
      <c r="B5510">
        <f>TEXT(5509, "[$-170000]yyyy-mm-dd")</f>
        <v/>
      </c>
      <c r="C5510">
        <f>TEXT(5509, "[$-060000]yyyy-mm-dd")</f>
        <v/>
      </c>
      <c r="D5510" t="inlineStr">
        <is>
          <t>1333-03-15</t>
        </is>
      </c>
    </row>
    <row r="5511">
      <c r="A5511" s="1" t="n">
        <v>5510</v>
      </c>
      <c r="B5511">
        <f>TEXT(5510, "[$-170000]yyyy-mm-dd")</f>
        <v/>
      </c>
      <c r="C5511">
        <f>TEXT(5510, "[$-060000]yyyy-mm-dd")</f>
        <v/>
      </c>
      <c r="D5511" t="inlineStr">
        <is>
          <t>1333-03-16</t>
        </is>
      </c>
    </row>
    <row r="5512">
      <c r="A5512" s="1" t="n">
        <v>5511</v>
      </c>
      <c r="B5512">
        <f>TEXT(5511, "[$-170000]yyyy-mm-dd")</f>
        <v/>
      </c>
      <c r="C5512">
        <f>TEXT(5511, "[$-060000]yyyy-mm-dd")</f>
        <v/>
      </c>
      <c r="D5512" t="inlineStr">
        <is>
          <t>1333-03-17</t>
        </is>
      </c>
    </row>
    <row r="5513">
      <c r="A5513" s="1" t="n">
        <v>5512</v>
      </c>
      <c r="B5513">
        <f>TEXT(5512, "[$-170000]yyyy-mm-dd")</f>
        <v/>
      </c>
      <c r="C5513">
        <f>TEXT(5512, "[$-060000]yyyy-mm-dd")</f>
        <v/>
      </c>
      <c r="D5513" t="inlineStr">
        <is>
          <t>1333-03-18</t>
        </is>
      </c>
    </row>
    <row r="5514">
      <c r="A5514" s="1" t="n">
        <v>5513</v>
      </c>
      <c r="B5514">
        <f>TEXT(5513, "[$-170000]yyyy-mm-dd")</f>
        <v/>
      </c>
      <c r="C5514">
        <f>TEXT(5513, "[$-060000]yyyy-mm-dd")</f>
        <v/>
      </c>
      <c r="D5514" t="inlineStr">
        <is>
          <t>1333-03-19</t>
        </is>
      </c>
    </row>
    <row r="5515">
      <c r="A5515" s="1" t="n">
        <v>5514</v>
      </c>
      <c r="B5515">
        <f>TEXT(5514, "[$-170000]yyyy-mm-dd")</f>
        <v/>
      </c>
      <c r="C5515">
        <f>TEXT(5514, "[$-060000]yyyy-mm-dd")</f>
        <v/>
      </c>
      <c r="D5515" t="inlineStr">
        <is>
          <t>1333-03-20</t>
        </is>
      </c>
    </row>
    <row r="5516">
      <c r="A5516" s="1" t="n">
        <v>5515</v>
      </c>
      <c r="B5516">
        <f>TEXT(5515, "[$-170000]yyyy-mm-dd")</f>
        <v/>
      </c>
      <c r="C5516">
        <f>TEXT(5515, "[$-060000]yyyy-mm-dd")</f>
        <v/>
      </c>
      <c r="D5516" t="inlineStr">
        <is>
          <t>1333-03-21</t>
        </is>
      </c>
    </row>
    <row r="5517">
      <c r="A5517" s="1" t="n">
        <v>5516</v>
      </c>
      <c r="B5517">
        <f>TEXT(5516, "[$-170000]yyyy-mm-dd")</f>
        <v/>
      </c>
      <c r="C5517">
        <f>TEXT(5516, "[$-060000]yyyy-mm-dd")</f>
        <v/>
      </c>
      <c r="D5517" t="inlineStr">
        <is>
          <t>1333-03-22</t>
        </is>
      </c>
    </row>
    <row r="5518">
      <c r="A5518" s="1" t="n">
        <v>5517</v>
      </c>
      <c r="B5518">
        <f>TEXT(5517, "[$-170000]yyyy-mm-dd")</f>
        <v/>
      </c>
      <c r="C5518">
        <f>TEXT(5517, "[$-060000]yyyy-mm-dd")</f>
        <v/>
      </c>
      <c r="D5518" t="inlineStr">
        <is>
          <t>1333-03-23</t>
        </is>
      </c>
    </row>
    <row r="5519">
      <c r="A5519" s="1" t="n">
        <v>5518</v>
      </c>
      <c r="B5519">
        <f>TEXT(5518, "[$-170000]yyyy-mm-dd")</f>
        <v/>
      </c>
      <c r="C5519">
        <f>TEXT(5518, "[$-060000]yyyy-mm-dd")</f>
        <v/>
      </c>
      <c r="D5519" t="inlineStr">
        <is>
          <t>1333-03-24</t>
        </is>
      </c>
    </row>
    <row r="5520">
      <c r="A5520" s="1" t="n">
        <v>5519</v>
      </c>
      <c r="B5520">
        <f>TEXT(5519, "[$-170000]yyyy-mm-dd")</f>
        <v/>
      </c>
      <c r="C5520">
        <f>TEXT(5519, "[$-060000]yyyy-mm-dd")</f>
        <v/>
      </c>
      <c r="D5520" t="inlineStr">
        <is>
          <t>1333-03-25</t>
        </is>
      </c>
    </row>
    <row r="5521">
      <c r="A5521" s="1" t="n">
        <v>5520</v>
      </c>
      <c r="B5521">
        <f>TEXT(5520, "[$-170000]yyyy-mm-dd")</f>
        <v/>
      </c>
      <c r="C5521">
        <f>TEXT(5520, "[$-060000]yyyy-mm-dd")</f>
        <v/>
      </c>
      <c r="D5521" t="inlineStr">
        <is>
          <t>1333-03-26</t>
        </is>
      </c>
    </row>
    <row r="5522">
      <c r="A5522" s="1" t="n">
        <v>5521</v>
      </c>
      <c r="B5522">
        <f>TEXT(5521, "[$-170000]yyyy-mm-dd")</f>
        <v/>
      </c>
      <c r="C5522">
        <f>TEXT(5521, "[$-060000]yyyy-mm-dd")</f>
        <v/>
      </c>
      <c r="D5522" t="inlineStr">
        <is>
          <t>1333-03-27</t>
        </is>
      </c>
    </row>
    <row r="5523">
      <c r="A5523" s="1" t="n">
        <v>5522</v>
      </c>
      <c r="B5523">
        <f>TEXT(5522, "[$-170000]yyyy-mm-dd")</f>
        <v/>
      </c>
      <c r="C5523">
        <f>TEXT(5522, "[$-060000]yyyy-mm-dd")</f>
        <v/>
      </c>
      <c r="D5523" t="inlineStr">
        <is>
          <t>1333-03-28</t>
        </is>
      </c>
    </row>
    <row r="5524">
      <c r="A5524" s="1" t="n">
        <v>5523</v>
      </c>
      <c r="B5524">
        <f>TEXT(5523, "[$-170000]yyyy-mm-dd")</f>
        <v/>
      </c>
      <c r="C5524">
        <f>TEXT(5523, "[$-060000]yyyy-mm-dd")</f>
        <v/>
      </c>
      <c r="D5524" t="inlineStr">
        <is>
          <t>1333-03-29</t>
        </is>
      </c>
    </row>
    <row r="5525">
      <c r="A5525" s="1" t="n">
        <v>5524</v>
      </c>
      <c r="B5525">
        <f>TEXT(5524, "[$-170000]yyyy-mm-dd")</f>
        <v/>
      </c>
      <c r="C5525">
        <f>TEXT(5524, "[$-060000]yyyy-mm-dd")</f>
        <v/>
      </c>
      <c r="D5525" t="inlineStr">
        <is>
          <t>1333-03-30</t>
        </is>
      </c>
    </row>
    <row r="5526">
      <c r="A5526" s="1" t="n">
        <v>5525</v>
      </c>
      <c r="B5526">
        <f>TEXT(5525, "[$-170000]yyyy-mm-dd")</f>
        <v/>
      </c>
      <c r="C5526">
        <f>TEXT(5525, "[$-060000]yyyy-mm-dd")</f>
        <v/>
      </c>
      <c r="D5526" t="inlineStr">
        <is>
          <t>1333-04-01</t>
        </is>
      </c>
    </row>
    <row r="5527">
      <c r="A5527" s="1" t="n">
        <v>5526</v>
      </c>
      <c r="B5527">
        <f>TEXT(5526, "[$-170000]yyyy-mm-dd")</f>
        <v/>
      </c>
      <c r="C5527">
        <f>TEXT(5526, "[$-060000]yyyy-mm-dd")</f>
        <v/>
      </c>
      <c r="D5527" t="inlineStr">
        <is>
          <t>1333-04-02</t>
        </is>
      </c>
    </row>
    <row r="5528">
      <c r="A5528" s="1" t="n">
        <v>5527</v>
      </c>
      <c r="B5528">
        <f>TEXT(5527, "[$-170000]yyyy-mm-dd")</f>
        <v/>
      </c>
      <c r="C5528">
        <f>TEXT(5527, "[$-060000]yyyy-mm-dd")</f>
        <v/>
      </c>
      <c r="D5528" t="inlineStr">
        <is>
          <t>1333-04-03</t>
        </is>
      </c>
    </row>
    <row r="5529">
      <c r="A5529" s="1" t="n">
        <v>5528</v>
      </c>
      <c r="B5529">
        <f>TEXT(5528, "[$-170000]yyyy-mm-dd")</f>
        <v/>
      </c>
      <c r="C5529">
        <f>TEXT(5528, "[$-060000]yyyy-mm-dd")</f>
        <v/>
      </c>
      <c r="D5529" t="inlineStr">
        <is>
          <t>1333-04-04</t>
        </is>
      </c>
    </row>
    <row r="5530">
      <c r="A5530" s="1" t="n">
        <v>5529</v>
      </c>
      <c r="B5530">
        <f>TEXT(5529, "[$-170000]yyyy-mm-dd")</f>
        <v/>
      </c>
      <c r="C5530">
        <f>TEXT(5529, "[$-060000]yyyy-mm-dd")</f>
        <v/>
      </c>
      <c r="D5530" t="inlineStr">
        <is>
          <t>1333-04-05</t>
        </is>
      </c>
    </row>
    <row r="5531">
      <c r="A5531" s="1" t="n">
        <v>5530</v>
      </c>
      <c r="B5531">
        <f>TEXT(5530, "[$-170000]yyyy-mm-dd")</f>
        <v/>
      </c>
      <c r="C5531">
        <f>TEXT(5530, "[$-060000]yyyy-mm-dd")</f>
        <v/>
      </c>
      <c r="D5531" t="inlineStr">
        <is>
          <t>1333-04-06</t>
        </is>
      </c>
    </row>
    <row r="5532">
      <c r="A5532" s="1" t="n">
        <v>5531</v>
      </c>
      <c r="B5532">
        <f>TEXT(5531, "[$-170000]yyyy-mm-dd")</f>
        <v/>
      </c>
      <c r="C5532">
        <f>TEXT(5531, "[$-060000]yyyy-mm-dd")</f>
        <v/>
      </c>
      <c r="D5532" t="inlineStr">
        <is>
          <t>1333-04-07</t>
        </is>
      </c>
    </row>
    <row r="5533">
      <c r="A5533" s="1" t="n">
        <v>5532</v>
      </c>
      <c r="B5533">
        <f>TEXT(5532, "[$-170000]yyyy-mm-dd")</f>
        <v/>
      </c>
      <c r="C5533">
        <f>TEXT(5532, "[$-060000]yyyy-mm-dd")</f>
        <v/>
      </c>
      <c r="D5533" t="inlineStr">
        <is>
          <t>1333-04-08</t>
        </is>
      </c>
    </row>
    <row r="5534">
      <c r="A5534" s="1" t="n">
        <v>5533</v>
      </c>
      <c r="B5534">
        <f>TEXT(5533, "[$-170000]yyyy-mm-dd")</f>
        <v/>
      </c>
      <c r="C5534">
        <f>TEXT(5533, "[$-060000]yyyy-mm-dd")</f>
        <v/>
      </c>
      <c r="D5534" t="inlineStr">
        <is>
          <t>1333-04-09</t>
        </is>
      </c>
    </row>
    <row r="5535">
      <c r="A5535" s="1" t="n">
        <v>5534</v>
      </c>
      <c r="B5535">
        <f>TEXT(5534, "[$-170000]yyyy-mm-dd")</f>
        <v/>
      </c>
      <c r="C5535">
        <f>TEXT(5534, "[$-060000]yyyy-mm-dd")</f>
        <v/>
      </c>
      <c r="D5535" t="inlineStr">
        <is>
          <t>1333-04-10</t>
        </is>
      </c>
    </row>
    <row r="5536">
      <c r="A5536" s="1" t="n">
        <v>5535</v>
      </c>
      <c r="B5536">
        <f>TEXT(5535, "[$-170000]yyyy-mm-dd")</f>
        <v/>
      </c>
      <c r="C5536">
        <f>TEXT(5535, "[$-060000]yyyy-mm-dd")</f>
        <v/>
      </c>
      <c r="D5536" t="inlineStr">
        <is>
          <t>1333-04-11</t>
        </is>
      </c>
    </row>
    <row r="5537">
      <c r="A5537" s="1" t="n">
        <v>5536</v>
      </c>
      <c r="B5537">
        <f>TEXT(5536, "[$-170000]yyyy-mm-dd")</f>
        <v/>
      </c>
      <c r="C5537">
        <f>TEXT(5536, "[$-060000]yyyy-mm-dd")</f>
        <v/>
      </c>
      <c r="D5537" t="inlineStr">
        <is>
          <t>1333-04-12</t>
        </is>
      </c>
    </row>
    <row r="5538">
      <c r="A5538" s="1" t="n">
        <v>5537</v>
      </c>
      <c r="B5538">
        <f>TEXT(5537, "[$-170000]yyyy-mm-dd")</f>
        <v/>
      </c>
      <c r="C5538">
        <f>TEXT(5537, "[$-060000]yyyy-mm-dd")</f>
        <v/>
      </c>
      <c r="D5538" t="inlineStr">
        <is>
          <t>1333-04-13</t>
        </is>
      </c>
    </row>
    <row r="5539">
      <c r="A5539" s="1" t="n">
        <v>5538</v>
      </c>
      <c r="B5539">
        <f>TEXT(5538, "[$-170000]yyyy-mm-dd")</f>
        <v/>
      </c>
      <c r="C5539">
        <f>TEXT(5538, "[$-060000]yyyy-mm-dd")</f>
        <v/>
      </c>
      <c r="D5539" t="inlineStr">
        <is>
          <t>1333-04-14</t>
        </is>
      </c>
    </row>
    <row r="5540">
      <c r="A5540" s="1" t="n">
        <v>5539</v>
      </c>
      <c r="B5540">
        <f>TEXT(5539, "[$-170000]yyyy-mm-dd")</f>
        <v/>
      </c>
      <c r="C5540">
        <f>TEXT(5539, "[$-060000]yyyy-mm-dd")</f>
        <v/>
      </c>
      <c r="D5540" t="inlineStr">
        <is>
          <t>1333-04-15</t>
        </is>
      </c>
    </row>
    <row r="5541">
      <c r="A5541" s="1" t="n">
        <v>5540</v>
      </c>
      <c r="B5541">
        <f>TEXT(5540, "[$-170000]yyyy-mm-dd")</f>
        <v/>
      </c>
      <c r="C5541">
        <f>TEXT(5540, "[$-060000]yyyy-mm-dd")</f>
        <v/>
      </c>
      <c r="D5541" t="inlineStr">
        <is>
          <t>1333-04-16</t>
        </is>
      </c>
    </row>
    <row r="5542">
      <c r="A5542" s="1" t="n">
        <v>5541</v>
      </c>
      <c r="B5542">
        <f>TEXT(5541, "[$-170000]yyyy-mm-dd")</f>
        <v/>
      </c>
      <c r="C5542">
        <f>TEXT(5541, "[$-060000]yyyy-mm-dd")</f>
        <v/>
      </c>
      <c r="D5542" t="inlineStr">
        <is>
          <t>1333-04-17</t>
        </is>
      </c>
    </row>
    <row r="5543">
      <c r="A5543" s="1" t="n">
        <v>5542</v>
      </c>
      <c r="B5543">
        <f>TEXT(5542, "[$-170000]yyyy-mm-dd")</f>
        <v/>
      </c>
      <c r="C5543">
        <f>TEXT(5542, "[$-060000]yyyy-mm-dd")</f>
        <v/>
      </c>
      <c r="D5543" t="inlineStr">
        <is>
          <t>1333-04-18</t>
        </is>
      </c>
    </row>
    <row r="5544">
      <c r="A5544" s="1" t="n">
        <v>5543</v>
      </c>
      <c r="B5544">
        <f>TEXT(5543, "[$-170000]yyyy-mm-dd")</f>
        <v/>
      </c>
      <c r="C5544">
        <f>TEXT(5543, "[$-060000]yyyy-mm-dd")</f>
        <v/>
      </c>
      <c r="D5544" t="inlineStr">
        <is>
          <t>1333-04-19</t>
        </is>
      </c>
    </row>
    <row r="5545">
      <c r="A5545" s="1" t="n">
        <v>5544</v>
      </c>
      <c r="B5545">
        <f>TEXT(5544, "[$-170000]yyyy-mm-dd")</f>
        <v/>
      </c>
      <c r="C5545">
        <f>TEXT(5544, "[$-060000]yyyy-mm-dd")</f>
        <v/>
      </c>
      <c r="D5545" t="inlineStr">
        <is>
          <t>1333-04-20</t>
        </is>
      </c>
    </row>
    <row r="5546">
      <c r="A5546" s="1" t="n">
        <v>5545</v>
      </c>
      <c r="B5546">
        <f>TEXT(5545, "[$-170000]yyyy-mm-dd")</f>
        <v/>
      </c>
      <c r="C5546">
        <f>TEXT(5545, "[$-060000]yyyy-mm-dd")</f>
        <v/>
      </c>
      <c r="D5546" t="inlineStr">
        <is>
          <t>1333-04-21</t>
        </is>
      </c>
    </row>
    <row r="5547">
      <c r="A5547" s="1" t="n">
        <v>5546</v>
      </c>
      <c r="B5547">
        <f>TEXT(5546, "[$-170000]yyyy-mm-dd")</f>
        <v/>
      </c>
      <c r="C5547">
        <f>TEXT(5546, "[$-060000]yyyy-mm-dd")</f>
        <v/>
      </c>
      <c r="D5547" t="inlineStr">
        <is>
          <t>1333-04-22</t>
        </is>
      </c>
    </row>
    <row r="5548">
      <c r="A5548" s="1" t="n">
        <v>5547</v>
      </c>
      <c r="B5548">
        <f>TEXT(5547, "[$-170000]yyyy-mm-dd")</f>
        <v/>
      </c>
      <c r="C5548">
        <f>TEXT(5547, "[$-060000]yyyy-mm-dd")</f>
        <v/>
      </c>
      <c r="D5548" t="inlineStr">
        <is>
          <t>1333-04-23</t>
        </is>
      </c>
    </row>
    <row r="5549">
      <c r="A5549" s="1" t="n">
        <v>5548</v>
      </c>
      <c r="B5549">
        <f>TEXT(5548, "[$-170000]yyyy-mm-dd")</f>
        <v/>
      </c>
      <c r="C5549">
        <f>TEXT(5548, "[$-060000]yyyy-mm-dd")</f>
        <v/>
      </c>
      <c r="D5549" t="inlineStr">
        <is>
          <t>1333-04-24</t>
        </is>
      </c>
    </row>
    <row r="5550">
      <c r="A5550" s="1" t="n">
        <v>5549</v>
      </c>
      <c r="B5550">
        <f>TEXT(5549, "[$-170000]yyyy-mm-dd")</f>
        <v/>
      </c>
      <c r="C5550">
        <f>TEXT(5549, "[$-060000]yyyy-mm-dd")</f>
        <v/>
      </c>
      <c r="D5550" t="inlineStr">
        <is>
          <t>1333-04-25</t>
        </is>
      </c>
    </row>
    <row r="5551">
      <c r="A5551" s="1" t="n">
        <v>5550</v>
      </c>
      <c r="B5551">
        <f>TEXT(5550, "[$-170000]yyyy-mm-dd")</f>
        <v/>
      </c>
      <c r="C5551">
        <f>TEXT(5550, "[$-060000]yyyy-mm-dd")</f>
        <v/>
      </c>
      <c r="D5551" t="inlineStr">
        <is>
          <t>1333-04-26</t>
        </is>
      </c>
    </row>
    <row r="5552">
      <c r="A5552" s="1" t="n">
        <v>5551</v>
      </c>
      <c r="B5552">
        <f>TEXT(5551, "[$-170000]yyyy-mm-dd")</f>
        <v/>
      </c>
      <c r="C5552">
        <f>TEXT(5551, "[$-060000]yyyy-mm-dd")</f>
        <v/>
      </c>
      <c r="D5552" t="inlineStr">
        <is>
          <t>1333-04-27</t>
        </is>
      </c>
    </row>
    <row r="5553">
      <c r="A5553" s="1" t="n">
        <v>5552</v>
      </c>
      <c r="B5553">
        <f>TEXT(5552, "[$-170000]yyyy-mm-dd")</f>
        <v/>
      </c>
      <c r="C5553">
        <f>TEXT(5552, "[$-060000]yyyy-mm-dd")</f>
        <v/>
      </c>
      <c r="D5553" t="inlineStr">
        <is>
          <t>1333-04-28</t>
        </is>
      </c>
    </row>
    <row r="5554">
      <c r="A5554" s="1" t="n">
        <v>5553</v>
      </c>
      <c r="B5554">
        <f>TEXT(5553, "[$-170000]yyyy-mm-dd")</f>
        <v/>
      </c>
      <c r="C5554">
        <f>TEXT(5553, "[$-060000]yyyy-mm-dd")</f>
        <v/>
      </c>
      <c r="D5554" t="inlineStr">
        <is>
          <t>1333-04-29</t>
        </is>
      </c>
    </row>
    <row r="5555">
      <c r="A5555" s="1" t="n">
        <v>5554</v>
      </c>
      <c r="B5555">
        <f>TEXT(5554, "[$-170000]yyyy-mm-dd")</f>
        <v/>
      </c>
      <c r="C5555">
        <f>TEXT(5554, "[$-060000]yyyy-mm-dd")</f>
        <v/>
      </c>
      <c r="D5555" t="inlineStr">
        <is>
          <t>1333-05-01</t>
        </is>
      </c>
    </row>
    <row r="5556">
      <c r="A5556" s="1" t="n">
        <v>5555</v>
      </c>
      <c r="B5556">
        <f>TEXT(5555, "[$-170000]yyyy-mm-dd")</f>
        <v/>
      </c>
      <c r="C5556">
        <f>TEXT(5555, "[$-060000]yyyy-mm-dd")</f>
        <v/>
      </c>
      <c r="D5556" t="inlineStr">
        <is>
          <t>1333-05-02</t>
        </is>
      </c>
    </row>
    <row r="5557">
      <c r="A5557" s="1" t="n">
        <v>5556</v>
      </c>
      <c r="B5557">
        <f>TEXT(5556, "[$-170000]yyyy-mm-dd")</f>
        <v/>
      </c>
      <c r="C5557">
        <f>TEXT(5556, "[$-060000]yyyy-mm-dd")</f>
        <v/>
      </c>
      <c r="D5557" t="inlineStr">
        <is>
          <t>1333-05-03</t>
        </is>
      </c>
    </row>
    <row r="5558">
      <c r="A5558" s="1" t="n">
        <v>5557</v>
      </c>
      <c r="B5558">
        <f>TEXT(5557, "[$-170000]yyyy-mm-dd")</f>
        <v/>
      </c>
      <c r="C5558">
        <f>TEXT(5557, "[$-060000]yyyy-mm-dd")</f>
        <v/>
      </c>
      <c r="D5558" t="inlineStr">
        <is>
          <t>1333-05-04</t>
        </is>
      </c>
    </row>
    <row r="5559">
      <c r="A5559" s="1" t="n">
        <v>5558</v>
      </c>
      <c r="B5559">
        <f>TEXT(5558, "[$-170000]yyyy-mm-dd")</f>
        <v/>
      </c>
      <c r="C5559">
        <f>TEXT(5558, "[$-060000]yyyy-mm-dd")</f>
        <v/>
      </c>
      <c r="D5559" t="inlineStr">
        <is>
          <t>1333-05-05</t>
        </is>
      </c>
    </row>
    <row r="5560">
      <c r="A5560" s="1" t="n">
        <v>5559</v>
      </c>
      <c r="B5560">
        <f>TEXT(5559, "[$-170000]yyyy-mm-dd")</f>
        <v/>
      </c>
      <c r="C5560">
        <f>TEXT(5559, "[$-060000]yyyy-mm-dd")</f>
        <v/>
      </c>
      <c r="D5560" t="inlineStr">
        <is>
          <t>1333-05-06</t>
        </is>
      </c>
    </row>
    <row r="5561">
      <c r="A5561" s="1" t="n">
        <v>5560</v>
      </c>
      <c r="B5561">
        <f>TEXT(5560, "[$-170000]yyyy-mm-dd")</f>
        <v/>
      </c>
      <c r="C5561">
        <f>TEXT(5560, "[$-060000]yyyy-mm-dd")</f>
        <v/>
      </c>
      <c r="D5561" t="inlineStr">
        <is>
          <t>1333-05-07</t>
        </is>
      </c>
    </row>
    <row r="5562">
      <c r="A5562" s="1" t="n">
        <v>5561</v>
      </c>
      <c r="B5562">
        <f>TEXT(5561, "[$-170000]yyyy-mm-dd")</f>
        <v/>
      </c>
      <c r="C5562">
        <f>TEXT(5561, "[$-060000]yyyy-mm-dd")</f>
        <v/>
      </c>
      <c r="D5562" t="inlineStr">
        <is>
          <t>1333-05-08</t>
        </is>
      </c>
    </row>
    <row r="5563">
      <c r="A5563" s="1" t="n">
        <v>5562</v>
      </c>
      <c r="B5563">
        <f>TEXT(5562, "[$-170000]yyyy-mm-dd")</f>
        <v/>
      </c>
      <c r="C5563">
        <f>TEXT(5562, "[$-060000]yyyy-mm-dd")</f>
        <v/>
      </c>
      <c r="D5563" t="inlineStr">
        <is>
          <t>1333-05-09</t>
        </is>
      </c>
    </row>
    <row r="5564">
      <c r="A5564" s="1" t="n">
        <v>5563</v>
      </c>
      <c r="B5564">
        <f>TEXT(5563, "[$-170000]yyyy-mm-dd")</f>
        <v/>
      </c>
      <c r="C5564">
        <f>TEXT(5563, "[$-060000]yyyy-mm-dd")</f>
        <v/>
      </c>
      <c r="D5564" t="inlineStr">
        <is>
          <t>1333-05-10</t>
        </is>
      </c>
    </row>
    <row r="5565">
      <c r="A5565" s="1" t="n">
        <v>5564</v>
      </c>
      <c r="B5565">
        <f>TEXT(5564, "[$-170000]yyyy-mm-dd")</f>
        <v/>
      </c>
      <c r="C5565">
        <f>TEXT(5564, "[$-060000]yyyy-mm-dd")</f>
        <v/>
      </c>
      <c r="D5565" t="inlineStr">
        <is>
          <t>1333-05-11</t>
        </is>
      </c>
    </row>
    <row r="5566">
      <c r="A5566" s="1" t="n">
        <v>5565</v>
      </c>
      <c r="B5566">
        <f>TEXT(5565, "[$-170000]yyyy-mm-dd")</f>
        <v/>
      </c>
      <c r="C5566">
        <f>TEXT(5565, "[$-060000]yyyy-mm-dd")</f>
        <v/>
      </c>
      <c r="D5566" t="inlineStr">
        <is>
          <t>1333-05-12</t>
        </is>
      </c>
    </row>
    <row r="5567">
      <c r="A5567" s="1" t="n">
        <v>5566</v>
      </c>
      <c r="B5567">
        <f>TEXT(5566, "[$-170000]yyyy-mm-dd")</f>
        <v/>
      </c>
      <c r="C5567">
        <f>TEXT(5566, "[$-060000]yyyy-mm-dd")</f>
        <v/>
      </c>
      <c r="D5567" t="inlineStr">
        <is>
          <t>1333-05-13</t>
        </is>
      </c>
    </row>
    <row r="5568">
      <c r="A5568" s="1" t="n">
        <v>5567</v>
      </c>
      <c r="B5568">
        <f>TEXT(5567, "[$-170000]yyyy-mm-dd")</f>
        <v/>
      </c>
      <c r="C5568">
        <f>TEXT(5567, "[$-060000]yyyy-mm-dd")</f>
        <v/>
      </c>
      <c r="D5568" t="inlineStr">
        <is>
          <t>1333-05-14</t>
        </is>
      </c>
    </row>
    <row r="5569">
      <c r="A5569" s="1" t="n">
        <v>5568</v>
      </c>
      <c r="B5569">
        <f>TEXT(5568, "[$-170000]yyyy-mm-dd")</f>
        <v/>
      </c>
      <c r="C5569">
        <f>TEXT(5568, "[$-060000]yyyy-mm-dd")</f>
        <v/>
      </c>
      <c r="D5569" t="inlineStr">
        <is>
          <t>1333-05-15</t>
        </is>
      </c>
    </row>
    <row r="5570">
      <c r="A5570" s="1" t="n">
        <v>5569</v>
      </c>
      <c r="B5570">
        <f>TEXT(5569, "[$-170000]yyyy-mm-dd")</f>
        <v/>
      </c>
      <c r="C5570">
        <f>TEXT(5569, "[$-060000]yyyy-mm-dd")</f>
        <v/>
      </c>
      <c r="D5570" t="inlineStr">
        <is>
          <t>1333-05-16</t>
        </is>
      </c>
    </row>
    <row r="5571">
      <c r="A5571" s="1" t="n">
        <v>5570</v>
      </c>
      <c r="B5571">
        <f>TEXT(5570, "[$-170000]yyyy-mm-dd")</f>
        <v/>
      </c>
      <c r="C5571">
        <f>TEXT(5570, "[$-060000]yyyy-mm-dd")</f>
        <v/>
      </c>
      <c r="D5571" t="inlineStr">
        <is>
          <t>1333-05-17</t>
        </is>
      </c>
    </row>
    <row r="5572">
      <c r="A5572" s="1" t="n">
        <v>5571</v>
      </c>
      <c r="B5572">
        <f>TEXT(5571, "[$-170000]yyyy-mm-dd")</f>
        <v/>
      </c>
      <c r="C5572">
        <f>TEXT(5571, "[$-060000]yyyy-mm-dd")</f>
        <v/>
      </c>
      <c r="D5572" t="inlineStr">
        <is>
          <t>1333-05-18</t>
        </is>
      </c>
    </row>
    <row r="5573">
      <c r="A5573" s="1" t="n">
        <v>5572</v>
      </c>
      <c r="B5573">
        <f>TEXT(5572, "[$-170000]yyyy-mm-dd")</f>
        <v/>
      </c>
      <c r="C5573">
        <f>TEXT(5572, "[$-060000]yyyy-mm-dd")</f>
        <v/>
      </c>
      <c r="D5573" t="inlineStr">
        <is>
          <t>1333-05-19</t>
        </is>
      </c>
    </row>
    <row r="5574">
      <c r="A5574" s="1" t="n">
        <v>5573</v>
      </c>
      <c r="B5574">
        <f>TEXT(5573, "[$-170000]yyyy-mm-dd")</f>
        <v/>
      </c>
      <c r="C5574">
        <f>TEXT(5573, "[$-060000]yyyy-mm-dd")</f>
        <v/>
      </c>
      <c r="D5574" t="inlineStr">
        <is>
          <t>1333-05-20</t>
        </is>
      </c>
    </row>
    <row r="5575">
      <c r="A5575" s="1" t="n">
        <v>5574</v>
      </c>
      <c r="B5575">
        <f>TEXT(5574, "[$-170000]yyyy-mm-dd")</f>
        <v/>
      </c>
      <c r="C5575">
        <f>TEXT(5574, "[$-060000]yyyy-mm-dd")</f>
        <v/>
      </c>
      <c r="D5575" t="inlineStr">
        <is>
          <t>1333-05-21</t>
        </is>
      </c>
    </row>
    <row r="5576">
      <c r="A5576" s="1" t="n">
        <v>5575</v>
      </c>
      <c r="B5576">
        <f>TEXT(5575, "[$-170000]yyyy-mm-dd")</f>
        <v/>
      </c>
      <c r="C5576">
        <f>TEXT(5575, "[$-060000]yyyy-mm-dd")</f>
        <v/>
      </c>
      <c r="D5576" t="inlineStr">
        <is>
          <t>1333-05-22</t>
        </is>
      </c>
    </row>
    <row r="5577">
      <c r="A5577" s="1" t="n">
        <v>5576</v>
      </c>
      <c r="B5577">
        <f>TEXT(5576, "[$-170000]yyyy-mm-dd")</f>
        <v/>
      </c>
      <c r="C5577">
        <f>TEXT(5576, "[$-060000]yyyy-mm-dd")</f>
        <v/>
      </c>
      <c r="D5577" t="inlineStr">
        <is>
          <t>1333-05-23</t>
        </is>
      </c>
    </row>
    <row r="5578">
      <c r="A5578" s="1" t="n">
        <v>5577</v>
      </c>
      <c r="B5578">
        <f>TEXT(5577, "[$-170000]yyyy-mm-dd")</f>
        <v/>
      </c>
      <c r="C5578">
        <f>TEXT(5577, "[$-060000]yyyy-mm-dd")</f>
        <v/>
      </c>
      <c r="D5578" t="inlineStr">
        <is>
          <t>1333-05-24</t>
        </is>
      </c>
    </row>
    <row r="5579">
      <c r="A5579" s="1" t="n">
        <v>5578</v>
      </c>
      <c r="B5579">
        <f>TEXT(5578, "[$-170000]yyyy-mm-dd")</f>
        <v/>
      </c>
      <c r="C5579">
        <f>TEXT(5578, "[$-060000]yyyy-mm-dd")</f>
        <v/>
      </c>
      <c r="D5579" t="inlineStr">
        <is>
          <t>1333-05-25</t>
        </is>
      </c>
    </row>
    <row r="5580">
      <c r="A5580" s="1" t="n">
        <v>5579</v>
      </c>
      <c r="B5580">
        <f>TEXT(5579, "[$-170000]yyyy-mm-dd")</f>
        <v/>
      </c>
      <c r="C5580">
        <f>TEXT(5579, "[$-060000]yyyy-mm-dd")</f>
        <v/>
      </c>
      <c r="D5580" t="inlineStr">
        <is>
          <t>1333-05-26</t>
        </is>
      </c>
    </row>
    <row r="5581">
      <c r="A5581" s="1" t="n">
        <v>5580</v>
      </c>
      <c r="B5581">
        <f>TEXT(5580, "[$-170000]yyyy-mm-dd")</f>
        <v/>
      </c>
      <c r="C5581">
        <f>TEXT(5580, "[$-060000]yyyy-mm-dd")</f>
        <v/>
      </c>
      <c r="D5581" t="inlineStr">
        <is>
          <t>1333-05-27</t>
        </is>
      </c>
    </row>
    <row r="5582">
      <c r="A5582" s="1" t="n">
        <v>5581</v>
      </c>
      <c r="B5582">
        <f>TEXT(5581, "[$-170000]yyyy-mm-dd")</f>
        <v/>
      </c>
      <c r="C5582">
        <f>TEXT(5581, "[$-060000]yyyy-mm-dd")</f>
        <v/>
      </c>
      <c r="D5582" t="inlineStr">
        <is>
          <t>1333-05-28</t>
        </is>
      </c>
    </row>
    <row r="5583">
      <c r="A5583" s="1" t="n">
        <v>5582</v>
      </c>
      <c r="B5583">
        <f>TEXT(5582, "[$-170000]yyyy-mm-dd")</f>
        <v/>
      </c>
      <c r="C5583">
        <f>TEXT(5582, "[$-060000]yyyy-mm-dd")</f>
        <v/>
      </c>
      <c r="D5583" t="inlineStr">
        <is>
          <t>1333-05-29</t>
        </is>
      </c>
    </row>
    <row r="5584">
      <c r="A5584" s="1" t="n">
        <v>5583</v>
      </c>
      <c r="B5584">
        <f>TEXT(5583, "[$-170000]yyyy-mm-dd")</f>
        <v/>
      </c>
      <c r="C5584">
        <f>TEXT(5583, "[$-060000]yyyy-mm-dd")</f>
        <v/>
      </c>
      <c r="D5584" t="inlineStr">
        <is>
          <t>1333-05-30</t>
        </is>
      </c>
    </row>
    <row r="5585">
      <c r="A5585" s="1" t="n">
        <v>5584</v>
      </c>
      <c r="B5585">
        <f>TEXT(5584, "[$-170000]yyyy-mm-dd")</f>
        <v/>
      </c>
      <c r="C5585">
        <f>TEXT(5584, "[$-060000]yyyy-mm-dd")</f>
        <v/>
      </c>
      <c r="D5585" t="inlineStr">
        <is>
          <t>1333-06-01</t>
        </is>
      </c>
    </row>
    <row r="5586">
      <c r="A5586" s="1" t="n">
        <v>5585</v>
      </c>
      <c r="B5586">
        <f>TEXT(5585, "[$-170000]yyyy-mm-dd")</f>
        <v/>
      </c>
      <c r="C5586">
        <f>TEXT(5585, "[$-060000]yyyy-mm-dd")</f>
        <v/>
      </c>
      <c r="D5586" t="inlineStr">
        <is>
          <t>1333-06-02</t>
        </is>
      </c>
    </row>
    <row r="5587">
      <c r="A5587" s="1" t="n">
        <v>5586</v>
      </c>
      <c r="B5587">
        <f>TEXT(5586, "[$-170000]yyyy-mm-dd")</f>
        <v/>
      </c>
      <c r="C5587">
        <f>TEXT(5586, "[$-060000]yyyy-mm-dd")</f>
        <v/>
      </c>
      <c r="D5587" t="inlineStr">
        <is>
          <t>1333-06-03</t>
        </is>
      </c>
    </row>
    <row r="5588">
      <c r="A5588" s="1" t="n">
        <v>5587</v>
      </c>
      <c r="B5588">
        <f>TEXT(5587, "[$-170000]yyyy-mm-dd")</f>
        <v/>
      </c>
      <c r="C5588">
        <f>TEXT(5587, "[$-060000]yyyy-mm-dd")</f>
        <v/>
      </c>
      <c r="D5588" t="inlineStr">
        <is>
          <t>1333-06-04</t>
        </is>
      </c>
    </row>
    <row r="5589">
      <c r="A5589" s="1" t="n">
        <v>5588</v>
      </c>
      <c r="B5589">
        <f>TEXT(5588, "[$-170000]yyyy-mm-dd")</f>
        <v/>
      </c>
      <c r="C5589">
        <f>TEXT(5588, "[$-060000]yyyy-mm-dd")</f>
        <v/>
      </c>
      <c r="D5589" t="inlineStr">
        <is>
          <t>1333-06-05</t>
        </is>
      </c>
    </row>
    <row r="5590">
      <c r="A5590" s="1" t="n">
        <v>5589</v>
      </c>
      <c r="B5590">
        <f>TEXT(5589, "[$-170000]yyyy-mm-dd")</f>
        <v/>
      </c>
      <c r="C5590">
        <f>TEXT(5589, "[$-060000]yyyy-mm-dd")</f>
        <v/>
      </c>
      <c r="D5590" t="inlineStr">
        <is>
          <t>1333-06-06</t>
        </is>
      </c>
    </row>
    <row r="5591">
      <c r="A5591" s="1" t="n">
        <v>5590</v>
      </c>
      <c r="B5591">
        <f>TEXT(5590, "[$-170000]yyyy-mm-dd")</f>
        <v/>
      </c>
      <c r="C5591">
        <f>TEXT(5590, "[$-060000]yyyy-mm-dd")</f>
        <v/>
      </c>
      <c r="D5591" t="inlineStr">
        <is>
          <t>1333-06-07</t>
        </is>
      </c>
    </row>
    <row r="5592">
      <c r="A5592" s="1" t="n">
        <v>5591</v>
      </c>
      <c r="B5592">
        <f>TEXT(5591, "[$-170000]yyyy-mm-dd")</f>
        <v/>
      </c>
      <c r="C5592">
        <f>TEXT(5591, "[$-060000]yyyy-mm-dd")</f>
        <v/>
      </c>
      <c r="D5592" t="inlineStr">
        <is>
          <t>1333-06-08</t>
        </is>
      </c>
    </row>
    <row r="5593">
      <c r="A5593" s="1" t="n">
        <v>5592</v>
      </c>
      <c r="B5593">
        <f>TEXT(5592, "[$-170000]yyyy-mm-dd")</f>
        <v/>
      </c>
      <c r="C5593">
        <f>TEXT(5592, "[$-060000]yyyy-mm-dd")</f>
        <v/>
      </c>
      <c r="D5593" t="inlineStr">
        <is>
          <t>1333-06-09</t>
        </is>
      </c>
    </row>
    <row r="5594">
      <c r="A5594" s="1" t="n">
        <v>5593</v>
      </c>
      <c r="B5594">
        <f>TEXT(5593, "[$-170000]yyyy-mm-dd")</f>
        <v/>
      </c>
      <c r="C5594">
        <f>TEXT(5593, "[$-060000]yyyy-mm-dd")</f>
        <v/>
      </c>
      <c r="D5594" t="inlineStr">
        <is>
          <t>1333-06-10</t>
        </is>
      </c>
    </row>
    <row r="5595">
      <c r="A5595" s="1" t="n">
        <v>5594</v>
      </c>
      <c r="B5595">
        <f>TEXT(5594, "[$-170000]yyyy-mm-dd")</f>
        <v/>
      </c>
      <c r="C5595">
        <f>TEXT(5594, "[$-060000]yyyy-mm-dd")</f>
        <v/>
      </c>
      <c r="D5595" t="inlineStr">
        <is>
          <t>1333-06-11</t>
        </is>
      </c>
    </row>
    <row r="5596">
      <c r="A5596" s="1" t="n">
        <v>5595</v>
      </c>
      <c r="B5596">
        <f>TEXT(5595, "[$-170000]yyyy-mm-dd")</f>
        <v/>
      </c>
      <c r="C5596">
        <f>TEXT(5595, "[$-060000]yyyy-mm-dd")</f>
        <v/>
      </c>
      <c r="D5596" t="inlineStr">
        <is>
          <t>1333-06-12</t>
        </is>
      </c>
    </row>
    <row r="5597">
      <c r="A5597" s="1" t="n">
        <v>5596</v>
      </c>
      <c r="B5597">
        <f>TEXT(5596, "[$-170000]yyyy-mm-dd")</f>
        <v/>
      </c>
      <c r="C5597">
        <f>TEXT(5596, "[$-060000]yyyy-mm-dd")</f>
        <v/>
      </c>
      <c r="D5597" t="inlineStr">
        <is>
          <t>1333-06-13</t>
        </is>
      </c>
    </row>
    <row r="5598">
      <c r="A5598" s="1" t="n">
        <v>5597</v>
      </c>
      <c r="B5598">
        <f>TEXT(5597, "[$-170000]yyyy-mm-dd")</f>
        <v/>
      </c>
      <c r="C5598">
        <f>TEXT(5597, "[$-060000]yyyy-mm-dd")</f>
        <v/>
      </c>
      <c r="D5598" t="inlineStr">
        <is>
          <t>1333-06-14</t>
        </is>
      </c>
    </row>
    <row r="5599">
      <c r="A5599" s="1" t="n">
        <v>5598</v>
      </c>
      <c r="B5599">
        <f>TEXT(5598, "[$-170000]yyyy-mm-dd")</f>
        <v/>
      </c>
      <c r="C5599">
        <f>TEXT(5598, "[$-060000]yyyy-mm-dd")</f>
        <v/>
      </c>
      <c r="D5599" t="inlineStr">
        <is>
          <t>1333-06-15</t>
        </is>
      </c>
    </row>
    <row r="5600">
      <c r="A5600" s="1" t="n">
        <v>5599</v>
      </c>
      <c r="B5600">
        <f>TEXT(5599, "[$-170000]yyyy-mm-dd")</f>
        <v/>
      </c>
      <c r="C5600">
        <f>TEXT(5599, "[$-060000]yyyy-mm-dd")</f>
        <v/>
      </c>
      <c r="D5600" t="inlineStr">
        <is>
          <t>1333-06-16</t>
        </is>
      </c>
    </row>
    <row r="5601">
      <c r="A5601" s="1" t="n">
        <v>5600</v>
      </c>
      <c r="B5601">
        <f>TEXT(5600, "[$-170000]yyyy-mm-dd")</f>
        <v/>
      </c>
      <c r="C5601">
        <f>TEXT(5600, "[$-060000]yyyy-mm-dd")</f>
        <v/>
      </c>
      <c r="D5601" t="inlineStr">
        <is>
          <t>1333-06-17</t>
        </is>
      </c>
    </row>
    <row r="5602">
      <c r="A5602" s="1" t="n">
        <v>5601</v>
      </c>
      <c r="B5602">
        <f>TEXT(5601, "[$-170000]yyyy-mm-dd")</f>
        <v/>
      </c>
      <c r="C5602">
        <f>TEXT(5601, "[$-060000]yyyy-mm-dd")</f>
        <v/>
      </c>
      <c r="D5602" t="inlineStr">
        <is>
          <t>1333-06-18</t>
        </is>
      </c>
    </row>
    <row r="5603">
      <c r="A5603" s="1" t="n">
        <v>5602</v>
      </c>
      <c r="B5603">
        <f>TEXT(5602, "[$-170000]yyyy-mm-dd")</f>
        <v/>
      </c>
      <c r="C5603">
        <f>TEXT(5602, "[$-060000]yyyy-mm-dd")</f>
        <v/>
      </c>
      <c r="D5603" t="inlineStr">
        <is>
          <t>1333-06-19</t>
        </is>
      </c>
    </row>
    <row r="5604">
      <c r="A5604" s="1" t="n">
        <v>5603</v>
      </c>
      <c r="B5604">
        <f>TEXT(5603, "[$-170000]yyyy-mm-dd")</f>
        <v/>
      </c>
      <c r="C5604">
        <f>TEXT(5603, "[$-060000]yyyy-mm-dd")</f>
        <v/>
      </c>
      <c r="D5604" t="inlineStr">
        <is>
          <t>1333-06-20</t>
        </is>
      </c>
    </row>
    <row r="5605">
      <c r="A5605" s="1" t="n">
        <v>5604</v>
      </c>
      <c r="B5605">
        <f>TEXT(5604, "[$-170000]yyyy-mm-dd")</f>
        <v/>
      </c>
      <c r="C5605">
        <f>TEXT(5604, "[$-060000]yyyy-mm-dd")</f>
        <v/>
      </c>
      <c r="D5605" t="inlineStr">
        <is>
          <t>1333-06-21</t>
        </is>
      </c>
    </row>
    <row r="5606">
      <c r="A5606" s="1" t="n">
        <v>5605</v>
      </c>
      <c r="B5606">
        <f>TEXT(5605, "[$-170000]yyyy-mm-dd")</f>
        <v/>
      </c>
      <c r="C5606">
        <f>TEXT(5605, "[$-060000]yyyy-mm-dd")</f>
        <v/>
      </c>
      <c r="D5606" t="inlineStr">
        <is>
          <t>1333-06-22</t>
        </is>
      </c>
    </row>
    <row r="5607">
      <c r="A5607" s="1" t="n">
        <v>5606</v>
      </c>
      <c r="B5607">
        <f>TEXT(5606, "[$-170000]yyyy-mm-dd")</f>
        <v/>
      </c>
      <c r="C5607">
        <f>TEXT(5606, "[$-060000]yyyy-mm-dd")</f>
        <v/>
      </c>
      <c r="D5607" t="inlineStr">
        <is>
          <t>1333-06-23</t>
        </is>
      </c>
    </row>
    <row r="5608">
      <c r="A5608" s="1" t="n">
        <v>5607</v>
      </c>
      <c r="B5608">
        <f>TEXT(5607, "[$-170000]yyyy-mm-dd")</f>
        <v/>
      </c>
      <c r="C5608">
        <f>TEXT(5607, "[$-060000]yyyy-mm-dd")</f>
        <v/>
      </c>
      <c r="D5608" t="inlineStr">
        <is>
          <t>1333-06-24</t>
        </is>
      </c>
    </row>
    <row r="5609">
      <c r="A5609" s="1" t="n">
        <v>5608</v>
      </c>
      <c r="B5609">
        <f>TEXT(5608, "[$-170000]yyyy-mm-dd")</f>
        <v/>
      </c>
      <c r="C5609">
        <f>TEXT(5608, "[$-060000]yyyy-mm-dd")</f>
        <v/>
      </c>
      <c r="D5609" t="inlineStr">
        <is>
          <t>1333-06-25</t>
        </is>
      </c>
    </row>
    <row r="5610">
      <c r="A5610" s="1" t="n">
        <v>5609</v>
      </c>
      <c r="B5610">
        <f>TEXT(5609, "[$-170000]yyyy-mm-dd")</f>
        <v/>
      </c>
      <c r="C5610">
        <f>TEXT(5609, "[$-060000]yyyy-mm-dd")</f>
        <v/>
      </c>
      <c r="D5610" t="inlineStr">
        <is>
          <t>1333-06-26</t>
        </is>
      </c>
    </row>
    <row r="5611">
      <c r="A5611" s="1" t="n">
        <v>5610</v>
      </c>
      <c r="B5611">
        <f>TEXT(5610, "[$-170000]yyyy-mm-dd")</f>
        <v/>
      </c>
      <c r="C5611">
        <f>TEXT(5610, "[$-060000]yyyy-mm-dd")</f>
        <v/>
      </c>
      <c r="D5611" t="inlineStr">
        <is>
          <t>1333-06-27</t>
        </is>
      </c>
    </row>
    <row r="5612">
      <c r="A5612" s="1" t="n">
        <v>5611</v>
      </c>
      <c r="B5612">
        <f>TEXT(5611, "[$-170000]yyyy-mm-dd")</f>
        <v/>
      </c>
      <c r="C5612">
        <f>TEXT(5611, "[$-060000]yyyy-mm-dd")</f>
        <v/>
      </c>
      <c r="D5612" t="inlineStr">
        <is>
          <t>1333-06-28</t>
        </is>
      </c>
    </row>
    <row r="5613">
      <c r="A5613" s="1" t="n">
        <v>5612</v>
      </c>
      <c r="B5613">
        <f>TEXT(5612, "[$-170000]yyyy-mm-dd")</f>
        <v/>
      </c>
      <c r="C5613">
        <f>TEXT(5612, "[$-060000]yyyy-mm-dd")</f>
        <v/>
      </c>
      <c r="D5613" t="inlineStr">
        <is>
          <t>1333-06-29</t>
        </is>
      </c>
    </row>
    <row r="5614">
      <c r="A5614" s="1" t="n">
        <v>5613</v>
      </c>
      <c r="B5614">
        <f>TEXT(5613, "[$-170000]yyyy-mm-dd")</f>
        <v/>
      </c>
      <c r="C5614">
        <f>TEXT(5613, "[$-060000]yyyy-mm-dd")</f>
        <v/>
      </c>
      <c r="D5614" t="inlineStr">
        <is>
          <t>1333-07-01</t>
        </is>
      </c>
    </row>
    <row r="5615">
      <c r="A5615" s="1" t="n">
        <v>5614</v>
      </c>
      <c r="B5615">
        <f>TEXT(5614, "[$-170000]yyyy-mm-dd")</f>
        <v/>
      </c>
      <c r="C5615">
        <f>TEXT(5614, "[$-060000]yyyy-mm-dd")</f>
        <v/>
      </c>
      <c r="D5615" t="inlineStr">
        <is>
          <t>1333-07-02</t>
        </is>
      </c>
    </row>
    <row r="5616">
      <c r="A5616" s="1" t="n">
        <v>5615</v>
      </c>
      <c r="B5616">
        <f>TEXT(5615, "[$-170000]yyyy-mm-dd")</f>
        <v/>
      </c>
      <c r="C5616">
        <f>TEXT(5615, "[$-060000]yyyy-mm-dd")</f>
        <v/>
      </c>
      <c r="D5616" t="inlineStr">
        <is>
          <t>1333-07-03</t>
        </is>
      </c>
    </row>
    <row r="5617">
      <c r="A5617" s="1" t="n">
        <v>5616</v>
      </c>
      <c r="B5617">
        <f>TEXT(5616, "[$-170000]yyyy-mm-dd")</f>
        <v/>
      </c>
      <c r="C5617">
        <f>TEXT(5616, "[$-060000]yyyy-mm-dd")</f>
        <v/>
      </c>
      <c r="D5617" t="inlineStr">
        <is>
          <t>1333-07-04</t>
        </is>
      </c>
    </row>
    <row r="5618">
      <c r="A5618" s="1" t="n">
        <v>5617</v>
      </c>
      <c r="B5618">
        <f>TEXT(5617, "[$-170000]yyyy-mm-dd")</f>
        <v/>
      </c>
      <c r="C5618">
        <f>TEXT(5617, "[$-060000]yyyy-mm-dd")</f>
        <v/>
      </c>
      <c r="D5618" t="inlineStr">
        <is>
          <t>1333-07-05</t>
        </is>
      </c>
    </row>
    <row r="5619">
      <c r="A5619" s="1" t="n">
        <v>5618</v>
      </c>
      <c r="B5619">
        <f>TEXT(5618, "[$-170000]yyyy-mm-dd")</f>
        <v/>
      </c>
      <c r="C5619">
        <f>TEXT(5618, "[$-060000]yyyy-mm-dd")</f>
        <v/>
      </c>
      <c r="D5619" t="inlineStr">
        <is>
          <t>1333-07-06</t>
        </is>
      </c>
    </row>
    <row r="5620">
      <c r="A5620" s="1" t="n">
        <v>5619</v>
      </c>
      <c r="B5620">
        <f>TEXT(5619, "[$-170000]yyyy-mm-dd")</f>
        <v/>
      </c>
      <c r="C5620">
        <f>TEXT(5619, "[$-060000]yyyy-mm-dd")</f>
        <v/>
      </c>
      <c r="D5620" t="inlineStr">
        <is>
          <t>1333-07-07</t>
        </is>
      </c>
    </row>
    <row r="5621">
      <c r="A5621" s="1" t="n">
        <v>5620</v>
      </c>
      <c r="B5621">
        <f>TEXT(5620, "[$-170000]yyyy-mm-dd")</f>
        <v/>
      </c>
      <c r="C5621">
        <f>TEXT(5620, "[$-060000]yyyy-mm-dd")</f>
        <v/>
      </c>
      <c r="D5621" t="inlineStr">
        <is>
          <t>1333-07-08</t>
        </is>
      </c>
    </row>
    <row r="5622">
      <c r="A5622" s="1" t="n">
        <v>5621</v>
      </c>
      <c r="B5622">
        <f>TEXT(5621, "[$-170000]yyyy-mm-dd")</f>
        <v/>
      </c>
      <c r="C5622">
        <f>TEXT(5621, "[$-060000]yyyy-mm-dd")</f>
        <v/>
      </c>
      <c r="D5622" t="inlineStr">
        <is>
          <t>1333-07-09</t>
        </is>
      </c>
    </row>
    <row r="5623">
      <c r="A5623" s="1" t="n">
        <v>5622</v>
      </c>
      <c r="B5623">
        <f>TEXT(5622, "[$-170000]yyyy-mm-dd")</f>
        <v/>
      </c>
      <c r="C5623">
        <f>TEXT(5622, "[$-060000]yyyy-mm-dd")</f>
        <v/>
      </c>
      <c r="D5623" t="inlineStr">
        <is>
          <t>1333-07-10</t>
        </is>
      </c>
    </row>
    <row r="5624">
      <c r="A5624" s="1" t="n">
        <v>5623</v>
      </c>
      <c r="B5624">
        <f>TEXT(5623, "[$-170000]yyyy-mm-dd")</f>
        <v/>
      </c>
      <c r="C5624">
        <f>TEXT(5623, "[$-060000]yyyy-mm-dd")</f>
        <v/>
      </c>
      <c r="D5624" t="inlineStr">
        <is>
          <t>1333-07-11</t>
        </is>
      </c>
    </row>
    <row r="5625">
      <c r="A5625" s="1" t="n">
        <v>5624</v>
      </c>
      <c r="B5625">
        <f>TEXT(5624, "[$-170000]yyyy-mm-dd")</f>
        <v/>
      </c>
      <c r="C5625">
        <f>TEXT(5624, "[$-060000]yyyy-mm-dd")</f>
        <v/>
      </c>
      <c r="D5625" t="inlineStr">
        <is>
          <t>1333-07-12</t>
        </is>
      </c>
    </row>
    <row r="5626">
      <c r="A5626" s="1" t="n">
        <v>5625</v>
      </c>
      <c r="B5626">
        <f>TEXT(5625, "[$-170000]yyyy-mm-dd")</f>
        <v/>
      </c>
      <c r="C5626">
        <f>TEXT(5625, "[$-060000]yyyy-mm-dd")</f>
        <v/>
      </c>
      <c r="D5626" t="inlineStr">
        <is>
          <t>1333-07-13</t>
        </is>
      </c>
    </row>
    <row r="5627">
      <c r="A5627" s="1" t="n">
        <v>5626</v>
      </c>
      <c r="B5627">
        <f>TEXT(5626, "[$-170000]yyyy-mm-dd")</f>
        <v/>
      </c>
      <c r="C5627">
        <f>TEXT(5626, "[$-060000]yyyy-mm-dd")</f>
        <v/>
      </c>
      <c r="D5627" t="inlineStr">
        <is>
          <t>1333-07-14</t>
        </is>
      </c>
    </row>
    <row r="5628">
      <c r="A5628" s="1" t="n">
        <v>5627</v>
      </c>
      <c r="B5628">
        <f>TEXT(5627, "[$-170000]yyyy-mm-dd")</f>
        <v/>
      </c>
      <c r="C5628">
        <f>TEXT(5627, "[$-060000]yyyy-mm-dd")</f>
        <v/>
      </c>
      <c r="D5628" t="inlineStr">
        <is>
          <t>1333-07-15</t>
        </is>
      </c>
    </row>
    <row r="5629">
      <c r="A5629" s="1" t="n">
        <v>5628</v>
      </c>
      <c r="B5629">
        <f>TEXT(5628, "[$-170000]yyyy-mm-dd")</f>
        <v/>
      </c>
      <c r="C5629">
        <f>TEXT(5628, "[$-060000]yyyy-mm-dd")</f>
        <v/>
      </c>
      <c r="D5629" t="inlineStr">
        <is>
          <t>1333-07-16</t>
        </is>
      </c>
    </row>
    <row r="5630">
      <c r="A5630" s="1" t="n">
        <v>5629</v>
      </c>
      <c r="B5630">
        <f>TEXT(5629, "[$-170000]yyyy-mm-dd")</f>
        <v/>
      </c>
      <c r="C5630">
        <f>TEXT(5629, "[$-060000]yyyy-mm-dd")</f>
        <v/>
      </c>
      <c r="D5630" t="inlineStr">
        <is>
          <t>1333-07-17</t>
        </is>
      </c>
    </row>
    <row r="5631">
      <c r="A5631" s="1" t="n">
        <v>5630</v>
      </c>
      <c r="B5631">
        <f>TEXT(5630, "[$-170000]yyyy-mm-dd")</f>
        <v/>
      </c>
      <c r="C5631">
        <f>TEXT(5630, "[$-060000]yyyy-mm-dd")</f>
        <v/>
      </c>
      <c r="D5631" t="inlineStr">
        <is>
          <t>1333-07-18</t>
        </is>
      </c>
    </row>
    <row r="5632">
      <c r="A5632" s="1" t="n">
        <v>5631</v>
      </c>
      <c r="B5632">
        <f>TEXT(5631, "[$-170000]yyyy-mm-dd")</f>
        <v/>
      </c>
      <c r="C5632">
        <f>TEXT(5631, "[$-060000]yyyy-mm-dd")</f>
        <v/>
      </c>
      <c r="D5632" t="inlineStr">
        <is>
          <t>1333-07-19</t>
        </is>
      </c>
    </row>
    <row r="5633">
      <c r="A5633" s="1" t="n">
        <v>5632</v>
      </c>
      <c r="B5633">
        <f>TEXT(5632, "[$-170000]yyyy-mm-dd")</f>
        <v/>
      </c>
      <c r="C5633">
        <f>TEXT(5632, "[$-060000]yyyy-mm-dd")</f>
        <v/>
      </c>
      <c r="D5633" t="inlineStr">
        <is>
          <t>1333-07-20</t>
        </is>
      </c>
    </row>
    <row r="5634">
      <c r="A5634" s="1" t="n">
        <v>5633</v>
      </c>
      <c r="B5634">
        <f>TEXT(5633, "[$-170000]yyyy-mm-dd")</f>
        <v/>
      </c>
      <c r="C5634">
        <f>TEXT(5633, "[$-060000]yyyy-mm-dd")</f>
        <v/>
      </c>
      <c r="D5634" t="inlineStr">
        <is>
          <t>1333-07-21</t>
        </is>
      </c>
    </row>
    <row r="5635">
      <c r="A5635" s="1" t="n">
        <v>5634</v>
      </c>
      <c r="B5635">
        <f>TEXT(5634, "[$-170000]yyyy-mm-dd")</f>
        <v/>
      </c>
      <c r="C5635">
        <f>TEXT(5634, "[$-060000]yyyy-mm-dd")</f>
        <v/>
      </c>
      <c r="D5635" t="inlineStr">
        <is>
          <t>1333-07-22</t>
        </is>
      </c>
    </row>
    <row r="5636">
      <c r="A5636" s="1" t="n">
        <v>5635</v>
      </c>
      <c r="B5636">
        <f>TEXT(5635, "[$-170000]yyyy-mm-dd")</f>
        <v/>
      </c>
      <c r="C5636">
        <f>TEXT(5635, "[$-060000]yyyy-mm-dd")</f>
        <v/>
      </c>
      <c r="D5636" t="inlineStr">
        <is>
          <t>1333-07-23</t>
        </is>
      </c>
    </row>
    <row r="5637">
      <c r="A5637" s="1" t="n">
        <v>5636</v>
      </c>
      <c r="B5637">
        <f>TEXT(5636, "[$-170000]yyyy-mm-dd")</f>
        <v/>
      </c>
      <c r="C5637">
        <f>TEXT(5636, "[$-060000]yyyy-mm-dd")</f>
        <v/>
      </c>
      <c r="D5637" t="inlineStr">
        <is>
          <t>1333-07-24</t>
        </is>
      </c>
    </row>
    <row r="5638">
      <c r="A5638" s="1" t="n">
        <v>5637</v>
      </c>
      <c r="B5638">
        <f>TEXT(5637, "[$-170000]yyyy-mm-dd")</f>
        <v/>
      </c>
      <c r="C5638">
        <f>TEXT(5637, "[$-060000]yyyy-mm-dd")</f>
        <v/>
      </c>
      <c r="D5638" t="inlineStr">
        <is>
          <t>1333-07-25</t>
        </is>
      </c>
    </row>
    <row r="5639">
      <c r="A5639" s="1" t="n">
        <v>5638</v>
      </c>
      <c r="B5639">
        <f>TEXT(5638, "[$-170000]yyyy-mm-dd")</f>
        <v/>
      </c>
      <c r="C5639">
        <f>TEXT(5638, "[$-060000]yyyy-mm-dd")</f>
        <v/>
      </c>
      <c r="D5639" t="inlineStr">
        <is>
          <t>1333-07-26</t>
        </is>
      </c>
    </row>
    <row r="5640">
      <c r="A5640" s="1" t="n">
        <v>5639</v>
      </c>
      <c r="B5640">
        <f>TEXT(5639, "[$-170000]yyyy-mm-dd")</f>
        <v/>
      </c>
      <c r="C5640">
        <f>TEXT(5639, "[$-060000]yyyy-mm-dd")</f>
        <v/>
      </c>
      <c r="D5640" t="inlineStr">
        <is>
          <t>1333-07-27</t>
        </is>
      </c>
    </row>
    <row r="5641">
      <c r="A5641" s="1" t="n">
        <v>5640</v>
      </c>
      <c r="B5641">
        <f>TEXT(5640, "[$-170000]yyyy-mm-dd")</f>
        <v/>
      </c>
      <c r="C5641">
        <f>TEXT(5640, "[$-060000]yyyy-mm-dd")</f>
        <v/>
      </c>
      <c r="D5641" t="inlineStr">
        <is>
          <t>1333-07-28</t>
        </is>
      </c>
    </row>
    <row r="5642">
      <c r="A5642" s="1" t="n">
        <v>5641</v>
      </c>
      <c r="B5642">
        <f>TEXT(5641, "[$-170000]yyyy-mm-dd")</f>
        <v/>
      </c>
      <c r="C5642">
        <f>TEXT(5641, "[$-060000]yyyy-mm-dd")</f>
        <v/>
      </c>
      <c r="D5642" t="inlineStr">
        <is>
          <t>1333-07-29</t>
        </is>
      </c>
    </row>
    <row r="5643">
      <c r="A5643" s="1" t="n">
        <v>5642</v>
      </c>
      <c r="B5643">
        <f>TEXT(5642, "[$-170000]yyyy-mm-dd")</f>
        <v/>
      </c>
      <c r="C5643">
        <f>TEXT(5642, "[$-060000]yyyy-mm-dd")</f>
        <v/>
      </c>
      <c r="D5643" t="inlineStr">
        <is>
          <t>1333-07-30</t>
        </is>
      </c>
    </row>
    <row r="5644">
      <c r="A5644" s="1" t="n">
        <v>5643</v>
      </c>
      <c r="B5644">
        <f>TEXT(5643, "[$-170000]yyyy-mm-dd")</f>
        <v/>
      </c>
      <c r="C5644">
        <f>TEXT(5643, "[$-060000]yyyy-mm-dd")</f>
        <v/>
      </c>
      <c r="D5644" t="inlineStr">
        <is>
          <t>1333-08-01</t>
        </is>
      </c>
    </row>
    <row r="5645">
      <c r="A5645" s="1" t="n">
        <v>5644</v>
      </c>
      <c r="B5645">
        <f>TEXT(5644, "[$-170000]yyyy-mm-dd")</f>
        <v/>
      </c>
      <c r="C5645">
        <f>TEXT(5644, "[$-060000]yyyy-mm-dd")</f>
        <v/>
      </c>
      <c r="D5645" t="inlineStr">
        <is>
          <t>1333-08-02</t>
        </is>
      </c>
    </row>
    <row r="5646">
      <c r="A5646" s="1" t="n">
        <v>5645</v>
      </c>
      <c r="B5646">
        <f>TEXT(5645, "[$-170000]yyyy-mm-dd")</f>
        <v/>
      </c>
      <c r="C5646">
        <f>TEXT(5645, "[$-060000]yyyy-mm-dd")</f>
        <v/>
      </c>
      <c r="D5646" t="inlineStr">
        <is>
          <t>1333-08-03</t>
        </is>
      </c>
    </row>
    <row r="5647">
      <c r="A5647" s="1" t="n">
        <v>5646</v>
      </c>
      <c r="B5647">
        <f>TEXT(5646, "[$-170000]yyyy-mm-dd")</f>
        <v/>
      </c>
      <c r="C5647">
        <f>TEXT(5646, "[$-060000]yyyy-mm-dd")</f>
        <v/>
      </c>
      <c r="D5647" t="inlineStr">
        <is>
          <t>1333-08-04</t>
        </is>
      </c>
    </row>
    <row r="5648">
      <c r="A5648" s="1" t="n">
        <v>5647</v>
      </c>
      <c r="B5648">
        <f>TEXT(5647, "[$-170000]yyyy-mm-dd")</f>
        <v/>
      </c>
      <c r="C5648">
        <f>TEXT(5647, "[$-060000]yyyy-mm-dd")</f>
        <v/>
      </c>
      <c r="D5648" t="inlineStr">
        <is>
          <t>1333-08-05</t>
        </is>
      </c>
    </row>
    <row r="5649">
      <c r="A5649" s="1" t="n">
        <v>5648</v>
      </c>
      <c r="B5649">
        <f>TEXT(5648, "[$-170000]yyyy-mm-dd")</f>
        <v/>
      </c>
      <c r="C5649">
        <f>TEXT(5648, "[$-060000]yyyy-mm-dd")</f>
        <v/>
      </c>
      <c r="D5649" t="inlineStr">
        <is>
          <t>1333-08-06</t>
        </is>
      </c>
    </row>
    <row r="5650">
      <c r="A5650" s="1" t="n">
        <v>5649</v>
      </c>
      <c r="B5650">
        <f>TEXT(5649, "[$-170000]yyyy-mm-dd")</f>
        <v/>
      </c>
      <c r="C5650">
        <f>TEXT(5649, "[$-060000]yyyy-mm-dd")</f>
        <v/>
      </c>
      <c r="D5650" t="inlineStr">
        <is>
          <t>1333-08-07</t>
        </is>
      </c>
    </row>
    <row r="5651">
      <c r="A5651" s="1" t="n">
        <v>5650</v>
      </c>
      <c r="B5651">
        <f>TEXT(5650, "[$-170000]yyyy-mm-dd")</f>
        <v/>
      </c>
      <c r="C5651">
        <f>TEXT(5650, "[$-060000]yyyy-mm-dd")</f>
        <v/>
      </c>
      <c r="D5651" t="inlineStr">
        <is>
          <t>1333-08-08</t>
        </is>
      </c>
    </row>
    <row r="5652">
      <c r="A5652" s="1" t="n">
        <v>5651</v>
      </c>
      <c r="B5652">
        <f>TEXT(5651, "[$-170000]yyyy-mm-dd")</f>
        <v/>
      </c>
      <c r="C5652">
        <f>TEXT(5651, "[$-060000]yyyy-mm-dd")</f>
        <v/>
      </c>
      <c r="D5652" t="inlineStr">
        <is>
          <t>1333-08-09</t>
        </is>
      </c>
    </row>
    <row r="5653">
      <c r="A5653" s="1" t="n">
        <v>5652</v>
      </c>
      <c r="B5653">
        <f>TEXT(5652, "[$-170000]yyyy-mm-dd")</f>
        <v/>
      </c>
      <c r="C5653">
        <f>TEXT(5652, "[$-060000]yyyy-mm-dd")</f>
        <v/>
      </c>
      <c r="D5653" t="inlineStr">
        <is>
          <t>1333-08-10</t>
        </is>
      </c>
    </row>
    <row r="5654">
      <c r="A5654" s="1" t="n">
        <v>5653</v>
      </c>
      <c r="B5654">
        <f>TEXT(5653, "[$-170000]yyyy-mm-dd")</f>
        <v/>
      </c>
      <c r="C5654">
        <f>TEXT(5653, "[$-060000]yyyy-mm-dd")</f>
        <v/>
      </c>
      <c r="D5654" t="inlineStr">
        <is>
          <t>1333-08-11</t>
        </is>
      </c>
    </row>
    <row r="5655">
      <c r="A5655" s="1" t="n">
        <v>5654</v>
      </c>
      <c r="B5655">
        <f>TEXT(5654, "[$-170000]yyyy-mm-dd")</f>
        <v/>
      </c>
      <c r="C5655">
        <f>TEXT(5654, "[$-060000]yyyy-mm-dd")</f>
        <v/>
      </c>
      <c r="D5655" t="inlineStr">
        <is>
          <t>1333-08-12</t>
        </is>
      </c>
    </row>
    <row r="5656">
      <c r="A5656" s="1" t="n">
        <v>5655</v>
      </c>
      <c r="B5656">
        <f>TEXT(5655, "[$-170000]yyyy-mm-dd")</f>
        <v/>
      </c>
      <c r="C5656">
        <f>TEXT(5655, "[$-060000]yyyy-mm-dd")</f>
        <v/>
      </c>
      <c r="D5656" t="inlineStr">
        <is>
          <t>1333-08-13</t>
        </is>
      </c>
    </row>
    <row r="5657">
      <c r="A5657" s="1" t="n">
        <v>5656</v>
      </c>
      <c r="B5657">
        <f>TEXT(5656, "[$-170000]yyyy-mm-dd")</f>
        <v/>
      </c>
      <c r="C5657">
        <f>TEXT(5656, "[$-060000]yyyy-mm-dd")</f>
        <v/>
      </c>
      <c r="D5657" t="inlineStr">
        <is>
          <t>1333-08-14</t>
        </is>
      </c>
    </row>
    <row r="5658">
      <c r="A5658" s="1" t="n">
        <v>5657</v>
      </c>
      <c r="B5658">
        <f>TEXT(5657, "[$-170000]yyyy-mm-dd")</f>
        <v/>
      </c>
      <c r="C5658">
        <f>TEXT(5657, "[$-060000]yyyy-mm-dd")</f>
        <v/>
      </c>
      <c r="D5658" t="inlineStr">
        <is>
          <t>1333-08-15</t>
        </is>
      </c>
    </row>
    <row r="5659">
      <c r="A5659" s="1" t="n">
        <v>5658</v>
      </c>
      <c r="B5659">
        <f>TEXT(5658, "[$-170000]yyyy-mm-dd")</f>
        <v/>
      </c>
      <c r="C5659">
        <f>TEXT(5658, "[$-060000]yyyy-mm-dd")</f>
        <v/>
      </c>
      <c r="D5659" t="inlineStr">
        <is>
          <t>1333-08-16</t>
        </is>
      </c>
    </row>
    <row r="5660">
      <c r="A5660" s="1" t="n">
        <v>5659</v>
      </c>
      <c r="B5660">
        <f>TEXT(5659, "[$-170000]yyyy-mm-dd")</f>
        <v/>
      </c>
      <c r="C5660">
        <f>TEXT(5659, "[$-060000]yyyy-mm-dd")</f>
        <v/>
      </c>
      <c r="D5660" t="inlineStr">
        <is>
          <t>1333-08-17</t>
        </is>
      </c>
    </row>
    <row r="5661">
      <c r="A5661" s="1" t="n">
        <v>5660</v>
      </c>
      <c r="B5661">
        <f>TEXT(5660, "[$-170000]yyyy-mm-dd")</f>
        <v/>
      </c>
      <c r="C5661">
        <f>TEXT(5660, "[$-060000]yyyy-mm-dd")</f>
        <v/>
      </c>
      <c r="D5661" t="inlineStr">
        <is>
          <t>1333-08-18</t>
        </is>
      </c>
    </row>
    <row r="5662">
      <c r="A5662" s="1" t="n">
        <v>5661</v>
      </c>
      <c r="B5662">
        <f>TEXT(5661, "[$-170000]yyyy-mm-dd")</f>
        <v/>
      </c>
      <c r="C5662">
        <f>TEXT(5661, "[$-060000]yyyy-mm-dd")</f>
        <v/>
      </c>
      <c r="D5662" t="inlineStr">
        <is>
          <t>1333-08-19</t>
        </is>
      </c>
    </row>
    <row r="5663">
      <c r="A5663" s="1" t="n">
        <v>5662</v>
      </c>
      <c r="B5663">
        <f>TEXT(5662, "[$-170000]yyyy-mm-dd")</f>
        <v/>
      </c>
      <c r="C5663">
        <f>TEXT(5662, "[$-060000]yyyy-mm-dd")</f>
        <v/>
      </c>
      <c r="D5663" t="inlineStr">
        <is>
          <t>1333-08-20</t>
        </is>
      </c>
    </row>
    <row r="5664">
      <c r="A5664" s="1" t="n">
        <v>5663</v>
      </c>
      <c r="B5664">
        <f>TEXT(5663, "[$-170000]yyyy-mm-dd")</f>
        <v/>
      </c>
      <c r="C5664">
        <f>TEXT(5663, "[$-060000]yyyy-mm-dd")</f>
        <v/>
      </c>
      <c r="D5664" t="inlineStr">
        <is>
          <t>1333-08-21</t>
        </is>
      </c>
    </row>
    <row r="5665">
      <c r="A5665" s="1" t="n">
        <v>5664</v>
      </c>
      <c r="B5665">
        <f>TEXT(5664, "[$-170000]yyyy-mm-dd")</f>
        <v/>
      </c>
      <c r="C5665">
        <f>TEXT(5664, "[$-060000]yyyy-mm-dd")</f>
        <v/>
      </c>
      <c r="D5665" t="inlineStr">
        <is>
          <t>1333-08-22</t>
        </is>
      </c>
    </row>
    <row r="5666">
      <c r="A5666" s="1" t="n">
        <v>5665</v>
      </c>
      <c r="B5666">
        <f>TEXT(5665, "[$-170000]yyyy-mm-dd")</f>
        <v/>
      </c>
      <c r="C5666">
        <f>TEXT(5665, "[$-060000]yyyy-mm-dd")</f>
        <v/>
      </c>
      <c r="D5666" t="inlineStr">
        <is>
          <t>1333-08-23</t>
        </is>
      </c>
    </row>
    <row r="5667">
      <c r="A5667" s="1" t="n">
        <v>5666</v>
      </c>
      <c r="B5667">
        <f>TEXT(5666, "[$-170000]yyyy-mm-dd")</f>
        <v/>
      </c>
      <c r="C5667">
        <f>TEXT(5666, "[$-060000]yyyy-mm-dd")</f>
        <v/>
      </c>
      <c r="D5667" t="inlineStr">
        <is>
          <t>1333-08-24</t>
        </is>
      </c>
    </row>
    <row r="5668">
      <c r="A5668" s="1" t="n">
        <v>5667</v>
      </c>
      <c r="B5668">
        <f>TEXT(5667, "[$-170000]yyyy-mm-dd")</f>
        <v/>
      </c>
      <c r="C5668">
        <f>TEXT(5667, "[$-060000]yyyy-mm-dd")</f>
        <v/>
      </c>
      <c r="D5668" t="inlineStr">
        <is>
          <t>1333-08-25</t>
        </is>
      </c>
    </row>
    <row r="5669">
      <c r="A5669" s="1" t="n">
        <v>5668</v>
      </c>
      <c r="B5669">
        <f>TEXT(5668, "[$-170000]yyyy-mm-dd")</f>
        <v/>
      </c>
      <c r="C5669">
        <f>TEXT(5668, "[$-060000]yyyy-mm-dd")</f>
        <v/>
      </c>
      <c r="D5669" t="inlineStr">
        <is>
          <t>1333-08-26</t>
        </is>
      </c>
    </row>
    <row r="5670">
      <c r="A5670" s="1" t="n">
        <v>5669</v>
      </c>
      <c r="B5670">
        <f>TEXT(5669, "[$-170000]yyyy-mm-dd")</f>
        <v/>
      </c>
      <c r="C5670">
        <f>TEXT(5669, "[$-060000]yyyy-mm-dd")</f>
        <v/>
      </c>
      <c r="D5670" t="inlineStr">
        <is>
          <t>1333-08-27</t>
        </is>
      </c>
    </row>
    <row r="5671">
      <c r="A5671" s="1" t="n">
        <v>5670</v>
      </c>
      <c r="B5671">
        <f>TEXT(5670, "[$-170000]yyyy-mm-dd")</f>
        <v/>
      </c>
      <c r="C5671">
        <f>TEXT(5670, "[$-060000]yyyy-mm-dd")</f>
        <v/>
      </c>
      <c r="D5671" t="inlineStr">
        <is>
          <t>1333-08-28</t>
        </is>
      </c>
    </row>
    <row r="5672">
      <c r="A5672" s="1" t="n">
        <v>5671</v>
      </c>
      <c r="B5672">
        <f>TEXT(5671, "[$-170000]yyyy-mm-dd")</f>
        <v/>
      </c>
      <c r="C5672">
        <f>TEXT(5671, "[$-060000]yyyy-mm-dd")</f>
        <v/>
      </c>
      <c r="D5672" t="inlineStr">
        <is>
          <t>1333-08-29</t>
        </is>
      </c>
    </row>
    <row r="5673">
      <c r="A5673" s="1" t="n">
        <v>5672</v>
      </c>
      <c r="B5673">
        <f>TEXT(5672, "[$-170000]yyyy-mm-dd")</f>
        <v/>
      </c>
      <c r="C5673">
        <f>TEXT(5672, "[$-060000]yyyy-mm-dd")</f>
        <v/>
      </c>
      <c r="D5673" t="inlineStr">
        <is>
          <t>1333-09-01</t>
        </is>
      </c>
    </row>
    <row r="5674">
      <c r="A5674" s="1" t="n">
        <v>5673</v>
      </c>
      <c r="B5674">
        <f>TEXT(5673, "[$-170000]yyyy-mm-dd")</f>
        <v/>
      </c>
      <c r="C5674">
        <f>TEXT(5673, "[$-060000]yyyy-mm-dd")</f>
        <v/>
      </c>
      <c r="D5674" t="inlineStr">
        <is>
          <t>1333-09-02</t>
        </is>
      </c>
    </row>
    <row r="5675">
      <c r="A5675" s="1" t="n">
        <v>5674</v>
      </c>
      <c r="B5675">
        <f>TEXT(5674, "[$-170000]yyyy-mm-dd")</f>
        <v/>
      </c>
      <c r="C5675">
        <f>TEXT(5674, "[$-060000]yyyy-mm-dd")</f>
        <v/>
      </c>
      <c r="D5675" t="inlineStr">
        <is>
          <t>1333-09-03</t>
        </is>
      </c>
    </row>
    <row r="5676">
      <c r="A5676" s="1" t="n">
        <v>5675</v>
      </c>
      <c r="B5676">
        <f>TEXT(5675, "[$-170000]yyyy-mm-dd")</f>
        <v/>
      </c>
      <c r="C5676">
        <f>TEXT(5675, "[$-060000]yyyy-mm-dd")</f>
        <v/>
      </c>
      <c r="D5676" t="inlineStr">
        <is>
          <t>1333-09-04</t>
        </is>
      </c>
    </row>
    <row r="5677">
      <c r="A5677" s="1" t="n">
        <v>5676</v>
      </c>
      <c r="B5677">
        <f>TEXT(5676, "[$-170000]yyyy-mm-dd")</f>
        <v/>
      </c>
      <c r="C5677">
        <f>TEXT(5676, "[$-060000]yyyy-mm-dd")</f>
        <v/>
      </c>
      <c r="D5677" t="inlineStr">
        <is>
          <t>1333-09-05</t>
        </is>
      </c>
    </row>
    <row r="5678">
      <c r="A5678" s="1" t="n">
        <v>5677</v>
      </c>
      <c r="B5678">
        <f>TEXT(5677, "[$-170000]yyyy-mm-dd")</f>
        <v/>
      </c>
      <c r="C5678">
        <f>TEXT(5677, "[$-060000]yyyy-mm-dd")</f>
        <v/>
      </c>
      <c r="D5678" t="inlineStr">
        <is>
          <t>1333-09-06</t>
        </is>
      </c>
    </row>
    <row r="5679">
      <c r="A5679" s="1" t="n">
        <v>5678</v>
      </c>
      <c r="B5679">
        <f>TEXT(5678, "[$-170000]yyyy-mm-dd")</f>
        <v/>
      </c>
      <c r="C5679">
        <f>TEXT(5678, "[$-060000]yyyy-mm-dd")</f>
        <v/>
      </c>
      <c r="D5679" t="inlineStr">
        <is>
          <t>1333-09-07</t>
        </is>
      </c>
    </row>
    <row r="5680">
      <c r="A5680" s="1" t="n">
        <v>5679</v>
      </c>
      <c r="B5680">
        <f>TEXT(5679, "[$-170000]yyyy-mm-dd")</f>
        <v/>
      </c>
      <c r="C5680">
        <f>TEXT(5679, "[$-060000]yyyy-mm-dd")</f>
        <v/>
      </c>
      <c r="D5680" t="inlineStr">
        <is>
          <t>1333-09-08</t>
        </is>
      </c>
    </row>
    <row r="5681">
      <c r="A5681" s="1" t="n">
        <v>5680</v>
      </c>
      <c r="B5681">
        <f>TEXT(5680, "[$-170000]yyyy-mm-dd")</f>
        <v/>
      </c>
      <c r="C5681">
        <f>TEXT(5680, "[$-060000]yyyy-mm-dd")</f>
        <v/>
      </c>
      <c r="D5681" t="inlineStr">
        <is>
          <t>1333-09-09</t>
        </is>
      </c>
    </row>
    <row r="5682">
      <c r="A5682" s="1" t="n">
        <v>5681</v>
      </c>
      <c r="B5682">
        <f>TEXT(5681, "[$-170000]yyyy-mm-dd")</f>
        <v/>
      </c>
      <c r="C5682">
        <f>TEXT(5681, "[$-060000]yyyy-mm-dd")</f>
        <v/>
      </c>
      <c r="D5682" t="inlineStr">
        <is>
          <t>1333-09-10</t>
        </is>
      </c>
    </row>
    <row r="5683">
      <c r="A5683" s="1" t="n">
        <v>5682</v>
      </c>
      <c r="B5683">
        <f>TEXT(5682, "[$-170000]yyyy-mm-dd")</f>
        <v/>
      </c>
      <c r="C5683">
        <f>TEXT(5682, "[$-060000]yyyy-mm-dd")</f>
        <v/>
      </c>
      <c r="D5683" t="inlineStr">
        <is>
          <t>1333-09-11</t>
        </is>
      </c>
    </row>
    <row r="5684">
      <c r="A5684" s="1" t="n">
        <v>5683</v>
      </c>
      <c r="B5684">
        <f>TEXT(5683, "[$-170000]yyyy-mm-dd")</f>
        <v/>
      </c>
      <c r="C5684">
        <f>TEXT(5683, "[$-060000]yyyy-mm-dd")</f>
        <v/>
      </c>
      <c r="D5684" t="inlineStr">
        <is>
          <t>1333-09-12</t>
        </is>
      </c>
    </row>
    <row r="5685">
      <c r="A5685" s="1" t="n">
        <v>5684</v>
      </c>
      <c r="B5685">
        <f>TEXT(5684, "[$-170000]yyyy-mm-dd")</f>
        <v/>
      </c>
      <c r="C5685">
        <f>TEXT(5684, "[$-060000]yyyy-mm-dd")</f>
        <v/>
      </c>
      <c r="D5685" t="inlineStr">
        <is>
          <t>1333-09-13</t>
        </is>
      </c>
    </row>
    <row r="5686">
      <c r="A5686" s="1" t="n">
        <v>5685</v>
      </c>
      <c r="B5686">
        <f>TEXT(5685, "[$-170000]yyyy-mm-dd")</f>
        <v/>
      </c>
      <c r="C5686">
        <f>TEXT(5685, "[$-060000]yyyy-mm-dd")</f>
        <v/>
      </c>
      <c r="D5686" t="inlineStr">
        <is>
          <t>1333-09-14</t>
        </is>
      </c>
    </row>
    <row r="5687">
      <c r="A5687" s="1" t="n">
        <v>5686</v>
      </c>
      <c r="B5687">
        <f>TEXT(5686, "[$-170000]yyyy-mm-dd")</f>
        <v/>
      </c>
      <c r="C5687">
        <f>TEXT(5686, "[$-060000]yyyy-mm-dd")</f>
        <v/>
      </c>
      <c r="D5687" t="inlineStr">
        <is>
          <t>1333-09-15</t>
        </is>
      </c>
    </row>
    <row r="5688">
      <c r="A5688" s="1" t="n">
        <v>5687</v>
      </c>
      <c r="B5688">
        <f>TEXT(5687, "[$-170000]yyyy-mm-dd")</f>
        <v/>
      </c>
      <c r="C5688">
        <f>TEXT(5687, "[$-060000]yyyy-mm-dd")</f>
        <v/>
      </c>
      <c r="D5688" t="inlineStr">
        <is>
          <t>1333-09-16</t>
        </is>
      </c>
    </row>
    <row r="5689">
      <c r="A5689" s="1" t="n">
        <v>5688</v>
      </c>
      <c r="B5689">
        <f>TEXT(5688, "[$-170000]yyyy-mm-dd")</f>
        <v/>
      </c>
      <c r="C5689">
        <f>TEXT(5688, "[$-060000]yyyy-mm-dd")</f>
        <v/>
      </c>
      <c r="D5689" t="inlineStr">
        <is>
          <t>1333-09-17</t>
        </is>
      </c>
    </row>
    <row r="5690">
      <c r="A5690" s="1" t="n">
        <v>5689</v>
      </c>
      <c r="B5690">
        <f>TEXT(5689, "[$-170000]yyyy-mm-dd")</f>
        <v/>
      </c>
      <c r="C5690">
        <f>TEXT(5689, "[$-060000]yyyy-mm-dd")</f>
        <v/>
      </c>
      <c r="D5690" t="inlineStr">
        <is>
          <t>1333-09-18</t>
        </is>
      </c>
    </row>
    <row r="5691">
      <c r="A5691" s="1" t="n">
        <v>5690</v>
      </c>
      <c r="B5691">
        <f>TEXT(5690, "[$-170000]yyyy-mm-dd")</f>
        <v/>
      </c>
      <c r="C5691">
        <f>TEXT(5690, "[$-060000]yyyy-mm-dd")</f>
        <v/>
      </c>
      <c r="D5691" t="inlineStr">
        <is>
          <t>1333-09-19</t>
        </is>
      </c>
    </row>
    <row r="5692">
      <c r="A5692" s="1" t="n">
        <v>5691</v>
      </c>
      <c r="B5692">
        <f>TEXT(5691, "[$-170000]yyyy-mm-dd")</f>
        <v/>
      </c>
      <c r="C5692">
        <f>TEXT(5691, "[$-060000]yyyy-mm-dd")</f>
        <v/>
      </c>
      <c r="D5692" t="inlineStr">
        <is>
          <t>1333-09-20</t>
        </is>
      </c>
    </row>
    <row r="5693">
      <c r="A5693" s="1" t="n">
        <v>5692</v>
      </c>
      <c r="B5693">
        <f>TEXT(5692, "[$-170000]yyyy-mm-dd")</f>
        <v/>
      </c>
      <c r="C5693">
        <f>TEXT(5692, "[$-060000]yyyy-mm-dd")</f>
        <v/>
      </c>
      <c r="D5693" t="inlineStr">
        <is>
          <t>1333-09-21</t>
        </is>
      </c>
    </row>
    <row r="5694">
      <c r="A5694" s="1" t="n">
        <v>5693</v>
      </c>
      <c r="B5694">
        <f>TEXT(5693, "[$-170000]yyyy-mm-dd")</f>
        <v/>
      </c>
      <c r="C5694">
        <f>TEXT(5693, "[$-060000]yyyy-mm-dd")</f>
        <v/>
      </c>
      <c r="D5694" t="inlineStr">
        <is>
          <t>1333-09-22</t>
        </is>
      </c>
    </row>
    <row r="5695">
      <c r="A5695" s="1" t="n">
        <v>5694</v>
      </c>
      <c r="B5695">
        <f>TEXT(5694, "[$-170000]yyyy-mm-dd")</f>
        <v/>
      </c>
      <c r="C5695">
        <f>TEXT(5694, "[$-060000]yyyy-mm-dd")</f>
        <v/>
      </c>
      <c r="D5695" t="inlineStr">
        <is>
          <t>1333-09-23</t>
        </is>
      </c>
    </row>
    <row r="5696">
      <c r="A5696" s="1" t="n">
        <v>5695</v>
      </c>
      <c r="B5696">
        <f>TEXT(5695, "[$-170000]yyyy-mm-dd")</f>
        <v/>
      </c>
      <c r="C5696">
        <f>TEXT(5695, "[$-060000]yyyy-mm-dd")</f>
        <v/>
      </c>
      <c r="D5696" t="inlineStr">
        <is>
          <t>1333-09-24</t>
        </is>
      </c>
    </row>
    <row r="5697">
      <c r="A5697" s="1" t="n">
        <v>5696</v>
      </c>
      <c r="B5697">
        <f>TEXT(5696, "[$-170000]yyyy-mm-dd")</f>
        <v/>
      </c>
      <c r="C5697">
        <f>TEXT(5696, "[$-060000]yyyy-mm-dd")</f>
        <v/>
      </c>
      <c r="D5697" t="inlineStr">
        <is>
          <t>1333-09-25</t>
        </is>
      </c>
    </row>
    <row r="5698">
      <c r="A5698" s="1" t="n">
        <v>5697</v>
      </c>
      <c r="B5698">
        <f>TEXT(5697, "[$-170000]yyyy-mm-dd")</f>
        <v/>
      </c>
      <c r="C5698">
        <f>TEXT(5697, "[$-060000]yyyy-mm-dd")</f>
        <v/>
      </c>
      <c r="D5698" t="inlineStr">
        <is>
          <t>1333-09-26</t>
        </is>
      </c>
    </row>
    <row r="5699">
      <c r="A5699" s="1" t="n">
        <v>5698</v>
      </c>
      <c r="B5699">
        <f>TEXT(5698, "[$-170000]yyyy-mm-dd")</f>
        <v/>
      </c>
      <c r="C5699">
        <f>TEXT(5698, "[$-060000]yyyy-mm-dd")</f>
        <v/>
      </c>
      <c r="D5699" t="inlineStr">
        <is>
          <t>1333-09-27</t>
        </is>
      </c>
    </row>
    <row r="5700">
      <c r="A5700" s="1" t="n">
        <v>5699</v>
      </c>
      <c r="B5700">
        <f>TEXT(5699, "[$-170000]yyyy-mm-dd")</f>
        <v/>
      </c>
      <c r="C5700">
        <f>TEXT(5699, "[$-060000]yyyy-mm-dd")</f>
        <v/>
      </c>
      <c r="D5700" t="inlineStr">
        <is>
          <t>1333-09-28</t>
        </is>
      </c>
    </row>
    <row r="5701">
      <c r="A5701" s="1" t="n">
        <v>5700</v>
      </c>
      <c r="B5701">
        <f>TEXT(5700, "[$-170000]yyyy-mm-dd")</f>
        <v/>
      </c>
      <c r="C5701">
        <f>TEXT(5700, "[$-060000]yyyy-mm-dd")</f>
        <v/>
      </c>
      <c r="D5701" t="inlineStr">
        <is>
          <t>1333-09-29</t>
        </is>
      </c>
    </row>
    <row r="5702">
      <c r="A5702" s="1" t="n">
        <v>5701</v>
      </c>
      <c r="B5702">
        <f>TEXT(5701, "[$-170000]yyyy-mm-dd")</f>
        <v/>
      </c>
      <c r="C5702">
        <f>TEXT(5701, "[$-060000]yyyy-mm-dd")</f>
        <v/>
      </c>
      <c r="D5702" t="inlineStr">
        <is>
          <t>1333-09-30</t>
        </is>
      </c>
    </row>
    <row r="5703">
      <c r="A5703" s="1" t="n">
        <v>5702</v>
      </c>
      <c r="B5703">
        <f>TEXT(5702, "[$-170000]yyyy-mm-dd")</f>
        <v/>
      </c>
      <c r="C5703">
        <f>TEXT(5702, "[$-060000]yyyy-mm-dd")</f>
        <v/>
      </c>
      <c r="D5703" t="inlineStr">
        <is>
          <t>1333-10-01</t>
        </is>
      </c>
    </row>
    <row r="5704">
      <c r="A5704" s="1" t="n">
        <v>5703</v>
      </c>
      <c r="B5704">
        <f>TEXT(5703, "[$-170000]yyyy-mm-dd")</f>
        <v/>
      </c>
      <c r="C5704">
        <f>TEXT(5703, "[$-060000]yyyy-mm-dd")</f>
        <v/>
      </c>
      <c r="D5704" t="inlineStr">
        <is>
          <t>1333-10-02</t>
        </is>
      </c>
    </row>
    <row r="5705">
      <c r="A5705" s="1" t="n">
        <v>5704</v>
      </c>
      <c r="B5705">
        <f>TEXT(5704, "[$-170000]yyyy-mm-dd")</f>
        <v/>
      </c>
      <c r="C5705">
        <f>TEXT(5704, "[$-060000]yyyy-mm-dd")</f>
        <v/>
      </c>
      <c r="D5705" t="inlineStr">
        <is>
          <t>1333-10-03</t>
        </is>
      </c>
    </row>
    <row r="5706">
      <c r="A5706" s="1" t="n">
        <v>5705</v>
      </c>
      <c r="B5706">
        <f>TEXT(5705, "[$-170000]yyyy-mm-dd")</f>
        <v/>
      </c>
      <c r="C5706">
        <f>TEXT(5705, "[$-060000]yyyy-mm-dd")</f>
        <v/>
      </c>
      <c r="D5706" t="inlineStr">
        <is>
          <t>1333-10-04</t>
        </is>
      </c>
    </row>
    <row r="5707">
      <c r="A5707" s="1" t="n">
        <v>5706</v>
      </c>
      <c r="B5707">
        <f>TEXT(5706, "[$-170000]yyyy-mm-dd")</f>
        <v/>
      </c>
      <c r="C5707">
        <f>TEXT(5706, "[$-060000]yyyy-mm-dd")</f>
        <v/>
      </c>
      <c r="D5707" t="inlineStr">
        <is>
          <t>1333-10-05</t>
        </is>
      </c>
    </row>
    <row r="5708">
      <c r="A5708" s="1" t="n">
        <v>5707</v>
      </c>
      <c r="B5708">
        <f>TEXT(5707, "[$-170000]yyyy-mm-dd")</f>
        <v/>
      </c>
      <c r="C5708">
        <f>TEXT(5707, "[$-060000]yyyy-mm-dd")</f>
        <v/>
      </c>
      <c r="D5708" t="inlineStr">
        <is>
          <t>1333-10-06</t>
        </is>
      </c>
    </row>
    <row r="5709">
      <c r="A5709" s="1" t="n">
        <v>5708</v>
      </c>
      <c r="B5709">
        <f>TEXT(5708, "[$-170000]yyyy-mm-dd")</f>
        <v/>
      </c>
      <c r="C5709">
        <f>TEXT(5708, "[$-060000]yyyy-mm-dd")</f>
        <v/>
      </c>
      <c r="D5709" t="inlineStr">
        <is>
          <t>1333-10-07</t>
        </is>
      </c>
    </row>
    <row r="5710">
      <c r="A5710" s="1" t="n">
        <v>5709</v>
      </c>
      <c r="B5710">
        <f>TEXT(5709, "[$-170000]yyyy-mm-dd")</f>
        <v/>
      </c>
      <c r="C5710">
        <f>TEXT(5709, "[$-060000]yyyy-mm-dd")</f>
        <v/>
      </c>
      <c r="D5710" t="inlineStr">
        <is>
          <t>1333-10-08</t>
        </is>
      </c>
    </row>
    <row r="5711">
      <c r="A5711" s="1" t="n">
        <v>5710</v>
      </c>
      <c r="B5711">
        <f>TEXT(5710, "[$-170000]yyyy-mm-dd")</f>
        <v/>
      </c>
      <c r="C5711">
        <f>TEXT(5710, "[$-060000]yyyy-mm-dd")</f>
        <v/>
      </c>
      <c r="D5711" t="inlineStr">
        <is>
          <t>1333-10-09</t>
        </is>
      </c>
    </row>
    <row r="5712">
      <c r="A5712" s="1" t="n">
        <v>5711</v>
      </c>
      <c r="B5712">
        <f>TEXT(5711, "[$-170000]yyyy-mm-dd")</f>
        <v/>
      </c>
      <c r="C5712">
        <f>TEXT(5711, "[$-060000]yyyy-mm-dd")</f>
        <v/>
      </c>
      <c r="D5712" t="inlineStr">
        <is>
          <t>1333-10-10</t>
        </is>
      </c>
    </row>
    <row r="5713">
      <c r="A5713" s="1" t="n">
        <v>5712</v>
      </c>
      <c r="B5713">
        <f>TEXT(5712, "[$-170000]yyyy-mm-dd")</f>
        <v/>
      </c>
      <c r="C5713">
        <f>TEXT(5712, "[$-060000]yyyy-mm-dd")</f>
        <v/>
      </c>
      <c r="D5713" t="inlineStr">
        <is>
          <t>1333-10-11</t>
        </is>
      </c>
    </row>
    <row r="5714">
      <c r="A5714" s="1" t="n">
        <v>5713</v>
      </c>
      <c r="B5714">
        <f>TEXT(5713, "[$-170000]yyyy-mm-dd")</f>
        <v/>
      </c>
      <c r="C5714">
        <f>TEXT(5713, "[$-060000]yyyy-mm-dd")</f>
        <v/>
      </c>
      <c r="D5714" t="inlineStr">
        <is>
          <t>1333-10-12</t>
        </is>
      </c>
    </row>
    <row r="5715">
      <c r="A5715" s="1" t="n">
        <v>5714</v>
      </c>
      <c r="B5715">
        <f>TEXT(5714, "[$-170000]yyyy-mm-dd")</f>
        <v/>
      </c>
      <c r="C5715">
        <f>TEXT(5714, "[$-060000]yyyy-mm-dd")</f>
        <v/>
      </c>
      <c r="D5715" t="inlineStr">
        <is>
          <t>1333-10-13</t>
        </is>
      </c>
    </row>
    <row r="5716">
      <c r="A5716" s="1" t="n">
        <v>5715</v>
      </c>
      <c r="B5716">
        <f>TEXT(5715, "[$-170000]yyyy-mm-dd")</f>
        <v/>
      </c>
      <c r="C5716">
        <f>TEXT(5715, "[$-060000]yyyy-mm-dd")</f>
        <v/>
      </c>
      <c r="D5716" t="inlineStr">
        <is>
          <t>1333-10-14</t>
        </is>
      </c>
    </row>
    <row r="5717">
      <c r="A5717" s="1" t="n">
        <v>5716</v>
      </c>
      <c r="B5717">
        <f>TEXT(5716, "[$-170000]yyyy-mm-dd")</f>
        <v/>
      </c>
      <c r="C5717">
        <f>TEXT(5716, "[$-060000]yyyy-mm-dd")</f>
        <v/>
      </c>
      <c r="D5717" t="inlineStr">
        <is>
          <t>1333-10-15</t>
        </is>
      </c>
    </row>
    <row r="5718">
      <c r="A5718" s="1" t="n">
        <v>5717</v>
      </c>
      <c r="B5718">
        <f>TEXT(5717, "[$-170000]yyyy-mm-dd")</f>
        <v/>
      </c>
      <c r="C5718">
        <f>TEXT(5717, "[$-060000]yyyy-mm-dd")</f>
        <v/>
      </c>
      <c r="D5718" t="inlineStr">
        <is>
          <t>1333-10-16</t>
        </is>
      </c>
    </row>
    <row r="5719">
      <c r="A5719" s="1" t="n">
        <v>5718</v>
      </c>
      <c r="B5719">
        <f>TEXT(5718, "[$-170000]yyyy-mm-dd")</f>
        <v/>
      </c>
      <c r="C5719">
        <f>TEXT(5718, "[$-060000]yyyy-mm-dd")</f>
        <v/>
      </c>
      <c r="D5719" t="inlineStr">
        <is>
          <t>1333-10-17</t>
        </is>
      </c>
    </row>
    <row r="5720">
      <c r="A5720" s="1" t="n">
        <v>5719</v>
      </c>
      <c r="B5720">
        <f>TEXT(5719, "[$-170000]yyyy-mm-dd")</f>
        <v/>
      </c>
      <c r="C5720">
        <f>TEXT(5719, "[$-060000]yyyy-mm-dd")</f>
        <v/>
      </c>
      <c r="D5720" t="inlineStr">
        <is>
          <t>1333-10-18</t>
        </is>
      </c>
    </row>
    <row r="5721">
      <c r="A5721" s="1" t="n">
        <v>5720</v>
      </c>
      <c r="B5721">
        <f>TEXT(5720, "[$-170000]yyyy-mm-dd")</f>
        <v/>
      </c>
      <c r="C5721">
        <f>TEXT(5720, "[$-060000]yyyy-mm-dd")</f>
        <v/>
      </c>
      <c r="D5721" t="inlineStr">
        <is>
          <t>1333-10-19</t>
        </is>
      </c>
    </row>
    <row r="5722">
      <c r="A5722" s="1" t="n">
        <v>5721</v>
      </c>
      <c r="B5722">
        <f>TEXT(5721, "[$-170000]yyyy-mm-dd")</f>
        <v/>
      </c>
      <c r="C5722">
        <f>TEXT(5721, "[$-060000]yyyy-mm-dd")</f>
        <v/>
      </c>
      <c r="D5722" t="inlineStr">
        <is>
          <t>1333-10-20</t>
        </is>
      </c>
    </row>
    <row r="5723">
      <c r="A5723" s="1" t="n">
        <v>5722</v>
      </c>
      <c r="B5723">
        <f>TEXT(5722, "[$-170000]yyyy-mm-dd")</f>
        <v/>
      </c>
      <c r="C5723">
        <f>TEXT(5722, "[$-060000]yyyy-mm-dd")</f>
        <v/>
      </c>
      <c r="D5723" t="inlineStr">
        <is>
          <t>1333-10-21</t>
        </is>
      </c>
    </row>
    <row r="5724">
      <c r="A5724" s="1" t="n">
        <v>5723</v>
      </c>
      <c r="B5724">
        <f>TEXT(5723, "[$-170000]yyyy-mm-dd")</f>
        <v/>
      </c>
      <c r="C5724">
        <f>TEXT(5723, "[$-060000]yyyy-mm-dd")</f>
        <v/>
      </c>
      <c r="D5724" t="inlineStr">
        <is>
          <t>1333-10-22</t>
        </is>
      </c>
    </row>
    <row r="5725">
      <c r="A5725" s="1" t="n">
        <v>5724</v>
      </c>
      <c r="B5725">
        <f>TEXT(5724, "[$-170000]yyyy-mm-dd")</f>
        <v/>
      </c>
      <c r="C5725">
        <f>TEXT(5724, "[$-060000]yyyy-mm-dd")</f>
        <v/>
      </c>
      <c r="D5725" t="inlineStr">
        <is>
          <t>1333-10-23</t>
        </is>
      </c>
    </row>
    <row r="5726">
      <c r="A5726" s="1" t="n">
        <v>5725</v>
      </c>
      <c r="B5726">
        <f>TEXT(5725, "[$-170000]yyyy-mm-dd")</f>
        <v/>
      </c>
      <c r="C5726">
        <f>TEXT(5725, "[$-060000]yyyy-mm-dd")</f>
        <v/>
      </c>
      <c r="D5726" t="inlineStr">
        <is>
          <t>1333-10-24</t>
        </is>
      </c>
    </row>
    <row r="5727">
      <c r="A5727" s="1" t="n">
        <v>5726</v>
      </c>
      <c r="B5727">
        <f>TEXT(5726, "[$-170000]yyyy-mm-dd")</f>
        <v/>
      </c>
      <c r="C5727">
        <f>TEXT(5726, "[$-060000]yyyy-mm-dd")</f>
        <v/>
      </c>
      <c r="D5727" t="inlineStr">
        <is>
          <t>1333-10-25</t>
        </is>
      </c>
    </row>
    <row r="5728">
      <c r="A5728" s="1" t="n">
        <v>5727</v>
      </c>
      <c r="B5728">
        <f>TEXT(5727, "[$-170000]yyyy-mm-dd")</f>
        <v/>
      </c>
      <c r="C5728">
        <f>TEXT(5727, "[$-060000]yyyy-mm-dd")</f>
        <v/>
      </c>
      <c r="D5728" t="inlineStr">
        <is>
          <t>1333-10-26</t>
        </is>
      </c>
    </row>
    <row r="5729">
      <c r="A5729" s="1" t="n">
        <v>5728</v>
      </c>
      <c r="B5729">
        <f>TEXT(5728, "[$-170000]yyyy-mm-dd")</f>
        <v/>
      </c>
      <c r="C5729">
        <f>TEXT(5728, "[$-060000]yyyy-mm-dd")</f>
        <v/>
      </c>
      <c r="D5729" t="inlineStr">
        <is>
          <t>1333-10-27</t>
        </is>
      </c>
    </row>
    <row r="5730">
      <c r="A5730" s="1" t="n">
        <v>5729</v>
      </c>
      <c r="B5730">
        <f>TEXT(5729, "[$-170000]yyyy-mm-dd")</f>
        <v/>
      </c>
      <c r="C5730">
        <f>TEXT(5729, "[$-060000]yyyy-mm-dd")</f>
        <v/>
      </c>
      <c r="D5730" t="inlineStr">
        <is>
          <t>1333-10-28</t>
        </is>
      </c>
    </row>
    <row r="5731">
      <c r="A5731" s="1" t="n">
        <v>5730</v>
      </c>
      <c r="B5731">
        <f>TEXT(5730, "[$-170000]yyyy-mm-dd")</f>
        <v/>
      </c>
      <c r="C5731">
        <f>TEXT(5730, "[$-060000]yyyy-mm-dd")</f>
        <v/>
      </c>
      <c r="D5731" t="inlineStr">
        <is>
          <t>1333-10-29</t>
        </is>
      </c>
    </row>
    <row r="5732">
      <c r="A5732" s="1" t="n">
        <v>5731</v>
      </c>
      <c r="B5732">
        <f>TEXT(5731, "[$-170000]yyyy-mm-dd")</f>
        <v/>
      </c>
      <c r="C5732">
        <f>TEXT(5731, "[$-060000]yyyy-mm-dd")</f>
        <v/>
      </c>
      <c r="D5732" t="inlineStr">
        <is>
          <t>1333-11-01</t>
        </is>
      </c>
    </row>
    <row r="5733">
      <c r="A5733" s="1" t="n">
        <v>5732</v>
      </c>
      <c r="B5733">
        <f>TEXT(5732, "[$-170000]yyyy-mm-dd")</f>
        <v/>
      </c>
      <c r="C5733">
        <f>TEXT(5732, "[$-060000]yyyy-mm-dd")</f>
        <v/>
      </c>
      <c r="D5733" t="inlineStr">
        <is>
          <t>1333-11-02</t>
        </is>
      </c>
    </row>
    <row r="5734">
      <c r="A5734" s="1" t="n">
        <v>5733</v>
      </c>
      <c r="B5734">
        <f>TEXT(5733, "[$-170000]yyyy-mm-dd")</f>
        <v/>
      </c>
      <c r="C5734">
        <f>TEXT(5733, "[$-060000]yyyy-mm-dd")</f>
        <v/>
      </c>
      <c r="D5734" t="inlineStr">
        <is>
          <t>1333-11-03</t>
        </is>
      </c>
    </row>
    <row r="5735">
      <c r="A5735" s="1" t="n">
        <v>5734</v>
      </c>
      <c r="B5735">
        <f>TEXT(5734, "[$-170000]yyyy-mm-dd")</f>
        <v/>
      </c>
      <c r="C5735">
        <f>TEXT(5734, "[$-060000]yyyy-mm-dd")</f>
        <v/>
      </c>
      <c r="D5735" t="inlineStr">
        <is>
          <t>1333-11-04</t>
        </is>
      </c>
    </row>
    <row r="5736">
      <c r="A5736" s="1" t="n">
        <v>5735</v>
      </c>
      <c r="B5736">
        <f>TEXT(5735, "[$-170000]yyyy-mm-dd")</f>
        <v/>
      </c>
      <c r="C5736">
        <f>TEXT(5735, "[$-060000]yyyy-mm-dd")</f>
        <v/>
      </c>
      <c r="D5736" t="inlineStr">
        <is>
          <t>1333-11-05</t>
        </is>
      </c>
    </row>
    <row r="5737">
      <c r="A5737" s="1" t="n">
        <v>5736</v>
      </c>
      <c r="B5737">
        <f>TEXT(5736, "[$-170000]yyyy-mm-dd")</f>
        <v/>
      </c>
      <c r="C5737">
        <f>TEXT(5736, "[$-060000]yyyy-mm-dd")</f>
        <v/>
      </c>
      <c r="D5737" t="inlineStr">
        <is>
          <t>1333-11-06</t>
        </is>
      </c>
    </row>
    <row r="5738">
      <c r="A5738" s="1" t="n">
        <v>5737</v>
      </c>
      <c r="B5738">
        <f>TEXT(5737, "[$-170000]yyyy-mm-dd")</f>
        <v/>
      </c>
      <c r="C5738">
        <f>TEXT(5737, "[$-060000]yyyy-mm-dd")</f>
        <v/>
      </c>
      <c r="D5738" t="inlineStr">
        <is>
          <t>1333-11-07</t>
        </is>
      </c>
    </row>
    <row r="5739">
      <c r="A5739" s="1" t="n">
        <v>5738</v>
      </c>
      <c r="B5739">
        <f>TEXT(5738, "[$-170000]yyyy-mm-dd")</f>
        <v/>
      </c>
      <c r="C5739">
        <f>TEXT(5738, "[$-060000]yyyy-mm-dd")</f>
        <v/>
      </c>
      <c r="D5739" t="inlineStr">
        <is>
          <t>1333-11-08</t>
        </is>
      </c>
    </row>
    <row r="5740">
      <c r="A5740" s="1" t="n">
        <v>5739</v>
      </c>
      <c r="B5740">
        <f>TEXT(5739, "[$-170000]yyyy-mm-dd")</f>
        <v/>
      </c>
      <c r="C5740">
        <f>TEXT(5739, "[$-060000]yyyy-mm-dd")</f>
        <v/>
      </c>
      <c r="D5740" t="inlineStr">
        <is>
          <t>1333-11-09</t>
        </is>
      </c>
    </row>
    <row r="5741">
      <c r="A5741" s="1" t="n">
        <v>5740</v>
      </c>
      <c r="B5741">
        <f>TEXT(5740, "[$-170000]yyyy-mm-dd")</f>
        <v/>
      </c>
      <c r="C5741">
        <f>TEXT(5740, "[$-060000]yyyy-mm-dd")</f>
        <v/>
      </c>
      <c r="D5741" t="inlineStr">
        <is>
          <t>1333-11-10</t>
        </is>
      </c>
    </row>
    <row r="5742">
      <c r="A5742" s="1" t="n">
        <v>5741</v>
      </c>
      <c r="B5742">
        <f>TEXT(5741, "[$-170000]yyyy-mm-dd")</f>
        <v/>
      </c>
      <c r="C5742">
        <f>TEXT(5741, "[$-060000]yyyy-mm-dd")</f>
        <v/>
      </c>
      <c r="D5742" t="inlineStr">
        <is>
          <t>1333-11-11</t>
        </is>
      </c>
    </row>
    <row r="5743">
      <c r="A5743" s="1" t="n">
        <v>5742</v>
      </c>
      <c r="B5743">
        <f>TEXT(5742, "[$-170000]yyyy-mm-dd")</f>
        <v/>
      </c>
      <c r="C5743">
        <f>TEXT(5742, "[$-060000]yyyy-mm-dd")</f>
        <v/>
      </c>
      <c r="D5743" t="inlineStr">
        <is>
          <t>1333-11-12</t>
        </is>
      </c>
    </row>
    <row r="5744">
      <c r="A5744" s="1" t="n">
        <v>5743</v>
      </c>
      <c r="B5744">
        <f>TEXT(5743, "[$-170000]yyyy-mm-dd")</f>
        <v/>
      </c>
      <c r="C5744">
        <f>TEXT(5743, "[$-060000]yyyy-mm-dd")</f>
        <v/>
      </c>
      <c r="D5744" t="inlineStr">
        <is>
          <t>1333-11-13</t>
        </is>
      </c>
    </row>
    <row r="5745">
      <c r="A5745" s="1" t="n">
        <v>5744</v>
      </c>
      <c r="B5745">
        <f>TEXT(5744, "[$-170000]yyyy-mm-dd")</f>
        <v/>
      </c>
      <c r="C5745">
        <f>TEXT(5744, "[$-060000]yyyy-mm-dd")</f>
        <v/>
      </c>
      <c r="D5745" t="inlineStr">
        <is>
          <t>1333-11-14</t>
        </is>
      </c>
    </row>
    <row r="5746">
      <c r="A5746" s="1" t="n">
        <v>5745</v>
      </c>
      <c r="B5746">
        <f>TEXT(5745, "[$-170000]yyyy-mm-dd")</f>
        <v/>
      </c>
      <c r="C5746">
        <f>TEXT(5745, "[$-060000]yyyy-mm-dd")</f>
        <v/>
      </c>
      <c r="D5746" t="inlineStr">
        <is>
          <t>1333-11-15</t>
        </is>
      </c>
    </row>
    <row r="5747">
      <c r="A5747" s="1" t="n">
        <v>5746</v>
      </c>
      <c r="B5747">
        <f>TEXT(5746, "[$-170000]yyyy-mm-dd")</f>
        <v/>
      </c>
      <c r="C5747">
        <f>TEXT(5746, "[$-060000]yyyy-mm-dd")</f>
        <v/>
      </c>
      <c r="D5747" t="inlineStr">
        <is>
          <t>1333-11-16</t>
        </is>
      </c>
    </row>
    <row r="5748">
      <c r="A5748" s="1" t="n">
        <v>5747</v>
      </c>
      <c r="B5748">
        <f>TEXT(5747, "[$-170000]yyyy-mm-dd")</f>
        <v/>
      </c>
      <c r="C5748">
        <f>TEXT(5747, "[$-060000]yyyy-mm-dd")</f>
        <v/>
      </c>
      <c r="D5748" t="inlineStr">
        <is>
          <t>1333-11-17</t>
        </is>
      </c>
    </row>
    <row r="5749">
      <c r="A5749" s="1" t="n">
        <v>5748</v>
      </c>
      <c r="B5749">
        <f>TEXT(5748, "[$-170000]yyyy-mm-dd")</f>
        <v/>
      </c>
      <c r="C5749">
        <f>TEXT(5748, "[$-060000]yyyy-mm-dd")</f>
        <v/>
      </c>
      <c r="D5749" t="inlineStr">
        <is>
          <t>1333-11-18</t>
        </is>
      </c>
    </row>
    <row r="5750">
      <c r="A5750" s="1" t="n">
        <v>5749</v>
      </c>
      <c r="B5750">
        <f>TEXT(5749, "[$-170000]yyyy-mm-dd")</f>
        <v/>
      </c>
      <c r="C5750">
        <f>TEXT(5749, "[$-060000]yyyy-mm-dd")</f>
        <v/>
      </c>
      <c r="D5750" t="inlineStr">
        <is>
          <t>1333-11-19</t>
        </is>
      </c>
    </row>
    <row r="5751">
      <c r="A5751" s="1" t="n">
        <v>5750</v>
      </c>
      <c r="B5751">
        <f>TEXT(5750, "[$-170000]yyyy-mm-dd")</f>
        <v/>
      </c>
      <c r="C5751">
        <f>TEXT(5750, "[$-060000]yyyy-mm-dd")</f>
        <v/>
      </c>
      <c r="D5751" t="inlineStr">
        <is>
          <t>1333-11-20</t>
        </is>
      </c>
    </row>
    <row r="5752">
      <c r="A5752" s="1" t="n">
        <v>5751</v>
      </c>
      <c r="B5752">
        <f>TEXT(5751, "[$-170000]yyyy-mm-dd")</f>
        <v/>
      </c>
      <c r="C5752">
        <f>TEXT(5751, "[$-060000]yyyy-mm-dd")</f>
        <v/>
      </c>
      <c r="D5752" t="inlineStr">
        <is>
          <t>1333-11-21</t>
        </is>
      </c>
    </row>
    <row r="5753">
      <c r="A5753" s="1" t="n">
        <v>5752</v>
      </c>
      <c r="B5753">
        <f>TEXT(5752, "[$-170000]yyyy-mm-dd")</f>
        <v/>
      </c>
      <c r="C5753">
        <f>TEXT(5752, "[$-060000]yyyy-mm-dd")</f>
        <v/>
      </c>
      <c r="D5753" t="inlineStr">
        <is>
          <t>1333-11-22</t>
        </is>
      </c>
    </row>
    <row r="5754">
      <c r="A5754" s="1" t="n">
        <v>5753</v>
      </c>
      <c r="B5754">
        <f>TEXT(5753, "[$-170000]yyyy-mm-dd")</f>
        <v/>
      </c>
      <c r="C5754">
        <f>TEXT(5753, "[$-060000]yyyy-mm-dd")</f>
        <v/>
      </c>
      <c r="D5754" t="inlineStr">
        <is>
          <t>1333-11-23</t>
        </is>
      </c>
    </row>
    <row r="5755">
      <c r="A5755" s="1" t="n">
        <v>5754</v>
      </c>
      <c r="B5755">
        <f>TEXT(5754, "[$-170000]yyyy-mm-dd")</f>
        <v/>
      </c>
      <c r="C5755">
        <f>TEXT(5754, "[$-060000]yyyy-mm-dd")</f>
        <v/>
      </c>
      <c r="D5755" t="inlineStr">
        <is>
          <t>1333-11-24</t>
        </is>
      </c>
    </row>
    <row r="5756">
      <c r="A5756" s="1" t="n">
        <v>5755</v>
      </c>
      <c r="B5756">
        <f>TEXT(5755, "[$-170000]yyyy-mm-dd")</f>
        <v/>
      </c>
      <c r="C5756">
        <f>TEXT(5755, "[$-060000]yyyy-mm-dd")</f>
        <v/>
      </c>
      <c r="D5756" t="inlineStr">
        <is>
          <t>1333-11-25</t>
        </is>
      </c>
    </row>
    <row r="5757">
      <c r="A5757" s="1" t="n">
        <v>5756</v>
      </c>
      <c r="B5757">
        <f>TEXT(5756, "[$-170000]yyyy-mm-dd")</f>
        <v/>
      </c>
      <c r="C5757">
        <f>TEXT(5756, "[$-060000]yyyy-mm-dd")</f>
        <v/>
      </c>
      <c r="D5757" t="inlineStr">
        <is>
          <t>1333-11-26</t>
        </is>
      </c>
    </row>
    <row r="5758">
      <c r="A5758" s="1" t="n">
        <v>5757</v>
      </c>
      <c r="B5758">
        <f>TEXT(5757, "[$-170000]yyyy-mm-dd")</f>
        <v/>
      </c>
      <c r="C5758">
        <f>TEXT(5757, "[$-060000]yyyy-mm-dd")</f>
        <v/>
      </c>
      <c r="D5758" t="inlineStr">
        <is>
          <t>1333-11-27</t>
        </is>
      </c>
    </row>
    <row r="5759">
      <c r="A5759" s="1" t="n">
        <v>5758</v>
      </c>
      <c r="B5759">
        <f>TEXT(5758, "[$-170000]yyyy-mm-dd")</f>
        <v/>
      </c>
      <c r="C5759">
        <f>TEXT(5758, "[$-060000]yyyy-mm-dd")</f>
        <v/>
      </c>
      <c r="D5759" t="inlineStr">
        <is>
          <t>1333-11-28</t>
        </is>
      </c>
    </row>
    <row r="5760">
      <c r="A5760" s="1" t="n">
        <v>5759</v>
      </c>
      <c r="B5760">
        <f>TEXT(5759, "[$-170000]yyyy-mm-dd")</f>
        <v/>
      </c>
      <c r="C5760">
        <f>TEXT(5759, "[$-060000]yyyy-mm-dd")</f>
        <v/>
      </c>
      <c r="D5760" t="inlineStr">
        <is>
          <t>1333-11-29</t>
        </is>
      </c>
    </row>
    <row r="5761">
      <c r="A5761" s="1" t="n">
        <v>5760</v>
      </c>
      <c r="B5761">
        <f>TEXT(5760, "[$-170000]yyyy-mm-dd")</f>
        <v/>
      </c>
      <c r="C5761">
        <f>TEXT(5760, "[$-060000]yyyy-mm-dd")</f>
        <v/>
      </c>
      <c r="D5761" t="inlineStr">
        <is>
          <t>1333-11-30</t>
        </is>
      </c>
    </row>
    <row r="5762">
      <c r="A5762" s="1" t="n">
        <v>5761</v>
      </c>
      <c r="B5762">
        <f>TEXT(5761, "[$-170000]yyyy-mm-dd")</f>
        <v/>
      </c>
      <c r="C5762">
        <f>TEXT(5761, "[$-060000]yyyy-mm-dd")</f>
        <v/>
      </c>
      <c r="D5762" t="inlineStr">
        <is>
          <t>1333-12-01</t>
        </is>
      </c>
    </row>
    <row r="5763">
      <c r="A5763" s="1" t="n">
        <v>5762</v>
      </c>
      <c r="B5763">
        <f>TEXT(5762, "[$-170000]yyyy-mm-dd")</f>
        <v/>
      </c>
      <c r="C5763">
        <f>TEXT(5762, "[$-060000]yyyy-mm-dd")</f>
        <v/>
      </c>
      <c r="D5763" t="inlineStr">
        <is>
          <t>1333-12-02</t>
        </is>
      </c>
    </row>
    <row r="5764">
      <c r="A5764" s="1" t="n">
        <v>5763</v>
      </c>
      <c r="B5764">
        <f>TEXT(5763, "[$-170000]yyyy-mm-dd")</f>
        <v/>
      </c>
      <c r="C5764">
        <f>TEXT(5763, "[$-060000]yyyy-mm-dd")</f>
        <v/>
      </c>
      <c r="D5764" t="inlineStr">
        <is>
          <t>1333-12-03</t>
        </is>
      </c>
    </row>
    <row r="5765">
      <c r="A5765" s="1" t="n">
        <v>5764</v>
      </c>
      <c r="B5765">
        <f>TEXT(5764, "[$-170000]yyyy-mm-dd")</f>
        <v/>
      </c>
      <c r="C5765">
        <f>TEXT(5764, "[$-060000]yyyy-mm-dd")</f>
        <v/>
      </c>
      <c r="D5765" t="inlineStr">
        <is>
          <t>1333-12-04</t>
        </is>
      </c>
    </row>
    <row r="5766">
      <c r="A5766" s="1" t="n">
        <v>5765</v>
      </c>
      <c r="B5766">
        <f>TEXT(5765, "[$-170000]yyyy-mm-dd")</f>
        <v/>
      </c>
      <c r="C5766">
        <f>TEXT(5765, "[$-060000]yyyy-mm-dd")</f>
        <v/>
      </c>
      <c r="D5766" t="inlineStr">
        <is>
          <t>1333-12-05</t>
        </is>
      </c>
    </row>
    <row r="5767">
      <c r="A5767" s="1" t="n">
        <v>5766</v>
      </c>
      <c r="B5767">
        <f>TEXT(5766, "[$-170000]yyyy-mm-dd")</f>
        <v/>
      </c>
      <c r="C5767">
        <f>TEXT(5766, "[$-060000]yyyy-mm-dd")</f>
        <v/>
      </c>
      <c r="D5767" t="inlineStr">
        <is>
          <t>1333-12-06</t>
        </is>
      </c>
    </row>
    <row r="5768">
      <c r="A5768" s="1" t="n">
        <v>5767</v>
      </c>
      <c r="B5768">
        <f>TEXT(5767, "[$-170000]yyyy-mm-dd")</f>
        <v/>
      </c>
      <c r="C5768">
        <f>TEXT(5767, "[$-060000]yyyy-mm-dd")</f>
        <v/>
      </c>
      <c r="D5768" t="inlineStr">
        <is>
          <t>1333-12-07</t>
        </is>
      </c>
    </row>
    <row r="5769">
      <c r="A5769" s="1" t="n">
        <v>5768</v>
      </c>
      <c r="B5769">
        <f>TEXT(5768, "[$-170000]yyyy-mm-dd")</f>
        <v/>
      </c>
      <c r="C5769">
        <f>TEXT(5768, "[$-060000]yyyy-mm-dd")</f>
        <v/>
      </c>
      <c r="D5769" t="inlineStr">
        <is>
          <t>1333-12-08</t>
        </is>
      </c>
    </row>
    <row r="5770">
      <c r="A5770" s="1" t="n">
        <v>5769</v>
      </c>
      <c r="B5770">
        <f>TEXT(5769, "[$-170000]yyyy-mm-dd")</f>
        <v/>
      </c>
      <c r="C5770">
        <f>TEXT(5769, "[$-060000]yyyy-mm-dd")</f>
        <v/>
      </c>
      <c r="D5770" t="inlineStr">
        <is>
          <t>1333-12-09</t>
        </is>
      </c>
    </row>
    <row r="5771">
      <c r="A5771" s="1" t="n">
        <v>5770</v>
      </c>
      <c r="B5771">
        <f>TEXT(5770, "[$-170000]yyyy-mm-dd")</f>
        <v/>
      </c>
      <c r="C5771">
        <f>TEXT(5770, "[$-060000]yyyy-mm-dd")</f>
        <v/>
      </c>
      <c r="D5771" t="inlineStr">
        <is>
          <t>1333-12-10</t>
        </is>
      </c>
    </row>
    <row r="5772">
      <c r="A5772" s="1" t="n">
        <v>5771</v>
      </c>
      <c r="B5772">
        <f>TEXT(5771, "[$-170000]yyyy-mm-dd")</f>
        <v/>
      </c>
      <c r="C5772">
        <f>TEXT(5771, "[$-060000]yyyy-mm-dd")</f>
        <v/>
      </c>
      <c r="D5772" t="inlineStr">
        <is>
          <t>1333-12-11</t>
        </is>
      </c>
    </row>
    <row r="5773">
      <c r="A5773" s="1" t="n">
        <v>5772</v>
      </c>
      <c r="B5773">
        <f>TEXT(5772, "[$-170000]yyyy-mm-dd")</f>
        <v/>
      </c>
      <c r="C5773">
        <f>TEXT(5772, "[$-060000]yyyy-mm-dd")</f>
        <v/>
      </c>
      <c r="D5773" t="inlineStr">
        <is>
          <t>1333-12-12</t>
        </is>
      </c>
    </row>
    <row r="5774">
      <c r="A5774" s="1" t="n">
        <v>5773</v>
      </c>
      <c r="B5774">
        <f>TEXT(5773, "[$-170000]yyyy-mm-dd")</f>
        <v/>
      </c>
      <c r="C5774">
        <f>TEXT(5773, "[$-060000]yyyy-mm-dd")</f>
        <v/>
      </c>
      <c r="D5774" t="inlineStr">
        <is>
          <t>1333-12-13</t>
        </is>
      </c>
    </row>
    <row r="5775">
      <c r="A5775" s="1" t="n">
        <v>5774</v>
      </c>
      <c r="B5775">
        <f>TEXT(5774, "[$-170000]yyyy-mm-dd")</f>
        <v/>
      </c>
      <c r="C5775">
        <f>TEXT(5774, "[$-060000]yyyy-mm-dd")</f>
        <v/>
      </c>
      <c r="D5775" t="inlineStr">
        <is>
          <t>1333-12-14</t>
        </is>
      </c>
    </row>
    <row r="5776">
      <c r="A5776" s="1" t="n">
        <v>5775</v>
      </c>
      <c r="B5776">
        <f>TEXT(5775, "[$-170000]yyyy-mm-dd")</f>
        <v/>
      </c>
      <c r="C5776">
        <f>TEXT(5775, "[$-060000]yyyy-mm-dd")</f>
        <v/>
      </c>
      <c r="D5776" t="inlineStr">
        <is>
          <t>1333-12-15</t>
        </is>
      </c>
    </row>
    <row r="5777">
      <c r="A5777" s="1" t="n">
        <v>5776</v>
      </c>
      <c r="B5777">
        <f>TEXT(5776, "[$-170000]yyyy-mm-dd")</f>
        <v/>
      </c>
      <c r="C5777">
        <f>TEXT(5776, "[$-060000]yyyy-mm-dd")</f>
        <v/>
      </c>
      <c r="D5777" t="inlineStr">
        <is>
          <t>1333-12-16</t>
        </is>
      </c>
    </row>
    <row r="5778">
      <c r="A5778" s="1" t="n">
        <v>5777</v>
      </c>
      <c r="B5778">
        <f>TEXT(5777, "[$-170000]yyyy-mm-dd")</f>
        <v/>
      </c>
      <c r="C5778">
        <f>TEXT(5777, "[$-060000]yyyy-mm-dd")</f>
        <v/>
      </c>
      <c r="D5778" t="inlineStr">
        <is>
          <t>1333-12-17</t>
        </is>
      </c>
    </row>
    <row r="5779">
      <c r="A5779" s="1" t="n">
        <v>5778</v>
      </c>
      <c r="B5779">
        <f>TEXT(5778, "[$-170000]yyyy-mm-dd")</f>
        <v/>
      </c>
      <c r="C5779">
        <f>TEXT(5778, "[$-060000]yyyy-mm-dd")</f>
        <v/>
      </c>
      <c r="D5779" t="inlineStr">
        <is>
          <t>1333-12-18</t>
        </is>
      </c>
    </row>
    <row r="5780">
      <c r="A5780" s="1" t="n">
        <v>5779</v>
      </c>
      <c r="B5780">
        <f>TEXT(5779, "[$-170000]yyyy-mm-dd")</f>
        <v/>
      </c>
      <c r="C5780">
        <f>TEXT(5779, "[$-060000]yyyy-mm-dd")</f>
        <v/>
      </c>
      <c r="D5780" t="inlineStr">
        <is>
          <t>1333-12-19</t>
        </is>
      </c>
    </row>
    <row r="5781">
      <c r="A5781" s="1" t="n">
        <v>5780</v>
      </c>
      <c r="B5781">
        <f>TEXT(5780, "[$-170000]yyyy-mm-dd")</f>
        <v/>
      </c>
      <c r="C5781">
        <f>TEXT(5780, "[$-060000]yyyy-mm-dd")</f>
        <v/>
      </c>
      <c r="D5781" t="inlineStr">
        <is>
          <t>1333-12-20</t>
        </is>
      </c>
    </row>
    <row r="5782">
      <c r="A5782" s="1" t="n">
        <v>5781</v>
      </c>
      <c r="B5782">
        <f>TEXT(5781, "[$-170000]yyyy-mm-dd")</f>
        <v/>
      </c>
      <c r="C5782">
        <f>TEXT(5781, "[$-060000]yyyy-mm-dd")</f>
        <v/>
      </c>
      <c r="D5782" t="inlineStr">
        <is>
          <t>1333-12-21</t>
        </is>
      </c>
    </row>
    <row r="5783">
      <c r="A5783" s="1" t="n">
        <v>5782</v>
      </c>
      <c r="B5783">
        <f>TEXT(5782, "[$-170000]yyyy-mm-dd")</f>
        <v/>
      </c>
      <c r="C5783">
        <f>TEXT(5782, "[$-060000]yyyy-mm-dd")</f>
        <v/>
      </c>
      <c r="D5783" t="inlineStr">
        <is>
          <t>1333-12-22</t>
        </is>
      </c>
    </row>
    <row r="5784">
      <c r="A5784" s="1" t="n">
        <v>5783</v>
      </c>
      <c r="B5784">
        <f>TEXT(5783, "[$-170000]yyyy-mm-dd")</f>
        <v/>
      </c>
      <c r="C5784">
        <f>TEXT(5783, "[$-060000]yyyy-mm-dd")</f>
        <v/>
      </c>
      <c r="D5784" t="inlineStr">
        <is>
          <t>1333-12-23</t>
        </is>
      </c>
    </row>
    <row r="5785">
      <c r="A5785" s="1" t="n">
        <v>5784</v>
      </c>
      <c r="B5785">
        <f>TEXT(5784, "[$-170000]yyyy-mm-dd")</f>
        <v/>
      </c>
      <c r="C5785">
        <f>TEXT(5784, "[$-060000]yyyy-mm-dd")</f>
        <v/>
      </c>
      <c r="D5785" t="inlineStr">
        <is>
          <t>1333-12-24</t>
        </is>
      </c>
    </row>
    <row r="5786">
      <c r="A5786" s="1" t="n">
        <v>5785</v>
      </c>
      <c r="B5786">
        <f>TEXT(5785, "[$-170000]yyyy-mm-dd")</f>
        <v/>
      </c>
      <c r="C5786">
        <f>TEXT(5785, "[$-060000]yyyy-mm-dd")</f>
        <v/>
      </c>
      <c r="D5786" t="inlineStr">
        <is>
          <t>1333-12-25</t>
        </is>
      </c>
    </row>
    <row r="5787">
      <c r="A5787" s="1" t="n">
        <v>5786</v>
      </c>
      <c r="B5787">
        <f>TEXT(5786, "[$-170000]yyyy-mm-dd")</f>
        <v/>
      </c>
      <c r="C5787">
        <f>TEXT(5786, "[$-060000]yyyy-mm-dd")</f>
        <v/>
      </c>
      <c r="D5787" t="inlineStr">
        <is>
          <t>1333-12-26</t>
        </is>
      </c>
    </row>
    <row r="5788">
      <c r="A5788" s="1" t="n">
        <v>5787</v>
      </c>
      <c r="B5788">
        <f>TEXT(5787, "[$-170000]yyyy-mm-dd")</f>
        <v/>
      </c>
      <c r="C5788">
        <f>TEXT(5787, "[$-060000]yyyy-mm-dd")</f>
        <v/>
      </c>
      <c r="D5788" t="inlineStr">
        <is>
          <t>1333-12-27</t>
        </is>
      </c>
    </row>
    <row r="5789">
      <c r="A5789" s="1" t="n">
        <v>5788</v>
      </c>
      <c r="B5789">
        <f>TEXT(5788, "[$-170000]yyyy-mm-dd")</f>
        <v/>
      </c>
      <c r="C5789">
        <f>TEXT(5788, "[$-060000]yyyy-mm-dd")</f>
        <v/>
      </c>
      <c r="D5789" t="inlineStr">
        <is>
          <t>1333-12-28</t>
        </is>
      </c>
    </row>
    <row r="5790">
      <c r="A5790" s="1" t="n">
        <v>5789</v>
      </c>
      <c r="B5790">
        <f>TEXT(5789, "[$-170000]yyyy-mm-dd")</f>
        <v/>
      </c>
      <c r="C5790">
        <f>TEXT(5789, "[$-060000]yyyy-mm-dd")</f>
        <v/>
      </c>
      <c r="D5790" t="inlineStr">
        <is>
          <t>1333-12-29</t>
        </is>
      </c>
    </row>
    <row r="5791">
      <c r="A5791" s="1" t="n">
        <v>5790</v>
      </c>
      <c r="B5791">
        <f>TEXT(5790, "[$-170000]yyyy-mm-dd")</f>
        <v/>
      </c>
      <c r="C5791">
        <f>TEXT(5790, "[$-060000]yyyy-mm-dd")</f>
        <v/>
      </c>
      <c r="D5791" t="inlineStr">
        <is>
          <t>1333-12-30</t>
        </is>
      </c>
    </row>
    <row r="5792">
      <c r="A5792" s="1" t="n">
        <v>5791</v>
      </c>
      <c r="B5792">
        <f>TEXT(5791, "[$-170000]yyyy-mm-dd")</f>
        <v/>
      </c>
      <c r="C5792">
        <f>TEXT(5791, "[$-060000]yyyy-mm-dd")</f>
        <v/>
      </c>
      <c r="D5792" t="inlineStr">
        <is>
          <t>1334-01-01</t>
        </is>
      </c>
    </row>
    <row r="5793">
      <c r="A5793" s="1" t="n">
        <v>5792</v>
      </c>
      <c r="B5793">
        <f>TEXT(5792, "[$-170000]yyyy-mm-dd")</f>
        <v/>
      </c>
      <c r="C5793">
        <f>TEXT(5792, "[$-060000]yyyy-mm-dd")</f>
        <v/>
      </c>
      <c r="D5793" t="inlineStr">
        <is>
          <t>1334-01-02</t>
        </is>
      </c>
    </row>
    <row r="5794">
      <c r="A5794" s="1" t="n">
        <v>5793</v>
      </c>
      <c r="B5794">
        <f>TEXT(5793, "[$-170000]yyyy-mm-dd")</f>
        <v/>
      </c>
      <c r="C5794">
        <f>TEXT(5793, "[$-060000]yyyy-mm-dd")</f>
        <v/>
      </c>
      <c r="D5794" t="inlineStr">
        <is>
          <t>1334-01-03</t>
        </is>
      </c>
    </row>
    <row r="5795">
      <c r="A5795" s="1" t="n">
        <v>5794</v>
      </c>
      <c r="B5795">
        <f>TEXT(5794, "[$-170000]yyyy-mm-dd")</f>
        <v/>
      </c>
      <c r="C5795">
        <f>TEXT(5794, "[$-060000]yyyy-mm-dd")</f>
        <v/>
      </c>
      <c r="D5795" t="inlineStr">
        <is>
          <t>1334-01-04</t>
        </is>
      </c>
    </row>
    <row r="5796">
      <c r="A5796" s="1" t="n">
        <v>5795</v>
      </c>
      <c r="B5796">
        <f>TEXT(5795, "[$-170000]yyyy-mm-dd")</f>
        <v/>
      </c>
      <c r="C5796">
        <f>TEXT(5795, "[$-060000]yyyy-mm-dd")</f>
        <v/>
      </c>
      <c r="D5796" t="inlineStr">
        <is>
          <t>1334-01-05</t>
        </is>
      </c>
    </row>
    <row r="5797">
      <c r="A5797" s="1" t="n">
        <v>5796</v>
      </c>
      <c r="B5797">
        <f>TEXT(5796, "[$-170000]yyyy-mm-dd")</f>
        <v/>
      </c>
      <c r="C5797">
        <f>TEXT(5796, "[$-060000]yyyy-mm-dd")</f>
        <v/>
      </c>
      <c r="D5797" t="inlineStr">
        <is>
          <t>1334-01-06</t>
        </is>
      </c>
    </row>
    <row r="5798">
      <c r="A5798" s="1" t="n">
        <v>5797</v>
      </c>
      <c r="B5798">
        <f>TEXT(5797, "[$-170000]yyyy-mm-dd")</f>
        <v/>
      </c>
      <c r="C5798">
        <f>TEXT(5797, "[$-060000]yyyy-mm-dd")</f>
        <v/>
      </c>
      <c r="D5798" t="inlineStr">
        <is>
          <t>1334-01-07</t>
        </is>
      </c>
    </row>
    <row r="5799">
      <c r="A5799" s="1" t="n">
        <v>5798</v>
      </c>
      <c r="B5799">
        <f>TEXT(5798, "[$-170000]yyyy-mm-dd")</f>
        <v/>
      </c>
      <c r="C5799">
        <f>TEXT(5798, "[$-060000]yyyy-mm-dd")</f>
        <v/>
      </c>
      <c r="D5799" t="inlineStr">
        <is>
          <t>1334-01-08</t>
        </is>
      </c>
    </row>
    <row r="5800">
      <c r="A5800" s="1" t="n">
        <v>5799</v>
      </c>
      <c r="B5800">
        <f>TEXT(5799, "[$-170000]yyyy-mm-dd")</f>
        <v/>
      </c>
      <c r="C5800">
        <f>TEXT(5799, "[$-060000]yyyy-mm-dd")</f>
        <v/>
      </c>
      <c r="D5800" t="inlineStr">
        <is>
          <t>1334-01-09</t>
        </is>
      </c>
    </row>
    <row r="5801">
      <c r="A5801" s="1" t="n">
        <v>5800</v>
      </c>
      <c r="B5801">
        <f>TEXT(5800, "[$-170000]yyyy-mm-dd")</f>
        <v/>
      </c>
      <c r="C5801">
        <f>TEXT(5800, "[$-060000]yyyy-mm-dd")</f>
        <v/>
      </c>
      <c r="D5801" t="inlineStr">
        <is>
          <t>1334-01-10</t>
        </is>
      </c>
    </row>
    <row r="5802">
      <c r="A5802" s="1" t="n">
        <v>5801</v>
      </c>
      <c r="B5802">
        <f>TEXT(5801, "[$-170000]yyyy-mm-dd")</f>
        <v/>
      </c>
      <c r="C5802">
        <f>TEXT(5801, "[$-060000]yyyy-mm-dd")</f>
        <v/>
      </c>
      <c r="D5802" t="inlineStr">
        <is>
          <t>1334-01-11</t>
        </is>
      </c>
    </row>
    <row r="5803">
      <c r="A5803" s="1" t="n">
        <v>5802</v>
      </c>
      <c r="B5803">
        <f>TEXT(5802, "[$-170000]yyyy-mm-dd")</f>
        <v/>
      </c>
      <c r="C5803">
        <f>TEXT(5802, "[$-060000]yyyy-mm-dd")</f>
        <v/>
      </c>
      <c r="D5803" t="inlineStr">
        <is>
          <t>1334-01-12</t>
        </is>
      </c>
    </row>
    <row r="5804">
      <c r="A5804" s="1" t="n">
        <v>5803</v>
      </c>
      <c r="B5804">
        <f>TEXT(5803, "[$-170000]yyyy-mm-dd")</f>
        <v/>
      </c>
      <c r="C5804">
        <f>TEXT(5803, "[$-060000]yyyy-mm-dd")</f>
        <v/>
      </c>
      <c r="D5804" t="inlineStr">
        <is>
          <t>1334-01-13</t>
        </is>
      </c>
    </row>
    <row r="5805">
      <c r="A5805" s="1" t="n">
        <v>5804</v>
      </c>
      <c r="B5805">
        <f>TEXT(5804, "[$-170000]yyyy-mm-dd")</f>
        <v/>
      </c>
      <c r="C5805">
        <f>TEXT(5804, "[$-060000]yyyy-mm-dd")</f>
        <v/>
      </c>
      <c r="D5805" t="inlineStr">
        <is>
          <t>1334-01-14</t>
        </is>
      </c>
    </row>
    <row r="5806">
      <c r="A5806" s="1" t="n">
        <v>5805</v>
      </c>
      <c r="B5806">
        <f>TEXT(5805, "[$-170000]yyyy-mm-dd")</f>
        <v/>
      </c>
      <c r="C5806">
        <f>TEXT(5805, "[$-060000]yyyy-mm-dd")</f>
        <v/>
      </c>
      <c r="D5806" t="inlineStr">
        <is>
          <t>1334-01-15</t>
        </is>
      </c>
    </row>
    <row r="5807">
      <c r="A5807" s="1" t="n">
        <v>5806</v>
      </c>
      <c r="B5807">
        <f>TEXT(5806, "[$-170000]yyyy-mm-dd")</f>
        <v/>
      </c>
      <c r="C5807">
        <f>TEXT(5806, "[$-060000]yyyy-mm-dd")</f>
        <v/>
      </c>
      <c r="D5807" t="inlineStr">
        <is>
          <t>1334-01-16</t>
        </is>
      </c>
    </row>
    <row r="5808">
      <c r="A5808" s="1" t="n">
        <v>5807</v>
      </c>
      <c r="B5808">
        <f>TEXT(5807, "[$-170000]yyyy-mm-dd")</f>
        <v/>
      </c>
      <c r="C5808">
        <f>TEXT(5807, "[$-060000]yyyy-mm-dd")</f>
        <v/>
      </c>
      <c r="D5808" t="inlineStr">
        <is>
          <t>1334-01-17</t>
        </is>
      </c>
    </row>
    <row r="5809">
      <c r="A5809" s="1" t="n">
        <v>5808</v>
      </c>
      <c r="B5809">
        <f>TEXT(5808, "[$-170000]yyyy-mm-dd")</f>
        <v/>
      </c>
      <c r="C5809">
        <f>TEXT(5808, "[$-060000]yyyy-mm-dd")</f>
        <v/>
      </c>
      <c r="D5809" t="inlineStr">
        <is>
          <t>1334-01-18</t>
        </is>
      </c>
    </row>
    <row r="5810">
      <c r="A5810" s="1" t="n">
        <v>5809</v>
      </c>
      <c r="B5810">
        <f>TEXT(5809, "[$-170000]yyyy-mm-dd")</f>
        <v/>
      </c>
      <c r="C5810">
        <f>TEXT(5809, "[$-060000]yyyy-mm-dd")</f>
        <v/>
      </c>
      <c r="D5810" t="inlineStr">
        <is>
          <t>1334-01-19</t>
        </is>
      </c>
    </row>
    <row r="5811">
      <c r="A5811" s="1" t="n">
        <v>5810</v>
      </c>
      <c r="B5811">
        <f>TEXT(5810, "[$-170000]yyyy-mm-dd")</f>
        <v/>
      </c>
      <c r="C5811">
        <f>TEXT(5810, "[$-060000]yyyy-mm-dd")</f>
        <v/>
      </c>
      <c r="D5811" t="inlineStr">
        <is>
          <t>1334-01-20</t>
        </is>
      </c>
    </row>
    <row r="5812">
      <c r="A5812" s="1" t="n">
        <v>5811</v>
      </c>
      <c r="B5812">
        <f>TEXT(5811, "[$-170000]yyyy-mm-dd")</f>
        <v/>
      </c>
      <c r="C5812">
        <f>TEXT(5811, "[$-060000]yyyy-mm-dd")</f>
        <v/>
      </c>
      <c r="D5812" t="inlineStr">
        <is>
          <t>1334-01-21</t>
        </is>
      </c>
    </row>
    <row r="5813">
      <c r="A5813" s="1" t="n">
        <v>5812</v>
      </c>
      <c r="B5813">
        <f>TEXT(5812, "[$-170000]yyyy-mm-dd")</f>
        <v/>
      </c>
      <c r="C5813">
        <f>TEXT(5812, "[$-060000]yyyy-mm-dd")</f>
        <v/>
      </c>
      <c r="D5813" t="inlineStr">
        <is>
          <t>1334-01-22</t>
        </is>
      </c>
    </row>
    <row r="5814">
      <c r="A5814" s="1" t="n">
        <v>5813</v>
      </c>
      <c r="B5814">
        <f>TEXT(5813, "[$-170000]yyyy-mm-dd")</f>
        <v/>
      </c>
      <c r="C5814">
        <f>TEXT(5813, "[$-060000]yyyy-mm-dd")</f>
        <v/>
      </c>
      <c r="D5814" t="inlineStr">
        <is>
          <t>1334-01-23</t>
        </is>
      </c>
    </row>
    <row r="5815">
      <c r="A5815" s="1" t="n">
        <v>5814</v>
      </c>
      <c r="B5815">
        <f>TEXT(5814, "[$-170000]yyyy-mm-dd")</f>
        <v/>
      </c>
      <c r="C5815">
        <f>TEXT(5814, "[$-060000]yyyy-mm-dd")</f>
        <v/>
      </c>
      <c r="D5815" t="inlineStr">
        <is>
          <t>1334-01-24</t>
        </is>
      </c>
    </row>
    <row r="5816">
      <c r="A5816" s="1" t="n">
        <v>5815</v>
      </c>
      <c r="B5816">
        <f>TEXT(5815, "[$-170000]yyyy-mm-dd")</f>
        <v/>
      </c>
      <c r="C5816">
        <f>TEXT(5815, "[$-060000]yyyy-mm-dd")</f>
        <v/>
      </c>
      <c r="D5816" t="inlineStr">
        <is>
          <t>1334-01-25</t>
        </is>
      </c>
    </row>
    <row r="5817">
      <c r="A5817" s="1" t="n">
        <v>5816</v>
      </c>
      <c r="B5817">
        <f>TEXT(5816, "[$-170000]yyyy-mm-dd")</f>
        <v/>
      </c>
      <c r="C5817">
        <f>TEXT(5816, "[$-060000]yyyy-mm-dd")</f>
        <v/>
      </c>
      <c r="D5817" t="inlineStr">
        <is>
          <t>1334-01-26</t>
        </is>
      </c>
    </row>
    <row r="5818">
      <c r="A5818" s="1" t="n">
        <v>5817</v>
      </c>
      <c r="B5818">
        <f>TEXT(5817, "[$-170000]yyyy-mm-dd")</f>
        <v/>
      </c>
      <c r="C5818">
        <f>TEXT(5817, "[$-060000]yyyy-mm-dd")</f>
        <v/>
      </c>
      <c r="D5818" t="inlineStr">
        <is>
          <t>1334-01-27</t>
        </is>
      </c>
    </row>
    <row r="5819">
      <c r="A5819" s="1" t="n">
        <v>5818</v>
      </c>
      <c r="B5819">
        <f>TEXT(5818, "[$-170000]yyyy-mm-dd")</f>
        <v/>
      </c>
      <c r="C5819">
        <f>TEXT(5818, "[$-060000]yyyy-mm-dd")</f>
        <v/>
      </c>
      <c r="D5819" t="inlineStr">
        <is>
          <t>1334-01-28</t>
        </is>
      </c>
    </row>
    <row r="5820">
      <c r="A5820" s="1" t="n">
        <v>5819</v>
      </c>
      <c r="B5820">
        <f>TEXT(5819, "[$-170000]yyyy-mm-dd")</f>
        <v/>
      </c>
      <c r="C5820">
        <f>TEXT(5819, "[$-060000]yyyy-mm-dd")</f>
        <v/>
      </c>
      <c r="D5820" t="inlineStr">
        <is>
          <t>1334-01-29</t>
        </is>
      </c>
    </row>
    <row r="5821">
      <c r="A5821" s="1" t="n">
        <v>5820</v>
      </c>
      <c r="B5821">
        <f>TEXT(5820, "[$-170000]yyyy-mm-dd")</f>
        <v/>
      </c>
      <c r="C5821">
        <f>TEXT(5820, "[$-060000]yyyy-mm-dd")</f>
        <v/>
      </c>
      <c r="D5821" t="inlineStr">
        <is>
          <t>1334-01-30</t>
        </is>
      </c>
    </row>
    <row r="5822">
      <c r="A5822" s="1" t="n">
        <v>5821</v>
      </c>
      <c r="B5822">
        <f>TEXT(5821, "[$-170000]yyyy-mm-dd")</f>
        <v/>
      </c>
      <c r="C5822">
        <f>TEXT(5821, "[$-060000]yyyy-mm-dd")</f>
        <v/>
      </c>
      <c r="D5822" t="inlineStr">
        <is>
          <t>1334-02-01</t>
        </is>
      </c>
    </row>
    <row r="5823">
      <c r="A5823" s="1" t="n">
        <v>5822</v>
      </c>
      <c r="B5823">
        <f>TEXT(5822, "[$-170000]yyyy-mm-dd")</f>
        <v/>
      </c>
      <c r="C5823">
        <f>TEXT(5822, "[$-060000]yyyy-mm-dd")</f>
        <v/>
      </c>
      <c r="D5823" t="inlineStr">
        <is>
          <t>1334-02-02</t>
        </is>
      </c>
    </row>
    <row r="5824">
      <c r="A5824" s="1" t="n">
        <v>5823</v>
      </c>
      <c r="B5824">
        <f>TEXT(5823, "[$-170000]yyyy-mm-dd")</f>
        <v/>
      </c>
      <c r="C5824">
        <f>TEXT(5823, "[$-060000]yyyy-mm-dd")</f>
        <v/>
      </c>
      <c r="D5824" t="inlineStr">
        <is>
          <t>1334-02-03</t>
        </is>
      </c>
    </row>
    <row r="5825">
      <c r="A5825" s="1" t="n">
        <v>5824</v>
      </c>
      <c r="B5825">
        <f>TEXT(5824, "[$-170000]yyyy-mm-dd")</f>
        <v/>
      </c>
      <c r="C5825">
        <f>TEXT(5824, "[$-060000]yyyy-mm-dd")</f>
        <v/>
      </c>
      <c r="D5825" t="inlineStr">
        <is>
          <t>1334-02-04</t>
        </is>
      </c>
    </row>
    <row r="5826">
      <c r="A5826" s="1" t="n">
        <v>5825</v>
      </c>
      <c r="B5826">
        <f>TEXT(5825, "[$-170000]yyyy-mm-dd")</f>
        <v/>
      </c>
      <c r="C5826">
        <f>TEXT(5825, "[$-060000]yyyy-mm-dd")</f>
        <v/>
      </c>
      <c r="D5826" t="inlineStr">
        <is>
          <t>1334-02-05</t>
        </is>
      </c>
    </row>
    <row r="5827">
      <c r="A5827" s="1" t="n">
        <v>5826</v>
      </c>
      <c r="B5827">
        <f>TEXT(5826, "[$-170000]yyyy-mm-dd")</f>
        <v/>
      </c>
      <c r="C5827">
        <f>TEXT(5826, "[$-060000]yyyy-mm-dd")</f>
        <v/>
      </c>
      <c r="D5827" t="inlineStr">
        <is>
          <t>1334-02-06</t>
        </is>
      </c>
    </row>
    <row r="5828">
      <c r="A5828" s="1" t="n">
        <v>5827</v>
      </c>
      <c r="B5828">
        <f>TEXT(5827, "[$-170000]yyyy-mm-dd")</f>
        <v/>
      </c>
      <c r="C5828">
        <f>TEXT(5827, "[$-060000]yyyy-mm-dd")</f>
        <v/>
      </c>
      <c r="D5828" t="inlineStr">
        <is>
          <t>1334-02-07</t>
        </is>
      </c>
    </row>
    <row r="5829">
      <c r="A5829" s="1" t="n">
        <v>5828</v>
      </c>
      <c r="B5829">
        <f>TEXT(5828, "[$-170000]yyyy-mm-dd")</f>
        <v/>
      </c>
      <c r="C5829">
        <f>TEXT(5828, "[$-060000]yyyy-mm-dd")</f>
        <v/>
      </c>
      <c r="D5829" t="inlineStr">
        <is>
          <t>1334-02-08</t>
        </is>
      </c>
    </row>
    <row r="5830">
      <c r="A5830" s="1" t="n">
        <v>5829</v>
      </c>
      <c r="B5830">
        <f>TEXT(5829, "[$-170000]yyyy-mm-dd")</f>
        <v/>
      </c>
      <c r="C5830">
        <f>TEXT(5829, "[$-060000]yyyy-mm-dd")</f>
        <v/>
      </c>
      <c r="D5830" t="inlineStr">
        <is>
          <t>1334-02-09</t>
        </is>
      </c>
    </row>
    <row r="5831">
      <c r="A5831" s="1" t="n">
        <v>5830</v>
      </c>
      <c r="B5831">
        <f>TEXT(5830, "[$-170000]yyyy-mm-dd")</f>
        <v/>
      </c>
      <c r="C5831">
        <f>TEXT(5830, "[$-060000]yyyy-mm-dd")</f>
        <v/>
      </c>
      <c r="D5831" t="inlineStr">
        <is>
          <t>1334-02-10</t>
        </is>
      </c>
    </row>
    <row r="5832">
      <c r="A5832" s="1" t="n">
        <v>5831</v>
      </c>
      <c r="B5832">
        <f>TEXT(5831, "[$-170000]yyyy-mm-dd")</f>
        <v/>
      </c>
      <c r="C5832">
        <f>TEXT(5831, "[$-060000]yyyy-mm-dd")</f>
        <v/>
      </c>
      <c r="D5832" t="inlineStr">
        <is>
          <t>1334-02-11</t>
        </is>
      </c>
    </row>
    <row r="5833">
      <c r="A5833" s="1" t="n">
        <v>5832</v>
      </c>
      <c r="B5833">
        <f>TEXT(5832, "[$-170000]yyyy-mm-dd")</f>
        <v/>
      </c>
      <c r="C5833">
        <f>TEXT(5832, "[$-060000]yyyy-mm-dd")</f>
        <v/>
      </c>
      <c r="D5833" t="inlineStr">
        <is>
          <t>1334-02-12</t>
        </is>
      </c>
    </row>
    <row r="5834">
      <c r="A5834" s="1" t="n">
        <v>5833</v>
      </c>
      <c r="B5834">
        <f>TEXT(5833, "[$-170000]yyyy-mm-dd")</f>
        <v/>
      </c>
      <c r="C5834">
        <f>TEXT(5833, "[$-060000]yyyy-mm-dd")</f>
        <v/>
      </c>
      <c r="D5834" t="inlineStr">
        <is>
          <t>1334-02-13</t>
        </is>
      </c>
    </row>
    <row r="5835">
      <c r="A5835" s="1" t="n">
        <v>5834</v>
      </c>
      <c r="B5835">
        <f>TEXT(5834, "[$-170000]yyyy-mm-dd")</f>
        <v/>
      </c>
      <c r="C5835">
        <f>TEXT(5834, "[$-060000]yyyy-mm-dd")</f>
        <v/>
      </c>
      <c r="D5835" t="inlineStr">
        <is>
          <t>1334-02-14</t>
        </is>
      </c>
    </row>
    <row r="5836">
      <c r="A5836" s="1" t="n">
        <v>5835</v>
      </c>
      <c r="B5836">
        <f>TEXT(5835, "[$-170000]yyyy-mm-dd")</f>
        <v/>
      </c>
      <c r="C5836">
        <f>TEXT(5835, "[$-060000]yyyy-mm-dd")</f>
        <v/>
      </c>
      <c r="D5836" t="inlineStr">
        <is>
          <t>1334-02-15</t>
        </is>
      </c>
    </row>
    <row r="5837">
      <c r="A5837" s="1" t="n">
        <v>5836</v>
      </c>
      <c r="B5837">
        <f>TEXT(5836, "[$-170000]yyyy-mm-dd")</f>
        <v/>
      </c>
      <c r="C5837">
        <f>TEXT(5836, "[$-060000]yyyy-mm-dd")</f>
        <v/>
      </c>
      <c r="D5837" t="inlineStr">
        <is>
          <t>1334-02-16</t>
        </is>
      </c>
    </row>
    <row r="5838">
      <c r="A5838" s="1" t="n">
        <v>5837</v>
      </c>
      <c r="B5838">
        <f>TEXT(5837, "[$-170000]yyyy-mm-dd")</f>
        <v/>
      </c>
      <c r="C5838">
        <f>TEXT(5837, "[$-060000]yyyy-mm-dd")</f>
        <v/>
      </c>
      <c r="D5838" t="inlineStr">
        <is>
          <t>1334-02-17</t>
        </is>
      </c>
    </row>
    <row r="5839">
      <c r="A5839" s="1" t="n">
        <v>5838</v>
      </c>
      <c r="B5839">
        <f>TEXT(5838, "[$-170000]yyyy-mm-dd")</f>
        <v/>
      </c>
      <c r="C5839">
        <f>TEXT(5838, "[$-060000]yyyy-mm-dd")</f>
        <v/>
      </c>
      <c r="D5839" t="inlineStr">
        <is>
          <t>1334-02-18</t>
        </is>
      </c>
    </row>
    <row r="5840">
      <c r="A5840" s="1" t="n">
        <v>5839</v>
      </c>
      <c r="B5840">
        <f>TEXT(5839, "[$-170000]yyyy-mm-dd")</f>
        <v/>
      </c>
      <c r="C5840">
        <f>TEXT(5839, "[$-060000]yyyy-mm-dd")</f>
        <v/>
      </c>
      <c r="D5840" t="inlineStr">
        <is>
          <t>1334-02-19</t>
        </is>
      </c>
    </row>
    <row r="5841">
      <c r="A5841" s="1" t="n">
        <v>5840</v>
      </c>
      <c r="B5841">
        <f>TEXT(5840, "[$-170000]yyyy-mm-dd")</f>
        <v/>
      </c>
      <c r="C5841">
        <f>TEXT(5840, "[$-060000]yyyy-mm-dd")</f>
        <v/>
      </c>
      <c r="D5841" t="inlineStr">
        <is>
          <t>1334-02-20</t>
        </is>
      </c>
    </row>
    <row r="5842">
      <c r="A5842" s="1" t="n">
        <v>5841</v>
      </c>
      <c r="B5842">
        <f>TEXT(5841, "[$-170000]yyyy-mm-dd")</f>
        <v/>
      </c>
      <c r="C5842">
        <f>TEXT(5841, "[$-060000]yyyy-mm-dd")</f>
        <v/>
      </c>
      <c r="D5842" t="inlineStr">
        <is>
          <t>1334-02-21</t>
        </is>
      </c>
    </row>
    <row r="5843">
      <c r="A5843" s="1" t="n">
        <v>5842</v>
      </c>
      <c r="B5843">
        <f>TEXT(5842, "[$-170000]yyyy-mm-dd")</f>
        <v/>
      </c>
      <c r="C5843">
        <f>TEXT(5842, "[$-060000]yyyy-mm-dd")</f>
        <v/>
      </c>
      <c r="D5843" t="inlineStr">
        <is>
          <t>1334-02-22</t>
        </is>
      </c>
    </row>
    <row r="5844">
      <c r="A5844" s="1" t="n">
        <v>5843</v>
      </c>
      <c r="B5844">
        <f>TEXT(5843, "[$-170000]yyyy-mm-dd")</f>
        <v/>
      </c>
      <c r="C5844">
        <f>TEXT(5843, "[$-060000]yyyy-mm-dd")</f>
        <v/>
      </c>
      <c r="D5844" t="inlineStr">
        <is>
          <t>1334-02-23</t>
        </is>
      </c>
    </row>
    <row r="5845">
      <c r="A5845" s="1" t="n">
        <v>5844</v>
      </c>
      <c r="B5845">
        <f>TEXT(5844, "[$-170000]yyyy-mm-dd")</f>
        <v/>
      </c>
      <c r="C5845">
        <f>TEXT(5844, "[$-060000]yyyy-mm-dd")</f>
        <v/>
      </c>
      <c r="D5845" t="inlineStr">
        <is>
          <t>1334-02-24</t>
        </is>
      </c>
    </row>
    <row r="5846">
      <c r="A5846" s="1" t="n">
        <v>5845</v>
      </c>
      <c r="B5846">
        <f>TEXT(5845, "[$-170000]yyyy-mm-dd")</f>
        <v/>
      </c>
      <c r="C5846">
        <f>TEXT(5845, "[$-060000]yyyy-mm-dd")</f>
        <v/>
      </c>
      <c r="D5846" t="inlineStr">
        <is>
          <t>1334-02-25</t>
        </is>
      </c>
    </row>
    <row r="5847">
      <c r="A5847" s="1" t="n">
        <v>5846</v>
      </c>
      <c r="B5847">
        <f>TEXT(5846, "[$-170000]yyyy-mm-dd")</f>
        <v/>
      </c>
      <c r="C5847">
        <f>TEXT(5846, "[$-060000]yyyy-mm-dd")</f>
        <v/>
      </c>
      <c r="D5847" t="inlineStr">
        <is>
          <t>1334-02-26</t>
        </is>
      </c>
    </row>
    <row r="5848">
      <c r="A5848" s="1" t="n">
        <v>5847</v>
      </c>
      <c r="B5848">
        <f>TEXT(5847, "[$-170000]yyyy-mm-dd")</f>
        <v/>
      </c>
      <c r="C5848">
        <f>TEXT(5847, "[$-060000]yyyy-mm-dd")</f>
        <v/>
      </c>
      <c r="D5848" t="inlineStr">
        <is>
          <t>1334-02-27</t>
        </is>
      </c>
    </row>
    <row r="5849">
      <c r="A5849" s="1" t="n">
        <v>5848</v>
      </c>
      <c r="B5849">
        <f>TEXT(5848, "[$-170000]yyyy-mm-dd")</f>
        <v/>
      </c>
      <c r="C5849">
        <f>TEXT(5848, "[$-060000]yyyy-mm-dd")</f>
        <v/>
      </c>
      <c r="D5849" t="inlineStr">
        <is>
          <t>1334-02-28</t>
        </is>
      </c>
    </row>
    <row r="5850">
      <c r="A5850" s="1" t="n">
        <v>5849</v>
      </c>
      <c r="B5850">
        <f>TEXT(5849, "[$-170000]yyyy-mm-dd")</f>
        <v/>
      </c>
      <c r="C5850">
        <f>TEXT(5849, "[$-060000]yyyy-mm-dd")</f>
        <v/>
      </c>
      <c r="D5850" t="inlineStr">
        <is>
          <t>1334-02-29</t>
        </is>
      </c>
    </row>
    <row r="5851">
      <c r="A5851" s="1" t="n">
        <v>5850</v>
      </c>
      <c r="B5851">
        <f>TEXT(5850, "[$-170000]yyyy-mm-dd")</f>
        <v/>
      </c>
      <c r="C5851">
        <f>TEXT(5850, "[$-060000]yyyy-mm-dd")</f>
        <v/>
      </c>
      <c r="D5851" t="inlineStr">
        <is>
          <t>1334-03-01</t>
        </is>
      </c>
    </row>
    <row r="5852">
      <c r="A5852" s="1" t="n">
        <v>5851</v>
      </c>
      <c r="B5852">
        <f>TEXT(5851, "[$-170000]yyyy-mm-dd")</f>
        <v/>
      </c>
      <c r="C5852">
        <f>TEXT(5851, "[$-060000]yyyy-mm-dd")</f>
        <v/>
      </c>
      <c r="D5852" t="inlineStr">
        <is>
          <t>1334-03-02</t>
        </is>
      </c>
    </row>
    <row r="5853">
      <c r="A5853" s="1" t="n">
        <v>5852</v>
      </c>
      <c r="B5853">
        <f>TEXT(5852, "[$-170000]yyyy-mm-dd")</f>
        <v/>
      </c>
      <c r="C5853">
        <f>TEXT(5852, "[$-060000]yyyy-mm-dd")</f>
        <v/>
      </c>
      <c r="D5853" t="inlineStr">
        <is>
          <t>1334-03-03</t>
        </is>
      </c>
    </row>
    <row r="5854">
      <c r="A5854" s="1" t="n">
        <v>5853</v>
      </c>
      <c r="B5854">
        <f>TEXT(5853, "[$-170000]yyyy-mm-dd")</f>
        <v/>
      </c>
      <c r="C5854">
        <f>TEXT(5853, "[$-060000]yyyy-mm-dd")</f>
        <v/>
      </c>
      <c r="D5854" t="inlineStr">
        <is>
          <t>1334-03-04</t>
        </is>
      </c>
    </row>
    <row r="5855">
      <c r="A5855" s="1" t="n">
        <v>5854</v>
      </c>
      <c r="B5855">
        <f>TEXT(5854, "[$-170000]yyyy-mm-dd")</f>
        <v/>
      </c>
      <c r="C5855">
        <f>TEXT(5854, "[$-060000]yyyy-mm-dd")</f>
        <v/>
      </c>
      <c r="D5855" t="inlineStr">
        <is>
          <t>1334-03-05</t>
        </is>
      </c>
    </row>
    <row r="5856">
      <c r="A5856" s="1" t="n">
        <v>5855</v>
      </c>
      <c r="B5856">
        <f>TEXT(5855, "[$-170000]yyyy-mm-dd")</f>
        <v/>
      </c>
      <c r="C5856">
        <f>TEXT(5855, "[$-060000]yyyy-mm-dd")</f>
        <v/>
      </c>
      <c r="D5856" t="inlineStr">
        <is>
          <t>1334-03-06</t>
        </is>
      </c>
    </row>
    <row r="5857">
      <c r="A5857" s="1" t="n">
        <v>5856</v>
      </c>
      <c r="B5857">
        <f>TEXT(5856, "[$-170000]yyyy-mm-dd")</f>
        <v/>
      </c>
      <c r="C5857">
        <f>TEXT(5856, "[$-060000]yyyy-mm-dd")</f>
        <v/>
      </c>
      <c r="D5857" t="inlineStr">
        <is>
          <t>1334-03-07</t>
        </is>
      </c>
    </row>
    <row r="5858">
      <c r="A5858" s="1" t="n">
        <v>5857</v>
      </c>
      <c r="B5858">
        <f>TEXT(5857, "[$-170000]yyyy-mm-dd")</f>
        <v/>
      </c>
      <c r="C5858">
        <f>TEXT(5857, "[$-060000]yyyy-mm-dd")</f>
        <v/>
      </c>
      <c r="D5858" t="inlineStr">
        <is>
          <t>1334-03-08</t>
        </is>
      </c>
    </row>
    <row r="5859">
      <c r="A5859" s="1" t="n">
        <v>5858</v>
      </c>
      <c r="B5859">
        <f>TEXT(5858, "[$-170000]yyyy-mm-dd")</f>
        <v/>
      </c>
      <c r="C5859">
        <f>TEXT(5858, "[$-060000]yyyy-mm-dd")</f>
        <v/>
      </c>
      <c r="D5859" t="inlineStr">
        <is>
          <t>1334-03-09</t>
        </is>
      </c>
    </row>
    <row r="5860">
      <c r="A5860" s="1" t="n">
        <v>5859</v>
      </c>
      <c r="B5860">
        <f>TEXT(5859, "[$-170000]yyyy-mm-dd")</f>
        <v/>
      </c>
      <c r="C5860">
        <f>TEXT(5859, "[$-060000]yyyy-mm-dd")</f>
        <v/>
      </c>
      <c r="D5860" t="inlineStr">
        <is>
          <t>1334-03-10</t>
        </is>
      </c>
    </row>
    <row r="5861">
      <c r="A5861" s="1" t="n">
        <v>5860</v>
      </c>
      <c r="B5861">
        <f>TEXT(5860, "[$-170000]yyyy-mm-dd")</f>
        <v/>
      </c>
      <c r="C5861">
        <f>TEXT(5860, "[$-060000]yyyy-mm-dd")</f>
        <v/>
      </c>
      <c r="D5861" t="inlineStr">
        <is>
          <t>1334-03-11</t>
        </is>
      </c>
    </row>
    <row r="5862">
      <c r="A5862" s="1" t="n">
        <v>5861</v>
      </c>
      <c r="B5862">
        <f>TEXT(5861, "[$-170000]yyyy-mm-dd")</f>
        <v/>
      </c>
      <c r="C5862">
        <f>TEXT(5861, "[$-060000]yyyy-mm-dd")</f>
        <v/>
      </c>
      <c r="D5862" t="inlineStr">
        <is>
          <t>1334-03-12</t>
        </is>
      </c>
    </row>
    <row r="5863">
      <c r="A5863" s="1" t="n">
        <v>5862</v>
      </c>
      <c r="B5863">
        <f>TEXT(5862, "[$-170000]yyyy-mm-dd")</f>
        <v/>
      </c>
      <c r="C5863">
        <f>TEXT(5862, "[$-060000]yyyy-mm-dd")</f>
        <v/>
      </c>
      <c r="D5863" t="inlineStr">
        <is>
          <t>1334-03-13</t>
        </is>
      </c>
    </row>
    <row r="5864">
      <c r="A5864" s="1" t="n">
        <v>5863</v>
      </c>
      <c r="B5864">
        <f>TEXT(5863, "[$-170000]yyyy-mm-dd")</f>
        <v/>
      </c>
      <c r="C5864">
        <f>TEXT(5863, "[$-060000]yyyy-mm-dd")</f>
        <v/>
      </c>
      <c r="D5864" t="inlineStr">
        <is>
          <t>1334-03-14</t>
        </is>
      </c>
    </row>
    <row r="5865">
      <c r="A5865" s="1" t="n">
        <v>5864</v>
      </c>
      <c r="B5865">
        <f>TEXT(5864, "[$-170000]yyyy-mm-dd")</f>
        <v/>
      </c>
      <c r="C5865">
        <f>TEXT(5864, "[$-060000]yyyy-mm-dd")</f>
        <v/>
      </c>
      <c r="D5865" t="inlineStr">
        <is>
          <t>1334-03-15</t>
        </is>
      </c>
    </row>
    <row r="5866">
      <c r="A5866" s="1" t="n">
        <v>5865</v>
      </c>
      <c r="B5866">
        <f>TEXT(5865, "[$-170000]yyyy-mm-dd")</f>
        <v/>
      </c>
      <c r="C5866">
        <f>TEXT(5865, "[$-060000]yyyy-mm-dd")</f>
        <v/>
      </c>
      <c r="D5866" t="inlineStr">
        <is>
          <t>1334-03-16</t>
        </is>
      </c>
    </row>
    <row r="5867">
      <c r="A5867" s="1" t="n">
        <v>5866</v>
      </c>
      <c r="B5867">
        <f>TEXT(5866, "[$-170000]yyyy-mm-dd")</f>
        <v/>
      </c>
      <c r="C5867">
        <f>TEXT(5866, "[$-060000]yyyy-mm-dd")</f>
        <v/>
      </c>
      <c r="D5867" t="inlineStr">
        <is>
          <t>1334-03-17</t>
        </is>
      </c>
    </row>
    <row r="5868">
      <c r="A5868" s="1" t="n">
        <v>5867</v>
      </c>
      <c r="B5868">
        <f>TEXT(5867, "[$-170000]yyyy-mm-dd")</f>
        <v/>
      </c>
      <c r="C5868">
        <f>TEXT(5867, "[$-060000]yyyy-mm-dd")</f>
        <v/>
      </c>
      <c r="D5868" t="inlineStr">
        <is>
          <t>1334-03-18</t>
        </is>
      </c>
    </row>
    <row r="5869">
      <c r="A5869" s="1" t="n">
        <v>5868</v>
      </c>
      <c r="B5869">
        <f>TEXT(5868, "[$-170000]yyyy-mm-dd")</f>
        <v/>
      </c>
      <c r="C5869">
        <f>TEXT(5868, "[$-060000]yyyy-mm-dd")</f>
        <v/>
      </c>
      <c r="D5869" t="inlineStr">
        <is>
          <t>1334-03-19</t>
        </is>
      </c>
    </row>
    <row r="5870">
      <c r="A5870" s="1" t="n">
        <v>5869</v>
      </c>
      <c r="B5870">
        <f>TEXT(5869, "[$-170000]yyyy-mm-dd")</f>
        <v/>
      </c>
      <c r="C5870">
        <f>TEXT(5869, "[$-060000]yyyy-mm-dd")</f>
        <v/>
      </c>
      <c r="D5870" t="inlineStr">
        <is>
          <t>1334-03-20</t>
        </is>
      </c>
    </row>
    <row r="5871">
      <c r="A5871" s="1" t="n">
        <v>5870</v>
      </c>
      <c r="B5871">
        <f>TEXT(5870, "[$-170000]yyyy-mm-dd")</f>
        <v/>
      </c>
      <c r="C5871">
        <f>TEXT(5870, "[$-060000]yyyy-mm-dd")</f>
        <v/>
      </c>
      <c r="D5871" t="inlineStr">
        <is>
          <t>1334-03-21</t>
        </is>
      </c>
    </row>
    <row r="5872">
      <c r="A5872" s="1" t="n">
        <v>5871</v>
      </c>
      <c r="B5872">
        <f>TEXT(5871, "[$-170000]yyyy-mm-dd")</f>
        <v/>
      </c>
      <c r="C5872">
        <f>TEXT(5871, "[$-060000]yyyy-mm-dd")</f>
        <v/>
      </c>
      <c r="D5872" t="inlineStr">
        <is>
          <t>1334-03-22</t>
        </is>
      </c>
    </row>
    <row r="5873">
      <c r="A5873" s="1" t="n">
        <v>5872</v>
      </c>
      <c r="B5873">
        <f>TEXT(5872, "[$-170000]yyyy-mm-dd")</f>
        <v/>
      </c>
      <c r="C5873">
        <f>TEXT(5872, "[$-060000]yyyy-mm-dd")</f>
        <v/>
      </c>
      <c r="D5873" t="inlineStr">
        <is>
          <t>1334-03-23</t>
        </is>
      </c>
    </row>
    <row r="5874">
      <c r="A5874" s="1" t="n">
        <v>5873</v>
      </c>
      <c r="B5874">
        <f>TEXT(5873, "[$-170000]yyyy-mm-dd")</f>
        <v/>
      </c>
      <c r="C5874">
        <f>TEXT(5873, "[$-060000]yyyy-mm-dd")</f>
        <v/>
      </c>
      <c r="D5874" t="inlineStr">
        <is>
          <t>1334-03-24</t>
        </is>
      </c>
    </row>
    <row r="5875">
      <c r="A5875" s="1" t="n">
        <v>5874</v>
      </c>
      <c r="B5875">
        <f>TEXT(5874, "[$-170000]yyyy-mm-dd")</f>
        <v/>
      </c>
      <c r="C5875">
        <f>TEXT(5874, "[$-060000]yyyy-mm-dd")</f>
        <v/>
      </c>
      <c r="D5875" t="inlineStr">
        <is>
          <t>1334-03-25</t>
        </is>
      </c>
    </row>
    <row r="5876">
      <c r="A5876" s="1" t="n">
        <v>5875</v>
      </c>
      <c r="B5876">
        <f>TEXT(5875, "[$-170000]yyyy-mm-dd")</f>
        <v/>
      </c>
      <c r="C5876">
        <f>TEXT(5875, "[$-060000]yyyy-mm-dd")</f>
        <v/>
      </c>
      <c r="D5876" t="inlineStr">
        <is>
          <t>1334-03-26</t>
        </is>
      </c>
    </row>
    <row r="5877">
      <c r="A5877" s="1" t="n">
        <v>5876</v>
      </c>
      <c r="B5877">
        <f>TEXT(5876, "[$-170000]yyyy-mm-dd")</f>
        <v/>
      </c>
      <c r="C5877">
        <f>TEXT(5876, "[$-060000]yyyy-mm-dd")</f>
        <v/>
      </c>
      <c r="D5877" t="inlineStr">
        <is>
          <t>1334-03-27</t>
        </is>
      </c>
    </row>
    <row r="5878">
      <c r="A5878" s="1" t="n">
        <v>5877</v>
      </c>
      <c r="B5878">
        <f>TEXT(5877, "[$-170000]yyyy-mm-dd")</f>
        <v/>
      </c>
      <c r="C5878">
        <f>TEXT(5877, "[$-060000]yyyy-mm-dd")</f>
        <v/>
      </c>
      <c r="D5878" t="inlineStr">
        <is>
          <t>1334-03-28</t>
        </is>
      </c>
    </row>
    <row r="5879">
      <c r="A5879" s="1" t="n">
        <v>5878</v>
      </c>
      <c r="B5879">
        <f>TEXT(5878, "[$-170000]yyyy-mm-dd")</f>
        <v/>
      </c>
      <c r="C5879">
        <f>TEXT(5878, "[$-060000]yyyy-mm-dd")</f>
        <v/>
      </c>
      <c r="D5879" t="inlineStr">
        <is>
          <t>1334-03-29</t>
        </is>
      </c>
    </row>
    <row r="5880">
      <c r="A5880" s="1" t="n">
        <v>5879</v>
      </c>
      <c r="B5880">
        <f>TEXT(5879, "[$-170000]yyyy-mm-dd")</f>
        <v/>
      </c>
      <c r="C5880">
        <f>TEXT(5879, "[$-060000]yyyy-mm-dd")</f>
        <v/>
      </c>
      <c r="D5880" t="inlineStr">
        <is>
          <t>1334-03-30</t>
        </is>
      </c>
    </row>
    <row r="5881">
      <c r="A5881" s="1" t="n">
        <v>5880</v>
      </c>
      <c r="B5881">
        <f>TEXT(5880, "[$-170000]yyyy-mm-dd")</f>
        <v/>
      </c>
      <c r="C5881">
        <f>TEXT(5880, "[$-060000]yyyy-mm-dd")</f>
        <v/>
      </c>
      <c r="D5881" t="inlineStr">
        <is>
          <t>1334-04-01</t>
        </is>
      </c>
    </row>
    <row r="5882">
      <c r="A5882" s="1" t="n">
        <v>5881</v>
      </c>
      <c r="B5882">
        <f>TEXT(5881, "[$-170000]yyyy-mm-dd")</f>
        <v/>
      </c>
      <c r="C5882">
        <f>TEXT(5881, "[$-060000]yyyy-mm-dd")</f>
        <v/>
      </c>
      <c r="D5882" t="inlineStr">
        <is>
          <t>1334-04-02</t>
        </is>
      </c>
    </row>
    <row r="5883">
      <c r="A5883" s="1" t="n">
        <v>5882</v>
      </c>
      <c r="B5883">
        <f>TEXT(5882, "[$-170000]yyyy-mm-dd")</f>
        <v/>
      </c>
      <c r="C5883">
        <f>TEXT(5882, "[$-060000]yyyy-mm-dd")</f>
        <v/>
      </c>
      <c r="D5883" t="inlineStr">
        <is>
          <t>1334-04-03</t>
        </is>
      </c>
    </row>
    <row r="5884">
      <c r="A5884" s="1" t="n">
        <v>5883</v>
      </c>
      <c r="B5884">
        <f>TEXT(5883, "[$-170000]yyyy-mm-dd")</f>
        <v/>
      </c>
      <c r="C5884">
        <f>TEXT(5883, "[$-060000]yyyy-mm-dd")</f>
        <v/>
      </c>
      <c r="D5884" t="inlineStr">
        <is>
          <t>1334-04-04</t>
        </is>
      </c>
    </row>
    <row r="5885">
      <c r="A5885" s="1" t="n">
        <v>5884</v>
      </c>
      <c r="B5885">
        <f>TEXT(5884, "[$-170000]yyyy-mm-dd")</f>
        <v/>
      </c>
      <c r="C5885">
        <f>TEXT(5884, "[$-060000]yyyy-mm-dd")</f>
        <v/>
      </c>
      <c r="D5885" t="inlineStr">
        <is>
          <t>1334-04-05</t>
        </is>
      </c>
    </row>
    <row r="5886">
      <c r="A5886" s="1" t="n">
        <v>5885</v>
      </c>
      <c r="B5886">
        <f>TEXT(5885, "[$-170000]yyyy-mm-dd")</f>
        <v/>
      </c>
      <c r="C5886">
        <f>TEXT(5885, "[$-060000]yyyy-mm-dd")</f>
        <v/>
      </c>
      <c r="D5886" t="inlineStr">
        <is>
          <t>1334-04-06</t>
        </is>
      </c>
    </row>
    <row r="5887">
      <c r="A5887" s="1" t="n">
        <v>5886</v>
      </c>
      <c r="B5887">
        <f>TEXT(5886, "[$-170000]yyyy-mm-dd")</f>
        <v/>
      </c>
      <c r="C5887">
        <f>TEXT(5886, "[$-060000]yyyy-mm-dd")</f>
        <v/>
      </c>
      <c r="D5887" t="inlineStr">
        <is>
          <t>1334-04-07</t>
        </is>
      </c>
    </row>
    <row r="5888">
      <c r="A5888" s="1" t="n">
        <v>5887</v>
      </c>
      <c r="B5888">
        <f>TEXT(5887, "[$-170000]yyyy-mm-dd")</f>
        <v/>
      </c>
      <c r="C5888">
        <f>TEXT(5887, "[$-060000]yyyy-mm-dd")</f>
        <v/>
      </c>
      <c r="D5888" t="inlineStr">
        <is>
          <t>1334-04-08</t>
        </is>
      </c>
    </row>
    <row r="5889">
      <c r="A5889" s="1" t="n">
        <v>5888</v>
      </c>
      <c r="B5889">
        <f>TEXT(5888, "[$-170000]yyyy-mm-dd")</f>
        <v/>
      </c>
      <c r="C5889">
        <f>TEXT(5888, "[$-060000]yyyy-mm-dd")</f>
        <v/>
      </c>
      <c r="D5889" t="inlineStr">
        <is>
          <t>1334-04-09</t>
        </is>
      </c>
    </row>
    <row r="5890">
      <c r="A5890" s="1" t="n">
        <v>5889</v>
      </c>
      <c r="B5890">
        <f>TEXT(5889, "[$-170000]yyyy-mm-dd")</f>
        <v/>
      </c>
      <c r="C5890">
        <f>TEXT(5889, "[$-060000]yyyy-mm-dd")</f>
        <v/>
      </c>
      <c r="D5890" t="inlineStr">
        <is>
          <t>1334-04-10</t>
        </is>
      </c>
    </row>
    <row r="5891">
      <c r="A5891" s="1" t="n">
        <v>5890</v>
      </c>
      <c r="B5891">
        <f>TEXT(5890, "[$-170000]yyyy-mm-dd")</f>
        <v/>
      </c>
      <c r="C5891">
        <f>TEXT(5890, "[$-060000]yyyy-mm-dd")</f>
        <v/>
      </c>
      <c r="D5891" t="inlineStr">
        <is>
          <t>1334-04-11</t>
        </is>
      </c>
    </row>
    <row r="5892">
      <c r="A5892" s="1" t="n">
        <v>5891</v>
      </c>
      <c r="B5892">
        <f>TEXT(5891, "[$-170000]yyyy-mm-dd")</f>
        <v/>
      </c>
      <c r="C5892">
        <f>TEXT(5891, "[$-060000]yyyy-mm-dd")</f>
        <v/>
      </c>
      <c r="D5892" t="inlineStr">
        <is>
          <t>1334-04-12</t>
        </is>
      </c>
    </row>
    <row r="5893">
      <c r="A5893" s="1" t="n">
        <v>5892</v>
      </c>
      <c r="B5893">
        <f>TEXT(5892, "[$-170000]yyyy-mm-dd")</f>
        <v/>
      </c>
      <c r="C5893">
        <f>TEXT(5892, "[$-060000]yyyy-mm-dd")</f>
        <v/>
      </c>
      <c r="D5893" t="inlineStr">
        <is>
          <t>1334-04-13</t>
        </is>
      </c>
    </row>
    <row r="5894">
      <c r="A5894" s="1" t="n">
        <v>5893</v>
      </c>
      <c r="B5894">
        <f>TEXT(5893, "[$-170000]yyyy-mm-dd")</f>
        <v/>
      </c>
      <c r="C5894">
        <f>TEXT(5893, "[$-060000]yyyy-mm-dd")</f>
        <v/>
      </c>
      <c r="D5894" t="inlineStr">
        <is>
          <t>1334-04-14</t>
        </is>
      </c>
    </row>
    <row r="5895">
      <c r="A5895" s="1" t="n">
        <v>5894</v>
      </c>
      <c r="B5895">
        <f>TEXT(5894, "[$-170000]yyyy-mm-dd")</f>
        <v/>
      </c>
      <c r="C5895">
        <f>TEXT(5894, "[$-060000]yyyy-mm-dd")</f>
        <v/>
      </c>
      <c r="D5895" t="inlineStr">
        <is>
          <t>1334-04-15</t>
        </is>
      </c>
    </row>
    <row r="5896">
      <c r="A5896" s="1" t="n">
        <v>5895</v>
      </c>
      <c r="B5896">
        <f>TEXT(5895, "[$-170000]yyyy-mm-dd")</f>
        <v/>
      </c>
      <c r="C5896">
        <f>TEXT(5895, "[$-060000]yyyy-mm-dd")</f>
        <v/>
      </c>
      <c r="D5896" t="inlineStr">
        <is>
          <t>1334-04-16</t>
        </is>
      </c>
    </row>
    <row r="5897">
      <c r="A5897" s="1" t="n">
        <v>5896</v>
      </c>
      <c r="B5897">
        <f>TEXT(5896, "[$-170000]yyyy-mm-dd")</f>
        <v/>
      </c>
      <c r="C5897">
        <f>TEXT(5896, "[$-060000]yyyy-mm-dd")</f>
        <v/>
      </c>
      <c r="D5897" t="inlineStr">
        <is>
          <t>1334-04-17</t>
        </is>
      </c>
    </row>
    <row r="5898">
      <c r="A5898" s="1" t="n">
        <v>5897</v>
      </c>
      <c r="B5898">
        <f>TEXT(5897, "[$-170000]yyyy-mm-dd")</f>
        <v/>
      </c>
      <c r="C5898">
        <f>TEXT(5897, "[$-060000]yyyy-mm-dd")</f>
        <v/>
      </c>
      <c r="D5898" t="inlineStr">
        <is>
          <t>1334-04-18</t>
        </is>
      </c>
    </row>
    <row r="5899">
      <c r="A5899" s="1" t="n">
        <v>5898</v>
      </c>
      <c r="B5899">
        <f>TEXT(5898, "[$-170000]yyyy-mm-dd")</f>
        <v/>
      </c>
      <c r="C5899">
        <f>TEXT(5898, "[$-060000]yyyy-mm-dd")</f>
        <v/>
      </c>
      <c r="D5899" t="inlineStr">
        <is>
          <t>1334-04-19</t>
        </is>
      </c>
    </row>
    <row r="5900">
      <c r="A5900" s="1" t="n">
        <v>5899</v>
      </c>
      <c r="B5900">
        <f>TEXT(5899, "[$-170000]yyyy-mm-dd")</f>
        <v/>
      </c>
      <c r="C5900">
        <f>TEXT(5899, "[$-060000]yyyy-mm-dd")</f>
        <v/>
      </c>
      <c r="D5900" t="inlineStr">
        <is>
          <t>1334-04-20</t>
        </is>
      </c>
    </row>
    <row r="5901">
      <c r="A5901" s="1" t="n">
        <v>5900</v>
      </c>
      <c r="B5901">
        <f>TEXT(5900, "[$-170000]yyyy-mm-dd")</f>
        <v/>
      </c>
      <c r="C5901">
        <f>TEXT(5900, "[$-060000]yyyy-mm-dd")</f>
        <v/>
      </c>
      <c r="D5901" t="inlineStr">
        <is>
          <t>1334-04-21</t>
        </is>
      </c>
    </row>
    <row r="5902">
      <c r="A5902" s="1" t="n">
        <v>5901</v>
      </c>
      <c r="B5902">
        <f>TEXT(5901, "[$-170000]yyyy-mm-dd")</f>
        <v/>
      </c>
      <c r="C5902">
        <f>TEXT(5901, "[$-060000]yyyy-mm-dd")</f>
        <v/>
      </c>
      <c r="D5902" t="inlineStr">
        <is>
          <t>1334-04-22</t>
        </is>
      </c>
    </row>
    <row r="5903">
      <c r="A5903" s="1" t="n">
        <v>5902</v>
      </c>
      <c r="B5903">
        <f>TEXT(5902, "[$-170000]yyyy-mm-dd")</f>
        <v/>
      </c>
      <c r="C5903">
        <f>TEXT(5902, "[$-060000]yyyy-mm-dd")</f>
        <v/>
      </c>
      <c r="D5903" t="inlineStr">
        <is>
          <t>1334-04-23</t>
        </is>
      </c>
    </row>
    <row r="5904">
      <c r="A5904" s="1" t="n">
        <v>5903</v>
      </c>
      <c r="B5904">
        <f>TEXT(5903, "[$-170000]yyyy-mm-dd")</f>
        <v/>
      </c>
      <c r="C5904">
        <f>TEXT(5903, "[$-060000]yyyy-mm-dd")</f>
        <v/>
      </c>
      <c r="D5904" t="inlineStr">
        <is>
          <t>1334-04-24</t>
        </is>
      </c>
    </row>
    <row r="5905">
      <c r="A5905" s="1" t="n">
        <v>5904</v>
      </c>
      <c r="B5905">
        <f>TEXT(5904, "[$-170000]yyyy-mm-dd")</f>
        <v/>
      </c>
      <c r="C5905">
        <f>TEXT(5904, "[$-060000]yyyy-mm-dd")</f>
        <v/>
      </c>
      <c r="D5905" t="inlineStr">
        <is>
          <t>1334-04-25</t>
        </is>
      </c>
    </row>
    <row r="5906">
      <c r="A5906" s="1" t="n">
        <v>5905</v>
      </c>
      <c r="B5906">
        <f>TEXT(5905, "[$-170000]yyyy-mm-dd")</f>
        <v/>
      </c>
      <c r="C5906">
        <f>TEXT(5905, "[$-060000]yyyy-mm-dd")</f>
        <v/>
      </c>
      <c r="D5906" t="inlineStr">
        <is>
          <t>1334-04-26</t>
        </is>
      </c>
    </row>
    <row r="5907">
      <c r="A5907" s="1" t="n">
        <v>5906</v>
      </c>
      <c r="B5907">
        <f>TEXT(5906, "[$-170000]yyyy-mm-dd")</f>
        <v/>
      </c>
      <c r="C5907">
        <f>TEXT(5906, "[$-060000]yyyy-mm-dd")</f>
        <v/>
      </c>
      <c r="D5907" t="inlineStr">
        <is>
          <t>1334-04-27</t>
        </is>
      </c>
    </row>
    <row r="5908">
      <c r="A5908" s="1" t="n">
        <v>5907</v>
      </c>
      <c r="B5908">
        <f>TEXT(5907, "[$-170000]yyyy-mm-dd")</f>
        <v/>
      </c>
      <c r="C5908">
        <f>TEXT(5907, "[$-060000]yyyy-mm-dd")</f>
        <v/>
      </c>
      <c r="D5908" t="inlineStr">
        <is>
          <t>1334-04-28</t>
        </is>
      </c>
    </row>
    <row r="5909">
      <c r="A5909" s="1" t="n">
        <v>5908</v>
      </c>
      <c r="B5909">
        <f>TEXT(5908, "[$-170000]yyyy-mm-dd")</f>
        <v/>
      </c>
      <c r="C5909">
        <f>TEXT(5908, "[$-060000]yyyy-mm-dd")</f>
        <v/>
      </c>
      <c r="D5909" t="inlineStr">
        <is>
          <t>1334-04-29</t>
        </is>
      </c>
    </row>
    <row r="5910">
      <c r="A5910" s="1" t="n">
        <v>5909</v>
      </c>
      <c r="B5910">
        <f>TEXT(5909, "[$-170000]yyyy-mm-dd")</f>
        <v/>
      </c>
      <c r="C5910">
        <f>TEXT(5909, "[$-060000]yyyy-mm-dd")</f>
        <v/>
      </c>
      <c r="D5910" t="inlineStr">
        <is>
          <t>1334-05-01</t>
        </is>
      </c>
    </row>
    <row r="5911">
      <c r="A5911" s="1" t="n">
        <v>5910</v>
      </c>
      <c r="B5911">
        <f>TEXT(5910, "[$-170000]yyyy-mm-dd")</f>
        <v/>
      </c>
      <c r="C5911">
        <f>TEXT(5910, "[$-060000]yyyy-mm-dd")</f>
        <v/>
      </c>
      <c r="D5911" t="inlineStr">
        <is>
          <t>1334-05-02</t>
        </is>
      </c>
    </row>
    <row r="5912">
      <c r="A5912" s="1" t="n">
        <v>5911</v>
      </c>
      <c r="B5912">
        <f>TEXT(5911, "[$-170000]yyyy-mm-dd")</f>
        <v/>
      </c>
      <c r="C5912">
        <f>TEXT(5911, "[$-060000]yyyy-mm-dd")</f>
        <v/>
      </c>
      <c r="D5912" t="inlineStr">
        <is>
          <t>1334-05-03</t>
        </is>
      </c>
    </row>
    <row r="5913">
      <c r="A5913" s="1" t="n">
        <v>5912</v>
      </c>
      <c r="B5913">
        <f>TEXT(5912, "[$-170000]yyyy-mm-dd")</f>
        <v/>
      </c>
      <c r="C5913">
        <f>TEXT(5912, "[$-060000]yyyy-mm-dd")</f>
        <v/>
      </c>
      <c r="D5913" t="inlineStr">
        <is>
          <t>1334-05-04</t>
        </is>
      </c>
    </row>
    <row r="5914">
      <c r="A5914" s="1" t="n">
        <v>5913</v>
      </c>
      <c r="B5914">
        <f>TEXT(5913, "[$-170000]yyyy-mm-dd")</f>
        <v/>
      </c>
      <c r="C5914">
        <f>TEXT(5913, "[$-060000]yyyy-mm-dd")</f>
        <v/>
      </c>
      <c r="D5914" t="inlineStr">
        <is>
          <t>1334-05-05</t>
        </is>
      </c>
    </row>
    <row r="5915">
      <c r="A5915" s="1" t="n">
        <v>5914</v>
      </c>
      <c r="B5915">
        <f>TEXT(5914, "[$-170000]yyyy-mm-dd")</f>
        <v/>
      </c>
      <c r="C5915">
        <f>TEXT(5914, "[$-060000]yyyy-mm-dd")</f>
        <v/>
      </c>
      <c r="D5915" t="inlineStr">
        <is>
          <t>1334-05-06</t>
        </is>
      </c>
    </row>
    <row r="5916">
      <c r="A5916" s="1" t="n">
        <v>5915</v>
      </c>
      <c r="B5916">
        <f>TEXT(5915, "[$-170000]yyyy-mm-dd")</f>
        <v/>
      </c>
      <c r="C5916">
        <f>TEXT(5915, "[$-060000]yyyy-mm-dd")</f>
        <v/>
      </c>
      <c r="D5916" t="inlineStr">
        <is>
          <t>1334-05-07</t>
        </is>
      </c>
    </row>
    <row r="5917">
      <c r="A5917" s="1" t="n">
        <v>5916</v>
      </c>
      <c r="B5917">
        <f>TEXT(5916, "[$-170000]yyyy-mm-dd")</f>
        <v/>
      </c>
      <c r="C5917">
        <f>TEXT(5916, "[$-060000]yyyy-mm-dd")</f>
        <v/>
      </c>
      <c r="D5917" t="inlineStr">
        <is>
          <t>1334-05-08</t>
        </is>
      </c>
    </row>
    <row r="5918">
      <c r="A5918" s="1" t="n">
        <v>5917</v>
      </c>
      <c r="B5918">
        <f>TEXT(5917, "[$-170000]yyyy-mm-dd")</f>
        <v/>
      </c>
      <c r="C5918">
        <f>TEXT(5917, "[$-060000]yyyy-mm-dd")</f>
        <v/>
      </c>
      <c r="D5918" t="inlineStr">
        <is>
          <t>1334-05-09</t>
        </is>
      </c>
    </row>
    <row r="5919">
      <c r="A5919" s="1" t="n">
        <v>5918</v>
      </c>
      <c r="B5919">
        <f>TEXT(5918, "[$-170000]yyyy-mm-dd")</f>
        <v/>
      </c>
      <c r="C5919">
        <f>TEXT(5918, "[$-060000]yyyy-mm-dd")</f>
        <v/>
      </c>
      <c r="D5919" t="inlineStr">
        <is>
          <t>1334-05-10</t>
        </is>
      </c>
    </row>
    <row r="5920">
      <c r="A5920" s="1" t="n">
        <v>5919</v>
      </c>
      <c r="B5920">
        <f>TEXT(5919, "[$-170000]yyyy-mm-dd")</f>
        <v/>
      </c>
      <c r="C5920">
        <f>TEXT(5919, "[$-060000]yyyy-mm-dd")</f>
        <v/>
      </c>
      <c r="D5920" t="inlineStr">
        <is>
          <t>1334-05-11</t>
        </is>
      </c>
    </row>
    <row r="5921">
      <c r="A5921" s="1" t="n">
        <v>5920</v>
      </c>
      <c r="B5921">
        <f>TEXT(5920, "[$-170000]yyyy-mm-dd")</f>
        <v/>
      </c>
      <c r="C5921">
        <f>TEXT(5920, "[$-060000]yyyy-mm-dd")</f>
        <v/>
      </c>
      <c r="D5921" t="inlineStr">
        <is>
          <t>1334-05-12</t>
        </is>
      </c>
    </row>
    <row r="5922">
      <c r="A5922" s="1" t="n">
        <v>5921</v>
      </c>
      <c r="B5922">
        <f>TEXT(5921, "[$-170000]yyyy-mm-dd")</f>
        <v/>
      </c>
      <c r="C5922">
        <f>TEXT(5921, "[$-060000]yyyy-mm-dd")</f>
        <v/>
      </c>
      <c r="D5922" t="inlineStr">
        <is>
          <t>1334-05-13</t>
        </is>
      </c>
    </row>
    <row r="5923">
      <c r="A5923" s="1" t="n">
        <v>5922</v>
      </c>
      <c r="B5923">
        <f>TEXT(5922, "[$-170000]yyyy-mm-dd")</f>
        <v/>
      </c>
      <c r="C5923">
        <f>TEXT(5922, "[$-060000]yyyy-mm-dd")</f>
        <v/>
      </c>
      <c r="D5923" t="inlineStr">
        <is>
          <t>1334-05-14</t>
        </is>
      </c>
    </row>
    <row r="5924">
      <c r="A5924" s="1" t="n">
        <v>5923</v>
      </c>
      <c r="B5924">
        <f>TEXT(5923, "[$-170000]yyyy-mm-dd")</f>
        <v/>
      </c>
      <c r="C5924">
        <f>TEXT(5923, "[$-060000]yyyy-mm-dd")</f>
        <v/>
      </c>
      <c r="D5924" t="inlineStr">
        <is>
          <t>1334-05-15</t>
        </is>
      </c>
    </row>
    <row r="5925">
      <c r="A5925" s="1" t="n">
        <v>5924</v>
      </c>
      <c r="B5925">
        <f>TEXT(5924, "[$-170000]yyyy-mm-dd")</f>
        <v/>
      </c>
      <c r="C5925">
        <f>TEXT(5924, "[$-060000]yyyy-mm-dd")</f>
        <v/>
      </c>
      <c r="D5925" t="inlineStr">
        <is>
          <t>1334-05-16</t>
        </is>
      </c>
    </row>
    <row r="5926">
      <c r="A5926" s="1" t="n">
        <v>5925</v>
      </c>
      <c r="B5926">
        <f>TEXT(5925, "[$-170000]yyyy-mm-dd")</f>
        <v/>
      </c>
      <c r="C5926">
        <f>TEXT(5925, "[$-060000]yyyy-mm-dd")</f>
        <v/>
      </c>
      <c r="D5926" t="inlineStr">
        <is>
          <t>1334-05-17</t>
        </is>
      </c>
    </row>
    <row r="5927">
      <c r="A5927" s="1" t="n">
        <v>5926</v>
      </c>
      <c r="B5927">
        <f>TEXT(5926, "[$-170000]yyyy-mm-dd")</f>
        <v/>
      </c>
      <c r="C5927">
        <f>TEXT(5926, "[$-060000]yyyy-mm-dd")</f>
        <v/>
      </c>
      <c r="D5927" t="inlineStr">
        <is>
          <t>1334-05-18</t>
        </is>
      </c>
    </row>
    <row r="5928">
      <c r="A5928" s="1" t="n">
        <v>5927</v>
      </c>
      <c r="B5928">
        <f>TEXT(5927, "[$-170000]yyyy-mm-dd")</f>
        <v/>
      </c>
      <c r="C5928">
        <f>TEXT(5927, "[$-060000]yyyy-mm-dd")</f>
        <v/>
      </c>
      <c r="D5928" t="inlineStr">
        <is>
          <t>1334-05-19</t>
        </is>
      </c>
    </row>
    <row r="5929">
      <c r="A5929" s="1" t="n">
        <v>5928</v>
      </c>
      <c r="B5929">
        <f>TEXT(5928, "[$-170000]yyyy-mm-dd")</f>
        <v/>
      </c>
      <c r="C5929">
        <f>TEXT(5928, "[$-060000]yyyy-mm-dd")</f>
        <v/>
      </c>
      <c r="D5929" t="inlineStr">
        <is>
          <t>1334-05-20</t>
        </is>
      </c>
    </row>
    <row r="5930">
      <c r="A5930" s="1" t="n">
        <v>5929</v>
      </c>
      <c r="B5930">
        <f>TEXT(5929, "[$-170000]yyyy-mm-dd")</f>
        <v/>
      </c>
      <c r="C5930">
        <f>TEXT(5929, "[$-060000]yyyy-mm-dd")</f>
        <v/>
      </c>
      <c r="D5930" t="inlineStr">
        <is>
          <t>1334-05-21</t>
        </is>
      </c>
    </row>
    <row r="5931">
      <c r="A5931" s="1" t="n">
        <v>5930</v>
      </c>
      <c r="B5931">
        <f>TEXT(5930, "[$-170000]yyyy-mm-dd")</f>
        <v/>
      </c>
      <c r="C5931">
        <f>TEXT(5930, "[$-060000]yyyy-mm-dd")</f>
        <v/>
      </c>
      <c r="D5931" t="inlineStr">
        <is>
          <t>1334-05-22</t>
        </is>
      </c>
    </row>
    <row r="5932">
      <c r="A5932" s="1" t="n">
        <v>5931</v>
      </c>
      <c r="B5932">
        <f>TEXT(5931, "[$-170000]yyyy-mm-dd")</f>
        <v/>
      </c>
      <c r="C5932">
        <f>TEXT(5931, "[$-060000]yyyy-mm-dd")</f>
        <v/>
      </c>
      <c r="D5932" t="inlineStr">
        <is>
          <t>1334-05-23</t>
        </is>
      </c>
    </row>
    <row r="5933">
      <c r="A5933" s="1" t="n">
        <v>5932</v>
      </c>
      <c r="B5933">
        <f>TEXT(5932, "[$-170000]yyyy-mm-dd")</f>
        <v/>
      </c>
      <c r="C5933">
        <f>TEXT(5932, "[$-060000]yyyy-mm-dd")</f>
        <v/>
      </c>
      <c r="D5933" t="inlineStr">
        <is>
          <t>1334-05-24</t>
        </is>
      </c>
    </row>
    <row r="5934">
      <c r="A5934" s="1" t="n">
        <v>5933</v>
      </c>
      <c r="B5934">
        <f>TEXT(5933, "[$-170000]yyyy-mm-dd")</f>
        <v/>
      </c>
      <c r="C5934">
        <f>TEXT(5933, "[$-060000]yyyy-mm-dd")</f>
        <v/>
      </c>
      <c r="D5934" t="inlineStr">
        <is>
          <t>1334-05-25</t>
        </is>
      </c>
    </row>
    <row r="5935">
      <c r="A5935" s="1" t="n">
        <v>5934</v>
      </c>
      <c r="B5935">
        <f>TEXT(5934, "[$-170000]yyyy-mm-dd")</f>
        <v/>
      </c>
      <c r="C5935">
        <f>TEXT(5934, "[$-060000]yyyy-mm-dd")</f>
        <v/>
      </c>
      <c r="D5935" t="inlineStr">
        <is>
          <t>1334-05-26</t>
        </is>
      </c>
    </row>
    <row r="5936">
      <c r="A5936" s="1" t="n">
        <v>5935</v>
      </c>
      <c r="B5936">
        <f>TEXT(5935, "[$-170000]yyyy-mm-dd")</f>
        <v/>
      </c>
      <c r="C5936">
        <f>TEXT(5935, "[$-060000]yyyy-mm-dd")</f>
        <v/>
      </c>
      <c r="D5936" t="inlineStr">
        <is>
          <t>1334-05-27</t>
        </is>
      </c>
    </row>
    <row r="5937">
      <c r="A5937" s="1" t="n">
        <v>5936</v>
      </c>
      <c r="B5937">
        <f>TEXT(5936, "[$-170000]yyyy-mm-dd")</f>
        <v/>
      </c>
      <c r="C5937">
        <f>TEXT(5936, "[$-060000]yyyy-mm-dd")</f>
        <v/>
      </c>
      <c r="D5937" t="inlineStr">
        <is>
          <t>1334-05-28</t>
        </is>
      </c>
    </row>
    <row r="5938">
      <c r="A5938" s="1" t="n">
        <v>5937</v>
      </c>
      <c r="B5938">
        <f>TEXT(5937, "[$-170000]yyyy-mm-dd")</f>
        <v/>
      </c>
      <c r="C5938">
        <f>TEXT(5937, "[$-060000]yyyy-mm-dd")</f>
        <v/>
      </c>
      <c r="D5938" t="inlineStr">
        <is>
          <t>1334-05-29</t>
        </is>
      </c>
    </row>
    <row r="5939">
      <c r="A5939" s="1" t="n">
        <v>5938</v>
      </c>
      <c r="B5939">
        <f>TEXT(5938, "[$-170000]yyyy-mm-dd")</f>
        <v/>
      </c>
      <c r="C5939">
        <f>TEXT(5938, "[$-060000]yyyy-mm-dd")</f>
        <v/>
      </c>
      <c r="D5939" t="inlineStr">
        <is>
          <t>1334-05-30</t>
        </is>
      </c>
    </row>
    <row r="5940">
      <c r="A5940" s="1" t="n">
        <v>5939</v>
      </c>
      <c r="B5940">
        <f>TEXT(5939, "[$-170000]yyyy-mm-dd")</f>
        <v/>
      </c>
      <c r="C5940">
        <f>TEXT(5939, "[$-060000]yyyy-mm-dd")</f>
        <v/>
      </c>
      <c r="D5940" t="inlineStr">
        <is>
          <t>1334-06-01</t>
        </is>
      </c>
    </row>
    <row r="5941">
      <c r="A5941" s="1" t="n">
        <v>5940</v>
      </c>
      <c r="B5941">
        <f>TEXT(5940, "[$-170000]yyyy-mm-dd")</f>
        <v/>
      </c>
      <c r="C5941">
        <f>TEXT(5940, "[$-060000]yyyy-mm-dd")</f>
        <v/>
      </c>
      <c r="D5941" t="inlineStr">
        <is>
          <t>1334-06-02</t>
        </is>
      </c>
    </row>
    <row r="5942">
      <c r="A5942" s="1" t="n">
        <v>5941</v>
      </c>
      <c r="B5942">
        <f>TEXT(5941, "[$-170000]yyyy-mm-dd")</f>
        <v/>
      </c>
      <c r="C5942">
        <f>TEXT(5941, "[$-060000]yyyy-mm-dd")</f>
        <v/>
      </c>
      <c r="D5942" t="inlineStr">
        <is>
          <t>1334-06-03</t>
        </is>
      </c>
    </row>
    <row r="5943">
      <c r="A5943" s="1" t="n">
        <v>5942</v>
      </c>
      <c r="B5943">
        <f>TEXT(5942, "[$-170000]yyyy-mm-dd")</f>
        <v/>
      </c>
      <c r="C5943">
        <f>TEXT(5942, "[$-060000]yyyy-mm-dd")</f>
        <v/>
      </c>
      <c r="D5943" t="inlineStr">
        <is>
          <t>1334-06-04</t>
        </is>
      </c>
    </row>
    <row r="5944">
      <c r="A5944" s="1" t="n">
        <v>5943</v>
      </c>
      <c r="B5944">
        <f>TEXT(5943, "[$-170000]yyyy-mm-dd")</f>
        <v/>
      </c>
      <c r="C5944">
        <f>TEXT(5943, "[$-060000]yyyy-mm-dd")</f>
        <v/>
      </c>
      <c r="D5944" t="inlineStr">
        <is>
          <t>1334-06-05</t>
        </is>
      </c>
    </row>
    <row r="5945">
      <c r="A5945" s="1" t="n">
        <v>5944</v>
      </c>
      <c r="B5945">
        <f>TEXT(5944, "[$-170000]yyyy-mm-dd")</f>
        <v/>
      </c>
      <c r="C5945">
        <f>TEXT(5944, "[$-060000]yyyy-mm-dd")</f>
        <v/>
      </c>
      <c r="D5945" t="inlineStr">
        <is>
          <t>1334-06-06</t>
        </is>
      </c>
    </row>
    <row r="5946">
      <c r="A5946" s="1" t="n">
        <v>5945</v>
      </c>
      <c r="B5946">
        <f>TEXT(5945, "[$-170000]yyyy-mm-dd")</f>
        <v/>
      </c>
      <c r="C5946">
        <f>TEXT(5945, "[$-060000]yyyy-mm-dd")</f>
        <v/>
      </c>
      <c r="D5946" t="inlineStr">
        <is>
          <t>1334-06-07</t>
        </is>
      </c>
    </row>
    <row r="5947">
      <c r="A5947" s="1" t="n">
        <v>5946</v>
      </c>
      <c r="B5947">
        <f>TEXT(5946, "[$-170000]yyyy-mm-dd")</f>
        <v/>
      </c>
      <c r="C5947">
        <f>TEXT(5946, "[$-060000]yyyy-mm-dd")</f>
        <v/>
      </c>
      <c r="D5947" t="inlineStr">
        <is>
          <t>1334-06-08</t>
        </is>
      </c>
    </row>
    <row r="5948">
      <c r="A5948" s="1" t="n">
        <v>5947</v>
      </c>
      <c r="B5948">
        <f>TEXT(5947, "[$-170000]yyyy-mm-dd")</f>
        <v/>
      </c>
      <c r="C5948">
        <f>TEXT(5947, "[$-060000]yyyy-mm-dd")</f>
        <v/>
      </c>
      <c r="D5948" t="inlineStr">
        <is>
          <t>1334-06-09</t>
        </is>
      </c>
    </row>
    <row r="5949">
      <c r="A5949" s="1" t="n">
        <v>5948</v>
      </c>
      <c r="B5949">
        <f>TEXT(5948, "[$-170000]yyyy-mm-dd")</f>
        <v/>
      </c>
      <c r="C5949">
        <f>TEXT(5948, "[$-060000]yyyy-mm-dd")</f>
        <v/>
      </c>
      <c r="D5949" t="inlineStr">
        <is>
          <t>1334-06-10</t>
        </is>
      </c>
    </row>
    <row r="5950">
      <c r="A5950" s="1" t="n">
        <v>5949</v>
      </c>
      <c r="B5950">
        <f>TEXT(5949, "[$-170000]yyyy-mm-dd")</f>
        <v/>
      </c>
      <c r="C5950">
        <f>TEXT(5949, "[$-060000]yyyy-mm-dd")</f>
        <v/>
      </c>
      <c r="D5950" t="inlineStr">
        <is>
          <t>1334-06-11</t>
        </is>
      </c>
    </row>
    <row r="5951">
      <c r="A5951" s="1" t="n">
        <v>5950</v>
      </c>
      <c r="B5951">
        <f>TEXT(5950, "[$-170000]yyyy-mm-dd")</f>
        <v/>
      </c>
      <c r="C5951">
        <f>TEXT(5950, "[$-060000]yyyy-mm-dd")</f>
        <v/>
      </c>
      <c r="D5951" t="inlineStr">
        <is>
          <t>1334-06-12</t>
        </is>
      </c>
    </row>
    <row r="5952">
      <c r="A5952" s="1" t="n">
        <v>5951</v>
      </c>
      <c r="B5952">
        <f>TEXT(5951, "[$-170000]yyyy-mm-dd")</f>
        <v/>
      </c>
      <c r="C5952">
        <f>TEXT(5951, "[$-060000]yyyy-mm-dd")</f>
        <v/>
      </c>
      <c r="D5952" t="inlineStr">
        <is>
          <t>1334-06-13</t>
        </is>
      </c>
    </row>
    <row r="5953">
      <c r="A5953" s="1" t="n">
        <v>5952</v>
      </c>
      <c r="B5953">
        <f>TEXT(5952, "[$-170000]yyyy-mm-dd")</f>
        <v/>
      </c>
      <c r="C5953">
        <f>TEXT(5952, "[$-060000]yyyy-mm-dd")</f>
        <v/>
      </c>
      <c r="D5953" t="inlineStr">
        <is>
          <t>1334-06-14</t>
        </is>
      </c>
    </row>
    <row r="5954">
      <c r="A5954" s="1" t="n">
        <v>5953</v>
      </c>
      <c r="B5954">
        <f>TEXT(5953, "[$-170000]yyyy-mm-dd")</f>
        <v/>
      </c>
      <c r="C5954">
        <f>TEXT(5953, "[$-060000]yyyy-mm-dd")</f>
        <v/>
      </c>
      <c r="D5954" t="inlineStr">
        <is>
          <t>1334-06-15</t>
        </is>
      </c>
    </row>
    <row r="5955">
      <c r="A5955" s="1" t="n">
        <v>5954</v>
      </c>
      <c r="B5955">
        <f>TEXT(5954, "[$-170000]yyyy-mm-dd")</f>
        <v/>
      </c>
      <c r="C5955">
        <f>TEXT(5954, "[$-060000]yyyy-mm-dd")</f>
        <v/>
      </c>
      <c r="D5955" t="inlineStr">
        <is>
          <t>1334-06-16</t>
        </is>
      </c>
    </row>
    <row r="5956">
      <c r="A5956" s="1" t="n">
        <v>5955</v>
      </c>
      <c r="B5956">
        <f>TEXT(5955, "[$-170000]yyyy-mm-dd")</f>
        <v/>
      </c>
      <c r="C5956">
        <f>TEXT(5955, "[$-060000]yyyy-mm-dd")</f>
        <v/>
      </c>
      <c r="D5956" t="inlineStr">
        <is>
          <t>1334-06-17</t>
        </is>
      </c>
    </row>
    <row r="5957">
      <c r="A5957" s="1" t="n">
        <v>5956</v>
      </c>
      <c r="B5957">
        <f>TEXT(5956, "[$-170000]yyyy-mm-dd")</f>
        <v/>
      </c>
      <c r="C5957">
        <f>TEXT(5956, "[$-060000]yyyy-mm-dd")</f>
        <v/>
      </c>
      <c r="D5957" t="inlineStr">
        <is>
          <t>1334-06-18</t>
        </is>
      </c>
    </row>
    <row r="5958">
      <c r="A5958" s="1" t="n">
        <v>5957</v>
      </c>
      <c r="B5958">
        <f>TEXT(5957, "[$-170000]yyyy-mm-dd")</f>
        <v/>
      </c>
      <c r="C5958">
        <f>TEXT(5957, "[$-060000]yyyy-mm-dd")</f>
        <v/>
      </c>
      <c r="D5958" t="inlineStr">
        <is>
          <t>1334-06-19</t>
        </is>
      </c>
    </row>
    <row r="5959">
      <c r="A5959" s="1" t="n">
        <v>5958</v>
      </c>
      <c r="B5959">
        <f>TEXT(5958, "[$-170000]yyyy-mm-dd")</f>
        <v/>
      </c>
      <c r="C5959">
        <f>TEXT(5958, "[$-060000]yyyy-mm-dd")</f>
        <v/>
      </c>
      <c r="D5959" t="inlineStr">
        <is>
          <t>1334-06-20</t>
        </is>
      </c>
    </row>
    <row r="5960">
      <c r="A5960" s="1" t="n">
        <v>5959</v>
      </c>
      <c r="B5960">
        <f>TEXT(5959, "[$-170000]yyyy-mm-dd")</f>
        <v/>
      </c>
      <c r="C5960">
        <f>TEXT(5959, "[$-060000]yyyy-mm-dd")</f>
        <v/>
      </c>
      <c r="D5960" t="inlineStr">
        <is>
          <t>1334-06-21</t>
        </is>
      </c>
    </row>
    <row r="5961">
      <c r="A5961" s="1" t="n">
        <v>5960</v>
      </c>
      <c r="B5961">
        <f>TEXT(5960, "[$-170000]yyyy-mm-dd")</f>
        <v/>
      </c>
      <c r="C5961">
        <f>TEXT(5960, "[$-060000]yyyy-mm-dd")</f>
        <v/>
      </c>
      <c r="D5961" t="inlineStr">
        <is>
          <t>1334-06-22</t>
        </is>
      </c>
    </row>
    <row r="5962">
      <c r="A5962" s="1" t="n">
        <v>5961</v>
      </c>
      <c r="B5962">
        <f>TEXT(5961, "[$-170000]yyyy-mm-dd")</f>
        <v/>
      </c>
      <c r="C5962">
        <f>TEXT(5961, "[$-060000]yyyy-mm-dd")</f>
        <v/>
      </c>
      <c r="D5962" t="inlineStr">
        <is>
          <t>1334-06-23</t>
        </is>
      </c>
    </row>
    <row r="5963">
      <c r="A5963" s="1" t="n">
        <v>5962</v>
      </c>
      <c r="B5963">
        <f>TEXT(5962, "[$-170000]yyyy-mm-dd")</f>
        <v/>
      </c>
      <c r="C5963">
        <f>TEXT(5962, "[$-060000]yyyy-mm-dd")</f>
        <v/>
      </c>
      <c r="D5963" t="inlineStr">
        <is>
          <t>1334-06-24</t>
        </is>
      </c>
    </row>
    <row r="5964">
      <c r="A5964" s="1" t="n">
        <v>5963</v>
      </c>
      <c r="B5964">
        <f>TEXT(5963, "[$-170000]yyyy-mm-dd")</f>
        <v/>
      </c>
      <c r="C5964">
        <f>TEXT(5963, "[$-060000]yyyy-mm-dd")</f>
        <v/>
      </c>
      <c r="D5964" t="inlineStr">
        <is>
          <t>1334-06-25</t>
        </is>
      </c>
    </row>
    <row r="5965">
      <c r="A5965" s="1" t="n">
        <v>5964</v>
      </c>
      <c r="B5965">
        <f>TEXT(5964, "[$-170000]yyyy-mm-dd")</f>
        <v/>
      </c>
      <c r="C5965">
        <f>TEXT(5964, "[$-060000]yyyy-mm-dd")</f>
        <v/>
      </c>
      <c r="D5965" t="inlineStr">
        <is>
          <t>1334-06-26</t>
        </is>
      </c>
    </row>
    <row r="5966">
      <c r="A5966" s="1" t="n">
        <v>5965</v>
      </c>
      <c r="B5966">
        <f>TEXT(5965, "[$-170000]yyyy-mm-dd")</f>
        <v/>
      </c>
      <c r="C5966">
        <f>TEXT(5965, "[$-060000]yyyy-mm-dd")</f>
        <v/>
      </c>
      <c r="D5966" t="inlineStr">
        <is>
          <t>1334-06-27</t>
        </is>
      </c>
    </row>
    <row r="5967">
      <c r="A5967" s="1" t="n">
        <v>5966</v>
      </c>
      <c r="B5967">
        <f>TEXT(5966, "[$-170000]yyyy-mm-dd")</f>
        <v/>
      </c>
      <c r="C5967">
        <f>TEXT(5966, "[$-060000]yyyy-mm-dd")</f>
        <v/>
      </c>
      <c r="D5967" t="inlineStr">
        <is>
          <t>1334-06-28</t>
        </is>
      </c>
    </row>
    <row r="5968">
      <c r="A5968" s="1" t="n">
        <v>5967</v>
      </c>
      <c r="B5968">
        <f>TEXT(5967, "[$-170000]yyyy-mm-dd")</f>
        <v/>
      </c>
      <c r="C5968">
        <f>TEXT(5967, "[$-060000]yyyy-mm-dd")</f>
        <v/>
      </c>
      <c r="D5968" t="inlineStr">
        <is>
          <t>1334-06-29</t>
        </is>
      </c>
    </row>
    <row r="5969">
      <c r="A5969" s="1" t="n">
        <v>5968</v>
      </c>
      <c r="B5969">
        <f>TEXT(5968, "[$-170000]yyyy-mm-dd")</f>
        <v/>
      </c>
      <c r="C5969">
        <f>TEXT(5968, "[$-060000]yyyy-mm-dd")</f>
        <v/>
      </c>
      <c r="D5969" t="inlineStr">
        <is>
          <t>1334-07-01</t>
        </is>
      </c>
    </row>
    <row r="5970">
      <c r="A5970" s="1" t="n">
        <v>5969</v>
      </c>
      <c r="B5970">
        <f>TEXT(5969, "[$-170000]yyyy-mm-dd")</f>
        <v/>
      </c>
      <c r="C5970">
        <f>TEXT(5969, "[$-060000]yyyy-mm-dd")</f>
        <v/>
      </c>
      <c r="D5970" t="inlineStr">
        <is>
          <t>1334-07-02</t>
        </is>
      </c>
    </row>
    <row r="5971">
      <c r="A5971" s="1" t="n">
        <v>5970</v>
      </c>
      <c r="B5971">
        <f>TEXT(5970, "[$-170000]yyyy-mm-dd")</f>
        <v/>
      </c>
      <c r="C5971">
        <f>TEXT(5970, "[$-060000]yyyy-mm-dd")</f>
        <v/>
      </c>
      <c r="D5971" t="inlineStr">
        <is>
          <t>1334-07-03</t>
        </is>
      </c>
    </row>
    <row r="5972">
      <c r="A5972" s="1" t="n">
        <v>5971</v>
      </c>
      <c r="B5972">
        <f>TEXT(5971, "[$-170000]yyyy-mm-dd")</f>
        <v/>
      </c>
      <c r="C5972">
        <f>TEXT(5971, "[$-060000]yyyy-mm-dd")</f>
        <v/>
      </c>
      <c r="D5972" t="inlineStr">
        <is>
          <t>1334-07-04</t>
        </is>
      </c>
    </row>
    <row r="5973">
      <c r="A5973" s="1" t="n">
        <v>5972</v>
      </c>
      <c r="B5973">
        <f>TEXT(5972, "[$-170000]yyyy-mm-dd")</f>
        <v/>
      </c>
      <c r="C5973">
        <f>TEXT(5972, "[$-060000]yyyy-mm-dd")</f>
        <v/>
      </c>
      <c r="D5973" t="inlineStr">
        <is>
          <t>1334-07-05</t>
        </is>
      </c>
    </row>
    <row r="5974">
      <c r="A5974" s="1" t="n">
        <v>5973</v>
      </c>
      <c r="B5974">
        <f>TEXT(5973, "[$-170000]yyyy-mm-dd")</f>
        <v/>
      </c>
      <c r="C5974">
        <f>TEXT(5973, "[$-060000]yyyy-mm-dd")</f>
        <v/>
      </c>
      <c r="D5974" t="inlineStr">
        <is>
          <t>1334-07-06</t>
        </is>
      </c>
    </row>
    <row r="5975">
      <c r="A5975" s="1" t="n">
        <v>5974</v>
      </c>
      <c r="B5975">
        <f>TEXT(5974, "[$-170000]yyyy-mm-dd")</f>
        <v/>
      </c>
      <c r="C5975">
        <f>TEXT(5974, "[$-060000]yyyy-mm-dd")</f>
        <v/>
      </c>
      <c r="D5975" t="inlineStr">
        <is>
          <t>1334-07-07</t>
        </is>
      </c>
    </row>
    <row r="5976">
      <c r="A5976" s="1" t="n">
        <v>5975</v>
      </c>
      <c r="B5976">
        <f>TEXT(5975, "[$-170000]yyyy-mm-dd")</f>
        <v/>
      </c>
      <c r="C5976">
        <f>TEXT(5975, "[$-060000]yyyy-mm-dd")</f>
        <v/>
      </c>
      <c r="D5976" t="inlineStr">
        <is>
          <t>1334-07-08</t>
        </is>
      </c>
    </row>
    <row r="5977">
      <c r="A5977" s="1" t="n">
        <v>5976</v>
      </c>
      <c r="B5977">
        <f>TEXT(5976, "[$-170000]yyyy-mm-dd")</f>
        <v/>
      </c>
      <c r="C5977">
        <f>TEXT(5976, "[$-060000]yyyy-mm-dd")</f>
        <v/>
      </c>
      <c r="D5977" t="inlineStr">
        <is>
          <t>1334-07-09</t>
        </is>
      </c>
    </row>
    <row r="5978">
      <c r="A5978" s="1" t="n">
        <v>5977</v>
      </c>
      <c r="B5978">
        <f>TEXT(5977, "[$-170000]yyyy-mm-dd")</f>
        <v/>
      </c>
      <c r="C5978">
        <f>TEXT(5977, "[$-060000]yyyy-mm-dd")</f>
        <v/>
      </c>
      <c r="D5978" t="inlineStr">
        <is>
          <t>1334-07-10</t>
        </is>
      </c>
    </row>
    <row r="5979">
      <c r="A5979" s="1" t="n">
        <v>5978</v>
      </c>
      <c r="B5979">
        <f>TEXT(5978, "[$-170000]yyyy-mm-dd")</f>
        <v/>
      </c>
      <c r="C5979">
        <f>TEXT(5978, "[$-060000]yyyy-mm-dd")</f>
        <v/>
      </c>
      <c r="D5979" t="inlineStr">
        <is>
          <t>1334-07-11</t>
        </is>
      </c>
    </row>
    <row r="5980">
      <c r="A5980" s="1" t="n">
        <v>5979</v>
      </c>
      <c r="B5980">
        <f>TEXT(5979, "[$-170000]yyyy-mm-dd")</f>
        <v/>
      </c>
      <c r="C5980">
        <f>TEXT(5979, "[$-060000]yyyy-mm-dd")</f>
        <v/>
      </c>
      <c r="D5980" t="inlineStr">
        <is>
          <t>1334-07-12</t>
        </is>
      </c>
    </row>
    <row r="5981">
      <c r="A5981" s="1" t="n">
        <v>5980</v>
      </c>
      <c r="B5981">
        <f>TEXT(5980, "[$-170000]yyyy-mm-dd")</f>
        <v/>
      </c>
      <c r="C5981">
        <f>TEXT(5980, "[$-060000]yyyy-mm-dd")</f>
        <v/>
      </c>
      <c r="D5981" t="inlineStr">
        <is>
          <t>1334-07-13</t>
        </is>
      </c>
    </row>
    <row r="5982">
      <c r="A5982" s="1" t="n">
        <v>5981</v>
      </c>
      <c r="B5982">
        <f>TEXT(5981, "[$-170000]yyyy-mm-dd")</f>
        <v/>
      </c>
      <c r="C5982">
        <f>TEXT(5981, "[$-060000]yyyy-mm-dd")</f>
        <v/>
      </c>
      <c r="D5982" t="inlineStr">
        <is>
          <t>1334-07-14</t>
        </is>
      </c>
    </row>
    <row r="5983">
      <c r="A5983" s="1" t="n">
        <v>5982</v>
      </c>
      <c r="B5983">
        <f>TEXT(5982, "[$-170000]yyyy-mm-dd")</f>
        <v/>
      </c>
      <c r="C5983">
        <f>TEXT(5982, "[$-060000]yyyy-mm-dd")</f>
        <v/>
      </c>
      <c r="D5983" t="inlineStr">
        <is>
          <t>1334-07-15</t>
        </is>
      </c>
    </row>
    <row r="5984">
      <c r="A5984" s="1" t="n">
        <v>5983</v>
      </c>
      <c r="B5984">
        <f>TEXT(5983, "[$-170000]yyyy-mm-dd")</f>
        <v/>
      </c>
      <c r="C5984">
        <f>TEXT(5983, "[$-060000]yyyy-mm-dd")</f>
        <v/>
      </c>
      <c r="D5984" t="inlineStr">
        <is>
          <t>1334-07-16</t>
        </is>
      </c>
    </row>
    <row r="5985">
      <c r="A5985" s="1" t="n">
        <v>5984</v>
      </c>
      <c r="B5985">
        <f>TEXT(5984, "[$-170000]yyyy-mm-dd")</f>
        <v/>
      </c>
      <c r="C5985">
        <f>TEXT(5984, "[$-060000]yyyy-mm-dd")</f>
        <v/>
      </c>
      <c r="D5985" t="inlineStr">
        <is>
          <t>1334-07-17</t>
        </is>
      </c>
    </row>
    <row r="5986">
      <c r="A5986" s="1" t="n">
        <v>5985</v>
      </c>
      <c r="B5986">
        <f>TEXT(5985, "[$-170000]yyyy-mm-dd")</f>
        <v/>
      </c>
      <c r="C5986">
        <f>TEXT(5985, "[$-060000]yyyy-mm-dd")</f>
        <v/>
      </c>
      <c r="D5986" t="inlineStr">
        <is>
          <t>1334-07-18</t>
        </is>
      </c>
    </row>
    <row r="5987">
      <c r="A5987" s="1" t="n">
        <v>5986</v>
      </c>
      <c r="B5987">
        <f>TEXT(5986, "[$-170000]yyyy-mm-dd")</f>
        <v/>
      </c>
      <c r="C5987">
        <f>TEXT(5986, "[$-060000]yyyy-mm-dd")</f>
        <v/>
      </c>
      <c r="D5987" t="inlineStr">
        <is>
          <t>1334-07-19</t>
        </is>
      </c>
    </row>
    <row r="5988">
      <c r="A5988" s="1" t="n">
        <v>5987</v>
      </c>
      <c r="B5988">
        <f>TEXT(5987, "[$-170000]yyyy-mm-dd")</f>
        <v/>
      </c>
      <c r="C5988">
        <f>TEXT(5987, "[$-060000]yyyy-mm-dd")</f>
        <v/>
      </c>
      <c r="D5988" t="inlineStr">
        <is>
          <t>1334-07-20</t>
        </is>
      </c>
    </row>
    <row r="5989">
      <c r="A5989" s="1" t="n">
        <v>5988</v>
      </c>
      <c r="B5989">
        <f>TEXT(5988, "[$-170000]yyyy-mm-dd")</f>
        <v/>
      </c>
      <c r="C5989">
        <f>TEXT(5988, "[$-060000]yyyy-mm-dd")</f>
        <v/>
      </c>
      <c r="D5989" t="inlineStr">
        <is>
          <t>1334-07-21</t>
        </is>
      </c>
    </row>
    <row r="5990">
      <c r="A5990" s="1" t="n">
        <v>5989</v>
      </c>
      <c r="B5990">
        <f>TEXT(5989, "[$-170000]yyyy-mm-dd")</f>
        <v/>
      </c>
      <c r="C5990">
        <f>TEXT(5989, "[$-060000]yyyy-mm-dd")</f>
        <v/>
      </c>
      <c r="D5990" t="inlineStr">
        <is>
          <t>1334-07-22</t>
        </is>
      </c>
    </row>
    <row r="5991">
      <c r="A5991" s="1" t="n">
        <v>5990</v>
      </c>
      <c r="B5991">
        <f>TEXT(5990, "[$-170000]yyyy-mm-dd")</f>
        <v/>
      </c>
      <c r="C5991">
        <f>TEXT(5990, "[$-060000]yyyy-mm-dd")</f>
        <v/>
      </c>
      <c r="D5991" t="inlineStr">
        <is>
          <t>1334-07-23</t>
        </is>
      </c>
    </row>
    <row r="5992">
      <c r="A5992" s="1" t="n">
        <v>5991</v>
      </c>
      <c r="B5992">
        <f>TEXT(5991, "[$-170000]yyyy-mm-dd")</f>
        <v/>
      </c>
      <c r="C5992">
        <f>TEXT(5991, "[$-060000]yyyy-mm-dd")</f>
        <v/>
      </c>
      <c r="D5992" t="inlineStr">
        <is>
          <t>1334-07-24</t>
        </is>
      </c>
    </row>
    <row r="5993">
      <c r="A5993" s="1" t="n">
        <v>5992</v>
      </c>
      <c r="B5993">
        <f>TEXT(5992, "[$-170000]yyyy-mm-dd")</f>
        <v/>
      </c>
      <c r="C5993">
        <f>TEXT(5992, "[$-060000]yyyy-mm-dd")</f>
        <v/>
      </c>
      <c r="D5993" t="inlineStr">
        <is>
          <t>1334-07-25</t>
        </is>
      </c>
    </row>
    <row r="5994">
      <c r="A5994" s="1" t="n">
        <v>5993</v>
      </c>
      <c r="B5994">
        <f>TEXT(5993, "[$-170000]yyyy-mm-dd")</f>
        <v/>
      </c>
      <c r="C5994">
        <f>TEXT(5993, "[$-060000]yyyy-mm-dd")</f>
        <v/>
      </c>
      <c r="D5994" t="inlineStr">
        <is>
          <t>1334-07-26</t>
        </is>
      </c>
    </row>
    <row r="5995">
      <c r="A5995" s="1" t="n">
        <v>5994</v>
      </c>
      <c r="B5995">
        <f>TEXT(5994, "[$-170000]yyyy-mm-dd")</f>
        <v/>
      </c>
      <c r="C5995">
        <f>TEXT(5994, "[$-060000]yyyy-mm-dd")</f>
        <v/>
      </c>
      <c r="D5995" t="inlineStr">
        <is>
          <t>1334-07-27</t>
        </is>
      </c>
    </row>
    <row r="5996">
      <c r="A5996" s="1" t="n">
        <v>5995</v>
      </c>
      <c r="B5996">
        <f>TEXT(5995, "[$-170000]yyyy-mm-dd")</f>
        <v/>
      </c>
      <c r="C5996">
        <f>TEXT(5995, "[$-060000]yyyy-mm-dd")</f>
        <v/>
      </c>
      <c r="D5996" t="inlineStr">
        <is>
          <t>1334-07-28</t>
        </is>
      </c>
    </row>
    <row r="5997">
      <c r="A5997" s="1" t="n">
        <v>5996</v>
      </c>
      <c r="B5997">
        <f>TEXT(5996, "[$-170000]yyyy-mm-dd")</f>
        <v/>
      </c>
      <c r="C5997">
        <f>TEXT(5996, "[$-060000]yyyy-mm-dd")</f>
        <v/>
      </c>
      <c r="D5997" t="inlineStr">
        <is>
          <t>1334-07-29</t>
        </is>
      </c>
    </row>
    <row r="5998">
      <c r="A5998" s="1" t="n">
        <v>5997</v>
      </c>
      <c r="B5998">
        <f>TEXT(5997, "[$-170000]yyyy-mm-dd")</f>
        <v/>
      </c>
      <c r="C5998">
        <f>TEXT(5997, "[$-060000]yyyy-mm-dd")</f>
        <v/>
      </c>
      <c r="D5998" t="inlineStr">
        <is>
          <t>1334-07-30</t>
        </is>
      </c>
    </row>
    <row r="5999">
      <c r="A5999" s="1" t="n">
        <v>5998</v>
      </c>
      <c r="B5999">
        <f>TEXT(5998, "[$-170000]yyyy-mm-dd")</f>
        <v/>
      </c>
      <c r="C5999">
        <f>TEXT(5998, "[$-060000]yyyy-mm-dd")</f>
        <v/>
      </c>
      <c r="D5999" t="inlineStr">
        <is>
          <t>1334-08-01</t>
        </is>
      </c>
    </row>
    <row r="6000">
      <c r="A6000" s="1" t="n">
        <v>5999</v>
      </c>
      <c r="B6000">
        <f>TEXT(5999, "[$-170000]yyyy-mm-dd")</f>
        <v/>
      </c>
      <c r="C6000">
        <f>TEXT(5999, "[$-060000]yyyy-mm-dd")</f>
        <v/>
      </c>
      <c r="D6000" t="inlineStr">
        <is>
          <t>1334-08-02</t>
        </is>
      </c>
    </row>
    <row r="6001">
      <c r="A6001" s="1" t="n">
        <v>6000</v>
      </c>
      <c r="B6001">
        <f>TEXT(6000, "[$-170000]yyyy-mm-dd")</f>
        <v/>
      </c>
      <c r="C6001">
        <f>TEXT(6000, "[$-060000]yyyy-mm-dd")</f>
        <v/>
      </c>
      <c r="D6001" t="inlineStr">
        <is>
          <t>1334-08-03</t>
        </is>
      </c>
    </row>
    <row r="6002">
      <c r="A6002" s="1" t="n">
        <v>6001</v>
      </c>
      <c r="B6002">
        <f>TEXT(6001, "[$-170000]yyyy-mm-dd")</f>
        <v/>
      </c>
      <c r="C6002">
        <f>TEXT(6001, "[$-060000]yyyy-mm-dd")</f>
        <v/>
      </c>
      <c r="D6002" t="inlineStr">
        <is>
          <t>1334-08-04</t>
        </is>
      </c>
    </row>
    <row r="6003">
      <c r="A6003" s="1" t="n">
        <v>6002</v>
      </c>
      <c r="B6003">
        <f>TEXT(6002, "[$-170000]yyyy-mm-dd")</f>
        <v/>
      </c>
      <c r="C6003">
        <f>TEXT(6002, "[$-060000]yyyy-mm-dd")</f>
        <v/>
      </c>
      <c r="D6003" t="inlineStr">
        <is>
          <t>1334-08-05</t>
        </is>
      </c>
    </row>
    <row r="6004">
      <c r="A6004" s="1" t="n">
        <v>6003</v>
      </c>
      <c r="B6004">
        <f>TEXT(6003, "[$-170000]yyyy-mm-dd")</f>
        <v/>
      </c>
      <c r="C6004">
        <f>TEXT(6003, "[$-060000]yyyy-mm-dd")</f>
        <v/>
      </c>
      <c r="D6004" t="inlineStr">
        <is>
          <t>1334-08-06</t>
        </is>
      </c>
    </row>
    <row r="6005">
      <c r="A6005" s="1" t="n">
        <v>6004</v>
      </c>
      <c r="B6005">
        <f>TEXT(6004, "[$-170000]yyyy-mm-dd")</f>
        <v/>
      </c>
      <c r="C6005">
        <f>TEXT(6004, "[$-060000]yyyy-mm-dd")</f>
        <v/>
      </c>
      <c r="D6005" t="inlineStr">
        <is>
          <t>1334-08-07</t>
        </is>
      </c>
    </row>
    <row r="6006">
      <c r="A6006" s="1" t="n">
        <v>6005</v>
      </c>
      <c r="B6006">
        <f>TEXT(6005, "[$-170000]yyyy-mm-dd")</f>
        <v/>
      </c>
      <c r="C6006">
        <f>TEXT(6005, "[$-060000]yyyy-mm-dd")</f>
        <v/>
      </c>
      <c r="D6006" t="inlineStr">
        <is>
          <t>1334-08-08</t>
        </is>
      </c>
    </row>
    <row r="6007">
      <c r="A6007" s="1" t="n">
        <v>6006</v>
      </c>
      <c r="B6007">
        <f>TEXT(6006, "[$-170000]yyyy-mm-dd")</f>
        <v/>
      </c>
      <c r="C6007">
        <f>TEXT(6006, "[$-060000]yyyy-mm-dd")</f>
        <v/>
      </c>
      <c r="D6007" t="inlineStr">
        <is>
          <t>1334-08-09</t>
        </is>
      </c>
    </row>
    <row r="6008">
      <c r="A6008" s="1" t="n">
        <v>6007</v>
      </c>
      <c r="B6008">
        <f>TEXT(6007, "[$-170000]yyyy-mm-dd")</f>
        <v/>
      </c>
      <c r="C6008">
        <f>TEXT(6007, "[$-060000]yyyy-mm-dd")</f>
        <v/>
      </c>
      <c r="D6008" t="inlineStr">
        <is>
          <t>1334-08-10</t>
        </is>
      </c>
    </row>
    <row r="6009">
      <c r="A6009" s="1" t="n">
        <v>6008</v>
      </c>
      <c r="B6009">
        <f>TEXT(6008, "[$-170000]yyyy-mm-dd")</f>
        <v/>
      </c>
      <c r="C6009">
        <f>TEXT(6008, "[$-060000]yyyy-mm-dd")</f>
        <v/>
      </c>
      <c r="D6009" t="inlineStr">
        <is>
          <t>1334-08-11</t>
        </is>
      </c>
    </row>
    <row r="6010">
      <c r="A6010" s="1" t="n">
        <v>6009</v>
      </c>
      <c r="B6010">
        <f>TEXT(6009, "[$-170000]yyyy-mm-dd")</f>
        <v/>
      </c>
      <c r="C6010">
        <f>TEXT(6009, "[$-060000]yyyy-mm-dd")</f>
        <v/>
      </c>
      <c r="D6010" t="inlineStr">
        <is>
          <t>1334-08-12</t>
        </is>
      </c>
    </row>
    <row r="6011">
      <c r="A6011" s="1" t="n">
        <v>6010</v>
      </c>
      <c r="B6011">
        <f>TEXT(6010, "[$-170000]yyyy-mm-dd")</f>
        <v/>
      </c>
      <c r="C6011">
        <f>TEXT(6010, "[$-060000]yyyy-mm-dd")</f>
        <v/>
      </c>
      <c r="D6011" t="inlineStr">
        <is>
          <t>1334-08-13</t>
        </is>
      </c>
    </row>
    <row r="6012">
      <c r="A6012" s="1" t="n">
        <v>6011</v>
      </c>
      <c r="B6012">
        <f>TEXT(6011, "[$-170000]yyyy-mm-dd")</f>
        <v/>
      </c>
      <c r="C6012">
        <f>TEXT(6011, "[$-060000]yyyy-mm-dd")</f>
        <v/>
      </c>
      <c r="D6012" t="inlineStr">
        <is>
          <t>1334-08-14</t>
        </is>
      </c>
    </row>
    <row r="6013">
      <c r="A6013" s="1" t="n">
        <v>6012</v>
      </c>
      <c r="B6013">
        <f>TEXT(6012, "[$-170000]yyyy-mm-dd")</f>
        <v/>
      </c>
      <c r="C6013">
        <f>TEXT(6012, "[$-060000]yyyy-mm-dd")</f>
        <v/>
      </c>
      <c r="D6013" t="inlineStr">
        <is>
          <t>1334-08-15</t>
        </is>
      </c>
    </row>
    <row r="6014">
      <c r="A6014" s="1" t="n">
        <v>6013</v>
      </c>
      <c r="B6014">
        <f>TEXT(6013, "[$-170000]yyyy-mm-dd")</f>
        <v/>
      </c>
      <c r="C6014">
        <f>TEXT(6013, "[$-060000]yyyy-mm-dd")</f>
        <v/>
      </c>
      <c r="D6014" t="inlineStr">
        <is>
          <t>1334-08-16</t>
        </is>
      </c>
    </row>
    <row r="6015">
      <c r="A6015" s="1" t="n">
        <v>6014</v>
      </c>
      <c r="B6015">
        <f>TEXT(6014, "[$-170000]yyyy-mm-dd")</f>
        <v/>
      </c>
      <c r="C6015">
        <f>TEXT(6014, "[$-060000]yyyy-mm-dd")</f>
        <v/>
      </c>
      <c r="D6015" t="inlineStr">
        <is>
          <t>1334-08-17</t>
        </is>
      </c>
    </row>
    <row r="6016">
      <c r="A6016" s="1" t="n">
        <v>6015</v>
      </c>
      <c r="B6016">
        <f>TEXT(6015, "[$-170000]yyyy-mm-dd")</f>
        <v/>
      </c>
      <c r="C6016">
        <f>TEXT(6015, "[$-060000]yyyy-mm-dd")</f>
        <v/>
      </c>
      <c r="D6016" t="inlineStr">
        <is>
          <t>1334-08-18</t>
        </is>
      </c>
    </row>
    <row r="6017">
      <c r="A6017" s="1" t="n">
        <v>6016</v>
      </c>
      <c r="B6017">
        <f>TEXT(6016, "[$-170000]yyyy-mm-dd")</f>
        <v/>
      </c>
      <c r="C6017">
        <f>TEXT(6016, "[$-060000]yyyy-mm-dd")</f>
        <v/>
      </c>
      <c r="D6017" t="inlineStr">
        <is>
          <t>1334-08-19</t>
        </is>
      </c>
    </row>
    <row r="6018">
      <c r="A6018" s="1" t="n">
        <v>6017</v>
      </c>
      <c r="B6018">
        <f>TEXT(6017, "[$-170000]yyyy-mm-dd")</f>
        <v/>
      </c>
      <c r="C6018">
        <f>TEXT(6017, "[$-060000]yyyy-mm-dd")</f>
        <v/>
      </c>
      <c r="D6018" t="inlineStr">
        <is>
          <t>1334-08-20</t>
        </is>
      </c>
    </row>
    <row r="6019">
      <c r="A6019" s="1" t="n">
        <v>6018</v>
      </c>
      <c r="B6019">
        <f>TEXT(6018, "[$-170000]yyyy-mm-dd")</f>
        <v/>
      </c>
      <c r="C6019">
        <f>TEXT(6018, "[$-060000]yyyy-mm-dd")</f>
        <v/>
      </c>
      <c r="D6019" t="inlineStr">
        <is>
          <t>1334-08-21</t>
        </is>
      </c>
    </row>
    <row r="6020">
      <c r="A6020" s="1" t="n">
        <v>6019</v>
      </c>
      <c r="B6020">
        <f>TEXT(6019, "[$-170000]yyyy-mm-dd")</f>
        <v/>
      </c>
      <c r="C6020">
        <f>TEXT(6019, "[$-060000]yyyy-mm-dd")</f>
        <v/>
      </c>
      <c r="D6020" t="inlineStr">
        <is>
          <t>1334-08-22</t>
        </is>
      </c>
    </row>
    <row r="6021">
      <c r="A6021" s="1" t="n">
        <v>6020</v>
      </c>
      <c r="B6021">
        <f>TEXT(6020, "[$-170000]yyyy-mm-dd")</f>
        <v/>
      </c>
      <c r="C6021">
        <f>TEXT(6020, "[$-060000]yyyy-mm-dd")</f>
        <v/>
      </c>
      <c r="D6021" t="inlineStr">
        <is>
          <t>1334-08-23</t>
        </is>
      </c>
    </row>
    <row r="6022">
      <c r="A6022" s="1" t="n">
        <v>6021</v>
      </c>
      <c r="B6022">
        <f>TEXT(6021, "[$-170000]yyyy-mm-dd")</f>
        <v/>
      </c>
      <c r="C6022">
        <f>TEXT(6021, "[$-060000]yyyy-mm-dd")</f>
        <v/>
      </c>
      <c r="D6022" t="inlineStr">
        <is>
          <t>1334-08-24</t>
        </is>
      </c>
    </row>
    <row r="6023">
      <c r="A6023" s="1" t="n">
        <v>6022</v>
      </c>
      <c r="B6023">
        <f>TEXT(6022, "[$-170000]yyyy-mm-dd")</f>
        <v/>
      </c>
      <c r="C6023">
        <f>TEXT(6022, "[$-060000]yyyy-mm-dd")</f>
        <v/>
      </c>
      <c r="D6023" t="inlineStr">
        <is>
          <t>1334-08-25</t>
        </is>
      </c>
    </row>
    <row r="6024">
      <c r="A6024" s="1" t="n">
        <v>6023</v>
      </c>
      <c r="B6024">
        <f>TEXT(6023, "[$-170000]yyyy-mm-dd")</f>
        <v/>
      </c>
      <c r="C6024">
        <f>TEXT(6023, "[$-060000]yyyy-mm-dd")</f>
        <v/>
      </c>
      <c r="D6024" t="inlineStr">
        <is>
          <t>1334-08-26</t>
        </is>
      </c>
    </row>
    <row r="6025">
      <c r="A6025" s="1" t="n">
        <v>6024</v>
      </c>
      <c r="B6025">
        <f>TEXT(6024, "[$-170000]yyyy-mm-dd")</f>
        <v/>
      </c>
      <c r="C6025">
        <f>TEXT(6024, "[$-060000]yyyy-mm-dd")</f>
        <v/>
      </c>
      <c r="D6025" t="inlineStr">
        <is>
          <t>1334-08-27</t>
        </is>
      </c>
    </row>
    <row r="6026">
      <c r="A6026" s="1" t="n">
        <v>6025</v>
      </c>
      <c r="B6026">
        <f>TEXT(6025, "[$-170000]yyyy-mm-dd")</f>
        <v/>
      </c>
      <c r="C6026">
        <f>TEXT(6025, "[$-060000]yyyy-mm-dd")</f>
        <v/>
      </c>
      <c r="D6026" t="inlineStr">
        <is>
          <t>1334-08-28</t>
        </is>
      </c>
    </row>
    <row r="6027">
      <c r="A6027" s="1" t="n">
        <v>6026</v>
      </c>
      <c r="B6027">
        <f>TEXT(6026, "[$-170000]yyyy-mm-dd")</f>
        <v/>
      </c>
      <c r="C6027">
        <f>TEXT(6026, "[$-060000]yyyy-mm-dd")</f>
        <v/>
      </c>
      <c r="D6027" t="inlineStr">
        <is>
          <t>1334-08-29</t>
        </is>
      </c>
    </row>
    <row r="6028">
      <c r="A6028" s="1" t="n">
        <v>6027</v>
      </c>
      <c r="B6028">
        <f>TEXT(6027, "[$-170000]yyyy-mm-dd")</f>
        <v/>
      </c>
      <c r="C6028">
        <f>TEXT(6027, "[$-060000]yyyy-mm-dd")</f>
        <v/>
      </c>
      <c r="D6028" t="inlineStr">
        <is>
          <t>1334-09-01</t>
        </is>
      </c>
    </row>
    <row r="6029">
      <c r="A6029" s="1" t="n">
        <v>6028</v>
      </c>
      <c r="B6029">
        <f>TEXT(6028, "[$-170000]yyyy-mm-dd")</f>
        <v/>
      </c>
      <c r="C6029">
        <f>TEXT(6028, "[$-060000]yyyy-mm-dd")</f>
        <v/>
      </c>
      <c r="D6029" t="inlineStr">
        <is>
          <t>1334-09-02</t>
        </is>
      </c>
    </row>
    <row r="6030">
      <c r="A6030" s="1" t="n">
        <v>6029</v>
      </c>
      <c r="B6030">
        <f>TEXT(6029, "[$-170000]yyyy-mm-dd")</f>
        <v/>
      </c>
      <c r="C6030">
        <f>TEXT(6029, "[$-060000]yyyy-mm-dd")</f>
        <v/>
      </c>
      <c r="D6030" t="inlineStr">
        <is>
          <t>1334-09-03</t>
        </is>
      </c>
    </row>
    <row r="6031">
      <c r="A6031" s="1" t="n">
        <v>6030</v>
      </c>
      <c r="B6031">
        <f>TEXT(6030, "[$-170000]yyyy-mm-dd")</f>
        <v/>
      </c>
      <c r="C6031">
        <f>TEXT(6030, "[$-060000]yyyy-mm-dd")</f>
        <v/>
      </c>
      <c r="D6031" t="inlineStr">
        <is>
          <t>1334-09-04</t>
        </is>
      </c>
    </row>
    <row r="6032">
      <c r="A6032" s="1" t="n">
        <v>6031</v>
      </c>
      <c r="B6032">
        <f>TEXT(6031, "[$-170000]yyyy-mm-dd")</f>
        <v/>
      </c>
      <c r="C6032">
        <f>TEXT(6031, "[$-060000]yyyy-mm-dd")</f>
        <v/>
      </c>
      <c r="D6032" t="inlineStr">
        <is>
          <t>1334-09-05</t>
        </is>
      </c>
    </row>
    <row r="6033">
      <c r="A6033" s="1" t="n">
        <v>6032</v>
      </c>
      <c r="B6033">
        <f>TEXT(6032, "[$-170000]yyyy-mm-dd")</f>
        <v/>
      </c>
      <c r="C6033">
        <f>TEXT(6032, "[$-060000]yyyy-mm-dd")</f>
        <v/>
      </c>
      <c r="D6033" t="inlineStr">
        <is>
          <t>1334-09-06</t>
        </is>
      </c>
    </row>
    <row r="6034">
      <c r="A6034" s="1" t="n">
        <v>6033</v>
      </c>
      <c r="B6034">
        <f>TEXT(6033, "[$-170000]yyyy-mm-dd")</f>
        <v/>
      </c>
      <c r="C6034">
        <f>TEXT(6033, "[$-060000]yyyy-mm-dd")</f>
        <v/>
      </c>
      <c r="D6034" t="inlineStr">
        <is>
          <t>1334-09-07</t>
        </is>
      </c>
    </row>
    <row r="6035">
      <c r="A6035" s="1" t="n">
        <v>6034</v>
      </c>
      <c r="B6035">
        <f>TEXT(6034, "[$-170000]yyyy-mm-dd")</f>
        <v/>
      </c>
      <c r="C6035">
        <f>TEXT(6034, "[$-060000]yyyy-mm-dd")</f>
        <v/>
      </c>
      <c r="D6035" t="inlineStr">
        <is>
          <t>1334-09-08</t>
        </is>
      </c>
    </row>
    <row r="6036">
      <c r="A6036" s="1" t="n">
        <v>6035</v>
      </c>
      <c r="B6036">
        <f>TEXT(6035, "[$-170000]yyyy-mm-dd")</f>
        <v/>
      </c>
      <c r="C6036">
        <f>TEXT(6035, "[$-060000]yyyy-mm-dd")</f>
        <v/>
      </c>
      <c r="D6036" t="inlineStr">
        <is>
          <t>1334-09-09</t>
        </is>
      </c>
    </row>
    <row r="6037">
      <c r="A6037" s="1" t="n">
        <v>6036</v>
      </c>
      <c r="B6037">
        <f>TEXT(6036, "[$-170000]yyyy-mm-dd")</f>
        <v/>
      </c>
      <c r="C6037">
        <f>TEXT(6036, "[$-060000]yyyy-mm-dd")</f>
        <v/>
      </c>
      <c r="D6037" t="inlineStr">
        <is>
          <t>1334-09-10</t>
        </is>
      </c>
    </row>
    <row r="6038">
      <c r="A6038" s="1" t="n">
        <v>6037</v>
      </c>
      <c r="B6038">
        <f>TEXT(6037, "[$-170000]yyyy-mm-dd")</f>
        <v/>
      </c>
      <c r="C6038">
        <f>TEXT(6037, "[$-060000]yyyy-mm-dd")</f>
        <v/>
      </c>
      <c r="D6038" t="inlineStr">
        <is>
          <t>1334-09-11</t>
        </is>
      </c>
    </row>
    <row r="6039">
      <c r="A6039" s="1" t="n">
        <v>6038</v>
      </c>
      <c r="B6039">
        <f>TEXT(6038, "[$-170000]yyyy-mm-dd")</f>
        <v/>
      </c>
      <c r="C6039">
        <f>TEXT(6038, "[$-060000]yyyy-mm-dd")</f>
        <v/>
      </c>
      <c r="D6039" t="inlineStr">
        <is>
          <t>1334-09-12</t>
        </is>
      </c>
    </row>
    <row r="6040">
      <c r="A6040" s="1" t="n">
        <v>6039</v>
      </c>
      <c r="B6040">
        <f>TEXT(6039, "[$-170000]yyyy-mm-dd")</f>
        <v/>
      </c>
      <c r="C6040">
        <f>TEXT(6039, "[$-060000]yyyy-mm-dd")</f>
        <v/>
      </c>
      <c r="D6040" t="inlineStr">
        <is>
          <t>1334-09-13</t>
        </is>
      </c>
    </row>
    <row r="6041">
      <c r="A6041" s="1" t="n">
        <v>6040</v>
      </c>
      <c r="B6041">
        <f>TEXT(6040, "[$-170000]yyyy-mm-dd")</f>
        <v/>
      </c>
      <c r="C6041">
        <f>TEXT(6040, "[$-060000]yyyy-mm-dd")</f>
        <v/>
      </c>
      <c r="D6041" t="inlineStr">
        <is>
          <t>1334-09-14</t>
        </is>
      </c>
    </row>
    <row r="6042">
      <c r="A6042" s="1" t="n">
        <v>6041</v>
      </c>
      <c r="B6042">
        <f>TEXT(6041, "[$-170000]yyyy-mm-dd")</f>
        <v/>
      </c>
      <c r="C6042">
        <f>TEXT(6041, "[$-060000]yyyy-mm-dd")</f>
        <v/>
      </c>
      <c r="D6042" t="inlineStr">
        <is>
          <t>1334-09-15</t>
        </is>
      </c>
    </row>
    <row r="6043">
      <c r="A6043" s="1" t="n">
        <v>6042</v>
      </c>
      <c r="B6043">
        <f>TEXT(6042, "[$-170000]yyyy-mm-dd")</f>
        <v/>
      </c>
      <c r="C6043">
        <f>TEXT(6042, "[$-060000]yyyy-mm-dd")</f>
        <v/>
      </c>
      <c r="D6043" t="inlineStr">
        <is>
          <t>1334-09-16</t>
        </is>
      </c>
    </row>
    <row r="6044">
      <c r="A6044" s="1" t="n">
        <v>6043</v>
      </c>
      <c r="B6044">
        <f>TEXT(6043, "[$-170000]yyyy-mm-dd")</f>
        <v/>
      </c>
      <c r="C6044">
        <f>TEXT(6043, "[$-060000]yyyy-mm-dd")</f>
        <v/>
      </c>
      <c r="D6044" t="inlineStr">
        <is>
          <t>1334-09-17</t>
        </is>
      </c>
    </row>
    <row r="6045">
      <c r="A6045" s="1" t="n">
        <v>6044</v>
      </c>
      <c r="B6045">
        <f>TEXT(6044, "[$-170000]yyyy-mm-dd")</f>
        <v/>
      </c>
      <c r="C6045">
        <f>TEXT(6044, "[$-060000]yyyy-mm-dd")</f>
        <v/>
      </c>
      <c r="D6045" t="inlineStr">
        <is>
          <t>1334-09-18</t>
        </is>
      </c>
    </row>
    <row r="6046">
      <c r="A6046" s="1" t="n">
        <v>6045</v>
      </c>
      <c r="B6046">
        <f>TEXT(6045, "[$-170000]yyyy-mm-dd")</f>
        <v/>
      </c>
      <c r="C6046">
        <f>TEXT(6045, "[$-060000]yyyy-mm-dd")</f>
        <v/>
      </c>
      <c r="D6046" t="inlineStr">
        <is>
          <t>1334-09-19</t>
        </is>
      </c>
    </row>
    <row r="6047">
      <c r="A6047" s="1" t="n">
        <v>6046</v>
      </c>
      <c r="B6047">
        <f>TEXT(6046, "[$-170000]yyyy-mm-dd")</f>
        <v/>
      </c>
      <c r="C6047">
        <f>TEXT(6046, "[$-060000]yyyy-mm-dd")</f>
        <v/>
      </c>
      <c r="D6047" t="inlineStr">
        <is>
          <t>1334-09-20</t>
        </is>
      </c>
    </row>
    <row r="6048">
      <c r="A6048" s="1" t="n">
        <v>6047</v>
      </c>
      <c r="B6048">
        <f>TEXT(6047, "[$-170000]yyyy-mm-dd")</f>
        <v/>
      </c>
      <c r="C6048">
        <f>TEXT(6047, "[$-060000]yyyy-mm-dd")</f>
        <v/>
      </c>
      <c r="D6048" t="inlineStr">
        <is>
          <t>1334-09-21</t>
        </is>
      </c>
    </row>
    <row r="6049">
      <c r="A6049" s="1" t="n">
        <v>6048</v>
      </c>
      <c r="B6049">
        <f>TEXT(6048, "[$-170000]yyyy-mm-dd")</f>
        <v/>
      </c>
      <c r="C6049">
        <f>TEXT(6048, "[$-060000]yyyy-mm-dd")</f>
        <v/>
      </c>
      <c r="D6049" t="inlineStr">
        <is>
          <t>1334-09-22</t>
        </is>
      </c>
    </row>
    <row r="6050">
      <c r="A6050" s="1" t="n">
        <v>6049</v>
      </c>
      <c r="B6050">
        <f>TEXT(6049, "[$-170000]yyyy-mm-dd")</f>
        <v/>
      </c>
      <c r="C6050">
        <f>TEXT(6049, "[$-060000]yyyy-mm-dd")</f>
        <v/>
      </c>
      <c r="D6050" t="inlineStr">
        <is>
          <t>1334-09-23</t>
        </is>
      </c>
    </row>
    <row r="6051">
      <c r="A6051" s="1" t="n">
        <v>6050</v>
      </c>
      <c r="B6051">
        <f>TEXT(6050, "[$-170000]yyyy-mm-dd")</f>
        <v/>
      </c>
      <c r="C6051">
        <f>TEXT(6050, "[$-060000]yyyy-mm-dd")</f>
        <v/>
      </c>
      <c r="D6051" t="inlineStr">
        <is>
          <t>1334-09-24</t>
        </is>
      </c>
    </row>
    <row r="6052">
      <c r="A6052" s="1" t="n">
        <v>6051</v>
      </c>
      <c r="B6052">
        <f>TEXT(6051, "[$-170000]yyyy-mm-dd")</f>
        <v/>
      </c>
      <c r="C6052">
        <f>TEXT(6051, "[$-060000]yyyy-mm-dd")</f>
        <v/>
      </c>
      <c r="D6052" t="inlineStr">
        <is>
          <t>1334-09-25</t>
        </is>
      </c>
    </row>
    <row r="6053">
      <c r="A6053" s="1" t="n">
        <v>6052</v>
      </c>
      <c r="B6053">
        <f>TEXT(6052, "[$-170000]yyyy-mm-dd")</f>
        <v/>
      </c>
      <c r="C6053">
        <f>TEXT(6052, "[$-060000]yyyy-mm-dd")</f>
        <v/>
      </c>
      <c r="D6053" t="inlineStr">
        <is>
          <t>1334-09-26</t>
        </is>
      </c>
    </row>
    <row r="6054">
      <c r="A6054" s="1" t="n">
        <v>6053</v>
      </c>
      <c r="B6054">
        <f>TEXT(6053, "[$-170000]yyyy-mm-dd")</f>
        <v/>
      </c>
      <c r="C6054">
        <f>TEXT(6053, "[$-060000]yyyy-mm-dd")</f>
        <v/>
      </c>
      <c r="D6054" t="inlineStr">
        <is>
          <t>1334-09-27</t>
        </is>
      </c>
    </row>
    <row r="6055">
      <c r="A6055" s="1" t="n">
        <v>6054</v>
      </c>
      <c r="B6055">
        <f>TEXT(6054, "[$-170000]yyyy-mm-dd")</f>
        <v/>
      </c>
      <c r="C6055">
        <f>TEXT(6054, "[$-060000]yyyy-mm-dd")</f>
        <v/>
      </c>
      <c r="D6055" t="inlineStr">
        <is>
          <t>1334-09-28</t>
        </is>
      </c>
    </row>
    <row r="6056">
      <c r="A6056" s="1" t="n">
        <v>6055</v>
      </c>
      <c r="B6056">
        <f>TEXT(6055, "[$-170000]yyyy-mm-dd")</f>
        <v/>
      </c>
      <c r="C6056">
        <f>TEXT(6055, "[$-060000]yyyy-mm-dd")</f>
        <v/>
      </c>
      <c r="D6056" t="inlineStr">
        <is>
          <t>1334-09-29</t>
        </is>
      </c>
    </row>
    <row r="6057">
      <c r="A6057" s="1" t="n">
        <v>6056</v>
      </c>
      <c r="B6057">
        <f>TEXT(6056, "[$-170000]yyyy-mm-dd")</f>
        <v/>
      </c>
      <c r="C6057">
        <f>TEXT(6056, "[$-060000]yyyy-mm-dd")</f>
        <v/>
      </c>
      <c r="D6057" t="inlineStr">
        <is>
          <t>1334-09-30</t>
        </is>
      </c>
    </row>
    <row r="6058">
      <c r="A6058" s="1" t="n">
        <v>6057</v>
      </c>
      <c r="B6058">
        <f>TEXT(6057, "[$-170000]yyyy-mm-dd")</f>
        <v/>
      </c>
      <c r="C6058">
        <f>TEXT(6057, "[$-060000]yyyy-mm-dd")</f>
        <v/>
      </c>
      <c r="D6058" t="inlineStr">
        <is>
          <t>1334-10-01</t>
        </is>
      </c>
    </row>
    <row r="6059">
      <c r="A6059" s="1" t="n">
        <v>6058</v>
      </c>
      <c r="B6059">
        <f>TEXT(6058, "[$-170000]yyyy-mm-dd")</f>
        <v/>
      </c>
      <c r="C6059">
        <f>TEXT(6058, "[$-060000]yyyy-mm-dd")</f>
        <v/>
      </c>
      <c r="D6059" t="inlineStr">
        <is>
          <t>1334-10-02</t>
        </is>
      </c>
    </row>
    <row r="6060">
      <c r="A6060" s="1" t="n">
        <v>6059</v>
      </c>
      <c r="B6060">
        <f>TEXT(6059, "[$-170000]yyyy-mm-dd")</f>
        <v/>
      </c>
      <c r="C6060">
        <f>TEXT(6059, "[$-060000]yyyy-mm-dd")</f>
        <v/>
      </c>
      <c r="D6060" t="inlineStr">
        <is>
          <t>1334-10-03</t>
        </is>
      </c>
    </row>
    <row r="6061">
      <c r="A6061" s="1" t="n">
        <v>6060</v>
      </c>
      <c r="B6061">
        <f>TEXT(6060, "[$-170000]yyyy-mm-dd")</f>
        <v/>
      </c>
      <c r="C6061">
        <f>TEXT(6060, "[$-060000]yyyy-mm-dd")</f>
        <v/>
      </c>
      <c r="D6061" t="inlineStr">
        <is>
          <t>1334-10-04</t>
        </is>
      </c>
    </row>
    <row r="6062">
      <c r="A6062" s="1" t="n">
        <v>6061</v>
      </c>
      <c r="B6062">
        <f>TEXT(6061, "[$-170000]yyyy-mm-dd")</f>
        <v/>
      </c>
      <c r="C6062">
        <f>TEXT(6061, "[$-060000]yyyy-mm-dd")</f>
        <v/>
      </c>
      <c r="D6062" t="inlineStr">
        <is>
          <t>1334-10-05</t>
        </is>
      </c>
    </row>
    <row r="6063">
      <c r="A6063" s="1" t="n">
        <v>6062</v>
      </c>
      <c r="B6063">
        <f>TEXT(6062, "[$-170000]yyyy-mm-dd")</f>
        <v/>
      </c>
      <c r="C6063">
        <f>TEXT(6062, "[$-060000]yyyy-mm-dd")</f>
        <v/>
      </c>
      <c r="D6063" t="inlineStr">
        <is>
          <t>1334-10-06</t>
        </is>
      </c>
    </row>
    <row r="6064">
      <c r="A6064" s="1" t="n">
        <v>6063</v>
      </c>
      <c r="B6064">
        <f>TEXT(6063, "[$-170000]yyyy-mm-dd")</f>
        <v/>
      </c>
      <c r="C6064">
        <f>TEXT(6063, "[$-060000]yyyy-mm-dd")</f>
        <v/>
      </c>
      <c r="D6064" t="inlineStr">
        <is>
          <t>1334-10-07</t>
        </is>
      </c>
    </row>
    <row r="6065">
      <c r="A6065" s="1" t="n">
        <v>6064</v>
      </c>
      <c r="B6065">
        <f>TEXT(6064, "[$-170000]yyyy-mm-dd")</f>
        <v/>
      </c>
      <c r="C6065">
        <f>TEXT(6064, "[$-060000]yyyy-mm-dd")</f>
        <v/>
      </c>
      <c r="D6065" t="inlineStr">
        <is>
          <t>1334-10-08</t>
        </is>
      </c>
    </row>
    <row r="6066">
      <c r="A6066" s="1" t="n">
        <v>6065</v>
      </c>
      <c r="B6066">
        <f>TEXT(6065, "[$-170000]yyyy-mm-dd")</f>
        <v/>
      </c>
      <c r="C6066">
        <f>TEXT(6065, "[$-060000]yyyy-mm-dd")</f>
        <v/>
      </c>
      <c r="D6066" t="inlineStr">
        <is>
          <t>1334-10-09</t>
        </is>
      </c>
    </row>
    <row r="6067">
      <c r="A6067" s="1" t="n">
        <v>6066</v>
      </c>
      <c r="B6067">
        <f>TEXT(6066, "[$-170000]yyyy-mm-dd")</f>
        <v/>
      </c>
      <c r="C6067">
        <f>TEXT(6066, "[$-060000]yyyy-mm-dd")</f>
        <v/>
      </c>
      <c r="D6067" t="inlineStr">
        <is>
          <t>1334-10-10</t>
        </is>
      </c>
    </row>
    <row r="6068">
      <c r="A6068" s="1" t="n">
        <v>6067</v>
      </c>
      <c r="B6068">
        <f>TEXT(6067, "[$-170000]yyyy-mm-dd")</f>
        <v/>
      </c>
      <c r="C6068">
        <f>TEXT(6067, "[$-060000]yyyy-mm-dd")</f>
        <v/>
      </c>
      <c r="D6068" t="inlineStr">
        <is>
          <t>1334-10-11</t>
        </is>
      </c>
    </row>
    <row r="6069">
      <c r="A6069" s="1" t="n">
        <v>6068</v>
      </c>
      <c r="B6069">
        <f>TEXT(6068, "[$-170000]yyyy-mm-dd")</f>
        <v/>
      </c>
      <c r="C6069">
        <f>TEXT(6068, "[$-060000]yyyy-mm-dd")</f>
        <v/>
      </c>
      <c r="D6069" t="inlineStr">
        <is>
          <t>1334-10-12</t>
        </is>
      </c>
    </row>
    <row r="6070">
      <c r="A6070" s="1" t="n">
        <v>6069</v>
      </c>
      <c r="B6070">
        <f>TEXT(6069, "[$-170000]yyyy-mm-dd")</f>
        <v/>
      </c>
      <c r="C6070">
        <f>TEXT(6069, "[$-060000]yyyy-mm-dd")</f>
        <v/>
      </c>
      <c r="D6070" t="inlineStr">
        <is>
          <t>1334-10-13</t>
        </is>
      </c>
    </row>
    <row r="6071">
      <c r="A6071" s="1" t="n">
        <v>6070</v>
      </c>
      <c r="B6071">
        <f>TEXT(6070, "[$-170000]yyyy-mm-dd")</f>
        <v/>
      </c>
      <c r="C6071">
        <f>TEXT(6070, "[$-060000]yyyy-mm-dd")</f>
        <v/>
      </c>
      <c r="D6071" t="inlineStr">
        <is>
          <t>1334-10-14</t>
        </is>
      </c>
    </row>
    <row r="6072">
      <c r="A6072" s="1" t="n">
        <v>6071</v>
      </c>
      <c r="B6072">
        <f>TEXT(6071, "[$-170000]yyyy-mm-dd")</f>
        <v/>
      </c>
      <c r="C6072">
        <f>TEXT(6071, "[$-060000]yyyy-mm-dd")</f>
        <v/>
      </c>
      <c r="D6072" t="inlineStr">
        <is>
          <t>1334-10-15</t>
        </is>
      </c>
    </row>
    <row r="6073">
      <c r="A6073" s="1" t="n">
        <v>6072</v>
      </c>
      <c r="B6073">
        <f>TEXT(6072, "[$-170000]yyyy-mm-dd")</f>
        <v/>
      </c>
      <c r="C6073">
        <f>TEXT(6072, "[$-060000]yyyy-mm-dd")</f>
        <v/>
      </c>
      <c r="D6073" t="inlineStr">
        <is>
          <t>1334-10-16</t>
        </is>
      </c>
    </row>
    <row r="6074">
      <c r="A6074" s="1" t="n">
        <v>6073</v>
      </c>
      <c r="B6074">
        <f>TEXT(6073, "[$-170000]yyyy-mm-dd")</f>
        <v/>
      </c>
      <c r="C6074">
        <f>TEXT(6073, "[$-060000]yyyy-mm-dd")</f>
        <v/>
      </c>
      <c r="D6074" t="inlineStr">
        <is>
          <t>1334-10-17</t>
        </is>
      </c>
    </row>
    <row r="6075">
      <c r="A6075" s="1" t="n">
        <v>6074</v>
      </c>
      <c r="B6075">
        <f>TEXT(6074, "[$-170000]yyyy-mm-dd")</f>
        <v/>
      </c>
      <c r="C6075">
        <f>TEXT(6074, "[$-060000]yyyy-mm-dd")</f>
        <v/>
      </c>
      <c r="D6075" t="inlineStr">
        <is>
          <t>1334-10-18</t>
        </is>
      </c>
    </row>
    <row r="6076">
      <c r="A6076" s="1" t="n">
        <v>6075</v>
      </c>
      <c r="B6076">
        <f>TEXT(6075, "[$-170000]yyyy-mm-dd")</f>
        <v/>
      </c>
      <c r="C6076">
        <f>TEXT(6075, "[$-060000]yyyy-mm-dd")</f>
        <v/>
      </c>
      <c r="D6076" t="inlineStr">
        <is>
          <t>1334-10-19</t>
        </is>
      </c>
    </row>
    <row r="6077">
      <c r="A6077" s="1" t="n">
        <v>6076</v>
      </c>
      <c r="B6077">
        <f>TEXT(6076, "[$-170000]yyyy-mm-dd")</f>
        <v/>
      </c>
      <c r="C6077">
        <f>TEXT(6076, "[$-060000]yyyy-mm-dd")</f>
        <v/>
      </c>
      <c r="D6077" t="inlineStr">
        <is>
          <t>1334-10-20</t>
        </is>
      </c>
    </row>
    <row r="6078">
      <c r="A6078" s="1" t="n">
        <v>6077</v>
      </c>
      <c r="B6078">
        <f>TEXT(6077, "[$-170000]yyyy-mm-dd")</f>
        <v/>
      </c>
      <c r="C6078">
        <f>TEXT(6077, "[$-060000]yyyy-mm-dd")</f>
        <v/>
      </c>
      <c r="D6078" t="inlineStr">
        <is>
          <t>1334-10-21</t>
        </is>
      </c>
    </row>
    <row r="6079">
      <c r="A6079" s="1" t="n">
        <v>6078</v>
      </c>
      <c r="B6079">
        <f>TEXT(6078, "[$-170000]yyyy-mm-dd")</f>
        <v/>
      </c>
      <c r="C6079">
        <f>TEXT(6078, "[$-060000]yyyy-mm-dd")</f>
        <v/>
      </c>
      <c r="D6079" t="inlineStr">
        <is>
          <t>1334-10-22</t>
        </is>
      </c>
    </row>
    <row r="6080">
      <c r="A6080" s="1" t="n">
        <v>6079</v>
      </c>
      <c r="B6080">
        <f>TEXT(6079, "[$-170000]yyyy-mm-dd")</f>
        <v/>
      </c>
      <c r="C6080">
        <f>TEXT(6079, "[$-060000]yyyy-mm-dd")</f>
        <v/>
      </c>
      <c r="D6080" t="inlineStr">
        <is>
          <t>1334-10-23</t>
        </is>
      </c>
    </row>
    <row r="6081">
      <c r="A6081" s="1" t="n">
        <v>6080</v>
      </c>
      <c r="B6081">
        <f>TEXT(6080, "[$-170000]yyyy-mm-dd")</f>
        <v/>
      </c>
      <c r="C6081">
        <f>TEXT(6080, "[$-060000]yyyy-mm-dd")</f>
        <v/>
      </c>
      <c r="D6081" t="inlineStr">
        <is>
          <t>1334-10-24</t>
        </is>
      </c>
    </row>
    <row r="6082">
      <c r="A6082" s="1" t="n">
        <v>6081</v>
      </c>
      <c r="B6082">
        <f>TEXT(6081, "[$-170000]yyyy-mm-dd")</f>
        <v/>
      </c>
      <c r="C6082">
        <f>TEXT(6081, "[$-060000]yyyy-mm-dd")</f>
        <v/>
      </c>
      <c r="D6082" t="inlineStr">
        <is>
          <t>1334-10-25</t>
        </is>
      </c>
    </row>
    <row r="6083">
      <c r="A6083" s="1" t="n">
        <v>6082</v>
      </c>
      <c r="B6083">
        <f>TEXT(6082, "[$-170000]yyyy-mm-dd")</f>
        <v/>
      </c>
      <c r="C6083">
        <f>TEXT(6082, "[$-060000]yyyy-mm-dd")</f>
        <v/>
      </c>
      <c r="D6083" t="inlineStr">
        <is>
          <t>1334-10-26</t>
        </is>
      </c>
    </row>
    <row r="6084">
      <c r="A6084" s="1" t="n">
        <v>6083</v>
      </c>
      <c r="B6084">
        <f>TEXT(6083, "[$-170000]yyyy-mm-dd")</f>
        <v/>
      </c>
      <c r="C6084">
        <f>TEXT(6083, "[$-060000]yyyy-mm-dd")</f>
        <v/>
      </c>
      <c r="D6084" t="inlineStr">
        <is>
          <t>1334-10-27</t>
        </is>
      </c>
    </row>
    <row r="6085">
      <c r="A6085" s="1" t="n">
        <v>6084</v>
      </c>
      <c r="B6085">
        <f>TEXT(6084, "[$-170000]yyyy-mm-dd")</f>
        <v/>
      </c>
      <c r="C6085">
        <f>TEXT(6084, "[$-060000]yyyy-mm-dd")</f>
        <v/>
      </c>
      <c r="D6085" t="inlineStr">
        <is>
          <t>1334-10-28</t>
        </is>
      </c>
    </row>
    <row r="6086">
      <c r="A6086" s="1" t="n">
        <v>6085</v>
      </c>
      <c r="B6086">
        <f>TEXT(6085, "[$-170000]yyyy-mm-dd")</f>
        <v/>
      </c>
      <c r="C6086">
        <f>TEXT(6085, "[$-060000]yyyy-mm-dd")</f>
        <v/>
      </c>
      <c r="D6086" t="inlineStr">
        <is>
          <t>1334-10-29</t>
        </is>
      </c>
    </row>
    <row r="6087">
      <c r="A6087" s="1" t="n">
        <v>6086</v>
      </c>
      <c r="B6087">
        <f>TEXT(6086, "[$-170000]yyyy-mm-dd")</f>
        <v/>
      </c>
      <c r="C6087">
        <f>TEXT(6086, "[$-060000]yyyy-mm-dd")</f>
        <v/>
      </c>
      <c r="D6087" t="inlineStr">
        <is>
          <t>1334-11-01</t>
        </is>
      </c>
    </row>
    <row r="6088">
      <c r="A6088" s="1" t="n">
        <v>6087</v>
      </c>
      <c r="B6088">
        <f>TEXT(6087, "[$-170000]yyyy-mm-dd")</f>
        <v/>
      </c>
      <c r="C6088">
        <f>TEXT(6087, "[$-060000]yyyy-mm-dd")</f>
        <v/>
      </c>
      <c r="D6088" t="inlineStr">
        <is>
          <t>1334-11-02</t>
        </is>
      </c>
    </row>
    <row r="6089">
      <c r="A6089" s="1" t="n">
        <v>6088</v>
      </c>
      <c r="B6089">
        <f>TEXT(6088, "[$-170000]yyyy-mm-dd")</f>
        <v/>
      </c>
      <c r="C6089">
        <f>TEXT(6088, "[$-060000]yyyy-mm-dd")</f>
        <v/>
      </c>
      <c r="D6089" t="inlineStr">
        <is>
          <t>1334-11-03</t>
        </is>
      </c>
    </row>
    <row r="6090">
      <c r="A6090" s="1" t="n">
        <v>6089</v>
      </c>
      <c r="B6090">
        <f>TEXT(6089, "[$-170000]yyyy-mm-dd")</f>
        <v/>
      </c>
      <c r="C6090">
        <f>TEXT(6089, "[$-060000]yyyy-mm-dd")</f>
        <v/>
      </c>
      <c r="D6090" t="inlineStr">
        <is>
          <t>1334-11-04</t>
        </is>
      </c>
    </row>
    <row r="6091">
      <c r="A6091" s="1" t="n">
        <v>6090</v>
      </c>
      <c r="B6091">
        <f>TEXT(6090, "[$-170000]yyyy-mm-dd")</f>
        <v/>
      </c>
      <c r="C6091">
        <f>TEXT(6090, "[$-060000]yyyy-mm-dd")</f>
        <v/>
      </c>
      <c r="D6091" t="inlineStr">
        <is>
          <t>1334-11-05</t>
        </is>
      </c>
    </row>
    <row r="6092">
      <c r="A6092" s="1" t="n">
        <v>6091</v>
      </c>
      <c r="B6092">
        <f>TEXT(6091, "[$-170000]yyyy-mm-dd")</f>
        <v/>
      </c>
      <c r="C6092">
        <f>TEXT(6091, "[$-060000]yyyy-mm-dd")</f>
        <v/>
      </c>
      <c r="D6092" t="inlineStr">
        <is>
          <t>1334-11-06</t>
        </is>
      </c>
    </row>
    <row r="6093">
      <c r="A6093" s="1" t="n">
        <v>6092</v>
      </c>
      <c r="B6093">
        <f>TEXT(6092, "[$-170000]yyyy-mm-dd")</f>
        <v/>
      </c>
      <c r="C6093">
        <f>TEXT(6092, "[$-060000]yyyy-mm-dd")</f>
        <v/>
      </c>
      <c r="D6093" t="inlineStr">
        <is>
          <t>1334-11-07</t>
        </is>
      </c>
    </row>
    <row r="6094">
      <c r="A6094" s="1" t="n">
        <v>6093</v>
      </c>
      <c r="B6094">
        <f>TEXT(6093, "[$-170000]yyyy-mm-dd")</f>
        <v/>
      </c>
      <c r="C6094">
        <f>TEXT(6093, "[$-060000]yyyy-mm-dd")</f>
        <v/>
      </c>
      <c r="D6094" t="inlineStr">
        <is>
          <t>1334-11-08</t>
        </is>
      </c>
    </row>
    <row r="6095">
      <c r="A6095" s="1" t="n">
        <v>6094</v>
      </c>
      <c r="B6095">
        <f>TEXT(6094, "[$-170000]yyyy-mm-dd")</f>
        <v/>
      </c>
      <c r="C6095">
        <f>TEXT(6094, "[$-060000]yyyy-mm-dd")</f>
        <v/>
      </c>
      <c r="D6095" t="inlineStr">
        <is>
          <t>1334-11-09</t>
        </is>
      </c>
    </row>
    <row r="6096">
      <c r="A6096" s="1" t="n">
        <v>6095</v>
      </c>
      <c r="B6096">
        <f>TEXT(6095, "[$-170000]yyyy-mm-dd")</f>
        <v/>
      </c>
      <c r="C6096">
        <f>TEXT(6095, "[$-060000]yyyy-mm-dd")</f>
        <v/>
      </c>
      <c r="D6096" t="inlineStr">
        <is>
          <t>1334-11-10</t>
        </is>
      </c>
    </row>
    <row r="6097">
      <c r="A6097" s="1" t="n">
        <v>6096</v>
      </c>
      <c r="B6097">
        <f>TEXT(6096, "[$-170000]yyyy-mm-dd")</f>
        <v/>
      </c>
      <c r="C6097">
        <f>TEXT(6096, "[$-060000]yyyy-mm-dd")</f>
        <v/>
      </c>
      <c r="D6097" t="inlineStr">
        <is>
          <t>1334-11-11</t>
        </is>
      </c>
    </row>
    <row r="6098">
      <c r="A6098" s="1" t="n">
        <v>6097</v>
      </c>
      <c r="B6098">
        <f>TEXT(6097, "[$-170000]yyyy-mm-dd")</f>
        <v/>
      </c>
      <c r="C6098">
        <f>TEXT(6097, "[$-060000]yyyy-mm-dd")</f>
        <v/>
      </c>
      <c r="D6098" t="inlineStr">
        <is>
          <t>1334-11-12</t>
        </is>
      </c>
    </row>
    <row r="6099">
      <c r="A6099" s="1" t="n">
        <v>6098</v>
      </c>
      <c r="B6099">
        <f>TEXT(6098, "[$-170000]yyyy-mm-dd")</f>
        <v/>
      </c>
      <c r="C6099">
        <f>TEXT(6098, "[$-060000]yyyy-mm-dd")</f>
        <v/>
      </c>
      <c r="D6099" t="inlineStr">
        <is>
          <t>1334-11-13</t>
        </is>
      </c>
    </row>
    <row r="6100">
      <c r="A6100" s="1" t="n">
        <v>6099</v>
      </c>
      <c r="B6100">
        <f>TEXT(6099, "[$-170000]yyyy-mm-dd")</f>
        <v/>
      </c>
      <c r="C6100">
        <f>TEXT(6099, "[$-060000]yyyy-mm-dd")</f>
        <v/>
      </c>
      <c r="D6100" t="inlineStr">
        <is>
          <t>1334-11-14</t>
        </is>
      </c>
    </row>
    <row r="6101">
      <c r="A6101" s="1" t="n">
        <v>6100</v>
      </c>
      <c r="B6101">
        <f>TEXT(6100, "[$-170000]yyyy-mm-dd")</f>
        <v/>
      </c>
      <c r="C6101">
        <f>TEXT(6100, "[$-060000]yyyy-mm-dd")</f>
        <v/>
      </c>
      <c r="D6101" t="inlineStr">
        <is>
          <t>1334-11-15</t>
        </is>
      </c>
    </row>
    <row r="6102">
      <c r="A6102" s="1" t="n">
        <v>6101</v>
      </c>
      <c r="B6102">
        <f>TEXT(6101, "[$-170000]yyyy-mm-dd")</f>
        <v/>
      </c>
      <c r="C6102">
        <f>TEXT(6101, "[$-060000]yyyy-mm-dd")</f>
        <v/>
      </c>
      <c r="D6102" t="inlineStr">
        <is>
          <t>1334-11-16</t>
        </is>
      </c>
    </row>
    <row r="6103">
      <c r="A6103" s="1" t="n">
        <v>6102</v>
      </c>
      <c r="B6103">
        <f>TEXT(6102, "[$-170000]yyyy-mm-dd")</f>
        <v/>
      </c>
      <c r="C6103">
        <f>TEXT(6102, "[$-060000]yyyy-mm-dd")</f>
        <v/>
      </c>
      <c r="D6103" t="inlineStr">
        <is>
          <t>1334-11-17</t>
        </is>
      </c>
    </row>
    <row r="6104">
      <c r="A6104" s="1" t="n">
        <v>6103</v>
      </c>
      <c r="B6104">
        <f>TEXT(6103, "[$-170000]yyyy-mm-dd")</f>
        <v/>
      </c>
      <c r="C6104">
        <f>TEXT(6103, "[$-060000]yyyy-mm-dd")</f>
        <v/>
      </c>
      <c r="D6104" t="inlineStr">
        <is>
          <t>1334-11-18</t>
        </is>
      </c>
    </row>
    <row r="6105">
      <c r="A6105" s="1" t="n">
        <v>6104</v>
      </c>
      <c r="B6105">
        <f>TEXT(6104, "[$-170000]yyyy-mm-dd")</f>
        <v/>
      </c>
      <c r="C6105">
        <f>TEXT(6104, "[$-060000]yyyy-mm-dd")</f>
        <v/>
      </c>
      <c r="D6105" t="inlineStr">
        <is>
          <t>1334-11-19</t>
        </is>
      </c>
    </row>
    <row r="6106">
      <c r="A6106" s="1" t="n">
        <v>6105</v>
      </c>
      <c r="B6106">
        <f>TEXT(6105, "[$-170000]yyyy-mm-dd")</f>
        <v/>
      </c>
      <c r="C6106">
        <f>TEXT(6105, "[$-060000]yyyy-mm-dd")</f>
        <v/>
      </c>
      <c r="D6106" t="inlineStr">
        <is>
          <t>1334-11-20</t>
        </is>
      </c>
    </row>
    <row r="6107">
      <c r="A6107" s="1" t="n">
        <v>6106</v>
      </c>
      <c r="B6107">
        <f>TEXT(6106, "[$-170000]yyyy-mm-dd")</f>
        <v/>
      </c>
      <c r="C6107">
        <f>TEXT(6106, "[$-060000]yyyy-mm-dd")</f>
        <v/>
      </c>
      <c r="D6107" t="inlineStr">
        <is>
          <t>1334-11-21</t>
        </is>
      </c>
    </row>
    <row r="6108">
      <c r="A6108" s="1" t="n">
        <v>6107</v>
      </c>
      <c r="B6108">
        <f>TEXT(6107, "[$-170000]yyyy-mm-dd")</f>
        <v/>
      </c>
      <c r="C6108">
        <f>TEXT(6107, "[$-060000]yyyy-mm-dd")</f>
        <v/>
      </c>
      <c r="D6108" t="inlineStr">
        <is>
          <t>1334-11-22</t>
        </is>
      </c>
    </row>
    <row r="6109">
      <c r="A6109" s="1" t="n">
        <v>6108</v>
      </c>
      <c r="B6109">
        <f>TEXT(6108, "[$-170000]yyyy-mm-dd")</f>
        <v/>
      </c>
      <c r="C6109">
        <f>TEXT(6108, "[$-060000]yyyy-mm-dd")</f>
        <v/>
      </c>
      <c r="D6109" t="inlineStr">
        <is>
          <t>1334-11-23</t>
        </is>
      </c>
    </row>
    <row r="6110">
      <c r="A6110" s="1" t="n">
        <v>6109</v>
      </c>
      <c r="B6110">
        <f>TEXT(6109, "[$-170000]yyyy-mm-dd")</f>
        <v/>
      </c>
      <c r="C6110">
        <f>TEXT(6109, "[$-060000]yyyy-mm-dd")</f>
        <v/>
      </c>
      <c r="D6110" t="inlineStr">
        <is>
          <t>1334-11-24</t>
        </is>
      </c>
    </row>
    <row r="6111">
      <c r="A6111" s="1" t="n">
        <v>6110</v>
      </c>
      <c r="B6111">
        <f>TEXT(6110, "[$-170000]yyyy-mm-dd")</f>
        <v/>
      </c>
      <c r="C6111">
        <f>TEXT(6110, "[$-060000]yyyy-mm-dd")</f>
        <v/>
      </c>
      <c r="D6111" t="inlineStr">
        <is>
          <t>1334-11-25</t>
        </is>
      </c>
    </row>
    <row r="6112">
      <c r="A6112" s="1" t="n">
        <v>6111</v>
      </c>
      <c r="B6112">
        <f>TEXT(6111, "[$-170000]yyyy-mm-dd")</f>
        <v/>
      </c>
      <c r="C6112">
        <f>TEXT(6111, "[$-060000]yyyy-mm-dd")</f>
        <v/>
      </c>
      <c r="D6112" t="inlineStr">
        <is>
          <t>1334-11-26</t>
        </is>
      </c>
    </row>
    <row r="6113">
      <c r="A6113" s="1" t="n">
        <v>6112</v>
      </c>
      <c r="B6113">
        <f>TEXT(6112, "[$-170000]yyyy-mm-dd")</f>
        <v/>
      </c>
      <c r="C6113">
        <f>TEXT(6112, "[$-060000]yyyy-mm-dd")</f>
        <v/>
      </c>
      <c r="D6113" t="inlineStr">
        <is>
          <t>1334-11-27</t>
        </is>
      </c>
    </row>
    <row r="6114">
      <c r="A6114" s="1" t="n">
        <v>6113</v>
      </c>
      <c r="B6114">
        <f>TEXT(6113, "[$-170000]yyyy-mm-dd")</f>
        <v/>
      </c>
      <c r="C6114">
        <f>TEXT(6113, "[$-060000]yyyy-mm-dd")</f>
        <v/>
      </c>
      <c r="D6114" t="inlineStr">
        <is>
          <t>1334-11-28</t>
        </is>
      </c>
    </row>
    <row r="6115">
      <c r="A6115" s="1" t="n">
        <v>6114</v>
      </c>
      <c r="B6115">
        <f>TEXT(6114, "[$-170000]yyyy-mm-dd")</f>
        <v/>
      </c>
      <c r="C6115">
        <f>TEXT(6114, "[$-060000]yyyy-mm-dd")</f>
        <v/>
      </c>
      <c r="D6115" t="inlineStr">
        <is>
          <t>1334-11-29</t>
        </is>
      </c>
    </row>
    <row r="6116">
      <c r="A6116" s="1" t="n">
        <v>6115</v>
      </c>
      <c r="B6116">
        <f>TEXT(6115, "[$-170000]yyyy-mm-dd")</f>
        <v/>
      </c>
      <c r="C6116">
        <f>TEXT(6115, "[$-060000]yyyy-mm-dd")</f>
        <v/>
      </c>
      <c r="D6116" t="inlineStr">
        <is>
          <t>1334-11-30</t>
        </is>
      </c>
    </row>
    <row r="6117">
      <c r="A6117" s="1" t="n">
        <v>6116</v>
      </c>
      <c r="B6117">
        <f>TEXT(6116, "[$-170000]yyyy-mm-dd")</f>
        <v/>
      </c>
      <c r="C6117">
        <f>TEXT(6116, "[$-060000]yyyy-mm-dd")</f>
        <v/>
      </c>
      <c r="D6117" t="inlineStr">
        <is>
          <t>1334-12-01</t>
        </is>
      </c>
    </row>
    <row r="6118">
      <c r="A6118" s="1" t="n">
        <v>6117</v>
      </c>
      <c r="B6118">
        <f>TEXT(6117, "[$-170000]yyyy-mm-dd")</f>
        <v/>
      </c>
      <c r="C6118">
        <f>TEXT(6117, "[$-060000]yyyy-mm-dd")</f>
        <v/>
      </c>
      <c r="D6118" t="inlineStr">
        <is>
          <t>1334-12-02</t>
        </is>
      </c>
    </row>
    <row r="6119">
      <c r="A6119" s="1" t="n">
        <v>6118</v>
      </c>
      <c r="B6119">
        <f>TEXT(6118, "[$-170000]yyyy-mm-dd")</f>
        <v/>
      </c>
      <c r="C6119">
        <f>TEXT(6118, "[$-060000]yyyy-mm-dd")</f>
        <v/>
      </c>
      <c r="D6119" t="inlineStr">
        <is>
          <t>1334-12-03</t>
        </is>
      </c>
    </row>
    <row r="6120">
      <c r="A6120" s="1" t="n">
        <v>6119</v>
      </c>
      <c r="B6120">
        <f>TEXT(6119, "[$-170000]yyyy-mm-dd")</f>
        <v/>
      </c>
      <c r="C6120">
        <f>TEXT(6119, "[$-060000]yyyy-mm-dd")</f>
        <v/>
      </c>
      <c r="D6120" t="inlineStr">
        <is>
          <t>1334-12-04</t>
        </is>
      </c>
    </row>
    <row r="6121">
      <c r="A6121" s="1" t="n">
        <v>6120</v>
      </c>
      <c r="B6121">
        <f>TEXT(6120, "[$-170000]yyyy-mm-dd")</f>
        <v/>
      </c>
      <c r="C6121">
        <f>TEXT(6120, "[$-060000]yyyy-mm-dd")</f>
        <v/>
      </c>
      <c r="D6121" t="inlineStr">
        <is>
          <t>1334-12-05</t>
        </is>
      </c>
    </row>
    <row r="6122">
      <c r="A6122" s="1" t="n">
        <v>6121</v>
      </c>
      <c r="B6122">
        <f>TEXT(6121, "[$-170000]yyyy-mm-dd")</f>
        <v/>
      </c>
      <c r="C6122">
        <f>TEXT(6121, "[$-060000]yyyy-mm-dd")</f>
        <v/>
      </c>
      <c r="D6122" t="inlineStr">
        <is>
          <t>1334-12-06</t>
        </is>
      </c>
    </row>
    <row r="6123">
      <c r="A6123" s="1" t="n">
        <v>6122</v>
      </c>
      <c r="B6123">
        <f>TEXT(6122, "[$-170000]yyyy-mm-dd")</f>
        <v/>
      </c>
      <c r="C6123">
        <f>TEXT(6122, "[$-060000]yyyy-mm-dd")</f>
        <v/>
      </c>
      <c r="D6123" t="inlineStr">
        <is>
          <t>1334-12-07</t>
        </is>
      </c>
    </row>
    <row r="6124">
      <c r="A6124" s="1" t="n">
        <v>6123</v>
      </c>
      <c r="B6124">
        <f>TEXT(6123, "[$-170000]yyyy-mm-dd")</f>
        <v/>
      </c>
      <c r="C6124">
        <f>TEXT(6123, "[$-060000]yyyy-mm-dd")</f>
        <v/>
      </c>
      <c r="D6124" t="inlineStr">
        <is>
          <t>1334-12-08</t>
        </is>
      </c>
    </row>
    <row r="6125">
      <c r="A6125" s="1" t="n">
        <v>6124</v>
      </c>
      <c r="B6125">
        <f>TEXT(6124, "[$-170000]yyyy-mm-dd")</f>
        <v/>
      </c>
      <c r="C6125">
        <f>TEXT(6124, "[$-060000]yyyy-mm-dd")</f>
        <v/>
      </c>
      <c r="D6125" t="inlineStr">
        <is>
          <t>1334-12-09</t>
        </is>
      </c>
    </row>
    <row r="6126">
      <c r="A6126" s="1" t="n">
        <v>6125</v>
      </c>
      <c r="B6126">
        <f>TEXT(6125, "[$-170000]yyyy-mm-dd")</f>
        <v/>
      </c>
      <c r="C6126">
        <f>TEXT(6125, "[$-060000]yyyy-mm-dd")</f>
        <v/>
      </c>
      <c r="D6126" t="inlineStr">
        <is>
          <t>1334-12-10</t>
        </is>
      </c>
    </row>
    <row r="6127">
      <c r="A6127" s="1" t="n">
        <v>6126</v>
      </c>
      <c r="B6127">
        <f>TEXT(6126, "[$-170000]yyyy-mm-dd")</f>
        <v/>
      </c>
      <c r="C6127">
        <f>TEXT(6126, "[$-060000]yyyy-mm-dd")</f>
        <v/>
      </c>
      <c r="D6127" t="inlineStr">
        <is>
          <t>1334-12-11</t>
        </is>
      </c>
    </row>
    <row r="6128">
      <c r="A6128" s="1" t="n">
        <v>6127</v>
      </c>
      <c r="B6128">
        <f>TEXT(6127, "[$-170000]yyyy-mm-dd")</f>
        <v/>
      </c>
      <c r="C6128">
        <f>TEXT(6127, "[$-060000]yyyy-mm-dd")</f>
        <v/>
      </c>
      <c r="D6128" t="inlineStr">
        <is>
          <t>1334-12-12</t>
        </is>
      </c>
    </row>
    <row r="6129">
      <c r="A6129" s="1" t="n">
        <v>6128</v>
      </c>
      <c r="B6129">
        <f>TEXT(6128, "[$-170000]yyyy-mm-dd")</f>
        <v/>
      </c>
      <c r="C6129">
        <f>TEXT(6128, "[$-060000]yyyy-mm-dd")</f>
        <v/>
      </c>
      <c r="D6129" t="inlineStr">
        <is>
          <t>1334-12-13</t>
        </is>
      </c>
    </row>
    <row r="6130">
      <c r="A6130" s="1" t="n">
        <v>6129</v>
      </c>
      <c r="B6130">
        <f>TEXT(6129, "[$-170000]yyyy-mm-dd")</f>
        <v/>
      </c>
      <c r="C6130">
        <f>TEXT(6129, "[$-060000]yyyy-mm-dd")</f>
        <v/>
      </c>
      <c r="D6130" t="inlineStr">
        <is>
          <t>1334-12-14</t>
        </is>
      </c>
    </row>
    <row r="6131">
      <c r="A6131" s="1" t="n">
        <v>6130</v>
      </c>
      <c r="B6131">
        <f>TEXT(6130, "[$-170000]yyyy-mm-dd")</f>
        <v/>
      </c>
      <c r="C6131">
        <f>TEXT(6130, "[$-060000]yyyy-mm-dd")</f>
        <v/>
      </c>
      <c r="D6131" t="inlineStr">
        <is>
          <t>1334-12-15</t>
        </is>
      </c>
    </row>
    <row r="6132">
      <c r="A6132" s="1" t="n">
        <v>6131</v>
      </c>
      <c r="B6132">
        <f>TEXT(6131, "[$-170000]yyyy-mm-dd")</f>
        <v/>
      </c>
      <c r="C6132">
        <f>TEXT(6131, "[$-060000]yyyy-mm-dd")</f>
        <v/>
      </c>
      <c r="D6132" t="inlineStr">
        <is>
          <t>1334-12-16</t>
        </is>
      </c>
    </row>
    <row r="6133">
      <c r="A6133" s="1" t="n">
        <v>6132</v>
      </c>
      <c r="B6133">
        <f>TEXT(6132, "[$-170000]yyyy-mm-dd")</f>
        <v/>
      </c>
      <c r="C6133">
        <f>TEXT(6132, "[$-060000]yyyy-mm-dd")</f>
        <v/>
      </c>
      <c r="D6133" t="inlineStr">
        <is>
          <t>1334-12-17</t>
        </is>
      </c>
    </row>
    <row r="6134">
      <c r="A6134" s="1" t="n">
        <v>6133</v>
      </c>
      <c r="B6134">
        <f>TEXT(6133, "[$-170000]yyyy-mm-dd")</f>
        <v/>
      </c>
      <c r="C6134">
        <f>TEXT(6133, "[$-060000]yyyy-mm-dd")</f>
        <v/>
      </c>
      <c r="D6134" t="inlineStr">
        <is>
          <t>1334-12-18</t>
        </is>
      </c>
    </row>
    <row r="6135">
      <c r="A6135" s="1" t="n">
        <v>6134</v>
      </c>
      <c r="B6135">
        <f>TEXT(6134, "[$-170000]yyyy-mm-dd")</f>
        <v/>
      </c>
      <c r="C6135">
        <f>TEXT(6134, "[$-060000]yyyy-mm-dd")</f>
        <v/>
      </c>
      <c r="D6135" t="inlineStr">
        <is>
          <t>1334-12-19</t>
        </is>
      </c>
    </row>
    <row r="6136">
      <c r="A6136" s="1" t="n">
        <v>6135</v>
      </c>
      <c r="B6136">
        <f>TEXT(6135, "[$-170000]yyyy-mm-dd")</f>
        <v/>
      </c>
      <c r="C6136">
        <f>TEXT(6135, "[$-060000]yyyy-mm-dd")</f>
        <v/>
      </c>
      <c r="D6136" t="inlineStr">
        <is>
          <t>1334-12-20</t>
        </is>
      </c>
    </row>
    <row r="6137">
      <c r="A6137" s="1" t="n">
        <v>6136</v>
      </c>
      <c r="B6137">
        <f>TEXT(6136, "[$-170000]yyyy-mm-dd")</f>
        <v/>
      </c>
      <c r="C6137">
        <f>TEXT(6136, "[$-060000]yyyy-mm-dd")</f>
        <v/>
      </c>
      <c r="D6137" t="inlineStr">
        <is>
          <t>1334-12-21</t>
        </is>
      </c>
    </row>
    <row r="6138">
      <c r="A6138" s="1" t="n">
        <v>6137</v>
      </c>
      <c r="B6138">
        <f>TEXT(6137, "[$-170000]yyyy-mm-dd")</f>
        <v/>
      </c>
      <c r="C6138">
        <f>TEXT(6137, "[$-060000]yyyy-mm-dd")</f>
        <v/>
      </c>
      <c r="D6138" t="inlineStr">
        <is>
          <t>1334-12-22</t>
        </is>
      </c>
    </row>
    <row r="6139">
      <c r="A6139" s="1" t="n">
        <v>6138</v>
      </c>
      <c r="B6139">
        <f>TEXT(6138, "[$-170000]yyyy-mm-dd")</f>
        <v/>
      </c>
      <c r="C6139">
        <f>TEXT(6138, "[$-060000]yyyy-mm-dd")</f>
        <v/>
      </c>
      <c r="D6139" t="inlineStr">
        <is>
          <t>1334-12-23</t>
        </is>
      </c>
    </row>
    <row r="6140">
      <c r="A6140" s="1" t="n">
        <v>6139</v>
      </c>
      <c r="B6140">
        <f>TEXT(6139, "[$-170000]yyyy-mm-dd")</f>
        <v/>
      </c>
      <c r="C6140">
        <f>TEXT(6139, "[$-060000]yyyy-mm-dd")</f>
        <v/>
      </c>
      <c r="D6140" t="inlineStr">
        <is>
          <t>1334-12-24</t>
        </is>
      </c>
    </row>
    <row r="6141">
      <c r="A6141" s="1" t="n">
        <v>6140</v>
      </c>
      <c r="B6141">
        <f>TEXT(6140, "[$-170000]yyyy-mm-dd")</f>
        <v/>
      </c>
      <c r="C6141">
        <f>TEXT(6140, "[$-060000]yyyy-mm-dd")</f>
        <v/>
      </c>
      <c r="D6141" t="inlineStr">
        <is>
          <t>1334-12-25</t>
        </is>
      </c>
    </row>
    <row r="6142">
      <c r="A6142" s="1" t="n">
        <v>6141</v>
      </c>
      <c r="B6142">
        <f>TEXT(6141, "[$-170000]yyyy-mm-dd")</f>
        <v/>
      </c>
      <c r="C6142">
        <f>TEXT(6141, "[$-060000]yyyy-mm-dd")</f>
        <v/>
      </c>
      <c r="D6142" t="inlineStr">
        <is>
          <t>1334-12-26</t>
        </is>
      </c>
    </row>
    <row r="6143">
      <c r="A6143" s="1" t="n">
        <v>6142</v>
      </c>
      <c r="B6143">
        <f>TEXT(6142, "[$-170000]yyyy-mm-dd")</f>
        <v/>
      </c>
      <c r="C6143">
        <f>TEXT(6142, "[$-060000]yyyy-mm-dd")</f>
        <v/>
      </c>
      <c r="D6143" t="inlineStr">
        <is>
          <t>1334-12-27</t>
        </is>
      </c>
    </row>
    <row r="6144">
      <c r="A6144" s="1" t="n">
        <v>6143</v>
      </c>
      <c r="B6144">
        <f>TEXT(6143, "[$-170000]yyyy-mm-dd")</f>
        <v/>
      </c>
      <c r="C6144">
        <f>TEXT(6143, "[$-060000]yyyy-mm-dd")</f>
        <v/>
      </c>
      <c r="D6144" t="inlineStr">
        <is>
          <t>1334-12-28</t>
        </is>
      </c>
    </row>
    <row r="6145">
      <c r="A6145" s="1" t="n">
        <v>6144</v>
      </c>
      <c r="B6145">
        <f>TEXT(6144, "[$-170000]yyyy-mm-dd")</f>
        <v/>
      </c>
      <c r="C6145">
        <f>TEXT(6144, "[$-060000]yyyy-mm-dd")</f>
        <v/>
      </c>
      <c r="D6145" t="inlineStr">
        <is>
          <t>1334-12-29</t>
        </is>
      </c>
    </row>
    <row r="6146">
      <c r="A6146" s="1" t="n">
        <v>6145</v>
      </c>
      <c r="B6146">
        <f>TEXT(6145, "[$-170000]yyyy-mm-dd")</f>
        <v/>
      </c>
      <c r="C6146">
        <f>TEXT(6145, "[$-060000]yyyy-mm-dd")</f>
        <v/>
      </c>
      <c r="D6146" t="inlineStr">
        <is>
          <t>1335-01-01</t>
        </is>
      </c>
    </row>
    <row r="6147">
      <c r="A6147" s="1" t="n">
        <v>6146</v>
      </c>
      <c r="B6147">
        <f>TEXT(6146, "[$-170000]yyyy-mm-dd")</f>
        <v/>
      </c>
      <c r="C6147">
        <f>TEXT(6146, "[$-060000]yyyy-mm-dd")</f>
        <v/>
      </c>
      <c r="D6147" t="inlineStr">
        <is>
          <t>1335-01-02</t>
        </is>
      </c>
    </row>
    <row r="6148">
      <c r="A6148" s="1" t="n">
        <v>6147</v>
      </c>
      <c r="B6148">
        <f>TEXT(6147, "[$-170000]yyyy-mm-dd")</f>
        <v/>
      </c>
      <c r="C6148">
        <f>TEXT(6147, "[$-060000]yyyy-mm-dd")</f>
        <v/>
      </c>
      <c r="D6148" t="inlineStr">
        <is>
          <t>1335-01-03</t>
        </is>
      </c>
    </row>
    <row r="6149">
      <c r="A6149" s="1" t="n">
        <v>6148</v>
      </c>
      <c r="B6149">
        <f>TEXT(6148, "[$-170000]yyyy-mm-dd")</f>
        <v/>
      </c>
      <c r="C6149">
        <f>TEXT(6148, "[$-060000]yyyy-mm-dd")</f>
        <v/>
      </c>
      <c r="D6149" t="inlineStr">
        <is>
          <t>1335-01-04</t>
        </is>
      </c>
    </row>
    <row r="6150">
      <c r="A6150" s="1" t="n">
        <v>6149</v>
      </c>
      <c r="B6150">
        <f>TEXT(6149, "[$-170000]yyyy-mm-dd")</f>
        <v/>
      </c>
      <c r="C6150">
        <f>TEXT(6149, "[$-060000]yyyy-mm-dd")</f>
        <v/>
      </c>
      <c r="D6150" t="inlineStr">
        <is>
          <t>1335-01-05</t>
        </is>
      </c>
    </row>
    <row r="6151">
      <c r="A6151" s="1" t="n">
        <v>6150</v>
      </c>
      <c r="B6151">
        <f>TEXT(6150, "[$-170000]yyyy-mm-dd")</f>
        <v/>
      </c>
      <c r="C6151">
        <f>TEXT(6150, "[$-060000]yyyy-mm-dd")</f>
        <v/>
      </c>
      <c r="D6151" t="inlineStr">
        <is>
          <t>1335-01-06</t>
        </is>
      </c>
    </row>
    <row r="6152">
      <c r="A6152" s="1" t="n">
        <v>6151</v>
      </c>
      <c r="B6152">
        <f>TEXT(6151, "[$-170000]yyyy-mm-dd")</f>
        <v/>
      </c>
      <c r="C6152">
        <f>TEXT(6151, "[$-060000]yyyy-mm-dd")</f>
        <v/>
      </c>
      <c r="D6152" t="inlineStr">
        <is>
          <t>1335-01-07</t>
        </is>
      </c>
    </row>
    <row r="6153">
      <c r="A6153" s="1" t="n">
        <v>6152</v>
      </c>
      <c r="B6153">
        <f>TEXT(6152, "[$-170000]yyyy-mm-dd")</f>
        <v/>
      </c>
      <c r="C6153">
        <f>TEXT(6152, "[$-060000]yyyy-mm-dd")</f>
        <v/>
      </c>
      <c r="D6153" t="inlineStr">
        <is>
          <t>1335-01-08</t>
        </is>
      </c>
    </row>
    <row r="6154">
      <c r="A6154" s="1" t="n">
        <v>6153</v>
      </c>
      <c r="B6154">
        <f>TEXT(6153, "[$-170000]yyyy-mm-dd")</f>
        <v/>
      </c>
      <c r="C6154">
        <f>TEXT(6153, "[$-060000]yyyy-mm-dd")</f>
        <v/>
      </c>
      <c r="D6154" t="inlineStr">
        <is>
          <t>1335-01-09</t>
        </is>
      </c>
    </row>
    <row r="6155">
      <c r="A6155" s="1" t="n">
        <v>6154</v>
      </c>
      <c r="B6155">
        <f>TEXT(6154, "[$-170000]yyyy-mm-dd")</f>
        <v/>
      </c>
      <c r="C6155">
        <f>TEXT(6154, "[$-060000]yyyy-mm-dd")</f>
        <v/>
      </c>
      <c r="D6155" t="inlineStr">
        <is>
          <t>1335-01-10</t>
        </is>
      </c>
    </row>
    <row r="6156">
      <c r="A6156" s="1" t="n">
        <v>6155</v>
      </c>
      <c r="B6156">
        <f>TEXT(6155, "[$-170000]yyyy-mm-dd")</f>
        <v/>
      </c>
      <c r="C6156">
        <f>TEXT(6155, "[$-060000]yyyy-mm-dd")</f>
        <v/>
      </c>
      <c r="D6156" t="inlineStr">
        <is>
          <t>1335-01-11</t>
        </is>
      </c>
    </row>
    <row r="6157">
      <c r="A6157" s="1" t="n">
        <v>6156</v>
      </c>
      <c r="B6157">
        <f>TEXT(6156, "[$-170000]yyyy-mm-dd")</f>
        <v/>
      </c>
      <c r="C6157">
        <f>TEXT(6156, "[$-060000]yyyy-mm-dd")</f>
        <v/>
      </c>
      <c r="D6157" t="inlineStr">
        <is>
          <t>1335-01-12</t>
        </is>
      </c>
    </row>
    <row r="6158">
      <c r="A6158" s="1" t="n">
        <v>6157</v>
      </c>
      <c r="B6158">
        <f>TEXT(6157, "[$-170000]yyyy-mm-dd")</f>
        <v/>
      </c>
      <c r="C6158">
        <f>TEXT(6157, "[$-060000]yyyy-mm-dd")</f>
        <v/>
      </c>
      <c r="D6158" t="inlineStr">
        <is>
          <t>1335-01-13</t>
        </is>
      </c>
    </row>
    <row r="6159">
      <c r="A6159" s="1" t="n">
        <v>6158</v>
      </c>
      <c r="B6159">
        <f>TEXT(6158, "[$-170000]yyyy-mm-dd")</f>
        <v/>
      </c>
      <c r="C6159">
        <f>TEXT(6158, "[$-060000]yyyy-mm-dd")</f>
        <v/>
      </c>
      <c r="D6159" t="inlineStr">
        <is>
          <t>1335-01-14</t>
        </is>
      </c>
    </row>
    <row r="6160">
      <c r="A6160" s="1" t="n">
        <v>6159</v>
      </c>
      <c r="B6160">
        <f>TEXT(6159, "[$-170000]yyyy-mm-dd")</f>
        <v/>
      </c>
      <c r="C6160">
        <f>TEXT(6159, "[$-060000]yyyy-mm-dd")</f>
        <v/>
      </c>
      <c r="D6160" t="inlineStr">
        <is>
          <t>1335-01-15</t>
        </is>
      </c>
    </row>
    <row r="6161">
      <c r="A6161" s="1" t="n">
        <v>6160</v>
      </c>
      <c r="B6161">
        <f>TEXT(6160, "[$-170000]yyyy-mm-dd")</f>
        <v/>
      </c>
      <c r="C6161">
        <f>TEXT(6160, "[$-060000]yyyy-mm-dd")</f>
        <v/>
      </c>
      <c r="D6161" t="inlineStr">
        <is>
          <t>1335-01-16</t>
        </is>
      </c>
    </row>
    <row r="6162">
      <c r="A6162" s="1" t="n">
        <v>6161</v>
      </c>
      <c r="B6162">
        <f>TEXT(6161, "[$-170000]yyyy-mm-dd")</f>
        <v/>
      </c>
      <c r="C6162">
        <f>TEXT(6161, "[$-060000]yyyy-mm-dd")</f>
        <v/>
      </c>
      <c r="D6162" t="inlineStr">
        <is>
          <t>1335-01-17</t>
        </is>
      </c>
    </row>
    <row r="6163">
      <c r="A6163" s="1" t="n">
        <v>6162</v>
      </c>
      <c r="B6163">
        <f>TEXT(6162, "[$-170000]yyyy-mm-dd")</f>
        <v/>
      </c>
      <c r="C6163">
        <f>TEXT(6162, "[$-060000]yyyy-mm-dd")</f>
        <v/>
      </c>
      <c r="D6163" t="inlineStr">
        <is>
          <t>1335-01-18</t>
        </is>
      </c>
    </row>
    <row r="6164">
      <c r="A6164" s="1" t="n">
        <v>6163</v>
      </c>
      <c r="B6164">
        <f>TEXT(6163, "[$-170000]yyyy-mm-dd")</f>
        <v/>
      </c>
      <c r="C6164">
        <f>TEXT(6163, "[$-060000]yyyy-mm-dd")</f>
        <v/>
      </c>
      <c r="D6164" t="inlineStr">
        <is>
          <t>1335-01-19</t>
        </is>
      </c>
    </row>
    <row r="6165">
      <c r="A6165" s="1" t="n">
        <v>6164</v>
      </c>
      <c r="B6165">
        <f>TEXT(6164, "[$-170000]yyyy-mm-dd")</f>
        <v/>
      </c>
      <c r="C6165">
        <f>TEXT(6164, "[$-060000]yyyy-mm-dd")</f>
        <v/>
      </c>
      <c r="D6165" t="inlineStr">
        <is>
          <t>1335-01-20</t>
        </is>
      </c>
    </row>
    <row r="6166">
      <c r="A6166" s="1" t="n">
        <v>6165</v>
      </c>
      <c r="B6166">
        <f>TEXT(6165, "[$-170000]yyyy-mm-dd")</f>
        <v/>
      </c>
      <c r="C6166">
        <f>TEXT(6165, "[$-060000]yyyy-mm-dd")</f>
        <v/>
      </c>
      <c r="D6166" t="inlineStr">
        <is>
          <t>1335-01-21</t>
        </is>
      </c>
    </row>
    <row r="6167">
      <c r="A6167" s="1" t="n">
        <v>6166</v>
      </c>
      <c r="B6167">
        <f>TEXT(6166, "[$-170000]yyyy-mm-dd")</f>
        <v/>
      </c>
      <c r="C6167">
        <f>TEXT(6166, "[$-060000]yyyy-mm-dd")</f>
        <v/>
      </c>
      <c r="D6167" t="inlineStr">
        <is>
          <t>1335-01-22</t>
        </is>
      </c>
    </row>
    <row r="6168">
      <c r="A6168" s="1" t="n">
        <v>6167</v>
      </c>
      <c r="B6168">
        <f>TEXT(6167, "[$-170000]yyyy-mm-dd")</f>
        <v/>
      </c>
      <c r="C6168">
        <f>TEXT(6167, "[$-060000]yyyy-mm-dd")</f>
        <v/>
      </c>
      <c r="D6168" t="inlineStr">
        <is>
          <t>1335-01-23</t>
        </is>
      </c>
    </row>
    <row r="6169">
      <c r="A6169" s="1" t="n">
        <v>6168</v>
      </c>
      <c r="B6169">
        <f>TEXT(6168, "[$-170000]yyyy-mm-dd")</f>
        <v/>
      </c>
      <c r="C6169">
        <f>TEXT(6168, "[$-060000]yyyy-mm-dd")</f>
        <v/>
      </c>
      <c r="D6169" t="inlineStr">
        <is>
          <t>1335-01-24</t>
        </is>
      </c>
    </row>
    <row r="6170">
      <c r="A6170" s="1" t="n">
        <v>6169</v>
      </c>
      <c r="B6170">
        <f>TEXT(6169, "[$-170000]yyyy-mm-dd")</f>
        <v/>
      </c>
      <c r="C6170">
        <f>TEXT(6169, "[$-060000]yyyy-mm-dd")</f>
        <v/>
      </c>
      <c r="D6170" t="inlineStr">
        <is>
          <t>1335-01-25</t>
        </is>
      </c>
    </row>
    <row r="6171">
      <c r="A6171" s="1" t="n">
        <v>6170</v>
      </c>
      <c r="B6171">
        <f>TEXT(6170, "[$-170000]yyyy-mm-dd")</f>
        <v/>
      </c>
      <c r="C6171">
        <f>TEXT(6170, "[$-060000]yyyy-mm-dd")</f>
        <v/>
      </c>
      <c r="D6171" t="inlineStr">
        <is>
          <t>1335-01-26</t>
        </is>
      </c>
    </row>
    <row r="6172">
      <c r="A6172" s="1" t="n">
        <v>6171</v>
      </c>
      <c r="B6172">
        <f>TEXT(6171, "[$-170000]yyyy-mm-dd")</f>
        <v/>
      </c>
      <c r="C6172">
        <f>TEXT(6171, "[$-060000]yyyy-mm-dd")</f>
        <v/>
      </c>
      <c r="D6172" t="inlineStr">
        <is>
          <t>1335-01-27</t>
        </is>
      </c>
    </row>
    <row r="6173">
      <c r="A6173" s="1" t="n">
        <v>6172</v>
      </c>
      <c r="B6173">
        <f>TEXT(6172, "[$-170000]yyyy-mm-dd")</f>
        <v/>
      </c>
      <c r="C6173">
        <f>TEXT(6172, "[$-060000]yyyy-mm-dd")</f>
        <v/>
      </c>
      <c r="D6173" t="inlineStr">
        <is>
          <t>1335-01-28</t>
        </is>
      </c>
    </row>
    <row r="6174">
      <c r="A6174" s="1" t="n">
        <v>6173</v>
      </c>
      <c r="B6174">
        <f>TEXT(6173, "[$-170000]yyyy-mm-dd")</f>
        <v/>
      </c>
      <c r="C6174">
        <f>TEXT(6173, "[$-060000]yyyy-mm-dd")</f>
        <v/>
      </c>
      <c r="D6174" t="inlineStr">
        <is>
          <t>1335-01-29</t>
        </is>
      </c>
    </row>
    <row r="6175">
      <c r="A6175" s="1" t="n">
        <v>6174</v>
      </c>
      <c r="B6175">
        <f>TEXT(6174, "[$-170000]yyyy-mm-dd")</f>
        <v/>
      </c>
      <c r="C6175">
        <f>TEXT(6174, "[$-060000]yyyy-mm-dd")</f>
        <v/>
      </c>
      <c r="D6175" t="inlineStr">
        <is>
          <t>1335-01-30</t>
        </is>
      </c>
    </row>
    <row r="6176">
      <c r="A6176" s="1" t="n">
        <v>6175</v>
      </c>
      <c r="B6176">
        <f>TEXT(6175, "[$-170000]yyyy-mm-dd")</f>
        <v/>
      </c>
      <c r="C6176">
        <f>TEXT(6175, "[$-060000]yyyy-mm-dd")</f>
        <v/>
      </c>
      <c r="D6176" t="inlineStr">
        <is>
          <t>1335-02-01</t>
        </is>
      </c>
    </row>
    <row r="6177">
      <c r="A6177" s="1" t="n">
        <v>6176</v>
      </c>
      <c r="B6177">
        <f>TEXT(6176, "[$-170000]yyyy-mm-dd")</f>
        <v/>
      </c>
      <c r="C6177">
        <f>TEXT(6176, "[$-060000]yyyy-mm-dd")</f>
        <v/>
      </c>
      <c r="D6177" t="inlineStr">
        <is>
          <t>1335-02-02</t>
        </is>
      </c>
    </row>
    <row r="6178">
      <c r="A6178" s="1" t="n">
        <v>6177</v>
      </c>
      <c r="B6178">
        <f>TEXT(6177, "[$-170000]yyyy-mm-dd")</f>
        <v/>
      </c>
      <c r="C6178">
        <f>TEXT(6177, "[$-060000]yyyy-mm-dd")</f>
        <v/>
      </c>
      <c r="D6178" t="inlineStr">
        <is>
          <t>1335-02-03</t>
        </is>
      </c>
    </row>
    <row r="6179">
      <c r="A6179" s="1" t="n">
        <v>6178</v>
      </c>
      <c r="B6179">
        <f>TEXT(6178, "[$-170000]yyyy-mm-dd")</f>
        <v/>
      </c>
      <c r="C6179">
        <f>TEXT(6178, "[$-060000]yyyy-mm-dd")</f>
        <v/>
      </c>
      <c r="D6179" t="inlineStr">
        <is>
          <t>1335-02-04</t>
        </is>
      </c>
    </row>
    <row r="6180">
      <c r="A6180" s="1" t="n">
        <v>6179</v>
      </c>
      <c r="B6180">
        <f>TEXT(6179, "[$-170000]yyyy-mm-dd")</f>
        <v/>
      </c>
      <c r="C6180">
        <f>TEXT(6179, "[$-060000]yyyy-mm-dd")</f>
        <v/>
      </c>
      <c r="D6180" t="inlineStr">
        <is>
          <t>1335-02-05</t>
        </is>
      </c>
    </row>
    <row r="6181">
      <c r="A6181" s="1" t="n">
        <v>6180</v>
      </c>
      <c r="B6181">
        <f>TEXT(6180, "[$-170000]yyyy-mm-dd")</f>
        <v/>
      </c>
      <c r="C6181">
        <f>TEXT(6180, "[$-060000]yyyy-mm-dd")</f>
        <v/>
      </c>
      <c r="D6181" t="inlineStr">
        <is>
          <t>1335-02-06</t>
        </is>
      </c>
    </row>
    <row r="6182">
      <c r="A6182" s="1" t="n">
        <v>6181</v>
      </c>
      <c r="B6182">
        <f>TEXT(6181, "[$-170000]yyyy-mm-dd")</f>
        <v/>
      </c>
      <c r="C6182">
        <f>TEXT(6181, "[$-060000]yyyy-mm-dd")</f>
        <v/>
      </c>
      <c r="D6182" t="inlineStr">
        <is>
          <t>1335-02-07</t>
        </is>
      </c>
    </row>
    <row r="6183">
      <c r="A6183" s="1" t="n">
        <v>6182</v>
      </c>
      <c r="B6183">
        <f>TEXT(6182, "[$-170000]yyyy-mm-dd")</f>
        <v/>
      </c>
      <c r="C6183">
        <f>TEXT(6182, "[$-060000]yyyy-mm-dd")</f>
        <v/>
      </c>
      <c r="D6183" t="inlineStr">
        <is>
          <t>1335-02-08</t>
        </is>
      </c>
    </row>
    <row r="6184">
      <c r="A6184" s="1" t="n">
        <v>6183</v>
      </c>
      <c r="B6184">
        <f>TEXT(6183, "[$-170000]yyyy-mm-dd")</f>
        <v/>
      </c>
      <c r="C6184">
        <f>TEXT(6183, "[$-060000]yyyy-mm-dd")</f>
        <v/>
      </c>
      <c r="D6184" t="inlineStr">
        <is>
          <t>1335-02-09</t>
        </is>
      </c>
    </row>
    <row r="6185">
      <c r="A6185" s="1" t="n">
        <v>6184</v>
      </c>
      <c r="B6185">
        <f>TEXT(6184, "[$-170000]yyyy-mm-dd")</f>
        <v/>
      </c>
      <c r="C6185">
        <f>TEXT(6184, "[$-060000]yyyy-mm-dd")</f>
        <v/>
      </c>
      <c r="D6185" t="inlineStr">
        <is>
          <t>1335-02-10</t>
        </is>
      </c>
    </row>
    <row r="6186">
      <c r="A6186" s="1" t="n">
        <v>6185</v>
      </c>
      <c r="B6186">
        <f>TEXT(6185, "[$-170000]yyyy-mm-dd")</f>
        <v/>
      </c>
      <c r="C6186">
        <f>TEXT(6185, "[$-060000]yyyy-mm-dd")</f>
        <v/>
      </c>
      <c r="D6186" t="inlineStr">
        <is>
          <t>1335-02-11</t>
        </is>
      </c>
    </row>
    <row r="6187">
      <c r="A6187" s="1" t="n">
        <v>6186</v>
      </c>
      <c r="B6187">
        <f>TEXT(6186, "[$-170000]yyyy-mm-dd")</f>
        <v/>
      </c>
      <c r="C6187">
        <f>TEXT(6186, "[$-060000]yyyy-mm-dd")</f>
        <v/>
      </c>
      <c r="D6187" t="inlineStr">
        <is>
          <t>1335-02-12</t>
        </is>
      </c>
    </row>
    <row r="6188">
      <c r="A6188" s="1" t="n">
        <v>6187</v>
      </c>
      <c r="B6188">
        <f>TEXT(6187, "[$-170000]yyyy-mm-dd")</f>
        <v/>
      </c>
      <c r="C6188">
        <f>TEXT(6187, "[$-060000]yyyy-mm-dd")</f>
        <v/>
      </c>
      <c r="D6188" t="inlineStr">
        <is>
          <t>1335-02-13</t>
        </is>
      </c>
    </row>
    <row r="6189">
      <c r="A6189" s="1" t="n">
        <v>6188</v>
      </c>
      <c r="B6189">
        <f>TEXT(6188, "[$-170000]yyyy-mm-dd")</f>
        <v/>
      </c>
      <c r="C6189">
        <f>TEXT(6188, "[$-060000]yyyy-mm-dd")</f>
        <v/>
      </c>
      <c r="D6189" t="inlineStr">
        <is>
          <t>1335-02-14</t>
        </is>
      </c>
    </row>
    <row r="6190">
      <c r="A6190" s="1" t="n">
        <v>6189</v>
      </c>
      <c r="B6190">
        <f>TEXT(6189, "[$-170000]yyyy-mm-dd")</f>
        <v/>
      </c>
      <c r="C6190">
        <f>TEXT(6189, "[$-060000]yyyy-mm-dd")</f>
        <v/>
      </c>
      <c r="D6190" t="inlineStr">
        <is>
          <t>1335-02-15</t>
        </is>
      </c>
    </row>
    <row r="6191">
      <c r="A6191" s="1" t="n">
        <v>6190</v>
      </c>
      <c r="B6191">
        <f>TEXT(6190, "[$-170000]yyyy-mm-dd")</f>
        <v/>
      </c>
      <c r="C6191">
        <f>TEXT(6190, "[$-060000]yyyy-mm-dd")</f>
        <v/>
      </c>
      <c r="D6191" t="inlineStr">
        <is>
          <t>1335-02-16</t>
        </is>
      </c>
    </row>
    <row r="6192">
      <c r="A6192" s="1" t="n">
        <v>6191</v>
      </c>
      <c r="B6192">
        <f>TEXT(6191, "[$-170000]yyyy-mm-dd")</f>
        <v/>
      </c>
      <c r="C6192">
        <f>TEXT(6191, "[$-060000]yyyy-mm-dd")</f>
        <v/>
      </c>
      <c r="D6192" t="inlineStr">
        <is>
          <t>1335-02-17</t>
        </is>
      </c>
    </row>
    <row r="6193">
      <c r="A6193" s="1" t="n">
        <v>6192</v>
      </c>
      <c r="B6193">
        <f>TEXT(6192, "[$-170000]yyyy-mm-dd")</f>
        <v/>
      </c>
      <c r="C6193">
        <f>TEXT(6192, "[$-060000]yyyy-mm-dd")</f>
        <v/>
      </c>
      <c r="D6193" t="inlineStr">
        <is>
          <t>1335-02-18</t>
        </is>
      </c>
    </row>
    <row r="6194">
      <c r="A6194" s="1" t="n">
        <v>6193</v>
      </c>
      <c r="B6194">
        <f>TEXT(6193, "[$-170000]yyyy-mm-dd")</f>
        <v/>
      </c>
      <c r="C6194">
        <f>TEXT(6193, "[$-060000]yyyy-mm-dd")</f>
        <v/>
      </c>
      <c r="D6194" t="inlineStr">
        <is>
          <t>1335-02-19</t>
        </is>
      </c>
    </row>
    <row r="6195">
      <c r="A6195" s="1" t="n">
        <v>6194</v>
      </c>
      <c r="B6195">
        <f>TEXT(6194, "[$-170000]yyyy-mm-dd")</f>
        <v/>
      </c>
      <c r="C6195">
        <f>TEXT(6194, "[$-060000]yyyy-mm-dd")</f>
        <v/>
      </c>
      <c r="D6195" t="inlineStr">
        <is>
          <t>1335-02-20</t>
        </is>
      </c>
    </row>
    <row r="6196">
      <c r="A6196" s="1" t="n">
        <v>6195</v>
      </c>
      <c r="B6196">
        <f>TEXT(6195, "[$-170000]yyyy-mm-dd")</f>
        <v/>
      </c>
      <c r="C6196">
        <f>TEXT(6195, "[$-060000]yyyy-mm-dd")</f>
        <v/>
      </c>
      <c r="D6196" t="inlineStr">
        <is>
          <t>1335-02-21</t>
        </is>
      </c>
    </row>
    <row r="6197">
      <c r="A6197" s="1" t="n">
        <v>6196</v>
      </c>
      <c r="B6197">
        <f>TEXT(6196, "[$-170000]yyyy-mm-dd")</f>
        <v/>
      </c>
      <c r="C6197">
        <f>TEXT(6196, "[$-060000]yyyy-mm-dd")</f>
        <v/>
      </c>
      <c r="D6197" t="inlineStr">
        <is>
          <t>1335-02-22</t>
        </is>
      </c>
    </row>
    <row r="6198">
      <c r="A6198" s="1" t="n">
        <v>6197</v>
      </c>
      <c r="B6198">
        <f>TEXT(6197, "[$-170000]yyyy-mm-dd")</f>
        <v/>
      </c>
      <c r="C6198">
        <f>TEXT(6197, "[$-060000]yyyy-mm-dd")</f>
        <v/>
      </c>
      <c r="D6198" t="inlineStr">
        <is>
          <t>1335-02-23</t>
        </is>
      </c>
    </row>
    <row r="6199">
      <c r="A6199" s="1" t="n">
        <v>6198</v>
      </c>
      <c r="B6199">
        <f>TEXT(6198, "[$-170000]yyyy-mm-dd")</f>
        <v/>
      </c>
      <c r="C6199">
        <f>TEXT(6198, "[$-060000]yyyy-mm-dd")</f>
        <v/>
      </c>
      <c r="D6199" t="inlineStr">
        <is>
          <t>1335-02-24</t>
        </is>
      </c>
    </row>
    <row r="6200">
      <c r="A6200" s="1" t="n">
        <v>6199</v>
      </c>
      <c r="B6200">
        <f>TEXT(6199, "[$-170000]yyyy-mm-dd")</f>
        <v/>
      </c>
      <c r="C6200">
        <f>TEXT(6199, "[$-060000]yyyy-mm-dd")</f>
        <v/>
      </c>
      <c r="D6200" t="inlineStr">
        <is>
          <t>1335-02-25</t>
        </is>
      </c>
    </row>
    <row r="6201">
      <c r="A6201" s="1" t="n">
        <v>6200</v>
      </c>
      <c r="B6201">
        <f>TEXT(6200, "[$-170000]yyyy-mm-dd")</f>
        <v/>
      </c>
      <c r="C6201">
        <f>TEXT(6200, "[$-060000]yyyy-mm-dd")</f>
        <v/>
      </c>
      <c r="D6201" t="inlineStr">
        <is>
          <t>1335-02-26</t>
        </is>
      </c>
    </row>
    <row r="6202">
      <c r="A6202" s="1" t="n">
        <v>6201</v>
      </c>
      <c r="B6202">
        <f>TEXT(6201, "[$-170000]yyyy-mm-dd")</f>
        <v/>
      </c>
      <c r="C6202">
        <f>TEXT(6201, "[$-060000]yyyy-mm-dd")</f>
        <v/>
      </c>
      <c r="D6202" t="inlineStr">
        <is>
          <t>1335-02-27</t>
        </is>
      </c>
    </row>
    <row r="6203">
      <c r="A6203" s="1" t="n">
        <v>6202</v>
      </c>
      <c r="B6203">
        <f>TEXT(6202, "[$-170000]yyyy-mm-dd")</f>
        <v/>
      </c>
      <c r="C6203">
        <f>TEXT(6202, "[$-060000]yyyy-mm-dd")</f>
        <v/>
      </c>
      <c r="D6203" t="inlineStr">
        <is>
          <t>1335-02-28</t>
        </is>
      </c>
    </row>
    <row r="6204">
      <c r="A6204" s="1" t="n">
        <v>6203</v>
      </c>
      <c r="B6204">
        <f>TEXT(6203, "[$-170000]yyyy-mm-dd")</f>
        <v/>
      </c>
      <c r="C6204">
        <f>TEXT(6203, "[$-060000]yyyy-mm-dd")</f>
        <v/>
      </c>
      <c r="D6204" t="inlineStr">
        <is>
          <t>1335-02-29</t>
        </is>
      </c>
    </row>
    <row r="6205">
      <c r="A6205" s="1" t="n">
        <v>6204</v>
      </c>
      <c r="B6205">
        <f>TEXT(6204, "[$-170000]yyyy-mm-dd")</f>
        <v/>
      </c>
      <c r="C6205">
        <f>TEXT(6204, "[$-060000]yyyy-mm-dd")</f>
        <v/>
      </c>
      <c r="D6205" t="inlineStr">
        <is>
          <t>1335-03-01</t>
        </is>
      </c>
    </row>
    <row r="6206">
      <c r="A6206" s="1" t="n">
        <v>6205</v>
      </c>
      <c r="B6206">
        <f>TEXT(6205, "[$-170000]yyyy-mm-dd")</f>
        <v/>
      </c>
      <c r="C6206">
        <f>TEXT(6205, "[$-060000]yyyy-mm-dd")</f>
        <v/>
      </c>
      <c r="D6206" t="inlineStr">
        <is>
          <t>1335-03-02</t>
        </is>
      </c>
    </row>
    <row r="6207">
      <c r="A6207" s="1" t="n">
        <v>6206</v>
      </c>
      <c r="B6207">
        <f>TEXT(6206, "[$-170000]yyyy-mm-dd")</f>
        <v/>
      </c>
      <c r="C6207">
        <f>TEXT(6206, "[$-060000]yyyy-mm-dd")</f>
        <v/>
      </c>
      <c r="D6207" t="inlineStr">
        <is>
          <t>1335-03-03</t>
        </is>
      </c>
    </row>
    <row r="6208">
      <c r="A6208" s="1" t="n">
        <v>6207</v>
      </c>
      <c r="B6208">
        <f>TEXT(6207, "[$-170000]yyyy-mm-dd")</f>
        <v/>
      </c>
      <c r="C6208">
        <f>TEXT(6207, "[$-060000]yyyy-mm-dd")</f>
        <v/>
      </c>
      <c r="D6208" t="inlineStr">
        <is>
          <t>1335-03-04</t>
        </is>
      </c>
    </row>
    <row r="6209">
      <c r="A6209" s="1" t="n">
        <v>6208</v>
      </c>
      <c r="B6209">
        <f>TEXT(6208, "[$-170000]yyyy-mm-dd")</f>
        <v/>
      </c>
      <c r="C6209">
        <f>TEXT(6208, "[$-060000]yyyy-mm-dd")</f>
        <v/>
      </c>
      <c r="D6209" t="inlineStr">
        <is>
          <t>1335-03-05</t>
        </is>
      </c>
    </row>
    <row r="6210">
      <c r="A6210" s="1" t="n">
        <v>6209</v>
      </c>
      <c r="B6210">
        <f>TEXT(6209, "[$-170000]yyyy-mm-dd")</f>
        <v/>
      </c>
      <c r="C6210">
        <f>TEXT(6209, "[$-060000]yyyy-mm-dd")</f>
        <v/>
      </c>
      <c r="D6210" t="inlineStr">
        <is>
          <t>1335-03-06</t>
        </is>
      </c>
    </row>
    <row r="6211">
      <c r="A6211" s="1" t="n">
        <v>6210</v>
      </c>
      <c r="B6211">
        <f>TEXT(6210, "[$-170000]yyyy-mm-dd")</f>
        <v/>
      </c>
      <c r="C6211">
        <f>TEXT(6210, "[$-060000]yyyy-mm-dd")</f>
        <v/>
      </c>
      <c r="D6211" t="inlineStr">
        <is>
          <t>1335-03-07</t>
        </is>
      </c>
    </row>
    <row r="6212">
      <c r="A6212" s="1" t="n">
        <v>6211</v>
      </c>
      <c r="B6212">
        <f>TEXT(6211, "[$-170000]yyyy-mm-dd")</f>
        <v/>
      </c>
      <c r="C6212">
        <f>TEXT(6211, "[$-060000]yyyy-mm-dd")</f>
        <v/>
      </c>
      <c r="D6212" t="inlineStr">
        <is>
          <t>1335-03-08</t>
        </is>
      </c>
    </row>
    <row r="6213">
      <c r="A6213" s="1" t="n">
        <v>6212</v>
      </c>
      <c r="B6213">
        <f>TEXT(6212, "[$-170000]yyyy-mm-dd")</f>
        <v/>
      </c>
      <c r="C6213">
        <f>TEXT(6212, "[$-060000]yyyy-mm-dd")</f>
        <v/>
      </c>
      <c r="D6213" t="inlineStr">
        <is>
          <t>1335-03-09</t>
        </is>
      </c>
    </row>
    <row r="6214">
      <c r="A6214" s="1" t="n">
        <v>6213</v>
      </c>
      <c r="B6214">
        <f>TEXT(6213, "[$-170000]yyyy-mm-dd")</f>
        <v/>
      </c>
      <c r="C6214">
        <f>TEXT(6213, "[$-060000]yyyy-mm-dd")</f>
        <v/>
      </c>
      <c r="D6214" t="inlineStr">
        <is>
          <t>1335-03-10</t>
        </is>
      </c>
    </row>
    <row r="6215">
      <c r="A6215" s="1" t="n">
        <v>6214</v>
      </c>
      <c r="B6215">
        <f>TEXT(6214, "[$-170000]yyyy-mm-dd")</f>
        <v/>
      </c>
      <c r="C6215">
        <f>TEXT(6214, "[$-060000]yyyy-mm-dd")</f>
        <v/>
      </c>
      <c r="D6215" t="inlineStr">
        <is>
          <t>1335-03-11</t>
        </is>
      </c>
    </row>
    <row r="6216">
      <c r="A6216" s="1" t="n">
        <v>6215</v>
      </c>
      <c r="B6216">
        <f>TEXT(6215, "[$-170000]yyyy-mm-dd")</f>
        <v/>
      </c>
      <c r="C6216">
        <f>TEXT(6215, "[$-060000]yyyy-mm-dd")</f>
        <v/>
      </c>
      <c r="D6216" t="inlineStr">
        <is>
          <t>1335-03-12</t>
        </is>
      </c>
    </row>
    <row r="6217">
      <c r="A6217" s="1" t="n">
        <v>6216</v>
      </c>
      <c r="B6217">
        <f>TEXT(6216, "[$-170000]yyyy-mm-dd")</f>
        <v/>
      </c>
      <c r="C6217">
        <f>TEXT(6216, "[$-060000]yyyy-mm-dd")</f>
        <v/>
      </c>
      <c r="D6217" t="inlineStr">
        <is>
          <t>1335-03-13</t>
        </is>
      </c>
    </row>
    <row r="6218">
      <c r="A6218" s="1" t="n">
        <v>6217</v>
      </c>
      <c r="B6218">
        <f>TEXT(6217, "[$-170000]yyyy-mm-dd")</f>
        <v/>
      </c>
      <c r="C6218">
        <f>TEXT(6217, "[$-060000]yyyy-mm-dd")</f>
        <v/>
      </c>
      <c r="D6218" t="inlineStr">
        <is>
          <t>1335-03-14</t>
        </is>
      </c>
    </row>
    <row r="6219">
      <c r="A6219" s="1" t="n">
        <v>6218</v>
      </c>
      <c r="B6219">
        <f>TEXT(6218, "[$-170000]yyyy-mm-dd")</f>
        <v/>
      </c>
      <c r="C6219">
        <f>TEXT(6218, "[$-060000]yyyy-mm-dd")</f>
        <v/>
      </c>
      <c r="D6219" t="inlineStr">
        <is>
          <t>1335-03-15</t>
        </is>
      </c>
    </row>
    <row r="6220">
      <c r="A6220" s="1" t="n">
        <v>6219</v>
      </c>
      <c r="B6220">
        <f>TEXT(6219, "[$-170000]yyyy-mm-dd")</f>
        <v/>
      </c>
      <c r="C6220">
        <f>TEXT(6219, "[$-060000]yyyy-mm-dd")</f>
        <v/>
      </c>
      <c r="D6220" t="inlineStr">
        <is>
          <t>1335-03-16</t>
        </is>
      </c>
    </row>
    <row r="6221">
      <c r="A6221" s="1" t="n">
        <v>6220</v>
      </c>
      <c r="B6221">
        <f>TEXT(6220, "[$-170000]yyyy-mm-dd")</f>
        <v/>
      </c>
      <c r="C6221">
        <f>TEXT(6220, "[$-060000]yyyy-mm-dd")</f>
        <v/>
      </c>
      <c r="D6221" t="inlineStr">
        <is>
          <t>1335-03-17</t>
        </is>
      </c>
    </row>
    <row r="6222">
      <c r="A6222" s="1" t="n">
        <v>6221</v>
      </c>
      <c r="B6222">
        <f>TEXT(6221, "[$-170000]yyyy-mm-dd")</f>
        <v/>
      </c>
      <c r="C6222">
        <f>TEXT(6221, "[$-060000]yyyy-mm-dd")</f>
        <v/>
      </c>
      <c r="D6222" t="inlineStr">
        <is>
          <t>1335-03-18</t>
        </is>
      </c>
    </row>
    <row r="6223">
      <c r="A6223" s="1" t="n">
        <v>6222</v>
      </c>
      <c r="B6223">
        <f>TEXT(6222, "[$-170000]yyyy-mm-dd")</f>
        <v/>
      </c>
      <c r="C6223">
        <f>TEXT(6222, "[$-060000]yyyy-mm-dd")</f>
        <v/>
      </c>
      <c r="D6223" t="inlineStr">
        <is>
          <t>1335-03-19</t>
        </is>
      </c>
    </row>
    <row r="6224">
      <c r="A6224" s="1" t="n">
        <v>6223</v>
      </c>
      <c r="B6224">
        <f>TEXT(6223, "[$-170000]yyyy-mm-dd")</f>
        <v/>
      </c>
      <c r="C6224">
        <f>TEXT(6223, "[$-060000]yyyy-mm-dd")</f>
        <v/>
      </c>
      <c r="D6224" t="inlineStr">
        <is>
          <t>1335-03-20</t>
        </is>
      </c>
    </row>
    <row r="6225">
      <c r="A6225" s="1" t="n">
        <v>6224</v>
      </c>
      <c r="B6225">
        <f>TEXT(6224, "[$-170000]yyyy-mm-dd")</f>
        <v/>
      </c>
      <c r="C6225">
        <f>TEXT(6224, "[$-060000]yyyy-mm-dd")</f>
        <v/>
      </c>
      <c r="D6225" t="inlineStr">
        <is>
          <t>1335-03-21</t>
        </is>
      </c>
    </row>
    <row r="6226">
      <c r="A6226" s="1" t="n">
        <v>6225</v>
      </c>
      <c r="B6226">
        <f>TEXT(6225, "[$-170000]yyyy-mm-dd")</f>
        <v/>
      </c>
      <c r="C6226">
        <f>TEXT(6225, "[$-060000]yyyy-mm-dd")</f>
        <v/>
      </c>
      <c r="D6226" t="inlineStr">
        <is>
          <t>1335-03-22</t>
        </is>
      </c>
    </row>
    <row r="6227">
      <c r="A6227" s="1" t="n">
        <v>6226</v>
      </c>
      <c r="B6227">
        <f>TEXT(6226, "[$-170000]yyyy-mm-dd")</f>
        <v/>
      </c>
      <c r="C6227">
        <f>TEXT(6226, "[$-060000]yyyy-mm-dd")</f>
        <v/>
      </c>
      <c r="D6227" t="inlineStr">
        <is>
          <t>1335-03-23</t>
        </is>
      </c>
    </row>
    <row r="6228">
      <c r="A6228" s="1" t="n">
        <v>6227</v>
      </c>
      <c r="B6228">
        <f>TEXT(6227, "[$-170000]yyyy-mm-dd")</f>
        <v/>
      </c>
      <c r="C6228">
        <f>TEXT(6227, "[$-060000]yyyy-mm-dd")</f>
        <v/>
      </c>
      <c r="D6228" t="inlineStr">
        <is>
          <t>1335-03-24</t>
        </is>
      </c>
    </row>
    <row r="6229">
      <c r="A6229" s="1" t="n">
        <v>6228</v>
      </c>
      <c r="B6229">
        <f>TEXT(6228, "[$-170000]yyyy-mm-dd")</f>
        <v/>
      </c>
      <c r="C6229">
        <f>TEXT(6228, "[$-060000]yyyy-mm-dd")</f>
        <v/>
      </c>
      <c r="D6229" t="inlineStr">
        <is>
          <t>1335-03-25</t>
        </is>
      </c>
    </row>
    <row r="6230">
      <c r="A6230" s="1" t="n">
        <v>6229</v>
      </c>
      <c r="B6230">
        <f>TEXT(6229, "[$-170000]yyyy-mm-dd")</f>
        <v/>
      </c>
      <c r="C6230">
        <f>TEXT(6229, "[$-060000]yyyy-mm-dd")</f>
        <v/>
      </c>
      <c r="D6230" t="inlineStr">
        <is>
          <t>1335-03-26</t>
        </is>
      </c>
    </row>
    <row r="6231">
      <c r="A6231" s="1" t="n">
        <v>6230</v>
      </c>
      <c r="B6231">
        <f>TEXT(6230, "[$-170000]yyyy-mm-dd")</f>
        <v/>
      </c>
      <c r="C6231">
        <f>TEXT(6230, "[$-060000]yyyy-mm-dd")</f>
        <v/>
      </c>
      <c r="D6231" t="inlineStr">
        <is>
          <t>1335-03-27</t>
        </is>
      </c>
    </row>
    <row r="6232">
      <c r="A6232" s="1" t="n">
        <v>6231</v>
      </c>
      <c r="B6232">
        <f>TEXT(6231, "[$-170000]yyyy-mm-dd")</f>
        <v/>
      </c>
      <c r="C6232">
        <f>TEXT(6231, "[$-060000]yyyy-mm-dd")</f>
        <v/>
      </c>
      <c r="D6232" t="inlineStr">
        <is>
          <t>1335-03-28</t>
        </is>
      </c>
    </row>
    <row r="6233">
      <c r="A6233" s="1" t="n">
        <v>6232</v>
      </c>
      <c r="B6233">
        <f>TEXT(6232, "[$-170000]yyyy-mm-dd")</f>
        <v/>
      </c>
      <c r="C6233">
        <f>TEXT(6232, "[$-060000]yyyy-mm-dd")</f>
        <v/>
      </c>
      <c r="D6233" t="inlineStr">
        <is>
          <t>1335-03-29</t>
        </is>
      </c>
    </row>
    <row r="6234">
      <c r="A6234" s="1" t="n">
        <v>6233</v>
      </c>
      <c r="B6234">
        <f>TEXT(6233, "[$-170000]yyyy-mm-dd")</f>
        <v/>
      </c>
      <c r="C6234">
        <f>TEXT(6233, "[$-060000]yyyy-mm-dd")</f>
        <v/>
      </c>
      <c r="D6234" t="inlineStr">
        <is>
          <t>1335-03-30</t>
        </is>
      </c>
    </row>
    <row r="6235">
      <c r="A6235" s="1" t="n">
        <v>6234</v>
      </c>
      <c r="B6235">
        <f>TEXT(6234, "[$-170000]yyyy-mm-dd")</f>
        <v/>
      </c>
      <c r="C6235">
        <f>TEXT(6234, "[$-060000]yyyy-mm-dd")</f>
        <v/>
      </c>
      <c r="D6235" t="inlineStr">
        <is>
          <t>1335-04-01</t>
        </is>
      </c>
    </row>
    <row r="6236">
      <c r="A6236" s="1" t="n">
        <v>6235</v>
      </c>
      <c r="B6236">
        <f>TEXT(6235, "[$-170000]yyyy-mm-dd")</f>
        <v/>
      </c>
      <c r="C6236">
        <f>TEXT(6235, "[$-060000]yyyy-mm-dd")</f>
        <v/>
      </c>
      <c r="D6236" t="inlineStr">
        <is>
          <t>1335-04-02</t>
        </is>
      </c>
    </row>
    <row r="6237">
      <c r="A6237" s="1" t="n">
        <v>6236</v>
      </c>
      <c r="B6237">
        <f>TEXT(6236, "[$-170000]yyyy-mm-dd")</f>
        <v/>
      </c>
      <c r="C6237">
        <f>TEXT(6236, "[$-060000]yyyy-mm-dd")</f>
        <v/>
      </c>
      <c r="D6237" t="inlineStr">
        <is>
          <t>1335-04-03</t>
        </is>
      </c>
    </row>
    <row r="6238">
      <c r="A6238" s="1" t="n">
        <v>6237</v>
      </c>
      <c r="B6238">
        <f>TEXT(6237, "[$-170000]yyyy-mm-dd")</f>
        <v/>
      </c>
      <c r="C6238">
        <f>TEXT(6237, "[$-060000]yyyy-mm-dd")</f>
        <v/>
      </c>
      <c r="D6238" t="inlineStr">
        <is>
          <t>1335-04-04</t>
        </is>
      </c>
    </row>
    <row r="6239">
      <c r="A6239" s="1" t="n">
        <v>6238</v>
      </c>
      <c r="B6239">
        <f>TEXT(6238, "[$-170000]yyyy-mm-dd")</f>
        <v/>
      </c>
      <c r="C6239">
        <f>TEXT(6238, "[$-060000]yyyy-mm-dd")</f>
        <v/>
      </c>
      <c r="D6239" t="inlineStr">
        <is>
          <t>1335-04-05</t>
        </is>
      </c>
    </row>
    <row r="6240">
      <c r="A6240" s="1" t="n">
        <v>6239</v>
      </c>
      <c r="B6240">
        <f>TEXT(6239, "[$-170000]yyyy-mm-dd")</f>
        <v/>
      </c>
      <c r="C6240">
        <f>TEXT(6239, "[$-060000]yyyy-mm-dd")</f>
        <v/>
      </c>
      <c r="D6240" t="inlineStr">
        <is>
          <t>1335-04-06</t>
        </is>
      </c>
    </row>
    <row r="6241">
      <c r="A6241" s="1" t="n">
        <v>6240</v>
      </c>
      <c r="B6241">
        <f>TEXT(6240, "[$-170000]yyyy-mm-dd")</f>
        <v/>
      </c>
      <c r="C6241">
        <f>TEXT(6240, "[$-060000]yyyy-mm-dd")</f>
        <v/>
      </c>
      <c r="D6241" t="inlineStr">
        <is>
          <t>1335-04-07</t>
        </is>
      </c>
    </row>
    <row r="6242">
      <c r="A6242" s="1" t="n">
        <v>6241</v>
      </c>
      <c r="B6242">
        <f>TEXT(6241, "[$-170000]yyyy-mm-dd")</f>
        <v/>
      </c>
      <c r="C6242">
        <f>TEXT(6241, "[$-060000]yyyy-mm-dd")</f>
        <v/>
      </c>
      <c r="D6242" t="inlineStr">
        <is>
          <t>1335-04-08</t>
        </is>
      </c>
    </row>
    <row r="6243">
      <c r="A6243" s="1" t="n">
        <v>6242</v>
      </c>
      <c r="B6243">
        <f>TEXT(6242, "[$-170000]yyyy-mm-dd")</f>
        <v/>
      </c>
      <c r="C6243">
        <f>TEXT(6242, "[$-060000]yyyy-mm-dd")</f>
        <v/>
      </c>
      <c r="D6243" t="inlineStr">
        <is>
          <t>1335-04-09</t>
        </is>
      </c>
    </row>
    <row r="6244">
      <c r="A6244" s="1" t="n">
        <v>6243</v>
      </c>
      <c r="B6244">
        <f>TEXT(6243, "[$-170000]yyyy-mm-dd")</f>
        <v/>
      </c>
      <c r="C6244">
        <f>TEXT(6243, "[$-060000]yyyy-mm-dd")</f>
        <v/>
      </c>
      <c r="D6244" t="inlineStr">
        <is>
          <t>1335-04-10</t>
        </is>
      </c>
    </row>
    <row r="6245">
      <c r="A6245" s="1" t="n">
        <v>6244</v>
      </c>
      <c r="B6245">
        <f>TEXT(6244, "[$-170000]yyyy-mm-dd")</f>
        <v/>
      </c>
      <c r="C6245">
        <f>TEXT(6244, "[$-060000]yyyy-mm-dd")</f>
        <v/>
      </c>
      <c r="D6245" t="inlineStr">
        <is>
          <t>1335-04-11</t>
        </is>
      </c>
    </row>
    <row r="6246">
      <c r="A6246" s="1" t="n">
        <v>6245</v>
      </c>
      <c r="B6246">
        <f>TEXT(6245, "[$-170000]yyyy-mm-dd")</f>
        <v/>
      </c>
      <c r="C6246">
        <f>TEXT(6245, "[$-060000]yyyy-mm-dd")</f>
        <v/>
      </c>
      <c r="D6246" t="inlineStr">
        <is>
          <t>1335-04-12</t>
        </is>
      </c>
    </row>
    <row r="6247">
      <c r="A6247" s="1" t="n">
        <v>6246</v>
      </c>
      <c r="B6247">
        <f>TEXT(6246, "[$-170000]yyyy-mm-dd")</f>
        <v/>
      </c>
      <c r="C6247">
        <f>TEXT(6246, "[$-060000]yyyy-mm-dd")</f>
        <v/>
      </c>
      <c r="D6247" t="inlineStr">
        <is>
          <t>1335-04-13</t>
        </is>
      </c>
    </row>
    <row r="6248">
      <c r="A6248" s="1" t="n">
        <v>6247</v>
      </c>
      <c r="B6248">
        <f>TEXT(6247, "[$-170000]yyyy-mm-dd")</f>
        <v/>
      </c>
      <c r="C6248">
        <f>TEXT(6247, "[$-060000]yyyy-mm-dd")</f>
        <v/>
      </c>
      <c r="D6248" t="inlineStr">
        <is>
          <t>1335-04-14</t>
        </is>
      </c>
    </row>
    <row r="6249">
      <c r="A6249" s="1" t="n">
        <v>6248</v>
      </c>
      <c r="B6249">
        <f>TEXT(6248, "[$-170000]yyyy-mm-dd")</f>
        <v/>
      </c>
      <c r="C6249">
        <f>TEXT(6248, "[$-060000]yyyy-mm-dd")</f>
        <v/>
      </c>
      <c r="D6249" t="inlineStr">
        <is>
          <t>1335-04-15</t>
        </is>
      </c>
    </row>
    <row r="6250">
      <c r="A6250" s="1" t="n">
        <v>6249</v>
      </c>
      <c r="B6250">
        <f>TEXT(6249, "[$-170000]yyyy-mm-dd")</f>
        <v/>
      </c>
      <c r="C6250">
        <f>TEXT(6249, "[$-060000]yyyy-mm-dd")</f>
        <v/>
      </c>
      <c r="D6250" t="inlineStr">
        <is>
          <t>1335-04-16</t>
        </is>
      </c>
    </row>
    <row r="6251">
      <c r="A6251" s="1" t="n">
        <v>6250</v>
      </c>
      <c r="B6251">
        <f>TEXT(6250, "[$-170000]yyyy-mm-dd")</f>
        <v/>
      </c>
      <c r="C6251">
        <f>TEXT(6250, "[$-060000]yyyy-mm-dd")</f>
        <v/>
      </c>
      <c r="D6251" t="inlineStr">
        <is>
          <t>1335-04-17</t>
        </is>
      </c>
    </row>
    <row r="6252">
      <c r="A6252" s="1" t="n">
        <v>6251</v>
      </c>
      <c r="B6252">
        <f>TEXT(6251, "[$-170000]yyyy-mm-dd")</f>
        <v/>
      </c>
      <c r="C6252">
        <f>TEXT(6251, "[$-060000]yyyy-mm-dd")</f>
        <v/>
      </c>
      <c r="D6252" t="inlineStr">
        <is>
          <t>1335-04-18</t>
        </is>
      </c>
    </row>
    <row r="6253">
      <c r="A6253" s="1" t="n">
        <v>6252</v>
      </c>
      <c r="B6253">
        <f>TEXT(6252, "[$-170000]yyyy-mm-dd")</f>
        <v/>
      </c>
      <c r="C6253">
        <f>TEXT(6252, "[$-060000]yyyy-mm-dd")</f>
        <v/>
      </c>
      <c r="D6253" t="inlineStr">
        <is>
          <t>1335-04-19</t>
        </is>
      </c>
    </row>
    <row r="6254">
      <c r="A6254" s="1" t="n">
        <v>6253</v>
      </c>
      <c r="B6254">
        <f>TEXT(6253, "[$-170000]yyyy-mm-dd")</f>
        <v/>
      </c>
      <c r="C6254">
        <f>TEXT(6253, "[$-060000]yyyy-mm-dd")</f>
        <v/>
      </c>
      <c r="D6254" t="inlineStr">
        <is>
          <t>1335-04-20</t>
        </is>
      </c>
    </row>
    <row r="6255">
      <c r="A6255" s="1" t="n">
        <v>6254</v>
      </c>
      <c r="B6255">
        <f>TEXT(6254, "[$-170000]yyyy-mm-dd")</f>
        <v/>
      </c>
      <c r="C6255">
        <f>TEXT(6254, "[$-060000]yyyy-mm-dd")</f>
        <v/>
      </c>
      <c r="D6255" t="inlineStr">
        <is>
          <t>1335-04-21</t>
        </is>
      </c>
    </row>
    <row r="6256">
      <c r="A6256" s="1" t="n">
        <v>6255</v>
      </c>
      <c r="B6256">
        <f>TEXT(6255, "[$-170000]yyyy-mm-dd")</f>
        <v/>
      </c>
      <c r="C6256">
        <f>TEXT(6255, "[$-060000]yyyy-mm-dd")</f>
        <v/>
      </c>
      <c r="D6256" t="inlineStr">
        <is>
          <t>1335-04-22</t>
        </is>
      </c>
    </row>
    <row r="6257">
      <c r="A6257" s="1" t="n">
        <v>6256</v>
      </c>
      <c r="B6257">
        <f>TEXT(6256, "[$-170000]yyyy-mm-dd")</f>
        <v/>
      </c>
      <c r="C6257">
        <f>TEXT(6256, "[$-060000]yyyy-mm-dd")</f>
        <v/>
      </c>
      <c r="D6257" t="inlineStr">
        <is>
          <t>1335-04-23</t>
        </is>
      </c>
    </row>
    <row r="6258">
      <c r="A6258" s="1" t="n">
        <v>6257</v>
      </c>
      <c r="B6258">
        <f>TEXT(6257, "[$-170000]yyyy-mm-dd")</f>
        <v/>
      </c>
      <c r="C6258">
        <f>TEXT(6257, "[$-060000]yyyy-mm-dd")</f>
        <v/>
      </c>
      <c r="D6258" t="inlineStr">
        <is>
          <t>1335-04-24</t>
        </is>
      </c>
    </row>
    <row r="6259">
      <c r="A6259" s="1" t="n">
        <v>6258</v>
      </c>
      <c r="B6259">
        <f>TEXT(6258, "[$-170000]yyyy-mm-dd")</f>
        <v/>
      </c>
      <c r="C6259">
        <f>TEXT(6258, "[$-060000]yyyy-mm-dd")</f>
        <v/>
      </c>
      <c r="D6259" t="inlineStr">
        <is>
          <t>1335-04-25</t>
        </is>
      </c>
    </row>
    <row r="6260">
      <c r="A6260" s="1" t="n">
        <v>6259</v>
      </c>
      <c r="B6260">
        <f>TEXT(6259, "[$-170000]yyyy-mm-dd")</f>
        <v/>
      </c>
      <c r="C6260">
        <f>TEXT(6259, "[$-060000]yyyy-mm-dd")</f>
        <v/>
      </c>
      <c r="D6260" t="inlineStr">
        <is>
          <t>1335-04-26</t>
        </is>
      </c>
    </row>
    <row r="6261">
      <c r="A6261" s="1" t="n">
        <v>6260</v>
      </c>
      <c r="B6261">
        <f>TEXT(6260, "[$-170000]yyyy-mm-dd")</f>
        <v/>
      </c>
      <c r="C6261">
        <f>TEXT(6260, "[$-060000]yyyy-mm-dd")</f>
        <v/>
      </c>
      <c r="D6261" t="inlineStr">
        <is>
          <t>1335-04-27</t>
        </is>
      </c>
    </row>
    <row r="6262">
      <c r="A6262" s="1" t="n">
        <v>6261</v>
      </c>
      <c r="B6262">
        <f>TEXT(6261, "[$-170000]yyyy-mm-dd")</f>
        <v/>
      </c>
      <c r="C6262">
        <f>TEXT(6261, "[$-060000]yyyy-mm-dd")</f>
        <v/>
      </c>
      <c r="D6262" t="inlineStr">
        <is>
          <t>1335-04-28</t>
        </is>
      </c>
    </row>
    <row r="6263">
      <c r="A6263" s="1" t="n">
        <v>6262</v>
      </c>
      <c r="B6263">
        <f>TEXT(6262, "[$-170000]yyyy-mm-dd")</f>
        <v/>
      </c>
      <c r="C6263">
        <f>TEXT(6262, "[$-060000]yyyy-mm-dd")</f>
        <v/>
      </c>
      <c r="D6263" t="inlineStr">
        <is>
          <t>1335-04-29</t>
        </is>
      </c>
    </row>
    <row r="6264">
      <c r="A6264" s="1" t="n">
        <v>6263</v>
      </c>
      <c r="B6264">
        <f>TEXT(6263, "[$-170000]yyyy-mm-dd")</f>
        <v/>
      </c>
      <c r="C6264">
        <f>TEXT(6263, "[$-060000]yyyy-mm-dd")</f>
        <v/>
      </c>
      <c r="D6264" t="inlineStr">
        <is>
          <t>1335-05-01</t>
        </is>
      </c>
    </row>
    <row r="6265">
      <c r="A6265" s="1" t="n">
        <v>6264</v>
      </c>
      <c r="B6265">
        <f>TEXT(6264, "[$-170000]yyyy-mm-dd")</f>
        <v/>
      </c>
      <c r="C6265">
        <f>TEXT(6264, "[$-060000]yyyy-mm-dd")</f>
        <v/>
      </c>
      <c r="D6265" t="inlineStr">
        <is>
          <t>1335-05-02</t>
        </is>
      </c>
    </row>
    <row r="6266">
      <c r="A6266" s="1" t="n">
        <v>6265</v>
      </c>
      <c r="B6266">
        <f>TEXT(6265, "[$-170000]yyyy-mm-dd")</f>
        <v/>
      </c>
      <c r="C6266">
        <f>TEXT(6265, "[$-060000]yyyy-mm-dd")</f>
        <v/>
      </c>
      <c r="D6266" t="inlineStr">
        <is>
          <t>1335-05-03</t>
        </is>
      </c>
    </row>
    <row r="6267">
      <c r="A6267" s="1" t="n">
        <v>6266</v>
      </c>
      <c r="B6267">
        <f>TEXT(6266, "[$-170000]yyyy-mm-dd")</f>
        <v/>
      </c>
      <c r="C6267">
        <f>TEXT(6266, "[$-060000]yyyy-mm-dd")</f>
        <v/>
      </c>
      <c r="D6267" t="inlineStr">
        <is>
          <t>1335-05-04</t>
        </is>
      </c>
    </row>
    <row r="6268">
      <c r="A6268" s="1" t="n">
        <v>6267</v>
      </c>
      <c r="B6268">
        <f>TEXT(6267, "[$-170000]yyyy-mm-dd")</f>
        <v/>
      </c>
      <c r="C6268">
        <f>TEXT(6267, "[$-060000]yyyy-mm-dd")</f>
        <v/>
      </c>
      <c r="D6268" t="inlineStr">
        <is>
          <t>1335-05-05</t>
        </is>
      </c>
    </row>
    <row r="6269">
      <c r="A6269" s="1" t="n">
        <v>6268</v>
      </c>
      <c r="B6269">
        <f>TEXT(6268, "[$-170000]yyyy-mm-dd")</f>
        <v/>
      </c>
      <c r="C6269">
        <f>TEXT(6268, "[$-060000]yyyy-mm-dd")</f>
        <v/>
      </c>
      <c r="D6269" t="inlineStr">
        <is>
          <t>1335-05-06</t>
        </is>
      </c>
    </row>
    <row r="6270">
      <c r="A6270" s="1" t="n">
        <v>6269</v>
      </c>
      <c r="B6270">
        <f>TEXT(6269, "[$-170000]yyyy-mm-dd")</f>
        <v/>
      </c>
      <c r="C6270">
        <f>TEXT(6269, "[$-060000]yyyy-mm-dd")</f>
        <v/>
      </c>
      <c r="D6270" t="inlineStr">
        <is>
          <t>1335-05-07</t>
        </is>
      </c>
    </row>
    <row r="6271">
      <c r="A6271" s="1" t="n">
        <v>6270</v>
      </c>
      <c r="B6271">
        <f>TEXT(6270, "[$-170000]yyyy-mm-dd")</f>
        <v/>
      </c>
      <c r="C6271">
        <f>TEXT(6270, "[$-060000]yyyy-mm-dd")</f>
        <v/>
      </c>
      <c r="D6271" t="inlineStr">
        <is>
          <t>1335-05-08</t>
        </is>
      </c>
    </row>
    <row r="6272">
      <c r="A6272" s="1" t="n">
        <v>6271</v>
      </c>
      <c r="B6272">
        <f>TEXT(6271, "[$-170000]yyyy-mm-dd")</f>
        <v/>
      </c>
      <c r="C6272">
        <f>TEXT(6271, "[$-060000]yyyy-mm-dd")</f>
        <v/>
      </c>
      <c r="D6272" t="inlineStr">
        <is>
          <t>1335-05-09</t>
        </is>
      </c>
    </row>
    <row r="6273">
      <c r="A6273" s="1" t="n">
        <v>6272</v>
      </c>
      <c r="B6273">
        <f>TEXT(6272, "[$-170000]yyyy-mm-dd")</f>
        <v/>
      </c>
      <c r="C6273">
        <f>TEXT(6272, "[$-060000]yyyy-mm-dd")</f>
        <v/>
      </c>
      <c r="D6273" t="inlineStr">
        <is>
          <t>1335-05-10</t>
        </is>
      </c>
    </row>
    <row r="6274">
      <c r="A6274" s="1" t="n">
        <v>6273</v>
      </c>
      <c r="B6274">
        <f>TEXT(6273, "[$-170000]yyyy-mm-dd")</f>
        <v/>
      </c>
      <c r="C6274">
        <f>TEXT(6273, "[$-060000]yyyy-mm-dd")</f>
        <v/>
      </c>
      <c r="D6274" t="inlineStr">
        <is>
          <t>1335-05-11</t>
        </is>
      </c>
    </row>
    <row r="6275">
      <c r="A6275" s="1" t="n">
        <v>6274</v>
      </c>
      <c r="B6275">
        <f>TEXT(6274, "[$-170000]yyyy-mm-dd")</f>
        <v/>
      </c>
      <c r="C6275">
        <f>TEXT(6274, "[$-060000]yyyy-mm-dd")</f>
        <v/>
      </c>
      <c r="D6275" t="inlineStr">
        <is>
          <t>1335-05-12</t>
        </is>
      </c>
    </row>
    <row r="6276">
      <c r="A6276" s="1" t="n">
        <v>6275</v>
      </c>
      <c r="B6276">
        <f>TEXT(6275, "[$-170000]yyyy-mm-dd")</f>
        <v/>
      </c>
      <c r="C6276">
        <f>TEXT(6275, "[$-060000]yyyy-mm-dd")</f>
        <v/>
      </c>
      <c r="D6276" t="inlineStr">
        <is>
          <t>1335-05-13</t>
        </is>
      </c>
    </row>
    <row r="6277">
      <c r="A6277" s="1" t="n">
        <v>6276</v>
      </c>
      <c r="B6277">
        <f>TEXT(6276, "[$-170000]yyyy-mm-dd")</f>
        <v/>
      </c>
      <c r="C6277">
        <f>TEXT(6276, "[$-060000]yyyy-mm-dd")</f>
        <v/>
      </c>
      <c r="D6277" t="inlineStr">
        <is>
          <t>1335-05-14</t>
        </is>
      </c>
    </row>
    <row r="6278">
      <c r="A6278" s="1" t="n">
        <v>6277</v>
      </c>
      <c r="B6278">
        <f>TEXT(6277, "[$-170000]yyyy-mm-dd")</f>
        <v/>
      </c>
      <c r="C6278">
        <f>TEXT(6277, "[$-060000]yyyy-mm-dd")</f>
        <v/>
      </c>
      <c r="D6278" t="inlineStr">
        <is>
          <t>1335-05-15</t>
        </is>
      </c>
    </row>
    <row r="6279">
      <c r="A6279" s="1" t="n">
        <v>6278</v>
      </c>
      <c r="B6279">
        <f>TEXT(6278, "[$-170000]yyyy-mm-dd")</f>
        <v/>
      </c>
      <c r="C6279">
        <f>TEXT(6278, "[$-060000]yyyy-mm-dd")</f>
        <v/>
      </c>
      <c r="D6279" t="inlineStr">
        <is>
          <t>1335-05-16</t>
        </is>
      </c>
    </row>
    <row r="6280">
      <c r="A6280" s="1" t="n">
        <v>6279</v>
      </c>
      <c r="B6280">
        <f>TEXT(6279, "[$-170000]yyyy-mm-dd")</f>
        <v/>
      </c>
      <c r="C6280">
        <f>TEXT(6279, "[$-060000]yyyy-mm-dd")</f>
        <v/>
      </c>
      <c r="D6280" t="inlineStr">
        <is>
          <t>1335-05-17</t>
        </is>
      </c>
    </row>
    <row r="6281">
      <c r="A6281" s="1" t="n">
        <v>6280</v>
      </c>
      <c r="B6281">
        <f>TEXT(6280, "[$-170000]yyyy-mm-dd")</f>
        <v/>
      </c>
      <c r="C6281">
        <f>TEXT(6280, "[$-060000]yyyy-mm-dd")</f>
        <v/>
      </c>
      <c r="D6281" t="inlineStr">
        <is>
          <t>1335-05-18</t>
        </is>
      </c>
    </row>
    <row r="6282">
      <c r="A6282" s="1" t="n">
        <v>6281</v>
      </c>
      <c r="B6282">
        <f>TEXT(6281, "[$-170000]yyyy-mm-dd")</f>
        <v/>
      </c>
      <c r="C6282">
        <f>TEXT(6281, "[$-060000]yyyy-mm-dd")</f>
        <v/>
      </c>
      <c r="D6282" t="inlineStr">
        <is>
          <t>1335-05-19</t>
        </is>
      </c>
    </row>
    <row r="6283">
      <c r="A6283" s="1" t="n">
        <v>6282</v>
      </c>
      <c r="B6283">
        <f>TEXT(6282, "[$-170000]yyyy-mm-dd")</f>
        <v/>
      </c>
      <c r="C6283">
        <f>TEXT(6282, "[$-060000]yyyy-mm-dd")</f>
        <v/>
      </c>
      <c r="D6283" t="inlineStr">
        <is>
          <t>1335-05-20</t>
        </is>
      </c>
    </row>
    <row r="6284">
      <c r="A6284" s="1" t="n">
        <v>6283</v>
      </c>
      <c r="B6284">
        <f>TEXT(6283, "[$-170000]yyyy-mm-dd")</f>
        <v/>
      </c>
      <c r="C6284">
        <f>TEXT(6283, "[$-060000]yyyy-mm-dd")</f>
        <v/>
      </c>
      <c r="D6284" t="inlineStr">
        <is>
          <t>1335-05-21</t>
        </is>
      </c>
    </row>
    <row r="6285">
      <c r="A6285" s="1" t="n">
        <v>6284</v>
      </c>
      <c r="B6285">
        <f>TEXT(6284, "[$-170000]yyyy-mm-dd")</f>
        <v/>
      </c>
      <c r="C6285">
        <f>TEXT(6284, "[$-060000]yyyy-mm-dd")</f>
        <v/>
      </c>
      <c r="D6285" t="inlineStr">
        <is>
          <t>1335-05-22</t>
        </is>
      </c>
    </row>
    <row r="6286">
      <c r="A6286" s="1" t="n">
        <v>6285</v>
      </c>
      <c r="B6286">
        <f>TEXT(6285, "[$-170000]yyyy-mm-dd")</f>
        <v/>
      </c>
      <c r="C6286">
        <f>TEXT(6285, "[$-060000]yyyy-mm-dd")</f>
        <v/>
      </c>
      <c r="D6286" t="inlineStr">
        <is>
          <t>1335-05-23</t>
        </is>
      </c>
    </row>
    <row r="6287">
      <c r="A6287" s="1" t="n">
        <v>6286</v>
      </c>
      <c r="B6287">
        <f>TEXT(6286, "[$-170000]yyyy-mm-dd")</f>
        <v/>
      </c>
      <c r="C6287">
        <f>TEXT(6286, "[$-060000]yyyy-mm-dd")</f>
        <v/>
      </c>
      <c r="D6287" t="inlineStr">
        <is>
          <t>1335-05-24</t>
        </is>
      </c>
    </row>
    <row r="6288">
      <c r="A6288" s="1" t="n">
        <v>6287</v>
      </c>
      <c r="B6288">
        <f>TEXT(6287, "[$-170000]yyyy-mm-dd")</f>
        <v/>
      </c>
      <c r="C6288">
        <f>TEXT(6287, "[$-060000]yyyy-mm-dd")</f>
        <v/>
      </c>
      <c r="D6288" t="inlineStr">
        <is>
          <t>1335-05-25</t>
        </is>
      </c>
    </row>
    <row r="6289">
      <c r="A6289" s="1" t="n">
        <v>6288</v>
      </c>
      <c r="B6289">
        <f>TEXT(6288, "[$-170000]yyyy-mm-dd")</f>
        <v/>
      </c>
      <c r="C6289">
        <f>TEXT(6288, "[$-060000]yyyy-mm-dd")</f>
        <v/>
      </c>
      <c r="D6289" t="inlineStr">
        <is>
          <t>1335-05-26</t>
        </is>
      </c>
    </row>
    <row r="6290">
      <c r="A6290" s="1" t="n">
        <v>6289</v>
      </c>
      <c r="B6290">
        <f>TEXT(6289, "[$-170000]yyyy-mm-dd")</f>
        <v/>
      </c>
      <c r="C6290">
        <f>TEXT(6289, "[$-060000]yyyy-mm-dd")</f>
        <v/>
      </c>
      <c r="D6290" t="inlineStr">
        <is>
          <t>1335-05-27</t>
        </is>
      </c>
    </row>
    <row r="6291">
      <c r="A6291" s="1" t="n">
        <v>6290</v>
      </c>
      <c r="B6291">
        <f>TEXT(6290, "[$-170000]yyyy-mm-dd")</f>
        <v/>
      </c>
      <c r="C6291">
        <f>TEXT(6290, "[$-060000]yyyy-mm-dd")</f>
        <v/>
      </c>
      <c r="D6291" t="inlineStr">
        <is>
          <t>1335-05-28</t>
        </is>
      </c>
    </row>
    <row r="6292">
      <c r="A6292" s="1" t="n">
        <v>6291</v>
      </c>
      <c r="B6292">
        <f>TEXT(6291, "[$-170000]yyyy-mm-dd")</f>
        <v/>
      </c>
      <c r="C6292">
        <f>TEXT(6291, "[$-060000]yyyy-mm-dd")</f>
        <v/>
      </c>
      <c r="D6292" t="inlineStr">
        <is>
          <t>1335-05-29</t>
        </is>
      </c>
    </row>
    <row r="6293">
      <c r="A6293" s="1" t="n">
        <v>6292</v>
      </c>
      <c r="B6293">
        <f>TEXT(6292, "[$-170000]yyyy-mm-dd")</f>
        <v/>
      </c>
      <c r="C6293">
        <f>TEXT(6292, "[$-060000]yyyy-mm-dd")</f>
        <v/>
      </c>
      <c r="D6293" t="inlineStr">
        <is>
          <t>1335-05-30</t>
        </is>
      </c>
    </row>
    <row r="6294">
      <c r="A6294" s="1" t="n">
        <v>6293</v>
      </c>
      <c r="B6294">
        <f>TEXT(6293, "[$-170000]yyyy-mm-dd")</f>
        <v/>
      </c>
      <c r="C6294">
        <f>TEXT(6293, "[$-060000]yyyy-mm-dd")</f>
        <v/>
      </c>
      <c r="D6294" t="inlineStr">
        <is>
          <t>1335-06-01</t>
        </is>
      </c>
    </row>
    <row r="6295">
      <c r="A6295" s="1" t="n">
        <v>6294</v>
      </c>
      <c r="B6295">
        <f>TEXT(6294, "[$-170000]yyyy-mm-dd")</f>
        <v/>
      </c>
      <c r="C6295">
        <f>TEXT(6294, "[$-060000]yyyy-mm-dd")</f>
        <v/>
      </c>
      <c r="D6295" t="inlineStr">
        <is>
          <t>1335-06-02</t>
        </is>
      </c>
    </row>
    <row r="6296">
      <c r="A6296" s="1" t="n">
        <v>6295</v>
      </c>
      <c r="B6296">
        <f>TEXT(6295, "[$-170000]yyyy-mm-dd")</f>
        <v/>
      </c>
      <c r="C6296">
        <f>TEXT(6295, "[$-060000]yyyy-mm-dd")</f>
        <v/>
      </c>
      <c r="D6296" t="inlineStr">
        <is>
          <t>1335-06-03</t>
        </is>
      </c>
    </row>
    <row r="6297">
      <c r="A6297" s="1" t="n">
        <v>6296</v>
      </c>
      <c r="B6297">
        <f>TEXT(6296, "[$-170000]yyyy-mm-dd")</f>
        <v/>
      </c>
      <c r="C6297">
        <f>TEXT(6296, "[$-060000]yyyy-mm-dd")</f>
        <v/>
      </c>
      <c r="D6297" t="inlineStr">
        <is>
          <t>1335-06-04</t>
        </is>
      </c>
    </row>
    <row r="6298">
      <c r="A6298" s="1" t="n">
        <v>6297</v>
      </c>
      <c r="B6298">
        <f>TEXT(6297, "[$-170000]yyyy-mm-dd")</f>
        <v/>
      </c>
      <c r="C6298">
        <f>TEXT(6297, "[$-060000]yyyy-mm-dd")</f>
        <v/>
      </c>
      <c r="D6298" t="inlineStr">
        <is>
          <t>1335-06-05</t>
        </is>
      </c>
    </row>
    <row r="6299">
      <c r="A6299" s="1" t="n">
        <v>6298</v>
      </c>
      <c r="B6299">
        <f>TEXT(6298, "[$-170000]yyyy-mm-dd")</f>
        <v/>
      </c>
      <c r="C6299">
        <f>TEXT(6298, "[$-060000]yyyy-mm-dd")</f>
        <v/>
      </c>
      <c r="D6299" t="inlineStr">
        <is>
          <t>1335-06-06</t>
        </is>
      </c>
    </row>
    <row r="6300">
      <c r="A6300" s="1" t="n">
        <v>6299</v>
      </c>
      <c r="B6300">
        <f>TEXT(6299, "[$-170000]yyyy-mm-dd")</f>
        <v/>
      </c>
      <c r="C6300">
        <f>TEXT(6299, "[$-060000]yyyy-mm-dd")</f>
        <v/>
      </c>
      <c r="D6300" t="inlineStr">
        <is>
          <t>1335-06-07</t>
        </is>
      </c>
    </row>
    <row r="6301">
      <c r="A6301" s="1" t="n">
        <v>6300</v>
      </c>
      <c r="B6301">
        <f>TEXT(6300, "[$-170000]yyyy-mm-dd")</f>
        <v/>
      </c>
      <c r="C6301">
        <f>TEXT(6300, "[$-060000]yyyy-mm-dd")</f>
        <v/>
      </c>
      <c r="D6301" t="inlineStr">
        <is>
          <t>1335-06-08</t>
        </is>
      </c>
    </row>
    <row r="6302">
      <c r="A6302" s="1" t="n">
        <v>6301</v>
      </c>
      <c r="B6302">
        <f>TEXT(6301, "[$-170000]yyyy-mm-dd")</f>
        <v/>
      </c>
      <c r="C6302">
        <f>TEXT(6301, "[$-060000]yyyy-mm-dd")</f>
        <v/>
      </c>
      <c r="D6302" t="inlineStr">
        <is>
          <t>1335-06-09</t>
        </is>
      </c>
    </row>
    <row r="6303">
      <c r="A6303" s="1" t="n">
        <v>6302</v>
      </c>
      <c r="B6303">
        <f>TEXT(6302, "[$-170000]yyyy-mm-dd")</f>
        <v/>
      </c>
      <c r="C6303">
        <f>TEXT(6302, "[$-060000]yyyy-mm-dd")</f>
        <v/>
      </c>
      <c r="D6303" t="inlineStr">
        <is>
          <t>1335-06-10</t>
        </is>
      </c>
    </row>
    <row r="6304">
      <c r="A6304" s="1" t="n">
        <v>6303</v>
      </c>
      <c r="B6304">
        <f>TEXT(6303, "[$-170000]yyyy-mm-dd")</f>
        <v/>
      </c>
      <c r="C6304">
        <f>TEXT(6303, "[$-060000]yyyy-mm-dd")</f>
        <v/>
      </c>
      <c r="D6304" t="inlineStr">
        <is>
          <t>1335-06-11</t>
        </is>
      </c>
    </row>
    <row r="6305">
      <c r="A6305" s="1" t="n">
        <v>6304</v>
      </c>
      <c r="B6305">
        <f>TEXT(6304, "[$-170000]yyyy-mm-dd")</f>
        <v/>
      </c>
      <c r="C6305">
        <f>TEXT(6304, "[$-060000]yyyy-mm-dd")</f>
        <v/>
      </c>
      <c r="D6305" t="inlineStr">
        <is>
          <t>1335-06-12</t>
        </is>
      </c>
    </row>
    <row r="6306">
      <c r="A6306" s="1" t="n">
        <v>6305</v>
      </c>
      <c r="B6306">
        <f>TEXT(6305, "[$-170000]yyyy-mm-dd")</f>
        <v/>
      </c>
      <c r="C6306">
        <f>TEXT(6305, "[$-060000]yyyy-mm-dd")</f>
        <v/>
      </c>
      <c r="D6306" t="inlineStr">
        <is>
          <t>1335-06-13</t>
        </is>
      </c>
    </row>
    <row r="6307">
      <c r="A6307" s="1" t="n">
        <v>6306</v>
      </c>
      <c r="B6307">
        <f>TEXT(6306, "[$-170000]yyyy-mm-dd")</f>
        <v/>
      </c>
      <c r="C6307">
        <f>TEXT(6306, "[$-060000]yyyy-mm-dd")</f>
        <v/>
      </c>
      <c r="D6307" t="inlineStr">
        <is>
          <t>1335-06-14</t>
        </is>
      </c>
    </row>
    <row r="6308">
      <c r="A6308" s="1" t="n">
        <v>6307</v>
      </c>
      <c r="B6308">
        <f>TEXT(6307, "[$-170000]yyyy-mm-dd")</f>
        <v/>
      </c>
      <c r="C6308">
        <f>TEXT(6307, "[$-060000]yyyy-mm-dd")</f>
        <v/>
      </c>
      <c r="D6308" t="inlineStr">
        <is>
          <t>1335-06-15</t>
        </is>
      </c>
    </row>
    <row r="6309">
      <c r="A6309" s="1" t="n">
        <v>6308</v>
      </c>
      <c r="B6309">
        <f>TEXT(6308, "[$-170000]yyyy-mm-dd")</f>
        <v/>
      </c>
      <c r="C6309">
        <f>TEXT(6308, "[$-060000]yyyy-mm-dd")</f>
        <v/>
      </c>
      <c r="D6309" t="inlineStr">
        <is>
          <t>1335-06-16</t>
        </is>
      </c>
    </row>
    <row r="6310">
      <c r="A6310" s="1" t="n">
        <v>6309</v>
      </c>
      <c r="B6310">
        <f>TEXT(6309, "[$-170000]yyyy-mm-dd")</f>
        <v/>
      </c>
      <c r="C6310">
        <f>TEXT(6309, "[$-060000]yyyy-mm-dd")</f>
        <v/>
      </c>
      <c r="D6310" t="inlineStr">
        <is>
          <t>1335-06-17</t>
        </is>
      </c>
    </row>
    <row r="6311">
      <c r="A6311" s="1" t="n">
        <v>6310</v>
      </c>
      <c r="B6311">
        <f>TEXT(6310, "[$-170000]yyyy-mm-dd")</f>
        <v/>
      </c>
      <c r="C6311">
        <f>TEXT(6310, "[$-060000]yyyy-mm-dd")</f>
        <v/>
      </c>
      <c r="D6311" t="inlineStr">
        <is>
          <t>1335-06-18</t>
        </is>
      </c>
    </row>
    <row r="6312">
      <c r="A6312" s="1" t="n">
        <v>6311</v>
      </c>
      <c r="B6312">
        <f>TEXT(6311, "[$-170000]yyyy-mm-dd")</f>
        <v/>
      </c>
      <c r="C6312">
        <f>TEXT(6311, "[$-060000]yyyy-mm-dd")</f>
        <v/>
      </c>
      <c r="D6312" t="inlineStr">
        <is>
          <t>1335-06-19</t>
        </is>
      </c>
    </row>
    <row r="6313">
      <c r="A6313" s="1" t="n">
        <v>6312</v>
      </c>
      <c r="B6313">
        <f>TEXT(6312, "[$-170000]yyyy-mm-dd")</f>
        <v/>
      </c>
      <c r="C6313">
        <f>TEXT(6312, "[$-060000]yyyy-mm-dd")</f>
        <v/>
      </c>
      <c r="D6313" t="inlineStr">
        <is>
          <t>1335-06-20</t>
        </is>
      </c>
    </row>
    <row r="6314">
      <c r="A6314" s="1" t="n">
        <v>6313</v>
      </c>
      <c r="B6314">
        <f>TEXT(6313, "[$-170000]yyyy-mm-dd")</f>
        <v/>
      </c>
      <c r="C6314">
        <f>TEXT(6313, "[$-060000]yyyy-mm-dd")</f>
        <v/>
      </c>
      <c r="D6314" t="inlineStr">
        <is>
          <t>1335-06-21</t>
        </is>
      </c>
    </row>
    <row r="6315">
      <c r="A6315" s="1" t="n">
        <v>6314</v>
      </c>
      <c r="B6315">
        <f>TEXT(6314, "[$-170000]yyyy-mm-dd")</f>
        <v/>
      </c>
      <c r="C6315">
        <f>TEXT(6314, "[$-060000]yyyy-mm-dd")</f>
        <v/>
      </c>
      <c r="D6315" t="inlineStr">
        <is>
          <t>1335-06-22</t>
        </is>
      </c>
    </row>
    <row r="6316">
      <c r="A6316" s="1" t="n">
        <v>6315</v>
      </c>
      <c r="B6316">
        <f>TEXT(6315, "[$-170000]yyyy-mm-dd")</f>
        <v/>
      </c>
      <c r="C6316">
        <f>TEXT(6315, "[$-060000]yyyy-mm-dd")</f>
        <v/>
      </c>
      <c r="D6316" t="inlineStr">
        <is>
          <t>1335-06-23</t>
        </is>
      </c>
    </row>
    <row r="6317">
      <c r="A6317" s="1" t="n">
        <v>6316</v>
      </c>
      <c r="B6317">
        <f>TEXT(6316, "[$-170000]yyyy-mm-dd")</f>
        <v/>
      </c>
      <c r="C6317">
        <f>TEXT(6316, "[$-060000]yyyy-mm-dd")</f>
        <v/>
      </c>
      <c r="D6317" t="inlineStr">
        <is>
          <t>1335-06-24</t>
        </is>
      </c>
    </row>
    <row r="6318">
      <c r="A6318" s="1" t="n">
        <v>6317</v>
      </c>
      <c r="B6318">
        <f>TEXT(6317, "[$-170000]yyyy-mm-dd")</f>
        <v/>
      </c>
      <c r="C6318">
        <f>TEXT(6317, "[$-060000]yyyy-mm-dd")</f>
        <v/>
      </c>
      <c r="D6318" t="inlineStr">
        <is>
          <t>1335-06-25</t>
        </is>
      </c>
    </row>
    <row r="6319">
      <c r="A6319" s="1" t="n">
        <v>6318</v>
      </c>
      <c r="B6319">
        <f>TEXT(6318, "[$-170000]yyyy-mm-dd")</f>
        <v/>
      </c>
      <c r="C6319">
        <f>TEXT(6318, "[$-060000]yyyy-mm-dd")</f>
        <v/>
      </c>
      <c r="D6319" t="inlineStr">
        <is>
          <t>1335-06-26</t>
        </is>
      </c>
    </row>
    <row r="6320">
      <c r="A6320" s="1" t="n">
        <v>6319</v>
      </c>
      <c r="B6320">
        <f>TEXT(6319, "[$-170000]yyyy-mm-dd")</f>
        <v/>
      </c>
      <c r="C6320">
        <f>TEXT(6319, "[$-060000]yyyy-mm-dd")</f>
        <v/>
      </c>
      <c r="D6320" t="inlineStr">
        <is>
          <t>1335-06-27</t>
        </is>
      </c>
    </row>
    <row r="6321">
      <c r="A6321" s="1" t="n">
        <v>6320</v>
      </c>
      <c r="B6321">
        <f>TEXT(6320, "[$-170000]yyyy-mm-dd")</f>
        <v/>
      </c>
      <c r="C6321">
        <f>TEXT(6320, "[$-060000]yyyy-mm-dd")</f>
        <v/>
      </c>
      <c r="D6321" t="inlineStr">
        <is>
          <t>1335-06-28</t>
        </is>
      </c>
    </row>
    <row r="6322">
      <c r="A6322" s="1" t="n">
        <v>6321</v>
      </c>
      <c r="B6322">
        <f>TEXT(6321, "[$-170000]yyyy-mm-dd")</f>
        <v/>
      </c>
      <c r="C6322">
        <f>TEXT(6321, "[$-060000]yyyy-mm-dd")</f>
        <v/>
      </c>
      <c r="D6322" t="inlineStr">
        <is>
          <t>1335-06-29</t>
        </is>
      </c>
    </row>
    <row r="6323">
      <c r="A6323" s="1" t="n">
        <v>6322</v>
      </c>
      <c r="B6323">
        <f>TEXT(6322, "[$-170000]yyyy-mm-dd")</f>
        <v/>
      </c>
      <c r="C6323">
        <f>TEXT(6322, "[$-060000]yyyy-mm-dd")</f>
        <v/>
      </c>
      <c r="D6323" t="inlineStr">
        <is>
          <t>1335-07-01</t>
        </is>
      </c>
    </row>
    <row r="6324">
      <c r="A6324" s="1" t="n">
        <v>6323</v>
      </c>
      <c r="B6324">
        <f>TEXT(6323, "[$-170000]yyyy-mm-dd")</f>
        <v/>
      </c>
      <c r="C6324">
        <f>TEXT(6323, "[$-060000]yyyy-mm-dd")</f>
        <v/>
      </c>
      <c r="D6324" t="inlineStr">
        <is>
          <t>1335-07-02</t>
        </is>
      </c>
    </row>
    <row r="6325">
      <c r="A6325" s="1" t="n">
        <v>6324</v>
      </c>
      <c r="B6325">
        <f>TEXT(6324, "[$-170000]yyyy-mm-dd")</f>
        <v/>
      </c>
      <c r="C6325">
        <f>TEXT(6324, "[$-060000]yyyy-mm-dd")</f>
        <v/>
      </c>
      <c r="D6325" t="inlineStr">
        <is>
          <t>1335-07-03</t>
        </is>
      </c>
    </row>
    <row r="6326">
      <c r="A6326" s="1" t="n">
        <v>6325</v>
      </c>
      <c r="B6326">
        <f>TEXT(6325, "[$-170000]yyyy-mm-dd")</f>
        <v/>
      </c>
      <c r="C6326">
        <f>TEXT(6325, "[$-060000]yyyy-mm-dd")</f>
        <v/>
      </c>
      <c r="D6326" t="inlineStr">
        <is>
          <t>1335-07-04</t>
        </is>
      </c>
    </row>
    <row r="6327">
      <c r="A6327" s="1" t="n">
        <v>6326</v>
      </c>
      <c r="B6327">
        <f>TEXT(6326, "[$-170000]yyyy-mm-dd")</f>
        <v/>
      </c>
      <c r="C6327">
        <f>TEXT(6326, "[$-060000]yyyy-mm-dd")</f>
        <v/>
      </c>
      <c r="D6327" t="inlineStr">
        <is>
          <t>1335-07-05</t>
        </is>
      </c>
    </row>
    <row r="6328">
      <c r="A6328" s="1" t="n">
        <v>6327</v>
      </c>
      <c r="B6328">
        <f>TEXT(6327, "[$-170000]yyyy-mm-dd")</f>
        <v/>
      </c>
      <c r="C6328">
        <f>TEXT(6327, "[$-060000]yyyy-mm-dd")</f>
        <v/>
      </c>
      <c r="D6328" t="inlineStr">
        <is>
          <t>1335-07-06</t>
        </is>
      </c>
    </row>
    <row r="6329">
      <c r="A6329" s="1" t="n">
        <v>6328</v>
      </c>
      <c r="B6329">
        <f>TEXT(6328, "[$-170000]yyyy-mm-dd")</f>
        <v/>
      </c>
      <c r="C6329">
        <f>TEXT(6328, "[$-060000]yyyy-mm-dd")</f>
        <v/>
      </c>
      <c r="D6329" t="inlineStr">
        <is>
          <t>1335-07-07</t>
        </is>
      </c>
    </row>
    <row r="6330">
      <c r="A6330" s="1" t="n">
        <v>6329</v>
      </c>
      <c r="B6330">
        <f>TEXT(6329, "[$-170000]yyyy-mm-dd")</f>
        <v/>
      </c>
      <c r="C6330">
        <f>TEXT(6329, "[$-060000]yyyy-mm-dd")</f>
        <v/>
      </c>
      <c r="D6330" t="inlineStr">
        <is>
          <t>1335-07-08</t>
        </is>
      </c>
    </row>
    <row r="6331">
      <c r="A6331" s="1" t="n">
        <v>6330</v>
      </c>
      <c r="B6331">
        <f>TEXT(6330, "[$-170000]yyyy-mm-dd")</f>
        <v/>
      </c>
      <c r="C6331">
        <f>TEXT(6330, "[$-060000]yyyy-mm-dd")</f>
        <v/>
      </c>
      <c r="D6331" t="inlineStr">
        <is>
          <t>1335-07-09</t>
        </is>
      </c>
    </row>
    <row r="6332">
      <c r="A6332" s="1" t="n">
        <v>6331</v>
      </c>
      <c r="B6332">
        <f>TEXT(6331, "[$-170000]yyyy-mm-dd")</f>
        <v/>
      </c>
      <c r="C6332">
        <f>TEXT(6331, "[$-060000]yyyy-mm-dd")</f>
        <v/>
      </c>
      <c r="D6332" t="inlineStr">
        <is>
          <t>1335-07-10</t>
        </is>
      </c>
    </row>
    <row r="6333">
      <c r="A6333" s="1" t="n">
        <v>6332</v>
      </c>
      <c r="B6333">
        <f>TEXT(6332, "[$-170000]yyyy-mm-dd")</f>
        <v/>
      </c>
      <c r="C6333">
        <f>TEXT(6332, "[$-060000]yyyy-mm-dd")</f>
        <v/>
      </c>
      <c r="D6333" t="inlineStr">
        <is>
          <t>1335-07-11</t>
        </is>
      </c>
    </row>
    <row r="6334">
      <c r="A6334" s="1" t="n">
        <v>6333</v>
      </c>
      <c r="B6334">
        <f>TEXT(6333, "[$-170000]yyyy-mm-dd")</f>
        <v/>
      </c>
      <c r="C6334">
        <f>TEXT(6333, "[$-060000]yyyy-mm-dd")</f>
        <v/>
      </c>
      <c r="D6334" t="inlineStr">
        <is>
          <t>1335-07-12</t>
        </is>
      </c>
    </row>
    <row r="6335">
      <c r="A6335" s="1" t="n">
        <v>6334</v>
      </c>
      <c r="B6335">
        <f>TEXT(6334, "[$-170000]yyyy-mm-dd")</f>
        <v/>
      </c>
      <c r="C6335">
        <f>TEXT(6334, "[$-060000]yyyy-mm-dd")</f>
        <v/>
      </c>
      <c r="D6335" t="inlineStr">
        <is>
          <t>1335-07-13</t>
        </is>
      </c>
    </row>
    <row r="6336">
      <c r="A6336" s="1" t="n">
        <v>6335</v>
      </c>
      <c r="B6336">
        <f>TEXT(6335, "[$-170000]yyyy-mm-dd")</f>
        <v/>
      </c>
      <c r="C6336">
        <f>TEXT(6335, "[$-060000]yyyy-mm-dd")</f>
        <v/>
      </c>
      <c r="D6336" t="inlineStr">
        <is>
          <t>1335-07-14</t>
        </is>
      </c>
    </row>
    <row r="6337">
      <c r="A6337" s="1" t="n">
        <v>6336</v>
      </c>
      <c r="B6337">
        <f>TEXT(6336, "[$-170000]yyyy-mm-dd")</f>
        <v/>
      </c>
      <c r="C6337">
        <f>TEXT(6336, "[$-060000]yyyy-mm-dd")</f>
        <v/>
      </c>
      <c r="D6337" t="inlineStr">
        <is>
          <t>1335-07-15</t>
        </is>
      </c>
    </row>
    <row r="6338">
      <c r="A6338" s="1" t="n">
        <v>6337</v>
      </c>
      <c r="B6338">
        <f>TEXT(6337, "[$-170000]yyyy-mm-dd")</f>
        <v/>
      </c>
      <c r="C6338">
        <f>TEXT(6337, "[$-060000]yyyy-mm-dd")</f>
        <v/>
      </c>
      <c r="D6338" t="inlineStr">
        <is>
          <t>1335-07-16</t>
        </is>
      </c>
    </row>
    <row r="6339">
      <c r="A6339" s="1" t="n">
        <v>6338</v>
      </c>
      <c r="B6339">
        <f>TEXT(6338, "[$-170000]yyyy-mm-dd")</f>
        <v/>
      </c>
      <c r="C6339">
        <f>TEXT(6338, "[$-060000]yyyy-mm-dd")</f>
        <v/>
      </c>
      <c r="D6339" t="inlineStr">
        <is>
          <t>1335-07-17</t>
        </is>
      </c>
    </row>
    <row r="6340">
      <c r="A6340" s="1" t="n">
        <v>6339</v>
      </c>
      <c r="B6340">
        <f>TEXT(6339, "[$-170000]yyyy-mm-dd")</f>
        <v/>
      </c>
      <c r="C6340">
        <f>TEXT(6339, "[$-060000]yyyy-mm-dd")</f>
        <v/>
      </c>
      <c r="D6340" t="inlineStr">
        <is>
          <t>1335-07-18</t>
        </is>
      </c>
    </row>
    <row r="6341">
      <c r="A6341" s="1" t="n">
        <v>6340</v>
      </c>
      <c r="B6341">
        <f>TEXT(6340, "[$-170000]yyyy-mm-dd")</f>
        <v/>
      </c>
      <c r="C6341">
        <f>TEXT(6340, "[$-060000]yyyy-mm-dd")</f>
        <v/>
      </c>
      <c r="D6341" t="inlineStr">
        <is>
          <t>1335-07-19</t>
        </is>
      </c>
    </row>
    <row r="6342">
      <c r="A6342" s="1" t="n">
        <v>6341</v>
      </c>
      <c r="B6342">
        <f>TEXT(6341, "[$-170000]yyyy-mm-dd")</f>
        <v/>
      </c>
      <c r="C6342">
        <f>TEXT(6341, "[$-060000]yyyy-mm-dd")</f>
        <v/>
      </c>
      <c r="D6342" t="inlineStr">
        <is>
          <t>1335-07-20</t>
        </is>
      </c>
    </row>
    <row r="6343">
      <c r="A6343" s="1" t="n">
        <v>6342</v>
      </c>
      <c r="B6343">
        <f>TEXT(6342, "[$-170000]yyyy-mm-dd")</f>
        <v/>
      </c>
      <c r="C6343">
        <f>TEXT(6342, "[$-060000]yyyy-mm-dd")</f>
        <v/>
      </c>
      <c r="D6343" t="inlineStr">
        <is>
          <t>1335-07-21</t>
        </is>
      </c>
    </row>
    <row r="6344">
      <c r="A6344" s="1" t="n">
        <v>6343</v>
      </c>
      <c r="B6344">
        <f>TEXT(6343, "[$-170000]yyyy-mm-dd")</f>
        <v/>
      </c>
      <c r="C6344">
        <f>TEXT(6343, "[$-060000]yyyy-mm-dd")</f>
        <v/>
      </c>
      <c r="D6344" t="inlineStr">
        <is>
          <t>1335-07-22</t>
        </is>
      </c>
    </row>
    <row r="6345">
      <c r="A6345" s="1" t="n">
        <v>6344</v>
      </c>
      <c r="B6345">
        <f>TEXT(6344, "[$-170000]yyyy-mm-dd")</f>
        <v/>
      </c>
      <c r="C6345">
        <f>TEXT(6344, "[$-060000]yyyy-mm-dd")</f>
        <v/>
      </c>
      <c r="D6345" t="inlineStr">
        <is>
          <t>1335-07-23</t>
        </is>
      </c>
    </row>
    <row r="6346">
      <c r="A6346" s="1" t="n">
        <v>6345</v>
      </c>
      <c r="B6346">
        <f>TEXT(6345, "[$-170000]yyyy-mm-dd")</f>
        <v/>
      </c>
      <c r="C6346">
        <f>TEXT(6345, "[$-060000]yyyy-mm-dd")</f>
        <v/>
      </c>
      <c r="D6346" t="inlineStr">
        <is>
          <t>1335-07-24</t>
        </is>
      </c>
    </row>
    <row r="6347">
      <c r="A6347" s="1" t="n">
        <v>6346</v>
      </c>
      <c r="B6347">
        <f>TEXT(6346, "[$-170000]yyyy-mm-dd")</f>
        <v/>
      </c>
      <c r="C6347">
        <f>TEXT(6346, "[$-060000]yyyy-mm-dd")</f>
        <v/>
      </c>
      <c r="D6347" t="inlineStr">
        <is>
          <t>1335-07-25</t>
        </is>
      </c>
    </row>
    <row r="6348">
      <c r="A6348" s="1" t="n">
        <v>6347</v>
      </c>
      <c r="B6348">
        <f>TEXT(6347, "[$-170000]yyyy-mm-dd")</f>
        <v/>
      </c>
      <c r="C6348">
        <f>TEXT(6347, "[$-060000]yyyy-mm-dd")</f>
        <v/>
      </c>
      <c r="D6348" t="inlineStr">
        <is>
          <t>1335-07-26</t>
        </is>
      </c>
    </row>
    <row r="6349">
      <c r="A6349" s="1" t="n">
        <v>6348</v>
      </c>
      <c r="B6349">
        <f>TEXT(6348, "[$-170000]yyyy-mm-dd")</f>
        <v/>
      </c>
      <c r="C6349">
        <f>TEXT(6348, "[$-060000]yyyy-mm-dd")</f>
        <v/>
      </c>
      <c r="D6349" t="inlineStr">
        <is>
          <t>1335-07-27</t>
        </is>
      </c>
    </row>
    <row r="6350">
      <c r="A6350" s="1" t="n">
        <v>6349</v>
      </c>
      <c r="B6350">
        <f>TEXT(6349, "[$-170000]yyyy-mm-dd")</f>
        <v/>
      </c>
      <c r="C6350">
        <f>TEXT(6349, "[$-060000]yyyy-mm-dd")</f>
        <v/>
      </c>
      <c r="D6350" t="inlineStr">
        <is>
          <t>1335-07-28</t>
        </is>
      </c>
    </row>
    <row r="6351">
      <c r="A6351" s="1" t="n">
        <v>6350</v>
      </c>
      <c r="B6351">
        <f>TEXT(6350, "[$-170000]yyyy-mm-dd")</f>
        <v/>
      </c>
      <c r="C6351">
        <f>TEXT(6350, "[$-060000]yyyy-mm-dd")</f>
        <v/>
      </c>
      <c r="D6351" t="inlineStr">
        <is>
          <t>1335-07-29</t>
        </is>
      </c>
    </row>
    <row r="6352">
      <c r="A6352" s="1" t="n">
        <v>6351</v>
      </c>
      <c r="B6352">
        <f>TEXT(6351, "[$-170000]yyyy-mm-dd")</f>
        <v/>
      </c>
      <c r="C6352">
        <f>TEXT(6351, "[$-060000]yyyy-mm-dd")</f>
        <v/>
      </c>
      <c r="D6352" t="inlineStr">
        <is>
          <t>1335-07-30</t>
        </is>
      </c>
    </row>
    <row r="6353">
      <c r="A6353" s="1" t="n">
        <v>6352</v>
      </c>
      <c r="B6353">
        <f>TEXT(6352, "[$-170000]yyyy-mm-dd")</f>
        <v/>
      </c>
      <c r="C6353">
        <f>TEXT(6352, "[$-060000]yyyy-mm-dd")</f>
        <v/>
      </c>
      <c r="D6353" t="inlineStr">
        <is>
          <t>1335-08-01</t>
        </is>
      </c>
    </row>
    <row r="6354">
      <c r="A6354" s="1" t="n">
        <v>6353</v>
      </c>
      <c r="B6354">
        <f>TEXT(6353, "[$-170000]yyyy-mm-dd")</f>
        <v/>
      </c>
      <c r="C6354">
        <f>TEXT(6353, "[$-060000]yyyy-mm-dd")</f>
        <v/>
      </c>
      <c r="D6354" t="inlineStr">
        <is>
          <t>1335-08-02</t>
        </is>
      </c>
    </row>
    <row r="6355">
      <c r="A6355" s="1" t="n">
        <v>6354</v>
      </c>
      <c r="B6355">
        <f>TEXT(6354, "[$-170000]yyyy-mm-dd")</f>
        <v/>
      </c>
      <c r="C6355">
        <f>TEXT(6354, "[$-060000]yyyy-mm-dd")</f>
        <v/>
      </c>
      <c r="D6355" t="inlineStr">
        <is>
          <t>1335-08-03</t>
        </is>
      </c>
    </row>
    <row r="6356">
      <c r="A6356" s="1" t="n">
        <v>6355</v>
      </c>
      <c r="B6356">
        <f>TEXT(6355, "[$-170000]yyyy-mm-dd")</f>
        <v/>
      </c>
      <c r="C6356">
        <f>TEXT(6355, "[$-060000]yyyy-mm-dd")</f>
        <v/>
      </c>
      <c r="D6356" t="inlineStr">
        <is>
          <t>1335-08-04</t>
        </is>
      </c>
    </row>
    <row r="6357">
      <c r="A6357" s="1" t="n">
        <v>6356</v>
      </c>
      <c r="B6357">
        <f>TEXT(6356, "[$-170000]yyyy-mm-dd")</f>
        <v/>
      </c>
      <c r="C6357">
        <f>TEXT(6356, "[$-060000]yyyy-mm-dd")</f>
        <v/>
      </c>
      <c r="D6357" t="inlineStr">
        <is>
          <t>1335-08-05</t>
        </is>
      </c>
    </row>
    <row r="6358">
      <c r="A6358" s="1" t="n">
        <v>6357</v>
      </c>
      <c r="B6358">
        <f>TEXT(6357, "[$-170000]yyyy-mm-dd")</f>
        <v/>
      </c>
      <c r="C6358">
        <f>TEXT(6357, "[$-060000]yyyy-mm-dd")</f>
        <v/>
      </c>
      <c r="D6358" t="inlineStr">
        <is>
          <t>1335-08-06</t>
        </is>
      </c>
    </row>
    <row r="6359">
      <c r="A6359" s="1" t="n">
        <v>6358</v>
      </c>
      <c r="B6359">
        <f>TEXT(6358, "[$-170000]yyyy-mm-dd")</f>
        <v/>
      </c>
      <c r="C6359">
        <f>TEXT(6358, "[$-060000]yyyy-mm-dd")</f>
        <v/>
      </c>
      <c r="D6359" t="inlineStr">
        <is>
          <t>1335-08-07</t>
        </is>
      </c>
    </row>
    <row r="6360">
      <c r="A6360" s="1" t="n">
        <v>6359</v>
      </c>
      <c r="B6360">
        <f>TEXT(6359, "[$-170000]yyyy-mm-dd")</f>
        <v/>
      </c>
      <c r="C6360">
        <f>TEXT(6359, "[$-060000]yyyy-mm-dd")</f>
        <v/>
      </c>
      <c r="D6360" t="inlineStr">
        <is>
          <t>1335-08-08</t>
        </is>
      </c>
    </row>
    <row r="6361">
      <c r="A6361" s="1" t="n">
        <v>6360</v>
      </c>
      <c r="B6361">
        <f>TEXT(6360, "[$-170000]yyyy-mm-dd")</f>
        <v/>
      </c>
      <c r="C6361">
        <f>TEXT(6360, "[$-060000]yyyy-mm-dd")</f>
        <v/>
      </c>
      <c r="D6361" t="inlineStr">
        <is>
          <t>1335-08-09</t>
        </is>
      </c>
    </row>
    <row r="6362">
      <c r="A6362" s="1" t="n">
        <v>6361</v>
      </c>
      <c r="B6362">
        <f>TEXT(6361, "[$-170000]yyyy-mm-dd")</f>
        <v/>
      </c>
      <c r="C6362">
        <f>TEXT(6361, "[$-060000]yyyy-mm-dd")</f>
        <v/>
      </c>
      <c r="D6362" t="inlineStr">
        <is>
          <t>1335-08-10</t>
        </is>
      </c>
    </row>
    <row r="6363">
      <c r="A6363" s="1" t="n">
        <v>6362</v>
      </c>
      <c r="B6363">
        <f>TEXT(6362, "[$-170000]yyyy-mm-dd")</f>
        <v/>
      </c>
      <c r="C6363">
        <f>TEXT(6362, "[$-060000]yyyy-mm-dd")</f>
        <v/>
      </c>
      <c r="D6363" t="inlineStr">
        <is>
          <t>1335-08-11</t>
        </is>
      </c>
    </row>
    <row r="6364">
      <c r="A6364" s="1" t="n">
        <v>6363</v>
      </c>
      <c r="B6364">
        <f>TEXT(6363, "[$-170000]yyyy-mm-dd")</f>
        <v/>
      </c>
      <c r="C6364">
        <f>TEXT(6363, "[$-060000]yyyy-mm-dd")</f>
        <v/>
      </c>
      <c r="D6364" t="inlineStr">
        <is>
          <t>1335-08-12</t>
        </is>
      </c>
    </row>
    <row r="6365">
      <c r="A6365" s="1" t="n">
        <v>6364</v>
      </c>
      <c r="B6365">
        <f>TEXT(6364, "[$-170000]yyyy-mm-dd")</f>
        <v/>
      </c>
      <c r="C6365">
        <f>TEXT(6364, "[$-060000]yyyy-mm-dd")</f>
        <v/>
      </c>
      <c r="D6365" t="inlineStr">
        <is>
          <t>1335-08-13</t>
        </is>
      </c>
    </row>
    <row r="6366">
      <c r="A6366" s="1" t="n">
        <v>6365</v>
      </c>
      <c r="B6366">
        <f>TEXT(6365, "[$-170000]yyyy-mm-dd")</f>
        <v/>
      </c>
      <c r="C6366">
        <f>TEXT(6365, "[$-060000]yyyy-mm-dd")</f>
        <v/>
      </c>
      <c r="D6366" t="inlineStr">
        <is>
          <t>1335-08-14</t>
        </is>
      </c>
    </row>
    <row r="6367">
      <c r="A6367" s="1" t="n">
        <v>6366</v>
      </c>
      <c r="B6367">
        <f>TEXT(6366, "[$-170000]yyyy-mm-dd")</f>
        <v/>
      </c>
      <c r="C6367">
        <f>TEXT(6366, "[$-060000]yyyy-mm-dd")</f>
        <v/>
      </c>
      <c r="D6367" t="inlineStr">
        <is>
          <t>1335-08-15</t>
        </is>
      </c>
    </row>
    <row r="6368">
      <c r="A6368" s="1" t="n">
        <v>6367</v>
      </c>
      <c r="B6368">
        <f>TEXT(6367, "[$-170000]yyyy-mm-dd")</f>
        <v/>
      </c>
      <c r="C6368">
        <f>TEXT(6367, "[$-060000]yyyy-mm-dd")</f>
        <v/>
      </c>
      <c r="D6368" t="inlineStr">
        <is>
          <t>1335-08-16</t>
        </is>
      </c>
    </row>
    <row r="6369">
      <c r="A6369" s="1" t="n">
        <v>6368</v>
      </c>
      <c r="B6369">
        <f>TEXT(6368, "[$-170000]yyyy-mm-dd")</f>
        <v/>
      </c>
      <c r="C6369">
        <f>TEXT(6368, "[$-060000]yyyy-mm-dd")</f>
        <v/>
      </c>
      <c r="D6369" t="inlineStr">
        <is>
          <t>1335-08-17</t>
        </is>
      </c>
    </row>
    <row r="6370">
      <c r="A6370" s="1" t="n">
        <v>6369</v>
      </c>
      <c r="B6370">
        <f>TEXT(6369, "[$-170000]yyyy-mm-dd")</f>
        <v/>
      </c>
      <c r="C6370">
        <f>TEXT(6369, "[$-060000]yyyy-mm-dd")</f>
        <v/>
      </c>
      <c r="D6370" t="inlineStr">
        <is>
          <t>1335-08-18</t>
        </is>
      </c>
    </row>
    <row r="6371">
      <c r="A6371" s="1" t="n">
        <v>6370</v>
      </c>
      <c r="B6371">
        <f>TEXT(6370, "[$-170000]yyyy-mm-dd")</f>
        <v/>
      </c>
      <c r="C6371">
        <f>TEXT(6370, "[$-060000]yyyy-mm-dd")</f>
        <v/>
      </c>
      <c r="D6371" t="inlineStr">
        <is>
          <t>1335-08-19</t>
        </is>
      </c>
    </row>
    <row r="6372">
      <c r="A6372" s="1" t="n">
        <v>6371</v>
      </c>
      <c r="B6372">
        <f>TEXT(6371, "[$-170000]yyyy-mm-dd")</f>
        <v/>
      </c>
      <c r="C6372">
        <f>TEXT(6371, "[$-060000]yyyy-mm-dd")</f>
        <v/>
      </c>
      <c r="D6372" t="inlineStr">
        <is>
          <t>1335-08-20</t>
        </is>
      </c>
    </row>
    <row r="6373">
      <c r="A6373" s="1" t="n">
        <v>6372</v>
      </c>
      <c r="B6373">
        <f>TEXT(6372, "[$-170000]yyyy-mm-dd")</f>
        <v/>
      </c>
      <c r="C6373">
        <f>TEXT(6372, "[$-060000]yyyy-mm-dd")</f>
        <v/>
      </c>
      <c r="D6373" t="inlineStr">
        <is>
          <t>1335-08-21</t>
        </is>
      </c>
    </row>
    <row r="6374">
      <c r="A6374" s="1" t="n">
        <v>6373</v>
      </c>
      <c r="B6374">
        <f>TEXT(6373, "[$-170000]yyyy-mm-dd")</f>
        <v/>
      </c>
      <c r="C6374">
        <f>TEXT(6373, "[$-060000]yyyy-mm-dd")</f>
        <v/>
      </c>
      <c r="D6374" t="inlineStr">
        <is>
          <t>1335-08-22</t>
        </is>
      </c>
    </row>
    <row r="6375">
      <c r="A6375" s="1" t="n">
        <v>6374</v>
      </c>
      <c r="B6375">
        <f>TEXT(6374, "[$-170000]yyyy-mm-dd")</f>
        <v/>
      </c>
      <c r="C6375">
        <f>TEXT(6374, "[$-060000]yyyy-mm-dd")</f>
        <v/>
      </c>
      <c r="D6375" t="inlineStr">
        <is>
          <t>1335-08-23</t>
        </is>
      </c>
    </row>
    <row r="6376">
      <c r="A6376" s="1" t="n">
        <v>6375</v>
      </c>
      <c r="B6376">
        <f>TEXT(6375, "[$-170000]yyyy-mm-dd")</f>
        <v/>
      </c>
      <c r="C6376">
        <f>TEXT(6375, "[$-060000]yyyy-mm-dd")</f>
        <v/>
      </c>
      <c r="D6376" t="inlineStr">
        <is>
          <t>1335-08-24</t>
        </is>
      </c>
    </row>
    <row r="6377">
      <c r="A6377" s="1" t="n">
        <v>6376</v>
      </c>
      <c r="B6377">
        <f>TEXT(6376, "[$-170000]yyyy-mm-dd")</f>
        <v/>
      </c>
      <c r="C6377">
        <f>TEXT(6376, "[$-060000]yyyy-mm-dd")</f>
        <v/>
      </c>
      <c r="D6377" t="inlineStr">
        <is>
          <t>1335-08-25</t>
        </is>
      </c>
    </row>
    <row r="6378">
      <c r="A6378" s="1" t="n">
        <v>6377</v>
      </c>
      <c r="B6378">
        <f>TEXT(6377, "[$-170000]yyyy-mm-dd")</f>
        <v/>
      </c>
      <c r="C6378">
        <f>TEXT(6377, "[$-060000]yyyy-mm-dd")</f>
        <v/>
      </c>
      <c r="D6378" t="inlineStr">
        <is>
          <t>1335-08-26</t>
        </is>
      </c>
    </row>
    <row r="6379">
      <c r="A6379" s="1" t="n">
        <v>6378</v>
      </c>
      <c r="B6379">
        <f>TEXT(6378, "[$-170000]yyyy-mm-dd")</f>
        <v/>
      </c>
      <c r="C6379">
        <f>TEXT(6378, "[$-060000]yyyy-mm-dd")</f>
        <v/>
      </c>
      <c r="D6379" t="inlineStr">
        <is>
          <t>1335-08-27</t>
        </is>
      </c>
    </row>
    <row r="6380">
      <c r="A6380" s="1" t="n">
        <v>6379</v>
      </c>
      <c r="B6380">
        <f>TEXT(6379, "[$-170000]yyyy-mm-dd")</f>
        <v/>
      </c>
      <c r="C6380">
        <f>TEXT(6379, "[$-060000]yyyy-mm-dd")</f>
        <v/>
      </c>
      <c r="D6380" t="inlineStr">
        <is>
          <t>1335-08-28</t>
        </is>
      </c>
    </row>
    <row r="6381">
      <c r="A6381" s="1" t="n">
        <v>6380</v>
      </c>
      <c r="B6381">
        <f>TEXT(6380, "[$-170000]yyyy-mm-dd")</f>
        <v/>
      </c>
      <c r="C6381">
        <f>TEXT(6380, "[$-060000]yyyy-mm-dd")</f>
        <v/>
      </c>
      <c r="D6381" t="inlineStr">
        <is>
          <t>1335-08-29</t>
        </is>
      </c>
    </row>
    <row r="6382">
      <c r="A6382" s="1" t="n">
        <v>6381</v>
      </c>
      <c r="B6382">
        <f>TEXT(6381, "[$-170000]yyyy-mm-dd")</f>
        <v/>
      </c>
      <c r="C6382">
        <f>TEXT(6381, "[$-060000]yyyy-mm-dd")</f>
        <v/>
      </c>
      <c r="D6382" t="inlineStr">
        <is>
          <t>1335-09-01</t>
        </is>
      </c>
    </row>
    <row r="6383">
      <c r="A6383" s="1" t="n">
        <v>6382</v>
      </c>
      <c r="B6383">
        <f>TEXT(6382, "[$-170000]yyyy-mm-dd")</f>
        <v/>
      </c>
      <c r="C6383">
        <f>TEXT(6382, "[$-060000]yyyy-mm-dd")</f>
        <v/>
      </c>
      <c r="D6383" t="inlineStr">
        <is>
          <t>1335-09-02</t>
        </is>
      </c>
    </row>
    <row r="6384">
      <c r="A6384" s="1" t="n">
        <v>6383</v>
      </c>
      <c r="B6384">
        <f>TEXT(6383, "[$-170000]yyyy-mm-dd")</f>
        <v/>
      </c>
      <c r="C6384">
        <f>TEXT(6383, "[$-060000]yyyy-mm-dd")</f>
        <v/>
      </c>
      <c r="D6384" t="inlineStr">
        <is>
          <t>1335-09-03</t>
        </is>
      </c>
    </row>
    <row r="6385">
      <c r="A6385" s="1" t="n">
        <v>6384</v>
      </c>
      <c r="B6385">
        <f>TEXT(6384, "[$-170000]yyyy-mm-dd")</f>
        <v/>
      </c>
      <c r="C6385">
        <f>TEXT(6384, "[$-060000]yyyy-mm-dd")</f>
        <v/>
      </c>
      <c r="D6385" t="inlineStr">
        <is>
          <t>1335-09-04</t>
        </is>
      </c>
    </row>
    <row r="6386">
      <c r="A6386" s="1" t="n">
        <v>6385</v>
      </c>
      <c r="B6386">
        <f>TEXT(6385, "[$-170000]yyyy-mm-dd")</f>
        <v/>
      </c>
      <c r="C6386">
        <f>TEXT(6385, "[$-060000]yyyy-mm-dd")</f>
        <v/>
      </c>
      <c r="D6386" t="inlineStr">
        <is>
          <t>1335-09-05</t>
        </is>
      </c>
    </row>
    <row r="6387">
      <c r="A6387" s="1" t="n">
        <v>6386</v>
      </c>
      <c r="B6387">
        <f>TEXT(6386, "[$-170000]yyyy-mm-dd")</f>
        <v/>
      </c>
      <c r="C6387">
        <f>TEXT(6386, "[$-060000]yyyy-mm-dd")</f>
        <v/>
      </c>
      <c r="D6387" t="inlineStr">
        <is>
          <t>1335-09-06</t>
        </is>
      </c>
    </row>
    <row r="6388">
      <c r="A6388" s="1" t="n">
        <v>6387</v>
      </c>
      <c r="B6388">
        <f>TEXT(6387, "[$-170000]yyyy-mm-dd")</f>
        <v/>
      </c>
      <c r="C6388">
        <f>TEXT(6387, "[$-060000]yyyy-mm-dd")</f>
        <v/>
      </c>
      <c r="D6388" t="inlineStr">
        <is>
          <t>1335-09-07</t>
        </is>
      </c>
    </row>
    <row r="6389">
      <c r="A6389" s="1" t="n">
        <v>6388</v>
      </c>
      <c r="B6389">
        <f>TEXT(6388, "[$-170000]yyyy-mm-dd")</f>
        <v/>
      </c>
      <c r="C6389">
        <f>TEXT(6388, "[$-060000]yyyy-mm-dd")</f>
        <v/>
      </c>
      <c r="D6389" t="inlineStr">
        <is>
          <t>1335-09-08</t>
        </is>
      </c>
    </row>
    <row r="6390">
      <c r="A6390" s="1" t="n">
        <v>6389</v>
      </c>
      <c r="B6390">
        <f>TEXT(6389, "[$-170000]yyyy-mm-dd")</f>
        <v/>
      </c>
      <c r="C6390">
        <f>TEXT(6389, "[$-060000]yyyy-mm-dd")</f>
        <v/>
      </c>
      <c r="D6390" t="inlineStr">
        <is>
          <t>1335-09-09</t>
        </is>
      </c>
    </row>
    <row r="6391">
      <c r="A6391" s="1" t="n">
        <v>6390</v>
      </c>
      <c r="B6391">
        <f>TEXT(6390, "[$-170000]yyyy-mm-dd")</f>
        <v/>
      </c>
      <c r="C6391">
        <f>TEXT(6390, "[$-060000]yyyy-mm-dd")</f>
        <v/>
      </c>
      <c r="D6391" t="inlineStr">
        <is>
          <t>1335-09-10</t>
        </is>
      </c>
    </row>
    <row r="6392">
      <c r="A6392" s="1" t="n">
        <v>6391</v>
      </c>
      <c r="B6392">
        <f>TEXT(6391, "[$-170000]yyyy-mm-dd")</f>
        <v/>
      </c>
      <c r="C6392">
        <f>TEXT(6391, "[$-060000]yyyy-mm-dd")</f>
        <v/>
      </c>
      <c r="D6392" t="inlineStr">
        <is>
          <t>1335-09-11</t>
        </is>
      </c>
    </row>
    <row r="6393">
      <c r="A6393" s="1" t="n">
        <v>6392</v>
      </c>
      <c r="B6393">
        <f>TEXT(6392, "[$-170000]yyyy-mm-dd")</f>
        <v/>
      </c>
      <c r="C6393">
        <f>TEXT(6392, "[$-060000]yyyy-mm-dd")</f>
        <v/>
      </c>
      <c r="D6393" t="inlineStr">
        <is>
          <t>1335-09-12</t>
        </is>
      </c>
    </row>
    <row r="6394">
      <c r="A6394" s="1" t="n">
        <v>6393</v>
      </c>
      <c r="B6394">
        <f>TEXT(6393, "[$-170000]yyyy-mm-dd")</f>
        <v/>
      </c>
      <c r="C6394">
        <f>TEXT(6393, "[$-060000]yyyy-mm-dd")</f>
        <v/>
      </c>
      <c r="D6394" t="inlineStr">
        <is>
          <t>1335-09-13</t>
        </is>
      </c>
    </row>
    <row r="6395">
      <c r="A6395" s="1" t="n">
        <v>6394</v>
      </c>
      <c r="B6395">
        <f>TEXT(6394, "[$-170000]yyyy-mm-dd")</f>
        <v/>
      </c>
      <c r="C6395">
        <f>TEXT(6394, "[$-060000]yyyy-mm-dd")</f>
        <v/>
      </c>
      <c r="D6395" t="inlineStr">
        <is>
          <t>1335-09-14</t>
        </is>
      </c>
    </row>
    <row r="6396">
      <c r="A6396" s="1" t="n">
        <v>6395</v>
      </c>
      <c r="B6396">
        <f>TEXT(6395, "[$-170000]yyyy-mm-dd")</f>
        <v/>
      </c>
      <c r="C6396">
        <f>TEXT(6395, "[$-060000]yyyy-mm-dd")</f>
        <v/>
      </c>
      <c r="D6396" t="inlineStr">
        <is>
          <t>1335-09-15</t>
        </is>
      </c>
    </row>
    <row r="6397">
      <c r="A6397" s="1" t="n">
        <v>6396</v>
      </c>
      <c r="B6397">
        <f>TEXT(6396, "[$-170000]yyyy-mm-dd")</f>
        <v/>
      </c>
      <c r="C6397">
        <f>TEXT(6396, "[$-060000]yyyy-mm-dd")</f>
        <v/>
      </c>
      <c r="D6397" t="inlineStr">
        <is>
          <t>1335-09-16</t>
        </is>
      </c>
    </row>
    <row r="6398">
      <c r="A6398" s="1" t="n">
        <v>6397</v>
      </c>
      <c r="B6398">
        <f>TEXT(6397, "[$-170000]yyyy-mm-dd")</f>
        <v/>
      </c>
      <c r="C6398">
        <f>TEXT(6397, "[$-060000]yyyy-mm-dd")</f>
        <v/>
      </c>
      <c r="D6398" t="inlineStr">
        <is>
          <t>1335-09-17</t>
        </is>
      </c>
    </row>
    <row r="6399">
      <c r="A6399" s="1" t="n">
        <v>6398</v>
      </c>
      <c r="B6399">
        <f>TEXT(6398, "[$-170000]yyyy-mm-dd")</f>
        <v/>
      </c>
      <c r="C6399">
        <f>TEXT(6398, "[$-060000]yyyy-mm-dd")</f>
        <v/>
      </c>
      <c r="D6399" t="inlineStr">
        <is>
          <t>1335-09-18</t>
        </is>
      </c>
    </row>
    <row r="6400">
      <c r="A6400" s="1" t="n">
        <v>6399</v>
      </c>
      <c r="B6400">
        <f>TEXT(6399, "[$-170000]yyyy-mm-dd")</f>
        <v/>
      </c>
      <c r="C6400">
        <f>TEXT(6399, "[$-060000]yyyy-mm-dd")</f>
        <v/>
      </c>
      <c r="D6400" t="inlineStr">
        <is>
          <t>1335-09-19</t>
        </is>
      </c>
    </row>
    <row r="6401">
      <c r="A6401" s="1" t="n">
        <v>6400</v>
      </c>
      <c r="B6401">
        <f>TEXT(6400, "[$-170000]yyyy-mm-dd")</f>
        <v/>
      </c>
      <c r="C6401">
        <f>TEXT(6400, "[$-060000]yyyy-mm-dd")</f>
        <v/>
      </c>
      <c r="D6401" t="inlineStr">
        <is>
          <t>1335-09-20</t>
        </is>
      </c>
    </row>
    <row r="6402">
      <c r="A6402" s="1" t="n">
        <v>6401</v>
      </c>
      <c r="B6402">
        <f>TEXT(6401, "[$-170000]yyyy-mm-dd")</f>
        <v/>
      </c>
      <c r="C6402">
        <f>TEXT(6401, "[$-060000]yyyy-mm-dd")</f>
        <v/>
      </c>
      <c r="D6402" t="inlineStr">
        <is>
          <t>1335-09-21</t>
        </is>
      </c>
    </row>
    <row r="6403">
      <c r="A6403" s="1" t="n">
        <v>6402</v>
      </c>
      <c r="B6403">
        <f>TEXT(6402, "[$-170000]yyyy-mm-dd")</f>
        <v/>
      </c>
      <c r="C6403">
        <f>TEXT(6402, "[$-060000]yyyy-mm-dd")</f>
        <v/>
      </c>
      <c r="D6403" t="inlineStr">
        <is>
          <t>1335-09-22</t>
        </is>
      </c>
    </row>
    <row r="6404">
      <c r="A6404" s="1" t="n">
        <v>6403</v>
      </c>
      <c r="B6404">
        <f>TEXT(6403, "[$-170000]yyyy-mm-dd")</f>
        <v/>
      </c>
      <c r="C6404">
        <f>TEXT(6403, "[$-060000]yyyy-mm-dd")</f>
        <v/>
      </c>
      <c r="D6404" t="inlineStr">
        <is>
          <t>1335-09-23</t>
        </is>
      </c>
    </row>
    <row r="6405">
      <c r="A6405" s="1" t="n">
        <v>6404</v>
      </c>
      <c r="B6405">
        <f>TEXT(6404, "[$-170000]yyyy-mm-dd")</f>
        <v/>
      </c>
      <c r="C6405">
        <f>TEXT(6404, "[$-060000]yyyy-mm-dd")</f>
        <v/>
      </c>
      <c r="D6405" t="inlineStr">
        <is>
          <t>1335-09-24</t>
        </is>
      </c>
    </row>
    <row r="6406">
      <c r="A6406" s="1" t="n">
        <v>6405</v>
      </c>
      <c r="B6406">
        <f>TEXT(6405, "[$-170000]yyyy-mm-dd")</f>
        <v/>
      </c>
      <c r="C6406">
        <f>TEXT(6405, "[$-060000]yyyy-mm-dd")</f>
        <v/>
      </c>
      <c r="D6406" t="inlineStr">
        <is>
          <t>1335-09-25</t>
        </is>
      </c>
    </row>
    <row r="6407">
      <c r="A6407" s="1" t="n">
        <v>6406</v>
      </c>
      <c r="B6407">
        <f>TEXT(6406, "[$-170000]yyyy-mm-dd")</f>
        <v/>
      </c>
      <c r="C6407">
        <f>TEXT(6406, "[$-060000]yyyy-mm-dd")</f>
        <v/>
      </c>
      <c r="D6407" t="inlineStr">
        <is>
          <t>1335-09-26</t>
        </is>
      </c>
    </row>
    <row r="6408">
      <c r="A6408" s="1" t="n">
        <v>6407</v>
      </c>
      <c r="B6408">
        <f>TEXT(6407, "[$-170000]yyyy-mm-dd")</f>
        <v/>
      </c>
      <c r="C6408">
        <f>TEXT(6407, "[$-060000]yyyy-mm-dd")</f>
        <v/>
      </c>
      <c r="D6408" t="inlineStr">
        <is>
          <t>1335-09-27</t>
        </is>
      </c>
    </row>
    <row r="6409">
      <c r="A6409" s="1" t="n">
        <v>6408</v>
      </c>
      <c r="B6409">
        <f>TEXT(6408, "[$-170000]yyyy-mm-dd")</f>
        <v/>
      </c>
      <c r="C6409">
        <f>TEXT(6408, "[$-060000]yyyy-mm-dd")</f>
        <v/>
      </c>
      <c r="D6409" t="inlineStr">
        <is>
          <t>1335-09-28</t>
        </is>
      </c>
    </row>
    <row r="6410">
      <c r="A6410" s="1" t="n">
        <v>6409</v>
      </c>
      <c r="B6410">
        <f>TEXT(6409, "[$-170000]yyyy-mm-dd")</f>
        <v/>
      </c>
      <c r="C6410">
        <f>TEXT(6409, "[$-060000]yyyy-mm-dd")</f>
        <v/>
      </c>
      <c r="D6410" t="inlineStr">
        <is>
          <t>1335-09-29</t>
        </is>
      </c>
    </row>
    <row r="6411">
      <c r="A6411" s="1" t="n">
        <v>6410</v>
      </c>
      <c r="B6411">
        <f>TEXT(6410, "[$-170000]yyyy-mm-dd")</f>
        <v/>
      </c>
      <c r="C6411">
        <f>TEXT(6410, "[$-060000]yyyy-mm-dd")</f>
        <v/>
      </c>
      <c r="D6411" t="inlineStr">
        <is>
          <t>1335-09-30</t>
        </is>
      </c>
    </row>
    <row r="6412">
      <c r="A6412" s="1" t="n">
        <v>6411</v>
      </c>
      <c r="B6412">
        <f>TEXT(6411, "[$-170000]yyyy-mm-dd")</f>
        <v/>
      </c>
      <c r="C6412">
        <f>TEXT(6411, "[$-060000]yyyy-mm-dd")</f>
        <v/>
      </c>
      <c r="D6412" t="inlineStr">
        <is>
          <t>1335-10-01</t>
        </is>
      </c>
    </row>
    <row r="6413">
      <c r="A6413" s="1" t="n">
        <v>6412</v>
      </c>
      <c r="B6413">
        <f>TEXT(6412, "[$-170000]yyyy-mm-dd")</f>
        <v/>
      </c>
      <c r="C6413">
        <f>TEXT(6412, "[$-060000]yyyy-mm-dd")</f>
        <v/>
      </c>
      <c r="D6413" t="inlineStr">
        <is>
          <t>1335-10-02</t>
        </is>
      </c>
    </row>
    <row r="6414">
      <c r="A6414" s="1" t="n">
        <v>6413</v>
      </c>
      <c r="B6414">
        <f>TEXT(6413, "[$-170000]yyyy-mm-dd")</f>
        <v/>
      </c>
      <c r="C6414">
        <f>TEXT(6413, "[$-060000]yyyy-mm-dd")</f>
        <v/>
      </c>
      <c r="D6414" t="inlineStr">
        <is>
          <t>1335-10-03</t>
        </is>
      </c>
    </row>
    <row r="6415">
      <c r="A6415" s="1" t="n">
        <v>6414</v>
      </c>
      <c r="B6415">
        <f>TEXT(6414, "[$-170000]yyyy-mm-dd")</f>
        <v/>
      </c>
      <c r="C6415">
        <f>TEXT(6414, "[$-060000]yyyy-mm-dd")</f>
        <v/>
      </c>
      <c r="D6415" t="inlineStr">
        <is>
          <t>1335-10-04</t>
        </is>
      </c>
    </row>
    <row r="6416">
      <c r="A6416" s="1" t="n">
        <v>6415</v>
      </c>
      <c r="B6416">
        <f>TEXT(6415, "[$-170000]yyyy-mm-dd")</f>
        <v/>
      </c>
      <c r="C6416">
        <f>TEXT(6415, "[$-060000]yyyy-mm-dd")</f>
        <v/>
      </c>
      <c r="D6416" t="inlineStr">
        <is>
          <t>1335-10-05</t>
        </is>
      </c>
    </row>
    <row r="6417">
      <c r="A6417" s="1" t="n">
        <v>6416</v>
      </c>
      <c r="B6417">
        <f>TEXT(6416, "[$-170000]yyyy-mm-dd")</f>
        <v/>
      </c>
      <c r="C6417">
        <f>TEXT(6416, "[$-060000]yyyy-mm-dd")</f>
        <v/>
      </c>
      <c r="D6417" t="inlineStr">
        <is>
          <t>1335-10-06</t>
        </is>
      </c>
    </row>
    <row r="6418">
      <c r="A6418" s="1" t="n">
        <v>6417</v>
      </c>
      <c r="B6418">
        <f>TEXT(6417, "[$-170000]yyyy-mm-dd")</f>
        <v/>
      </c>
      <c r="C6418">
        <f>TEXT(6417, "[$-060000]yyyy-mm-dd")</f>
        <v/>
      </c>
      <c r="D6418" t="inlineStr">
        <is>
          <t>1335-10-07</t>
        </is>
      </c>
    </row>
    <row r="6419">
      <c r="A6419" s="1" t="n">
        <v>6418</v>
      </c>
      <c r="B6419">
        <f>TEXT(6418, "[$-170000]yyyy-mm-dd")</f>
        <v/>
      </c>
      <c r="C6419">
        <f>TEXT(6418, "[$-060000]yyyy-mm-dd")</f>
        <v/>
      </c>
      <c r="D6419" t="inlineStr">
        <is>
          <t>1335-10-08</t>
        </is>
      </c>
    </row>
    <row r="6420">
      <c r="A6420" s="1" t="n">
        <v>6419</v>
      </c>
      <c r="B6420">
        <f>TEXT(6419, "[$-170000]yyyy-mm-dd")</f>
        <v/>
      </c>
      <c r="C6420">
        <f>TEXT(6419, "[$-060000]yyyy-mm-dd")</f>
        <v/>
      </c>
      <c r="D6420" t="inlineStr">
        <is>
          <t>1335-10-09</t>
        </is>
      </c>
    </row>
    <row r="6421">
      <c r="A6421" s="1" t="n">
        <v>6420</v>
      </c>
      <c r="B6421">
        <f>TEXT(6420, "[$-170000]yyyy-mm-dd")</f>
        <v/>
      </c>
      <c r="C6421">
        <f>TEXT(6420, "[$-060000]yyyy-mm-dd")</f>
        <v/>
      </c>
      <c r="D6421" t="inlineStr">
        <is>
          <t>1335-10-10</t>
        </is>
      </c>
    </row>
    <row r="6422">
      <c r="A6422" s="1" t="n">
        <v>6421</v>
      </c>
      <c r="B6422">
        <f>TEXT(6421, "[$-170000]yyyy-mm-dd")</f>
        <v/>
      </c>
      <c r="C6422">
        <f>TEXT(6421, "[$-060000]yyyy-mm-dd")</f>
        <v/>
      </c>
      <c r="D6422" t="inlineStr">
        <is>
          <t>1335-10-11</t>
        </is>
      </c>
    </row>
    <row r="6423">
      <c r="A6423" s="1" t="n">
        <v>6422</v>
      </c>
      <c r="B6423">
        <f>TEXT(6422, "[$-170000]yyyy-mm-dd")</f>
        <v/>
      </c>
      <c r="C6423">
        <f>TEXT(6422, "[$-060000]yyyy-mm-dd")</f>
        <v/>
      </c>
      <c r="D6423" t="inlineStr">
        <is>
          <t>1335-10-12</t>
        </is>
      </c>
    </row>
    <row r="6424">
      <c r="A6424" s="1" t="n">
        <v>6423</v>
      </c>
      <c r="B6424">
        <f>TEXT(6423, "[$-170000]yyyy-mm-dd")</f>
        <v/>
      </c>
      <c r="C6424">
        <f>TEXT(6423, "[$-060000]yyyy-mm-dd")</f>
        <v/>
      </c>
      <c r="D6424" t="inlineStr">
        <is>
          <t>1335-10-13</t>
        </is>
      </c>
    </row>
    <row r="6425">
      <c r="A6425" s="1" t="n">
        <v>6424</v>
      </c>
      <c r="B6425">
        <f>TEXT(6424, "[$-170000]yyyy-mm-dd")</f>
        <v/>
      </c>
      <c r="C6425">
        <f>TEXT(6424, "[$-060000]yyyy-mm-dd")</f>
        <v/>
      </c>
      <c r="D6425" t="inlineStr">
        <is>
          <t>1335-10-14</t>
        </is>
      </c>
    </row>
    <row r="6426">
      <c r="A6426" s="1" t="n">
        <v>6425</v>
      </c>
      <c r="B6426">
        <f>TEXT(6425, "[$-170000]yyyy-mm-dd")</f>
        <v/>
      </c>
      <c r="C6426">
        <f>TEXT(6425, "[$-060000]yyyy-mm-dd")</f>
        <v/>
      </c>
      <c r="D6426" t="inlineStr">
        <is>
          <t>1335-10-15</t>
        </is>
      </c>
    </row>
    <row r="6427">
      <c r="A6427" s="1" t="n">
        <v>6426</v>
      </c>
      <c r="B6427">
        <f>TEXT(6426, "[$-170000]yyyy-mm-dd")</f>
        <v/>
      </c>
      <c r="C6427">
        <f>TEXT(6426, "[$-060000]yyyy-mm-dd")</f>
        <v/>
      </c>
      <c r="D6427" t="inlineStr">
        <is>
          <t>1335-10-16</t>
        </is>
      </c>
    </row>
    <row r="6428">
      <c r="A6428" s="1" t="n">
        <v>6427</v>
      </c>
      <c r="B6428">
        <f>TEXT(6427, "[$-170000]yyyy-mm-dd")</f>
        <v/>
      </c>
      <c r="C6428">
        <f>TEXT(6427, "[$-060000]yyyy-mm-dd")</f>
        <v/>
      </c>
      <c r="D6428" t="inlineStr">
        <is>
          <t>1335-10-17</t>
        </is>
      </c>
    </row>
    <row r="6429">
      <c r="A6429" s="1" t="n">
        <v>6428</v>
      </c>
      <c r="B6429">
        <f>TEXT(6428, "[$-170000]yyyy-mm-dd")</f>
        <v/>
      </c>
      <c r="C6429">
        <f>TEXT(6428, "[$-060000]yyyy-mm-dd")</f>
        <v/>
      </c>
      <c r="D6429" t="inlineStr">
        <is>
          <t>1335-10-18</t>
        </is>
      </c>
    </row>
    <row r="6430">
      <c r="A6430" s="1" t="n">
        <v>6429</v>
      </c>
      <c r="B6430">
        <f>TEXT(6429, "[$-170000]yyyy-mm-dd")</f>
        <v/>
      </c>
      <c r="C6430">
        <f>TEXT(6429, "[$-060000]yyyy-mm-dd")</f>
        <v/>
      </c>
      <c r="D6430" t="inlineStr">
        <is>
          <t>1335-10-19</t>
        </is>
      </c>
    </row>
    <row r="6431">
      <c r="A6431" s="1" t="n">
        <v>6430</v>
      </c>
      <c r="B6431">
        <f>TEXT(6430, "[$-170000]yyyy-mm-dd")</f>
        <v/>
      </c>
      <c r="C6431">
        <f>TEXT(6430, "[$-060000]yyyy-mm-dd")</f>
        <v/>
      </c>
      <c r="D6431" t="inlineStr">
        <is>
          <t>1335-10-20</t>
        </is>
      </c>
    </row>
    <row r="6432">
      <c r="A6432" s="1" t="n">
        <v>6431</v>
      </c>
      <c r="B6432">
        <f>TEXT(6431, "[$-170000]yyyy-mm-dd")</f>
        <v/>
      </c>
      <c r="C6432">
        <f>TEXT(6431, "[$-060000]yyyy-mm-dd")</f>
        <v/>
      </c>
      <c r="D6432" t="inlineStr">
        <is>
          <t>1335-10-21</t>
        </is>
      </c>
    </row>
    <row r="6433">
      <c r="A6433" s="1" t="n">
        <v>6432</v>
      </c>
      <c r="B6433">
        <f>TEXT(6432, "[$-170000]yyyy-mm-dd")</f>
        <v/>
      </c>
      <c r="C6433">
        <f>TEXT(6432, "[$-060000]yyyy-mm-dd")</f>
        <v/>
      </c>
      <c r="D6433" t="inlineStr">
        <is>
          <t>1335-10-22</t>
        </is>
      </c>
    </row>
    <row r="6434">
      <c r="A6434" s="1" t="n">
        <v>6433</v>
      </c>
      <c r="B6434">
        <f>TEXT(6433, "[$-170000]yyyy-mm-dd")</f>
        <v/>
      </c>
      <c r="C6434">
        <f>TEXT(6433, "[$-060000]yyyy-mm-dd")</f>
        <v/>
      </c>
      <c r="D6434" t="inlineStr">
        <is>
          <t>1335-10-23</t>
        </is>
      </c>
    </row>
    <row r="6435">
      <c r="A6435" s="1" t="n">
        <v>6434</v>
      </c>
      <c r="B6435">
        <f>TEXT(6434, "[$-170000]yyyy-mm-dd")</f>
        <v/>
      </c>
      <c r="C6435">
        <f>TEXT(6434, "[$-060000]yyyy-mm-dd")</f>
        <v/>
      </c>
      <c r="D6435" t="inlineStr">
        <is>
          <t>1335-10-24</t>
        </is>
      </c>
    </row>
    <row r="6436">
      <c r="A6436" s="1" t="n">
        <v>6435</v>
      </c>
      <c r="B6436">
        <f>TEXT(6435, "[$-170000]yyyy-mm-dd")</f>
        <v/>
      </c>
      <c r="C6436">
        <f>TEXT(6435, "[$-060000]yyyy-mm-dd")</f>
        <v/>
      </c>
      <c r="D6436" t="inlineStr">
        <is>
          <t>1335-10-25</t>
        </is>
      </c>
    </row>
    <row r="6437">
      <c r="A6437" s="1" t="n">
        <v>6436</v>
      </c>
      <c r="B6437">
        <f>TEXT(6436, "[$-170000]yyyy-mm-dd")</f>
        <v/>
      </c>
      <c r="C6437">
        <f>TEXT(6436, "[$-060000]yyyy-mm-dd")</f>
        <v/>
      </c>
      <c r="D6437" t="inlineStr">
        <is>
          <t>1335-10-26</t>
        </is>
      </c>
    </row>
    <row r="6438">
      <c r="A6438" s="1" t="n">
        <v>6437</v>
      </c>
      <c r="B6438">
        <f>TEXT(6437, "[$-170000]yyyy-mm-dd")</f>
        <v/>
      </c>
      <c r="C6438">
        <f>TEXT(6437, "[$-060000]yyyy-mm-dd")</f>
        <v/>
      </c>
      <c r="D6438" t="inlineStr">
        <is>
          <t>1335-10-27</t>
        </is>
      </c>
    </row>
    <row r="6439">
      <c r="A6439" s="1" t="n">
        <v>6438</v>
      </c>
      <c r="B6439">
        <f>TEXT(6438, "[$-170000]yyyy-mm-dd")</f>
        <v/>
      </c>
      <c r="C6439">
        <f>TEXT(6438, "[$-060000]yyyy-mm-dd")</f>
        <v/>
      </c>
      <c r="D6439" t="inlineStr">
        <is>
          <t>1335-10-28</t>
        </is>
      </c>
    </row>
    <row r="6440">
      <c r="A6440" s="1" t="n">
        <v>6439</v>
      </c>
      <c r="B6440">
        <f>TEXT(6439, "[$-170000]yyyy-mm-dd")</f>
        <v/>
      </c>
      <c r="C6440">
        <f>TEXT(6439, "[$-060000]yyyy-mm-dd")</f>
        <v/>
      </c>
      <c r="D6440" t="inlineStr">
        <is>
          <t>1335-10-29</t>
        </is>
      </c>
    </row>
    <row r="6441">
      <c r="A6441" s="1" t="n">
        <v>6440</v>
      </c>
      <c r="B6441">
        <f>TEXT(6440, "[$-170000]yyyy-mm-dd")</f>
        <v/>
      </c>
      <c r="C6441">
        <f>TEXT(6440, "[$-060000]yyyy-mm-dd")</f>
        <v/>
      </c>
      <c r="D6441" t="inlineStr">
        <is>
          <t>1335-11-01</t>
        </is>
      </c>
    </row>
    <row r="6442">
      <c r="A6442" s="1" t="n">
        <v>6441</v>
      </c>
      <c r="B6442">
        <f>TEXT(6441, "[$-170000]yyyy-mm-dd")</f>
        <v/>
      </c>
      <c r="C6442">
        <f>TEXT(6441, "[$-060000]yyyy-mm-dd")</f>
        <v/>
      </c>
      <c r="D6442" t="inlineStr">
        <is>
          <t>1335-11-02</t>
        </is>
      </c>
    </row>
    <row r="6443">
      <c r="A6443" s="1" t="n">
        <v>6442</v>
      </c>
      <c r="B6443">
        <f>TEXT(6442, "[$-170000]yyyy-mm-dd")</f>
        <v/>
      </c>
      <c r="C6443">
        <f>TEXT(6442, "[$-060000]yyyy-mm-dd")</f>
        <v/>
      </c>
      <c r="D6443" t="inlineStr">
        <is>
          <t>1335-11-03</t>
        </is>
      </c>
    </row>
    <row r="6444">
      <c r="A6444" s="1" t="n">
        <v>6443</v>
      </c>
      <c r="B6444">
        <f>TEXT(6443, "[$-170000]yyyy-mm-dd")</f>
        <v/>
      </c>
      <c r="C6444">
        <f>TEXT(6443, "[$-060000]yyyy-mm-dd")</f>
        <v/>
      </c>
      <c r="D6444" t="inlineStr">
        <is>
          <t>1335-11-04</t>
        </is>
      </c>
    </row>
    <row r="6445">
      <c r="A6445" s="1" t="n">
        <v>6444</v>
      </c>
      <c r="B6445">
        <f>TEXT(6444, "[$-170000]yyyy-mm-dd")</f>
        <v/>
      </c>
      <c r="C6445">
        <f>TEXT(6444, "[$-060000]yyyy-mm-dd")</f>
        <v/>
      </c>
      <c r="D6445" t="inlineStr">
        <is>
          <t>1335-11-05</t>
        </is>
      </c>
    </row>
    <row r="6446">
      <c r="A6446" s="1" t="n">
        <v>6445</v>
      </c>
      <c r="B6446">
        <f>TEXT(6445, "[$-170000]yyyy-mm-dd")</f>
        <v/>
      </c>
      <c r="C6446">
        <f>TEXT(6445, "[$-060000]yyyy-mm-dd")</f>
        <v/>
      </c>
      <c r="D6446" t="inlineStr">
        <is>
          <t>1335-11-06</t>
        </is>
      </c>
    </row>
    <row r="6447">
      <c r="A6447" s="1" t="n">
        <v>6446</v>
      </c>
      <c r="B6447">
        <f>TEXT(6446, "[$-170000]yyyy-mm-dd")</f>
        <v/>
      </c>
      <c r="C6447">
        <f>TEXT(6446, "[$-060000]yyyy-mm-dd")</f>
        <v/>
      </c>
      <c r="D6447" t="inlineStr">
        <is>
          <t>1335-11-07</t>
        </is>
      </c>
    </row>
    <row r="6448">
      <c r="A6448" s="1" t="n">
        <v>6447</v>
      </c>
      <c r="B6448">
        <f>TEXT(6447, "[$-170000]yyyy-mm-dd")</f>
        <v/>
      </c>
      <c r="C6448">
        <f>TEXT(6447, "[$-060000]yyyy-mm-dd")</f>
        <v/>
      </c>
      <c r="D6448" t="inlineStr">
        <is>
          <t>1335-11-08</t>
        </is>
      </c>
    </row>
    <row r="6449">
      <c r="A6449" s="1" t="n">
        <v>6448</v>
      </c>
      <c r="B6449">
        <f>TEXT(6448, "[$-170000]yyyy-mm-dd")</f>
        <v/>
      </c>
      <c r="C6449">
        <f>TEXT(6448, "[$-060000]yyyy-mm-dd")</f>
        <v/>
      </c>
      <c r="D6449" t="inlineStr">
        <is>
          <t>1335-11-09</t>
        </is>
      </c>
    </row>
    <row r="6450">
      <c r="A6450" s="1" t="n">
        <v>6449</v>
      </c>
      <c r="B6450">
        <f>TEXT(6449, "[$-170000]yyyy-mm-dd")</f>
        <v/>
      </c>
      <c r="C6450">
        <f>TEXT(6449, "[$-060000]yyyy-mm-dd")</f>
        <v/>
      </c>
      <c r="D6450" t="inlineStr">
        <is>
          <t>1335-11-10</t>
        </is>
      </c>
    </row>
    <row r="6451">
      <c r="A6451" s="1" t="n">
        <v>6450</v>
      </c>
      <c r="B6451">
        <f>TEXT(6450, "[$-170000]yyyy-mm-dd")</f>
        <v/>
      </c>
      <c r="C6451">
        <f>TEXT(6450, "[$-060000]yyyy-mm-dd")</f>
        <v/>
      </c>
      <c r="D6451" t="inlineStr">
        <is>
          <t>1335-11-11</t>
        </is>
      </c>
    </row>
    <row r="6452">
      <c r="A6452" s="1" t="n">
        <v>6451</v>
      </c>
      <c r="B6452">
        <f>TEXT(6451, "[$-170000]yyyy-mm-dd")</f>
        <v/>
      </c>
      <c r="C6452">
        <f>TEXT(6451, "[$-060000]yyyy-mm-dd")</f>
        <v/>
      </c>
      <c r="D6452" t="inlineStr">
        <is>
          <t>1335-11-12</t>
        </is>
      </c>
    </row>
    <row r="6453">
      <c r="A6453" s="1" t="n">
        <v>6452</v>
      </c>
      <c r="B6453">
        <f>TEXT(6452, "[$-170000]yyyy-mm-dd")</f>
        <v/>
      </c>
      <c r="C6453">
        <f>TEXT(6452, "[$-060000]yyyy-mm-dd")</f>
        <v/>
      </c>
      <c r="D6453" t="inlineStr">
        <is>
          <t>1335-11-13</t>
        </is>
      </c>
    </row>
    <row r="6454">
      <c r="A6454" s="1" t="n">
        <v>6453</v>
      </c>
      <c r="B6454">
        <f>TEXT(6453, "[$-170000]yyyy-mm-dd")</f>
        <v/>
      </c>
      <c r="C6454">
        <f>TEXT(6453, "[$-060000]yyyy-mm-dd")</f>
        <v/>
      </c>
      <c r="D6454" t="inlineStr">
        <is>
          <t>1335-11-14</t>
        </is>
      </c>
    </row>
    <row r="6455">
      <c r="A6455" s="1" t="n">
        <v>6454</v>
      </c>
      <c r="B6455">
        <f>TEXT(6454, "[$-170000]yyyy-mm-dd")</f>
        <v/>
      </c>
      <c r="C6455">
        <f>TEXT(6454, "[$-060000]yyyy-mm-dd")</f>
        <v/>
      </c>
      <c r="D6455" t="inlineStr">
        <is>
          <t>1335-11-15</t>
        </is>
      </c>
    </row>
    <row r="6456">
      <c r="A6456" s="1" t="n">
        <v>6455</v>
      </c>
      <c r="B6456">
        <f>TEXT(6455, "[$-170000]yyyy-mm-dd")</f>
        <v/>
      </c>
      <c r="C6456">
        <f>TEXT(6455, "[$-060000]yyyy-mm-dd")</f>
        <v/>
      </c>
      <c r="D6456" t="inlineStr">
        <is>
          <t>1335-11-16</t>
        </is>
      </c>
    </row>
    <row r="6457">
      <c r="A6457" s="1" t="n">
        <v>6456</v>
      </c>
      <c r="B6457">
        <f>TEXT(6456, "[$-170000]yyyy-mm-dd")</f>
        <v/>
      </c>
      <c r="C6457">
        <f>TEXT(6456, "[$-060000]yyyy-mm-dd")</f>
        <v/>
      </c>
      <c r="D6457" t="inlineStr">
        <is>
          <t>1335-11-17</t>
        </is>
      </c>
    </row>
    <row r="6458">
      <c r="A6458" s="1" t="n">
        <v>6457</v>
      </c>
      <c r="B6458">
        <f>TEXT(6457, "[$-170000]yyyy-mm-dd")</f>
        <v/>
      </c>
      <c r="C6458">
        <f>TEXT(6457, "[$-060000]yyyy-mm-dd")</f>
        <v/>
      </c>
      <c r="D6458" t="inlineStr">
        <is>
          <t>1335-11-18</t>
        </is>
      </c>
    </row>
    <row r="6459">
      <c r="A6459" s="1" t="n">
        <v>6458</v>
      </c>
      <c r="B6459">
        <f>TEXT(6458, "[$-170000]yyyy-mm-dd")</f>
        <v/>
      </c>
      <c r="C6459">
        <f>TEXT(6458, "[$-060000]yyyy-mm-dd")</f>
        <v/>
      </c>
      <c r="D6459" t="inlineStr">
        <is>
          <t>1335-11-19</t>
        </is>
      </c>
    </row>
    <row r="6460">
      <c r="A6460" s="1" t="n">
        <v>6459</v>
      </c>
      <c r="B6460">
        <f>TEXT(6459, "[$-170000]yyyy-mm-dd")</f>
        <v/>
      </c>
      <c r="C6460">
        <f>TEXT(6459, "[$-060000]yyyy-mm-dd")</f>
        <v/>
      </c>
      <c r="D6460" t="inlineStr">
        <is>
          <t>1335-11-20</t>
        </is>
      </c>
    </row>
    <row r="6461">
      <c r="A6461" s="1" t="n">
        <v>6460</v>
      </c>
      <c r="B6461">
        <f>TEXT(6460, "[$-170000]yyyy-mm-dd")</f>
        <v/>
      </c>
      <c r="C6461">
        <f>TEXT(6460, "[$-060000]yyyy-mm-dd")</f>
        <v/>
      </c>
      <c r="D6461" t="inlineStr">
        <is>
          <t>1335-11-21</t>
        </is>
      </c>
    </row>
    <row r="6462">
      <c r="A6462" s="1" t="n">
        <v>6461</v>
      </c>
      <c r="B6462">
        <f>TEXT(6461, "[$-170000]yyyy-mm-dd")</f>
        <v/>
      </c>
      <c r="C6462">
        <f>TEXT(6461, "[$-060000]yyyy-mm-dd")</f>
        <v/>
      </c>
      <c r="D6462" t="inlineStr">
        <is>
          <t>1335-11-22</t>
        </is>
      </c>
    </row>
    <row r="6463">
      <c r="A6463" s="1" t="n">
        <v>6462</v>
      </c>
      <c r="B6463">
        <f>TEXT(6462, "[$-170000]yyyy-mm-dd")</f>
        <v/>
      </c>
      <c r="C6463">
        <f>TEXT(6462, "[$-060000]yyyy-mm-dd")</f>
        <v/>
      </c>
      <c r="D6463" t="inlineStr">
        <is>
          <t>1335-11-23</t>
        </is>
      </c>
    </row>
    <row r="6464">
      <c r="A6464" s="1" t="n">
        <v>6463</v>
      </c>
      <c r="B6464">
        <f>TEXT(6463, "[$-170000]yyyy-mm-dd")</f>
        <v/>
      </c>
      <c r="C6464">
        <f>TEXT(6463, "[$-060000]yyyy-mm-dd")</f>
        <v/>
      </c>
      <c r="D6464" t="inlineStr">
        <is>
          <t>1335-11-24</t>
        </is>
      </c>
    </row>
    <row r="6465">
      <c r="A6465" s="1" t="n">
        <v>6464</v>
      </c>
      <c r="B6465">
        <f>TEXT(6464, "[$-170000]yyyy-mm-dd")</f>
        <v/>
      </c>
      <c r="C6465">
        <f>TEXT(6464, "[$-060000]yyyy-mm-dd")</f>
        <v/>
      </c>
      <c r="D6465" t="inlineStr">
        <is>
          <t>1335-11-25</t>
        </is>
      </c>
    </row>
    <row r="6466">
      <c r="A6466" s="1" t="n">
        <v>6465</v>
      </c>
      <c r="B6466">
        <f>TEXT(6465, "[$-170000]yyyy-mm-dd")</f>
        <v/>
      </c>
      <c r="C6466">
        <f>TEXT(6465, "[$-060000]yyyy-mm-dd")</f>
        <v/>
      </c>
      <c r="D6466" t="inlineStr">
        <is>
          <t>1335-11-26</t>
        </is>
      </c>
    </row>
    <row r="6467">
      <c r="A6467" s="1" t="n">
        <v>6466</v>
      </c>
      <c r="B6467">
        <f>TEXT(6466, "[$-170000]yyyy-mm-dd")</f>
        <v/>
      </c>
      <c r="C6467">
        <f>TEXT(6466, "[$-060000]yyyy-mm-dd")</f>
        <v/>
      </c>
      <c r="D6467" t="inlineStr">
        <is>
          <t>1335-11-27</t>
        </is>
      </c>
    </row>
    <row r="6468">
      <c r="A6468" s="1" t="n">
        <v>6467</v>
      </c>
      <c r="B6468">
        <f>TEXT(6467, "[$-170000]yyyy-mm-dd")</f>
        <v/>
      </c>
      <c r="C6468">
        <f>TEXT(6467, "[$-060000]yyyy-mm-dd")</f>
        <v/>
      </c>
      <c r="D6468" t="inlineStr">
        <is>
          <t>1335-11-28</t>
        </is>
      </c>
    </row>
    <row r="6469">
      <c r="A6469" s="1" t="n">
        <v>6468</v>
      </c>
      <c r="B6469">
        <f>TEXT(6468, "[$-170000]yyyy-mm-dd")</f>
        <v/>
      </c>
      <c r="C6469">
        <f>TEXT(6468, "[$-060000]yyyy-mm-dd")</f>
        <v/>
      </c>
      <c r="D6469" t="inlineStr">
        <is>
          <t>1335-11-29</t>
        </is>
      </c>
    </row>
    <row r="6470">
      <c r="A6470" s="1" t="n">
        <v>6469</v>
      </c>
      <c r="B6470">
        <f>TEXT(6469, "[$-170000]yyyy-mm-dd")</f>
        <v/>
      </c>
      <c r="C6470">
        <f>TEXT(6469, "[$-060000]yyyy-mm-dd")</f>
        <v/>
      </c>
      <c r="D6470" t="inlineStr">
        <is>
          <t>1335-11-30</t>
        </is>
      </c>
    </row>
    <row r="6471">
      <c r="A6471" s="1" t="n">
        <v>6470</v>
      </c>
      <c r="B6471">
        <f>TEXT(6470, "[$-170000]yyyy-mm-dd")</f>
        <v/>
      </c>
      <c r="C6471">
        <f>TEXT(6470, "[$-060000]yyyy-mm-dd")</f>
        <v/>
      </c>
      <c r="D6471" t="inlineStr">
        <is>
          <t>1335-12-01</t>
        </is>
      </c>
    </row>
    <row r="6472">
      <c r="A6472" s="1" t="n">
        <v>6471</v>
      </c>
      <c r="B6472">
        <f>TEXT(6471, "[$-170000]yyyy-mm-dd")</f>
        <v/>
      </c>
      <c r="C6472">
        <f>TEXT(6471, "[$-060000]yyyy-mm-dd")</f>
        <v/>
      </c>
      <c r="D6472" t="inlineStr">
        <is>
          <t>1335-12-02</t>
        </is>
      </c>
    </row>
    <row r="6473">
      <c r="A6473" s="1" t="n">
        <v>6472</v>
      </c>
      <c r="B6473">
        <f>TEXT(6472, "[$-170000]yyyy-mm-dd")</f>
        <v/>
      </c>
      <c r="C6473">
        <f>TEXT(6472, "[$-060000]yyyy-mm-dd")</f>
        <v/>
      </c>
      <c r="D6473" t="inlineStr">
        <is>
          <t>1335-12-03</t>
        </is>
      </c>
    </row>
    <row r="6474">
      <c r="A6474" s="1" t="n">
        <v>6473</v>
      </c>
      <c r="B6474">
        <f>TEXT(6473, "[$-170000]yyyy-mm-dd")</f>
        <v/>
      </c>
      <c r="C6474">
        <f>TEXT(6473, "[$-060000]yyyy-mm-dd")</f>
        <v/>
      </c>
      <c r="D6474" t="inlineStr">
        <is>
          <t>1335-12-04</t>
        </is>
      </c>
    </row>
    <row r="6475">
      <c r="A6475" s="1" t="n">
        <v>6474</v>
      </c>
      <c r="B6475">
        <f>TEXT(6474, "[$-170000]yyyy-mm-dd")</f>
        <v/>
      </c>
      <c r="C6475">
        <f>TEXT(6474, "[$-060000]yyyy-mm-dd")</f>
        <v/>
      </c>
      <c r="D6475" t="inlineStr">
        <is>
          <t>1335-12-05</t>
        </is>
      </c>
    </row>
    <row r="6476">
      <c r="A6476" s="1" t="n">
        <v>6475</v>
      </c>
      <c r="B6476">
        <f>TEXT(6475, "[$-170000]yyyy-mm-dd")</f>
        <v/>
      </c>
      <c r="C6476">
        <f>TEXT(6475, "[$-060000]yyyy-mm-dd")</f>
        <v/>
      </c>
      <c r="D6476" t="inlineStr">
        <is>
          <t>1335-12-06</t>
        </is>
      </c>
    </row>
    <row r="6477">
      <c r="A6477" s="1" t="n">
        <v>6476</v>
      </c>
      <c r="B6477">
        <f>TEXT(6476, "[$-170000]yyyy-mm-dd")</f>
        <v/>
      </c>
      <c r="C6477">
        <f>TEXT(6476, "[$-060000]yyyy-mm-dd")</f>
        <v/>
      </c>
      <c r="D6477" t="inlineStr">
        <is>
          <t>1335-12-07</t>
        </is>
      </c>
    </row>
    <row r="6478">
      <c r="A6478" s="1" t="n">
        <v>6477</v>
      </c>
      <c r="B6478">
        <f>TEXT(6477, "[$-170000]yyyy-mm-dd")</f>
        <v/>
      </c>
      <c r="C6478">
        <f>TEXT(6477, "[$-060000]yyyy-mm-dd")</f>
        <v/>
      </c>
      <c r="D6478" t="inlineStr">
        <is>
          <t>1335-12-08</t>
        </is>
      </c>
    </row>
    <row r="6479">
      <c r="A6479" s="1" t="n">
        <v>6478</v>
      </c>
      <c r="B6479">
        <f>TEXT(6478, "[$-170000]yyyy-mm-dd")</f>
        <v/>
      </c>
      <c r="C6479">
        <f>TEXT(6478, "[$-060000]yyyy-mm-dd")</f>
        <v/>
      </c>
      <c r="D6479" t="inlineStr">
        <is>
          <t>1335-12-09</t>
        </is>
      </c>
    </row>
    <row r="6480">
      <c r="A6480" s="1" t="n">
        <v>6479</v>
      </c>
      <c r="B6480">
        <f>TEXT(6479, "[$-170000]yyyy-mm-dd")</f>
        <v/>
      </c>
      <c r="C6480">
        <f>TEXT(6479, "[$-060000]yyyy-mm-dd")</f>
        <v/>
      </c>
      <c r="D6480" t="inlineStr">
        <is>
          <t>1335-12-10</t>
        </is>
      </c>
    </row>
    <row r="6481">
      <c r="A6481" s="1" t="n">
        <v>6480</v>
      </c>
      <c r="B6481">
        <f>TEXT(6480, "[$-170000]yyyy-mm-dd")</f>
        <v/>
      </c>
      <c r="C6481">
        <f>TEXT(6480, "[$-060000]yyyy-mm-dd")</f>
        <v/>
      </c>
      <c r="D6481" t="inlineStr">
        <is>
          <t>1335-12-11</t>
        </is>
      </c>
    </row>
    <row r="6482">
      <c r="A6482" s="1" t="n">
        <v>6481</v>
      </c>
      <c r="B6482">
        <f>TEXT(6481, "[$-170000]yyyy-mm-dd")</f>
        <v/>
      </c>
      <c r="C6482">
        <f>TEXT(6481, "[$-060000]yyyy-mm-dd")</f>
        <v/>
      </c>
      <c r="D6482" t="inlineStr">
        <is>
          <t>1335-12-12</t>
        </is>
      </c>
    </row>
    <row r="6483">
      <c r="A6483" s="1" t="n">
        <v>6482</v>
      </c>
      <c r="B6483">
        <f>TEXT(6482, "[$-170000]yyyy-mm-dd")</f>
        <v/>
      </c>
      <c r="C6483">
        <f>TEXT(6482, "[$-060000]yyyy-mm-dd")</f>
        <v/>
      </c>
      <c r="D6483" t="inlineStr">
        <is>
          <t>1335-12-13</t>
        </is>
      </c>
    </row>
    <row r="6484">
      <c r="A6484" s="1" t="n">
        <v>6483</v>
      </c>
      <c r="B6484">
        <f>TEXT(6483, "[$-170000]yyyy-mm-dd")</f>
        <v/>
      </c>
      <c r="C6484">
        <f>TEXT(6483, "[$-060000]yyyy-mm-dd")</f>
        <v/>
      </c>
      <c r="D6484" t="inlineStr">
        <is>
          <t>1335-12-14</t>
        </is>
      </c>
    </row>
    <row r="6485">
      <c r="A6485" s="1" t="n">
        <v>6484</v>
      </c>
      <c r="B6485">
        <f>TEXT(6484, "[$-170000]yyyy-mm-dd")</f>
        <v/>
      </c>
      <c r="C6485">
        <f>TEXT(6484, "[$-060000]yyyy-mm-dd")</f>
        <v/>
      </c>
      <c r="D6485" t="inlineStr">
        <is>
          <t>1335-12-15</t>
        </is>
      </c>
    </row>
    <row r="6486">
      <c r="A6486" s="1" t="n">
        <v>6485</v>
      </c>
      <c r="B6486">
        <f>TEXT(6485, "[$-170000]yyyy-mm-dd")</f>
        <v/>
      </c>
      <c r="C6486">
        <f>TEXT(6485, "[$-060000]yyyy-mm-dd")</f>
        <v/>
      </c>
      <c r="D6486" t="inlineStr">
        <is>
          <t>1335-12-16</t>
        </is>
      </c>
    </row>
    <row r="6487">
      <c r="A6487" s="1" t="n">
        <v>6486</v>
      </c>
      <c r="B6487">
        <f>TEXT(6486, "[$-170000]yyyy-mm-dd")</f>
        <v/>
      </c>
      <c r="C6487">
        <f>TEXT(6486, "[$-060000]yyyy-mm-dd")</f>
        <v/>
      </c>
      <c r="D6487" t="inlineStr">
        <is>
          <t>1335-12-17</t>
        </is>
      </c>
    </row>
    <row r="6488">
      <c r="A6488" s="1" t="n">
        <v>6487</v>
      </c>
      <c r="B6488">
        <f>TEXT(6487, "[$-170000]yyyy-mm-dd")</f>
        <v/>
      </c>
      <c r="C6488">
        <f>TEXT(6487, "[$-060000]yyyy-mm-dd")</f>
        <v/>
      </c>
      <c r="D6488" t="inlineStr">
        <is>
          <t>1335-12-18</t>
        </is>
      </c>
    </row>
    <row r="6489">
      <c r="A6489" s="1" t="n">
        <v>6488</v>
      </c>
      <c r="B6489">
        <f>TEXT(6488, "[$-170000]yyyy-mm-dd")</f>
        <v/>
      </c>
      <c r="C6489">
        <f>TEXT(6488, "[$-060000]yyyy-mm-dd")</f>
        <v/>
      </c>
      <c r="D6489" t="inlineStr">
        <is>
          <t>1335-12-19</t>
        </is>
      </c>
    </row>
    <row r="6490">
      <c r="A6490" s="1" t="n">
        <v>6489</v>
      </c>
      <c r="B6490">
        <f>TEXT(6489, "[$-170000]yyyy-mm-dd")</f>
        <v/>
      </c>
      <c r="C6490">
        <f>TEXT(6489, "[$-060000]yyyy-mm-dd")</f>
        <v/>
      </c>
      <c r="D6490" t="inlineStr">
        <is>
          <t>1335-12-20</t>
        </is>
      </c>
    </row>
    <row r="6491">
      <c r="A6491" s="1" t="n">
        <v>6490</v>
      </c>
      <c r="B6491">
        <f>TEXT(6490, "[$-170000]yyyy-mm-dd")</f>
        <v/>
      </c>
      <c r="C6491">
        <f>TEXT(6490, "[$-060000]yyyy-mm-dd")</f>
        <v/>
      </c>
      <c r="D6491" t="inlineStr">
        <is>
          <t>1335-12-21</t>
        </is>
      </c>
    </row>
    <row r="6492">
      <c r="A6492" s="1" t="n">
        <v>6491</v>
      </c>
      <c r="B6492">
        <f>TEXT(6491, "[$-170000]yyyy-mm-dd")</f>
        <v/>
      </c>
      <c r="C6492">
        <f>TEXT(6491, "[$-060000]yyyy-mm-dd")</f>
        <v/>
      </c>
      <c r="D6492" t="inlineStr">
        <is>
          <t>1335-12-22</t>
        </is>
      </c>
    </row>
    <row r="6493">
      <c r="A6493" s="1" t="n">
        <v>6492</v>
      </c>
      <c r="B6493">
        <f>TEXT(6492, "[$-170000]yyyy-mm-dd")</f>
        <v/>
      </c>
      <c r="C6493">
        <f>TEXT(6492, "[$-060000]yyyy-mm-dd")</f>
        <v/>
      </c>
      <c r="D6493" t="inlineStr">
        <is>
          <t>1335-12-23</t>
        </is>
      </c>
    </row>
    <row r="6494">
      <c r="A6494" s="1" t="n">
        <v>6493</v>
      </c>
      <c r="B6494">
        <f>TEXT(6493, "[$-170000]yyyy-mm-dd")</f>
        <v/>
      </c>
      <c r="C6494">
        <f>TEXT(6493, "[$-060000]yyyy-mm-dd")</f>
        <v/>
      </c>
      <c r="D6494" t="inlineStr">
        <is>
          <t>1335-12-24</t>
        </is>
      </c>
    </row>
    <row r="6495">
      <c r="A6495" s="1" t="n">
        <v>6494</v>
      </c>
      <c r="B6495">
        <f>TEXT(6494, "[$-170000]yyyy-mm-dd")</f>
        <v/>
      </c>
      <c r="C6495">
        <f>TEXT(6494, "[$-060000]yyyy-mm-dd")</f>
        <v/>
      </c>
      <c r="D6495" t="inlineStr">
        <is>
          <t>1335-12-25</t>
        </is>
      </c>
    </row>
    <row r="6496">
      <c r="A6496" s="1" t="n">
        <v>6495</v>
      </c>
      <c r="B6496">
        <f>TEXT(6495, "[$-170000]yyyy-mm-dd")</f>
        <v/>
      </c>
      <c r="C6496">
        <f>TEXT(6495, "[$-060000]yyyy-mm-dd")</f>
        <v/>
      </c>
      <c r="D6496" t="inlineStr">
        <is>
          <t>1335-12-26</t>
        </is>
      </c>
    </row>
    <row r="6497">
      <c r="A6497" s="1" t="n">
        <v>6496</v>
      </c>
      <c r="B6497">
        <f>TEXT(6496, "[$-170000]yyyy-mm-dd")</f>
        <v/>
      </c>
      <c r="C6497">
        <f>TEXT(6496, "[$-060000]yyyy-mm-dd")</f>
        <v/>
      </c>
      <c r="D6497" t="inlineStr">
        <is>
          <t>1335-12-27</t>
        </is>
      </c>
    </row>
    <row r="6498">
      <c r="A6498" s="1" t="n">
        <v>6497</v>
      </c>
      <c r="B6498">
        <f>TEXT(6497, "[$-170000]yyyy-mm-dd")</f>
        <v/>
      </c>
      <c r="C6498">
        <f>TEXT(6497, "[$-060000]yyyy-mm-dd")</f>
        <v/>
      </c>
      <c r="D6498" t="inlineStr">
        <is>
          <t>1335-12-28</t>
        </is>
      </c>
    </row>
    <row r="6499">
      <c r="A6499" s="1" t="n">
        <v>6498</v>
      </c>
      <c r="B6499">
        <f>TEXT(6498, "[$-170000]yyyy-mm-dd")</f>
        <v/>
      </c>
      <c r="C6499">
        <f>TEXT(6498, "[$-060000]yyyy-mm-dd")</f>
        <v/>
      </c>
      <c r="D6499" t="inlineStr">
        <is>
          <t>1335-12-29</t>
        </is>
      </c>
    </row>
    <row r="6500">
      <c r="A6500" s="1" t="n">
        <v>6499</v>
      </c>
      <c r="B6500">
        <f>TEXT(6499, "[$-170000]yyyy-mm-dd")</f>
        <v/>
      </c>
      <c r="C6500">
        <f>TEXT(6499, "[$-060000]yyyy-mm-dd")</f>
        <v/>
      </c>
      <c r="D6500" t="inlineStr">
        <is>
          <t>1336-01-01</t>
        </is>
      </c>
    </row>
    <row r="6501">
      <c r="A6501" s="1" t="n">
        <v>6500</v>
      </c>
      <c r="B6501">
        <f>TEXT(6500, "[$-170000]yyyy-mm-dd")</f>
        <v/>
      </c>
      <c r="C6501">
        <f>TEXT(6500, "[$-060000]yyyy-mm-dd")</f>
        <v/>
      </c>
      <c r="D6501" t="inlineStr">
        <is>
          <t>1336-01-02</t>
        </is>
      </c>
    </row>
    <row r="6502">
      <c r="A6502" s="1" t="n">
        <v>6501</v>
      </c>
      <c r="B6502">
        <f>TEXT(6501, "[$-170000]yyyy-mm-dd")</f>
        <v/>
      </c>
      <c r="C6502">
        <f>TEXT(6501, "[$-060000]yyyy-mm-dd")</f>
        <v/>
      </c>
      <c r="D6502" t="inlineStr">
        <is>
          <t>1336-01-03</t>
        </is>
      </c>
    </row>
    <row r="6503">
      <c r="A6503" s="1" t="n">
        <v>6502</v>
      </c>
      <c r="B6503">
        <f>TEXT(6502, "[$-170000]yyyy-mm-dd")</f>
        <v/>
      </c>
      <c r="C6503">
        <f>TEXT(6502, "[$-060000]yyyy-mm-dd")</f>
        <v/>
      </c>
      <c r="D6503" t="inlineStr">
        <is>
          <t>1336-01-04</t>
        </is>
      </c>
    </row>
    <row r="6504">
      <c r="A6504" s="1" t="n">
        <v>6503</v>
      </c>
      <c r="B6504">
        <f>TEXT(6503, "[$-170000]yyyy-mm-dd")</f>
        <v/>
      </c>
      <c r="C6504">
        <f>TEXT(6503, "[$-060000]yyyy-mm-dd")</f>
        <v/>
      </c>
      <c r="D6504" t="inlineStr">
        <is>
          <t>1336-01-05</t>
        </is>
      </c>
    </row>
    <row r="6505">
      <c r="A6505" s="1" t="n">
        <v>6504</v>
      </c>
      <c r="B6505">
        <f>TEXT(6504, "[$-170000]yyyy-mm-dd")</f>
        <v/>
      </c>
      <c r="C6505">
        <f>TEXT(6504, "[$-060000]yyyy-mm-dd")</f>
        <v/>
      </c>
      <c r="D6505" t="inlineStr">
        <is>
          <t>1336-01-06</t>
        </is>
      </c>
    </row>
    <row r="6506">
      <c r="A6506" s="1" t="n">
        <v>6505</v>
      </c>
      <c r="B6506">
        <f>TEXT(6505, "[$-170000]yyyy-mm-dd")</f>
        <v/>
      </c>
      <c r="C6506">
        <f>TEXT(6505, "[$-060000]yyyy-mm-dd")</f>
        <v/>
      </c>
      <c r="D6506" t="inlineStr">
        <is>
          <t>1336-01-07</t>
        </is>
      </c>
    </row>
    <row r="6507">
      <c r="A6507" s="1" t="n">
        <v>6506</v>
      </c>
      <c r="B6507">
        <f>TEXT(6506, "[$-170000]yyyy-mm-dd")</f>
        <v/>
      </c>
      <c r="C6507">
        <f>TEXT(6506, "[$-060000]yyyy-mm-dd")</f>
        <v/>
      </c>
      <c r="D6507" t="inlineStr">
        <is>
          <t>1336-01-08</t>
        </is>
      </c>
    </row>
    <row r="6508">
      <c r="A6508" s="1" t="n">
        <v>6507</v>
      </c>
      <c r="B6508">
        <f>TEXT(6507, "[$-170000]yyyy-mm-dd")</f>
        <v/>
      </c>
      <c r="C6508">
        <f>TEXT(6507, "[$-060000]yyyy-mm-dd")</f>
        <v/>
      </c>
      <c r="D6508" t="inlineStr">
        <is>
          <t>1336-01-09</t>
        </is>
      </c>
    </row>
    <row r="6509">
      <c r="A6509" s="1" t="n">
        <v>6508</v>
      </c>
      <c r="B6509">
        <f>TEXT(6508, "[$-170000]yyyy-mm-dd")</f>
        <v/>
      </c>
      <c r="C6509">
        <f>TEXT(6508, "[$-060000]yyyy-mm-dd")</f>
        <v/>
      </c>
      <c r="D6509" t="inlineStr">
        <is>
          <t>1336-01-10</t>
        </is>
      </c>
    </row>
    <row r="6510">
      <c r="A6510" s="1" t="n">
        <v>6509</v>
      </c>
      <c r="B6510">
        <f>TEXT(6509, "[$-170000]yyyy-mm-dd")</f>
        <v/>
      </c>
      <c r="C6510">
        <f>TEXT(6509, "[$-060000]yyyy-mm-dd")</f>
        <v/>
      </c>
      <c r="D6510" t="inlineStr">
        <is>
          <t>1336-01-11</t>
        </is>
      </c>
    </row>
    <row r="6511">
      <c r="A6511" s="1" t="n">
        <v>6510</v>
      </c>
      <c r="B6511">
        <f>TEXT(6510, "[$-170000]yyyy-mm-dd")</f>
        <v/>
      </c>
      <c r="C6511">
        <f>TEXT(6510, "[$-060000]yyyy-mm-dd")</f>
        <v/>
      </c>
      <c r="D6511" t="inlineStr">
        <is>
          <t>1336-01-12</t>
        </is>
      </c>
    </row>
    <row r="6512">
      <c r="A6512" s="1" t="n">
        <v>6511</v>
      </c>
      <c r="B6512">
        <f>TEXT(6511, "[$-170000]yyyy-mm-dd")</f>
        <v/>
      </c>
      <c r="C6512">
        <f>TEXT(6511, "[$-060000]yyyy-mm-dd")</f>
        <v/>
      </c>
      <c r="D6512" t="inlineStr">
        <is>
          <t>1336-01-13</t>
        </is>
      </c>
    </row>
    <row r="6513">
      <c r="A6513" s="1" t="n">
        <v>6512</v>
      </c>
      <c r="B6513">
        <f>TEXT(6512, "[$-170000]yyyy-mm-dd")</f>
        <v/>
      </c>
      <c r="C6513">
        <f>TEXT(6512, "[$-060000]yyyy-mm-dd")</f>
        <v/>
      </c>
      <c r="D6513" t="inlineStr">
        <is>
          <t>1336-01-14</t>
        </is>
      </c>
    </row>
    <row r="6514">
      <c r="A6514" s="1" t="n">
        <v>6513</v>
      </c>
      <c r="B6514">
        <f>TEXT(6513, "[$-170000]yyyy-mm-dd")</f>
        <v/>
      </c>
      <c r="C6514">
        <f>TEXT(6513, "[$-060000]yyyy-mm-dd")</f>
        <v/>
      </c>
      <c r="D6514" t="inlineStr">
        <is>
          <t>1336-01-15</t>
        </is>
      </c>
    </row>
    <row r="6515">
      <c r="A6515" s="1" t="n">
        <v>6514</v>
      </c>
      <c r="B6515">
        <f>TEXT(6514, "[$-170000]yyyy-mm-dd")</f>
        <v/>
      </c>
      <c r="C6515">
        <f>TEXT(6514, "[$-060000]yyyy-mm-dd")</f>
        <v/>
      </c>
      <c r="D6515" t="inlineStr">
        <is>
          <t>1336-01-16</t>
        </is>
      </c>
    </row>
    <row r="6516">
      <c r="A6516" s="1" t="n">
        <v>6515</v>
      </c>
      <c r="B6516">
        <f>TEXT(6515, "[$-170000]yyyy-mm-dd")</f>
        <v/>
      </c>
      <c r="C6516">
        <f>TEXT(6515, "[$-060000]yyyy-mm-dd")</f>
        <v/>
      </c>
      <c r="D6516" t="inlineStr">
        <is>
          <t>1336-01-17</t>
        </is>
      </c>
    </row>
    <row r="6517">
      <c r="A6517" s="1" t="n">
        <v>6516</v>
      </c>
      <c r="B6517">
        <f>TEXT(6516, "[$-170000]yyyy-mm-dd")</f>
        <v/>
      </c>
      <c r="C6517">
        <f>TEXT(6516, "[$-060000]yyyy-mm-dd")</f>
        <v/>
      </c>
      <c r="D6517" t="inlineStr">
        <is>
          <t>1336-01-18</t>
        </is>
      </c>
    </row>
    <row r="6518">
      <c r="A6518" s="1" t="n">
        <v>6517</v>
      </c>
      <c r="B6518">
        <f>TEXT(6517, "[$-170000]yyyy-mm-dd")</f>
        <v/>
      </c>
      <c r="C6518">
        <f>TEXT(6517, "[$-060000]yyyy-mm-dd")</f>
        <v/>
      </c>
      <c r="D6518" t="inlineStr">
        <is>
          <t>1336-01-19</t>
        </is>
      </c>
    </row>
    <row r="6519">
      <c r="A6519" s="1" t="n">
        <v>6518</v>
      </c>
      <c r="B6519">
        <f>TEXT(6518, "[$-170000]yyyy-mm-dd")</f>
        <v/>
      </c>
      <c r="C6519">
        <f>TEXT(6518, "[$-060000]yyyy-mm-dd")</f>
        <v/>
      </c>
      <c r="D6519" t="inlineStr">
        <is>
          <t>1336-01-20</t>
        </is>
      </c>
    </row>
    <row r="6520">
      <c r="A6520" s="1" t="n">
        <v>6519</v>
      </c>
      <c r="B6520">
        <f>TEXT(6519, "[$-170000]yyyy-mm-dd")</f>
        <v/>
      </c>
      <c r="C6520">
        <f>TEXT(6519, "[$-060000]yyyy-mm-dd")</f>
        <v/>
      </c>
      <c r="D6520" t="inlineStr">
        <is>
          <t>1336-01-21</t>
        </is>
      </c>
    </row>
    <row r="6521">
      <c r="A6521" s="1" t="n">
        <v>6520</v>
      </c>
      <c r="B6521">
        <f>TEXT(6520, "[$-170000]yyyy-mm-dd")</f>
        <v/>
      </c>
      <c r="C6521">
        <f>TEXT(6520, "[$-060000]yyyy-mm-dd")</f>
        <v/>
      </c>
      <c r="D6521" t="inlineStr">
        <is>
          <t>1336-01-22</t>
        </is>
      </c>
    </row>
    <row r="6522">
      <c r="A6522" s="1" t="n">
        <v>6521</v>
      </c>
      <c r="B6522">
        <f>TEXT(6521, "[$-170000]yyyy-mm-dd")</f>
        <v/>
      </c>
      <c r="C6522">
        <f>TEXT(6521, "[$-060000]yyyy-mm-dd")</f>
        <v/>
      </c>
      <c r="D6522" t="inlineStr">
        <is>
          <t>1336-01-23</t>
        </is>
      </c>
    </row>
    <row r="6523">
      <c r="A6523" s="1" t="n">
        <v>6522</v>
      </c>
      <c r="B6523">
        <f>TEXT(6522, "[$-170000]yyyy-mm-dd")</f>
        <v/>
      </c>
      <c r="C6523">
        <f>TEXT(6522, "[$-060000]yyyy-mm-dd")</f>
        <v/>
      </c>
      <c r="D6523" t="inlineStr">
        <is>
          <t>1336-01-24</t>
        </is>
      </c>
    </row>
    <row r="6524">
      <c r="A6524" s="1" t="n">
        <v>6523</v>
      </c>
      <c r="B6524">
        <f>TEXT(6523, "[$-170000]yyyy-mm-dd")</f>
        <v/>
      </c>
      <c r="C6524">
        <f>TEXT(6523, "[$-060000]yyyy-mm-dd")</f>
        <v/>
      </c>
      <c r="D6524" t="inlineStr">
        <is>
          <t>1336-01-25</t>
        </is>
      </c>
    </row>
    <row r="6525">
      <c r="A6525" s="1" t="n">
        <v>6524</v>
      </c>
      <c r="B6525">
        <f>TEXT(6524, "[$-170000]yyyy-mm-dd")</f>
        <v/>
      </c>
      <c r="C6525">
        <f>TEXT(6524, "[$-060000]yyyy-mm-dd")</f>
        <v/>
      </c>
      <c r="D6525" t="inlineStr">
        <is>
          <t>1336-01-26</t>
        </is>
      </c>
    </row>
    <row r="6526">
      <c r="A6526" s="1" t="n">
        <v>6525</v>
      </c>
      <c r="B6526">
        <f>TEXT(6525, "[$-170000]yyyy-mm-dd")</f>
        <v/>
      </c>
      <c r="C6526">
        <f>TEXT(6525, "[$-060000]yyyy-mm-dd")</f>
        <v/>
      </c>
      <c r="D6526" t="inlineStr">
        <is>
          <t>1336-01-27</t>
        </is>
      </c>
    </row>
    <row r="6527">
      <c r="A6527" s="1" t="n">
        <v>6526</v>
      </c>
      <c r="B6527">
        <f>TEXT(6526, "[$-170000]yyyy-mm-dd")</f>
        <v/>
      </c>
      <c r="C6527">
        <f>TEXT(6526, "[$-060000]yyyy-mm-dd")</f>
        <v/>
      </c>
      <c r="D6527" t="inlineStr">
        <is>
          <t>1336-01-28</t>
        </is>
      </c>
    </row>
    <row r="6528">
      <c r="A6528" s="1" t="n">
        <v>6527</v>
      </c>
      <c r="B6528">
        <f>TEXT(6527, "[$-170000]yyyy-mm-dd")</f>
        <v/>
      </c>
      <c r="C6528">
        <f>TEXT(6527, "[$-060000]yyyy-mm-dd")</f>
        <v/>
      </c>
      <c r="D6528" t="inlineStr">
        <is>
          <t>1336-01-29</t>
        </is>
      </c>
    </row>
    <row r="6529">
      <c r="A6529" s="1" t="n">
        <v>6528</v>
      </c>
      <c r="B6529">
        <f>TEXT(6528, "[$-170000]yyyy-mm-dd")</f>
        <v/>
      </c>
      <c r="C6529">
        <f>TEXT(6528, "[$-060000]yyyy-mm-dd")</f>
        <v/>
      </c>
      <c r="D6529" t="inlineStr">
        <is>
          <t>1336-01-30</t>
        </is>
      </c>
    </row>
    <row r="6530">
      <c r="A6530" s="1" t="n">
        <v>6529</v>
      </c>
      <c r="B6530">
        <f>TEXT(6529, "[$-170000]yyyy-mm-dd")</f>
        <v/>
      </c>
      <c r="C6530">
        <f>TEXT(6529, "[$-060000]yyyy-mm-dd")</f>
        <v/>
      </c>
      <c r="D6530" t="inlineStr">
        <is>
          <t>1336-02-01</t>
        </is>
      </c>
    </row>
    <row r="6531">
      <c r="A6531" s="1" t="n">
        <v>6530</v>
      </c>
      <c r="B6531">
        <f>TEXT(6530, "[$-170000]yyyy-mm-dd")</f>
        <v/>
      </c>
      <c r="C6531">
        <f>TEXT(6530, "[$-060000]yyyy-mm-dd")</f>
        <v/>
      </c>
      <c r="D6531" t="inlineStr">
        <is>
          <t>1336-02-02</t>
        </is>
      </c>
    </row>
    <row r="6532">
      <c r="A6532" s="1" t="n">
        <v>6531</v>
      </c>
      <c r="B6532">
        <f>TEXT(6531, "[$-170000]yyyy-mm-dd")</f>
        <v/>
      </c>
      <c r="C6532">
        <f>TEXT(6531, "[$-060000]yyyy-mm-dd")</f>
        <v/>
      </c>
      <c r="D6532" t="inlineStr">
        <is>
          <t>1336-02-03</t>
        </is>
      </c>
    </row>
    <row r="6533">
      <c r="A6533" s="1" t="n">
        <v>6532</v>
      </c>
      <c r="B6533">
        <f>TEXT(6532, "[$-170000]yyyy-mm-dd")</f>
        <v/>
      </c>
      <c r="C6533">
        <f>TEXT(6532, "[$-060000]yyyy-mm-dd")</f>
        <v/>
      </c>
      <c r="D6533" t="inlineStr">
        <is>
          <t>1336-02-04</t>
        </is>
      </c>
    </row>
    <row r="6534">
      <c r="A6534" s="1" t="n">
        <v>6533</v>
      </c>
      <c r="B6534">
        <f>TEXT(6533, "[$-170000]yyyy-mm-dd")</f>
        <v/>
      </c>
      <c r="C6534">
        <f>TEXT(6533, "[$-060000]yyyy-mm-dd")</f>
        <v/>
      </c>
      <c r="D6534" t="inlineStr">
        <is>
          <t>1336-02-05</t>
        </is>
      </c>
    </row>
    <row r="6535">
      <c r="A6535" s="1" t="n">
        <v>6534</v>
      </c>
      <c r="B6535">
        <f>TEXT(6534, "[$-170000]yyyy-mm-dd")</f>
        <v/>
      </c>
      <c r="C6535">
        <f>TEXT(6534, "[$-060000]yyyy-mm-dd")</f>
        <v/>
      </c>
      <c r="D6535" t="inlineStr">
        <is>
          <t>1336-02-06</t>
        </is>
      </c>
    </row>
    <row r="6536">
      <c r="A6536" s="1" t="n">
        <v>6535</v>
      </c>
      <c r="B6536">
        <f>TEXT(6535, "[$-170000]yyyy-mm-dd")</f>
        <v/>
      </c>
      <c r="C6536">
        <f>TEXT(6535, "[$-060000]yyyy-mm-dd")</f>
        <v/>
      </c>
      <c r="D6536" t="inlineStr">
        <is>
          <t>1336-02-07</t>
        </is>
      </c>
    </row>
    <row r="6537">
      <c r="A6537" s="1" t="n">
        <v>6536</v>
      </c>
      <c r="B6537">
        <f>TEXT(6536, "[$-170000]yyyy-mm-dd")</f>
        <v/>
      </c>
      <c r="C6537">
        <f>TEXT(6536, "[$-060000]yyyy-mm-dd")</f>
        <v/>
      </c>
      <c r="D6537" t="inlineStr">
        <is>
          <t>1336-02-08</t>
        </is>
      </c>
    </row>
    <row r="6538">
      <c r="A6538" s="1" t="n">
        <v>6537</v>
      </c>
      <c r="B6538">
        <f>TEXT(6537, "[$-170000]yyyy-mm-dd")</f>
        <v/>
      </c>
      <c r="C6538">
        <f>TEXT(6537, "[$-060000]yyyy-mm-dd")</f>
        <v/>
      </c>
      <c r="D6538" t="inlineStr">
        <is>
          <t>1336-02-09</t>
        </is>
      </c>
    </row>
    <row r="6539">
      <c r="A6539" s="1" t="n">
        <v>6538</v>
      </c>
      <c r="B6539">
        <f>TEXT(6538, "[$-170000]yyyy-mm-dd")</f>
        <v/>
      </c>
      <c r="C6539">
        <f>TEXT(6538, "[$-060000]yyyy-mm-dd")</f>
        <v/>
      </c>
      <c r="D6539" t="inlineStr">
        <is>
          <t>1336-02-10</t>
        </is>
      </c>
    </row>
    <row r="6540">
      <c r="A6540" s="1" t="n">
        <v>6539</v>
      </c>
      <c r="B6540">
        <f>TEXT(6539, "[$-170000]yyyy-mm-dd")</f>
        <v/>
      </c>
      <c r="C6540">
        <f>TEXT(6539, "[$-060000]yyyy-mm-dd")</f>
        <v/>
      </c>
      <c r="D6540" t="inlineStr">
        <is>
          <t>1336-02-11</t>
        </is>
      </c>
    </row>
    <row r="6541">
      <c r="A6541" s="1" t="n">
        <v>6540</v>
      </c>
      <c r="B6541">
        <f>TEXT(6540, "[$-170000]yyyy-mm-dd")</f>
        <v/>
      </c>
      <c r="C6541">
        <f>TEXT(6540, "[$-060000]yyyy-mm-dd")</f>
        <v/>
      </c>
      <c r="D6541" t="inlineStr">
        <is>
          <t>1336-02-12</t>
        </is>
      </c>
    </row>
    <row r="6542">
      <c r="A6542" s="1" t="n">
        <v>6541</v>
      </c>
      <c r="B6542">
        <f>TEXT(6541, "[$-170000]yyyy-mm-dd")</f>
        <v/>
      </c>
      <c r="C6542">
        <f>TEXT(6541, "[$-060000]yyyy-mm-dd")</f>
        <v/>
      </c>
      <c r="D6542" t="inlineStr">
        <is>
          <t>1336-02-13</t>
        </is>
      </c>
    </row>
    <row r="6543">
      <c r="A6543" s="1" t="n">
        <v>6542</v>
      </c>
      <c r="B6543">
        <f>TEXT(6542, "[$-170000]yyyy-mm-dd")</f>
        <v/>
      </c>
      <c r="C6543">
        <f>TEXT(6542, "[$-060000]yyyy-mm-dd")</f>
        <v/>
      </c>
      <c r="D6543" t="inlineStr">
        <is>
          <t>1336-02-14</t>
        </is>
      </c>
    </row>
    <row r="6544">
      <c r="A6544" s="1" t="n">
        <v>6543</v>
      </c>
      <c r="B6544">
        <f>TEXT(6543, "[$-170000]yyyy-mm-dd")</f>
        <v/>
      </c>
      <c r="C6544">
        <f>TEXT(6543, "[$-060000]yyyy-mm-dd")</f>
        <v/>
      </c>
      <c r="D6544" t="inlineStr">
        <is>
          <t>1336-02-15</t>
        </is>
      </c>
    </row>
    <row r="6545">
      <c r="A6545" s="1" t="n">
        <v>6544</v>
      </c>
      <c r="B6545">
        <f>TEXT(6544, "[$-170000]yyyy-mm-dd")</f>
        <v/>
      </c>
      <c r="C6545">
        <f>TEXT(6544, "[$-060000]yyyy-mm-dd")</f>
        <v/>
      </c>
      <c r="D6545" t="inlineStr">
        <is>
          <t>1336-02-16</t>
        </is>
      </c>
    </row>
    <row r="6546">
      <c r="A6546" s="1" t="n">
        <v>6545</v>
      </c>
      <c r="B6546">
        <f>TEXT(6545, "[$-170000]yyyy-mm-dd")</f>
        <v/>
      </c>
      <c r="C6546">
        <f>TEXT(6545, "[$-060000]yyyy-mm-dd")</f>
        <v/>
      </c>
      <c r="D6546" t="inlineStr">
        <is>
          <t>1336-02-17</t>
        </is>
      </c>
    </row>
    <row r="6547">
      <c r="A6547" s="1" t="n">
        <v>6546</v>
      </c>
      <c r="B6547">
        <f>TEXT(6546, "[$-170000]yyyy-mm-dd")</f>
        <v/>
      </c>
      <c r="C6547">
        <f>TEXT(6546, "[$-060000]yyyy-mm-dd")</f>
        <v/>
      </c>
      <c r="D6547" t="inlineStr">
        <is>
          <t>1336-02-18</t>
        </is>
      </c>
    </row>
    <row r="6548">
      <c r="A6548" s="1" t="n">
        <v>6547</v>
      </c>
      <c r="B6548">
        <f>TEXT(6547, "[$-170000]yyyy-mm-dd")</f>
        <v/>
      </c>
      <c r="C6548">
        <f>TEXT(6547, "[$-060000]yyyy-mm-dd")</f>
        <v/>
      </c>
      <c r="D6548" t="inlineStr">
        <is>
          <t>1336-02-19</t>
        </is>
      </c>
    </row>
    <row r="6549">
      <c r="A6549" s="1" t="n">
        <v>6548</v>
      </c>
      <c r="B6549">
        <f>TEXT(6548, "[$-170000]yyyy-mm-dd")</f>
        <v/>
      </c>
      <c r="C6549">
        <f>TEXT(6548, "[$-060000]yyyy-mm-dd")</f>
        <v/>
      </c>
      <c r="D6549" t="inlineStr">
        <is>
          <t>1336-02-20</t>
        </is>
      </c>
    </row>
    <row r="6550">
      <c r="A6550" s="1" t="n">
        <v>6549</v>
      </c>
      <c r="B6550">
        <f>TEXT(6549, "[$-170000]yyyy-mm-dd")</f>
        <v/>
      </c>
      <c r="C6550">
        <f>TEXT(6549, "[$-060000]yyyy-mm-dd")</f>
        <v/>
      </c>
      <c r="D6550" t="inlineStr">
        <is>
          <t>1336-02-21</t>
        </is>
      </c>
    </row>
    <row r="6551">
      <c r="A6551" s="1" t="n">
        <v>6550</v>
      </c>
      <c r="B6551">
        <f>TEXT(6550, "[$-170000]yyyy-mm-dd")</f>
        <v/>
      </c>
      <c r="C6551">
        <f>TEXT(6550, "[$-060000]yyyy-mm-dd")</f>
        <v/>
      </c>
      <c r="D6551" t="inlineStr">
        <is>
          <t>1336-02-22</t>
        </is>
      </c>
    </row>
    <row r="6552">
      <c r="A6552" s="1" t="n">
        <v>6551</v>
      </c>
      <c r="B6552">
        <f>TEXT(6551, "[$-170000]yyyy-mm-dd")</f>
        <v/>
      </c>
      <c r="C6552">
        <f>TEXT(6551, "[$-060000]yyyy-mm-dd")</f>
        <v/>
      </c>
      <c r="D6552" t="inlineStr">
        <is>
          <t>1336-02-23</t>
        </is>
      </c>
    </row>
    <row r="6553">
      <c r="A6553" s="1" t="n">
        <v>6552</v>
      </c>
      <c r="B6553">
        <f>TEXT(6552, "[$-170000]yyyy-mm-dd")</f>
        <v/>
      </c>
      <c r="C6553">
        <f>TEXT(6552, "[$-060000]yyyy-mm-dd")</f>
        <v/>
      </c>
      <c r="D6553" t="inlineStr">
        <is>
          <t>1336-02-24</t>
        </is>
      </c>
    </row>
    <row r="6554">
      <c r="A6554" s="1" t="n">
        <v>6553</v>
      </c>
      <c r="B6554">
        <f>TEXT(6553, "[$-170000]yyyy-mm-dd")</f>
        <v/>
      </c>
      <c r="C6554">
        <f>TEXT(6553, "[$-060000]yyyy-mm-dd")</f>
        <v/>
      </c>
      <c r="D6554" t="inlineStr">
        <is>
          <t>1336-02-25</t>
        </is>
      </c>
    </row>
    <row r="6555">
      <c r="A6555" s="1" t="n">
        <v>6554</v>
      </c>
      <c r="B6555">
        <f>TEXT(6554, "[$-170000]yyyy-mm-dd")</f>
        <v/>
      </c>
      <c r="C6555">
        <f>TEXT(6554, "[$-060000]yyyy-mm-dd")</f>
        <v/>
      </c>
      <c r="D6555" t="inlineStr">
        <is>
          <t>1336-02-26</t>
        </is>
      </c>
    </row>
    <row r="6556">
      <c r="A6556" s="1" t="n">
        <v>6555</v>
      </c>
      <c r="B6556">
        <f>TEXT(6555, "[$-170000]yyyy-mm-dd")</f>
        <v/>
      </c>
      <c r="C6556">
        <f>TEXT(6555, "[$-060000]yyyy-mm-dd")</f>
        <v/>
      </c>
      <c r="D6556" t="inlineStr">
        <is>
          <t>1336-02-27</t>
        </is>
      </c>
    </row>
    <row r="6557">
      <c r="A6557" s="1" t="n">
        <v>6556</v>
      </c>
      <c r="B6557">
        <f>TEXT(6556, "[$-170000]yyyy-mm-dd")</f>
        <v/>
      </c>
      <c r="C6557">
        <f>TEXT(6556, "[$-060000]yyyy-mm-dd")</f>
        <v/>
      </c>
      <c r="D6557" t="inlineStr">
        <is>
          <t>1336-02-28</t>
        </is>
      </c>
    </row>
    <row r="6558">
      <c r="A6558" s="1" t="n">
        <v>6557</v>
      </c>
      <c r="B6558">
        <f>TEXT(6557, "[$-170000]yyyy-mm-dd")</f>
        <v/>
      </c>
      <c r="C6558">
        <f>TEXT(6557, "[$-060000]yyyy-mm-dd")</f>
        <v/>
      </c>
      <c r="D6558" t="inlineStr">
        <is>
          <t>1336-02-29</t>
        </is>
      </c>
    </row>
    <row r="6559">
      <c r="A6559" s="1" t="n">
        <v>6558</v>
      </c>
      <c r="B6559">
        <f>TEXT(6558, "[$-170000]yyyy-mm-dd")</f>
        <v/>
      </c>
      <c r="C6559">
        <f>TEXT(6558, "[$-060000]yyyy-mm-dd")</f>
        <v/>
      </c>
      <c r="D6559" t="inlineStr">
        <is>
          <t>1336-03-01</t>
        </is>
      </c>
    </row>
    <row r="6560">
      <c r="A6560" s="1" t="n">
        <v>6559</v>
      </c>
      <c r="B6560">
        <f>TEXT(6559, "[$-170000]yyyy-mm-dd")</f>
        <v/>
      </c>
      <c r="C6560">
        <f>TEXT(6559, "[$-060000]yyyy-mm-dd")</f>
        <v/>
      </c>
      <c r="D6560" t="inlineStr">
        <is>
          <t>1336-03-02</t>
        </is>
      </c>
    </row>
    <row r="6561">
      <c r="A6561" s="1" t="n">
        <v>6560</v>
      </c>
      <c r="B6561">
        <f>TEXT(6560, "[$-170000]yyyy-mm-dd")</f>
        <v/>
      </c>
      <c r="C6561">
        <f>TEXT(6560, "[$-060000]yyyy-mm-dd")</f>
        <v/>
      </c>
      <c r="D6561" t="inlineStr">
        <is>
          <t>1336-03-03</t>
        </is>
      </c>
    </row>
    <row r="6562">
      <c r="A6562" s="1" t="n">
        <v>6561</v>
      </c>
      <c r="B6562">
        <f>TEXT(6561, "[$-170000]yyyy-mm-dd")</f>
        <v/>
      </c>
      <c r="C6562">
        <f>TEXT(6561, "[$-060000]yyyy-mm-dd")</f>
        <v/>
      </c>
      <c r="D6562" t="inlineStr">
        <is>
          <t>1336-03-04</t>
        </is>
      </c>
    </row>
    <row r="6563">
      <c r="A6563" s="1" t="n">
        <v>6562</v>
      </c>
      <c r="B6563">
        <f>TEXT(6562, "[$-170000]yyyy-mm-dd")</f>
        <v/>
      </c>
      <c r="C6563">
        <f>TEXT(6562, "[$-060000]yyyy-mm-dd")</f>
        <v/>
      </c>
      <c r="D6563" t="inlineStr">
        <is>
          <t>1336-03-05</t>
        </is>
      </c>
    </row>
    <row r="6564">
      <c r="A6564" s="1" t="n">
        <v>6563</v>
      </c>
      <c r="B6564">
        <f>TEXT(6563, "[$-170000]yyyy-mm-dd")</f>
        <v/>
      </c>
      <c r="C6564">
        <f>TEXT(6563, "[$-060000]yyyy-mm-dd")</f>
        <v/>
      </c>
      <c r="D6564" t="inlineStr">
        <is>
          <t>1336-03-06</t>
        </is>
      </c>
    </row>
    <row r="6565">
      <c r="A6565" s="1" t="n">
        <v>6564</v>
      </c>
      <c r="B6565">
        <f>TEXT(6564, "[$-170000]yyyy-mm-dd")</f>
        <v/>
      </c>
      <c r="C6565">
        <f>TEXT(6564, "[$-060000]yyyy-mm-dd")</f>
        <v/>
      </c>
      <c r="D6565" t="inlineStr">
        <is>
          <t>1336-03-07</t>
        </is>
      </c>
    </row>
    <row r="6566">
      <c r="A6566" s="1" t="n">
        <v>6565</v>
      </c>
      <c r="B6566">
        <f>TEXT(6565, "[$-170000]yyyy-mm-dd")</f>
        <v/>
      </c>
      <c r="C6566">
        <f>TEXT(6565, "[$-060000]yyyy-mm-dd")</f>
        <v/>
      </c>
      <c r="D6566" t="inlineStr">
        <is>
          <t>1336-03-08</t>
        </is>
      </c>
    </row>
    <row r="6567">
      <c r="A6567" s="1" t="n">
        <v>6566</v>
      </c>
      <c r="B6567">
        <f>TEXT(6566, "[$-170000]yyyy-mm-dd")</f>
        <v/>
      </c>
      <c r="C6567">
        <f>TEXT(6566, "[$-060000]yyyy-mm-dd")</f>
        <v/>
      </c>
      <c r="D6567" t="inlineStr">
        <is>
          <t>1336-03-09</t>
        </is>
      </c>
    </row>
    <row r="6568">
      <c r="A6568" s="1" t="n">
        <v>6567</v>
      </c>
      <c r="B6568">
        <f>TEXT(6567, "[$-170000]yyyy-mm-dd")</f>
        <v/>
      </c>
      <c r="C6568">
        <f>TEXT(6567, "[$-060000]yyyy-mm-dd")</f>
        <v/>
      </c>
      <c r="D6568" t="inlineStr">
        <is>
          <t>1336-03-10</t>
        </is>
      </c>
    </row>
    <row r="6569">
      <c r="A6569" s="1" t="n">
        <v>6568</v>
      </c>
      <c r="B6569">
        <f>TEXT(6568, "[$-170000]yyyy-mm-dd")</f>
        <v/>
      </c>
      <c r="C6569">
        <f>TEXT(6568, "[$-060000]yyyy-mm-dd")</f>
        <v/>
      </c>
      <c r="D6569" t="inlineStr">
        <is>
          <t>1336-03-11</t>
        </is>
      </c>
    </row>
    <row r="6570">
      <c r="A6570" s="1" t="n">
        <v>6569</v>
      </c>
      <c r="B6570">
        <f>TEXT(6569, "[$-170000]yyyy-mm-dd")</f>
        <v/>
      </c>
      <c r="C6570">
        <f>TEXT(6569, "[$-060000]yyyy-mm-dd")</f>
        <v/>
      </c>
      <c r="D6570" t="inlineStr">
        <is>
          <t>1336-03-12</t>
        </is>
      </c>
    </row>
    <row r="6571">
      <c r="A6571" s="1" t="n">
        <v>6570</v>
      </c>
      <c r="B6571">
        <f>TEXT(6570, "[$-170000]yyyy-mm-dd")</f>
        <v/>
      </c>
      <c r="C6571">
        <f>TEXT(6570, "[$-060000]yyyy-mm-dd")</f>
        <v/>
      </c>
      <c r="D6571" t="inlineStr">
        <is>
          <t>1336-03-13</t>
        </is>
      </c>
    </row>
    <row r="6572">
      <c r="A6572" s="1" t="n">
        <v>6571</v>
      </c>
      <c r="B6572">
        <f>TEXT(6571, "[$-170000]yyyy-mm-dd")</f>
        <v/>
      </c>
      <c r="C6572">
        <f>TEXT(6571, "[$-060000]yyyy-mm-dd")</f>
        <v/>
      </c>
      <c r="D6572" t="inlineStr">
        <is>
          <t>1336-03-14</t>
        </is>
      </c>
    </row>
    <row r="6573">
      <c r="A6573" s="1" t="n">
        <v>6572</v>
      </c>
      <c r="B6573">
        <f>TEXT(6572, "[$-170000]yyyy-mm-dd")</f>
        <v/>
      </c>
      <c r="C6573">
        <f>TEXT(6572, "[$-060000]yyyy-mm-dd")</f>
        <v/>
      </c>
      <c r="D6573" t="inlineStr">
        <is>
          <t>1336-03-15</t>
        </is>
      </c>
    </row>
    <row r="6574">
      <c r="A6574" s="1" t="n">
        <v>6573</v>
      </c>
      <c r="B6574">
        <f>TEXT(6573, "[$-170000]yyyy-mm-dd")</f>
        <v/>
      </c>
      <c r="C6574">
        <f>TEXT(6573, "[$-060000]yyyy-mm-dd")</f>
        <v/>
      </c>
      <c r="D6574" t="inlineStr">
        <is>
          <t>1336-03-16</t>
        </is>
      </c>
    </row>
    <row r="6575">
      <c r="A6575" s="1" t="n">
        <v>6574</v>
      </c>
      <c r="B6575">
        <f>TEXT(6574, "[$-170000]yyyy-mm-dd")</f>
        <v/>
      </c>
      <c r="C6575">
        <f>TEXT(6574, "[$-060000]yyyy-mm-dd")</f>
        <v/>
      </c>
      <c r="D6575" t="inlineStr">
        <is>
          <t>1336-03-17</t>
        </is>
      </c>
    </row>
    <row r="6576">
      <c r="A6576" s="1" t="n">
        <v>6575</v>
      </c>
      <c r="B6576">
        <f>TEXT(6575, "[$-170000]yyyy-mm-dd")</f>
        <v/>
      </c>
      <c r="C6576">
        <f>TEXT(6575, "[$-060000]yyyy-mm-dd")</f>
        <v/>
      </c>
      <c r="D6576" t="inlineStr">
        <is>
          <t>1336-03-18</t>
        </is>
      </c>
    </row>
    <row r="6577">
      <c r="A6577" s="1" t="n">
        <v>6576</v>
      </c>
      <c r="B6577">
        <f>TEXT(6576, "[$-170000]yyyy-mm-dd")</f>
        <v/>
      </c>
      <c r="C6577">
        <f>TEXT(6576, "[$-060000]yyyy-mm-dd")</f>
        <v/>
      </c>
      <c r="D6577" t="inlineStr">
        <is>
          <t>1336-03-19</t>
        </is>
      </c>
    </row>
    <row r="6578">
      <c r="A6578" s="1" t="n">
        <v>6577</v>
      </c>
      <c r="B6578">
        <f>TEXT(6577, "[$-170000]yyyy-mm-dd")</f>
        <v/>
      </c>
      <c r="C6578">
        <f>TEXT(6577, "[$-060000]yyyy-mm-dd")</f>
        <v/>
      </c>
      <c r="D6578" t="inlineStr">
        <is>
          <t>1336-03-20</t>
        </is>
      </c>
    </row>
    <row r="6579">
      <c r="A6579" s="1" t="n">
        <v>6578</v>
      </c>
      <c r="B6579">
        <f>TEXT(6578, "[$-170000]yyyy-mm-dd")</f>
        <v/>
      </c>
      <c r="C6579">
        <f>TEXT(6578, "[$-060000]yyyy-mm-dd")</f>
        <v/>
      </c>
      <c r="D6579" t="inlineStr">
        <is>
          <t>1336-03-21</t>
        </is>
      </c>
    </row>
    <row r="6580">
      <c r="A6580" s="1" t="n">
        <v>6579</v>
      </c>
      <c r="B6580">
        <f>TEXT(6579, "[$-170000]yyyy-mm-dd")</f>
        <v/>
      </c>
      <c r="C6580">
        <f>TEXT(6579, "[$-060000]yyyy-mm-dd")</f>
        <v/>
      </c>
      <c r="D6580" t="inlineStr">
        <is>
          <t>1336-03-22</t>
        </is>
      </c>
    </row>
    <row r="6581">
      <c r="A6581" s="1" t="n">
        <v>6580</v>
      </c>
      <c r="B6581">
        <f>TEXT(6580, "[$-170000]yyyy-mm-dd")</f>
        <v/>
      </c>
      <c r="C6581">
        <f>TEXT(6580, "[$-060000]yyyy-mm-dd")</f>
        <v/>
      </c>
      <c r="D6581" t="inlineStr">
        <is>
          <t>1336-03-23</t>
        </is>
      </c>
    </row>
    <row r="6582">
      <c r="A6582" s="1" t="n">
        <v>6581</v>
      </c>
      <c r="B6582">
        <f>TEXT(6581, "[$-170000]yyyy-mm-dd")</f>
        <v/>
      </c>
      <c r="C6582">
        <f>TEXT(6581, "[$-060000]yyyy-mm-dd")</f>
        <v/>
      </c>
      <c r="D6582" t="inlineStr">
        <is>
          <t>1336-03-24</t>
        </is>
      </c>
    </row>
    <row r="6583">
      <c r="A6583" s="1" t="n">
        <v>6582</v>
      </c>
      <c r="B6583">
        <f>TEXT(6582, "[$-170000]yyyy-mm-dd")</f>
        <v/>
      </c>
      <c r="C6583">
        <f>TEXT(6582, "[$-060000]yyyy-mm-dd")</f>
        <v/>
      </c>
      <c r="D6583" t="inlineStr">
        <is>
          <t>1336-03-25</t>
        </is>
      </c>
    </row>
    <row r="6584">
      <c r="A6584" s="1" t="n">
        <v>6583</v>
      </c>
      <c r="B6584">
        <f>TEXT(6583, "[$-170000]yyyy-mm-dd")</f>
        <v/>
      </c>
      <c r="C6584">
        <f>TEXT(6583, "[$-060000]yyyy-mm-dd")</f>
        <v/>
      </c>
      <c r="D6584" t="inlineStr">
        <is>
          <t>1336-03-26</t>
        </is>
      </c>
    </row>
    <row r="6585">
      <c r="A6585" s="1" t="n">
        <v>6584</v>
      </c>
      <c r="B6585">
        <f>TEXT(6584, "[$-170000]yyyy-mm-dd")</f>
        <v/>
      </c>
      <c r="C6585">
        <f>TEXT(6584, "[$-060000]yyyy-mm-dd")</f>
        <v/>
      </c>
      <c r="D6585" t="inlineStr">
        <is>
          <t>1336-03-27</t>
        </is>
      </c>
    </row>
    <row r="6586">
      <c r="A6586" s="1" t="n">
        <v>6585</v>
      </c>
      <c r="B6586">
        <f>TEXT(6585, "[$-170000]yyyy-mm-dd")</f>
        <v/>
      </c>
      <c r="C6586">
        <f>TEXT(6585, "[$-060000]yyyy-mm-dd")</f>
        <v/>
      </c>
      <c r="D6586" t="inlineStr">
        <is>
          <t>1336-03-28</t>
        </is>
      </c>
    </row>
    <row r="6587">
      <c r="A6587" s="1" t="n">
        <v>6586</v>
      </c>
      <c r="B6587">
        <f>TEXT(6586, "[$-170000]yyyy-mm-dd")</f>
        <v/>
      </c>
      <c r="C6587">
        <f>TEXT(6586, "[$-060000]yyyy-mm-dd")</f>
        <v/>
      </c>
      <c r="D6587" t="inlineStr">
        <is>
          <t>1336-03-29</t>
        </is>
      </c>
    </row>
    <row r="6588">
      <c r="A6588" s="1" t="n">
        <v>6587</v>
      </c>
      <c r="B6588">
        <f>TEXT(6587, "[$-170000]yyyy-mm-dd")</f>
        <v/>
      </c>
      <c r="C6588">
        <f>TEXT(6587, "[$-060000]yyyy-mm-dd")</f>
        <v/>
      </c>
      <c r="D6588" t="inlineStr">
        <is>
          <t>1336-03-30</t>
        </is>
      </c>
    </row>
    <row r="6589">
      <c r="A6589" s="1" t="n">
        <v>6588</v>
      </c>
      <c r="B6589">
        <f>TEXT(6588, "[$-170000]yyyy-mm-dd")</f>
        <v/>
      </c>
      <c r="C6589">
        <f>TEXT(6588, "[$-060000]yyyy-mm-dd")</f>
        <v/>
      </c>
      <c r="D6589" t="inlineStr">
        <is>
          <t>1336-04-01</t>
        </is>
      </c>
    </row>
    <row r="6590">
      <c r="A6590" s="1" t="n">
        <v>6589</v>
      </c>
      <c r="B6590">
        <f>TEXT(6589, "[$-170000]yyyy-mm-dd")</f>
        <v/>
      </c>
      <c r="C6590">
        <f>TEXT(6589, "[$-060000]yyyy-mm-dd")</f>
        <v/>
      </c>
      <c r="D6590" t="inlineStr">
        <is>
          <t>1336-04-02</t>
        </is>
      </c>
    </row>
    <row r="6591">
      <c r="A6591" s="1" t="n">
        <v>6590</v>
      </c>
      <c r="B6591">
        <f>TEXT(6590, "[$-170000]yyyy-mm-dd")</f>
        <v/>
      </c>
      <c r="C6591">
        <f>TEXT(6590, "[$-060000]yyyy-mm-dd")</f>
        <v/>
      </c>
      <c r="D6591" t="inlineStr">
        <is>
          <t>1336-04-03</t>
        </is>
      </c>
    </row>
    <row r="6592">
      <c r="A6592" s="1" t="n">
        <v>6591</v>
      </c>
      <c r="B6592">
        <f>TEXT(6591, "[$-170000]yyyy-mm-dd")</f>
        <v/>
      </c>
      <c r="C6592">
        <f>TEXT(6591, "[$-060000]yyyy-mm-dd")</f>
        <v/>
      </c>
      <c r="D6592" t="inlineStr">
        <is>
          <t>1336-04-04</t>
        </is>
      </c>
    </row>
    <row r="6593">
      <c r="A6593" s="1" t="n">
        <v>6592</v>
      </c>
      <c r="B6593">
        <f>TEXT(6592, "[$-170000]yyyy-mm-dd")</f>
        <v/>
      </c>
      <c r="C6593">
        <f>TEXT(6592, "[$-060000]yyyy-mm-dd")</f>
        <v/>
      </c>
      <c r="D6593" t="inlineStr">
        <is>
          <t>1336-04-05</t>
        </is>
      </c>
    </row>
    <row r="6594">
      <c r="A6594" s="1" t="n">
        <v>6593</v>
      </c>
      <c r="B6594">
        <f>TEXT(6593, "[$-170000]yyyy-mm-dd")</f>
        <v/>
      </c>
      <c r="C6594">
        <f>TEXT(6593, "[$-060000]yyyy-mm-dd")</f>
        <v/>
      </c>
      <c r="D6594" t="inlineStr">
        <is>
          <t>1336-04-06</t>
        </is>
      </c>
    </row>
    <row r="6595">
      <c r="A6595" s="1" t="n">
        <v>6594</v>
      </c>
      <c r="B6595">
        <f>TEXT(6594, "[$-170000]yyyy-mm-dd")</f>
        <v/>
      </c>
      <c r="C6595">
        <f>TEXT(6594, "[$-060000]yyyy-mm-dd")</f>
        <v/>
      </c>
      <c r="D6595" t="inlineStr">
        <is>
          <t>1336-04-07</t>
        </is>
      </c>
    </row>
    <row r="6596">
      <c r="A6596" s="1" t="n">
        <v>6595</v>
      </c>
      <c r="B6596">
        <f>TEXT(6595, "[$-170000]yyyy-mm-dd")</f>
        <v/>
      </c>
      <c r="C6596">
        <f>TEXT(6595, "[$-060000]yyyy-mm-dd")</f>
        <v/>
      </c>
      <c r="D6596" t="inlineStr">
        <is>
          <t>1336-04-08</t>
        </is>
      </c>
    </row>
    <row r="6597">
      <c r="A6597" s="1" t="n">
        <v>6596</v>
      </c>
      <c r="B6597">
        <f>TEXT(6596, "[$-170000]yyyy-mm-dd")</f>
        <v/>
      </c>
      <c r="C6597">
        <f>TEXT(6596, "[$-060000]yyyy-mm-dd")</f>
        <v/>
      </c>
      <c r="D6597" t="inlineStr">
        <is>
          <t>1336-04-09</t>
        </is>
      </c>
    </row>
    <row r="6598">
      <c r="A6598" s="1" t="n">
        <v>6597</v>
      </c>
      <c r="B6598">
        <f>TEXT(6597, "[$-170000]yyyy-mm-dd")</f>
        <v/>
      </c>
      <c r="C6598">
        <f>TEXT(6597, "[$-060000]yyyy-mm-dd")</f>
        <v/>
      </c>
      <c r="D6598" t="inlineStr">
        <is>
          <t>1336-04-10</t>
        </is>
      </c>
    </row>
    <row r="6599">
      <c r="A6599" s="1" t="n">
        <v>6598</v>
      </c>
      <c r="B6599">
        <f>TEXT(6598, "[$-170000]yyyy-mm-dd")</f>
        <v/>
      </c>
      <c r="C6599">
        <f>TEXT(6598, "[$-060000]yyyy-mm-dd")</f>
        <v/>
      </c>
      <c r="D6599" t="inlineStr">
        <is>
          <t>1336-04-11</t>
        </is>
      </c>
    </row>
    <row r="6600">
      <c r="A6600" s="1" t="n">
        <v>6599</v>
      </c>
      <c r="B6600">
        <f>TEXT(6599, "[$-170000]yyyy-mm-dd")</f>
        <v/>
      </c>
      <c r="C6600">
        <f>TEXT(6599, "[$-060000]yyyy-mm-dd")</f>
        <v/>
      </c>
      <c r="D6600" t="inlineStr">
        <is>
          <t>1336-04-12</t>
        </is>
      </c>
    </row>
    <row r="6601">
      <c r="A6601" s="1" t="n">
        <v>6600</v>
      </c>
      <c r="B6601">
        <f>TEXT(6600, "[$-170000]yyyy-mm-dd")</f>
        <v/>
      </c>
      <c r="C6601">
        <f>TEXT(6600, "[$-060000]yyyy-mm-dd")</f>
        <v/>
      </c>
      <c r="D6601" t="inlineStr">
        <is>
          <t>1336-04-13</t>
        </is>
      </c>
    </row>
    <row r="6602">
      <c r="A6602" s="1" t="n">
        <v>6601</v>
      </c>
      <c r="B6602">
        <f>TEXT(6601, "[$-170000]yyyy-mm-dd")</f>
        <v/>
      </c>
      <c r="C6602">
        <f>TEXT(6601, "[$-060000]yyyy-mm-dd")</f>
        <v/>
      </c>
      <c r="D6602" t="inlineStr">
        <is>
          <t>1336-04-14</t>
        </is>
      </c>
    </row>
    <row r="6603">
      <c r="A6603" s="1" t="n">
        <v>6602</v>
      </c>
      <c r="B6603">
        <f>TEXT(6602, "[$-170000]yyyy-mm-dd")</f>
        <v/>
      </c>
      <c r="C6603">
        <f>TEXT(6602, "[$-060000]yyyy-mm-dd")</f>
        <v/>
      </c>
      <c r="D6603" t="inlineStr">
        <is>
          <t>1336-04-15</t>
        </is>
      </c>
    </row>
    <row r="6604">
      <c r="A6604" s="1" t="n">
        <v>6603</v>
      </c>
      <c r="B6604">
        <f>TEXT(6603, "[$-170000]yyyy-mm-dd")</f>
        <v/>
      </c>
      <c r="C6604">
        <f>TEXT(6603, "[$-060000]yyyy-mm-dd")</f>
        <v/>
      </c>
      <c r="D6604" t="inlineStr">
        <is>
          <t>1336-04-16</t>
        </is>
      </c>
    </row>
    <row r="6605">
      <c r="A6605" s="1" t="n">
        <v>6604</v>
      </c>
      <c r="B6605">
        <f>TEXT(6604, "[$-170000]yyyy-mm-dd")</f>
        <v/>
      </c>
      <c r="C6605">
        <f>TEXT(6604, "[$-060000]yyyy-mm-dd")</f>
        <v/>
      </c>
      <c r="D6605" t="inlineStr">
        <is>
          <t>1336-04-17</t>
        </is>
      </c>
    </row>
    <row r="6606">
      <c r="A6606" s="1" t="n">
        <v>6605</v>
      </c>
      <c r="B6606">
        <f>TEXT(6605, "[$-170000]yyyy-mm-dd")</f>
        <v/>
      </c>
      <c r="C6606">
        <f>TEXT(6605, "[$-060000]yyyy-mm-dd")</f>
        <v/>
      </c>
      <c r="D6606" t="inlineStr">
        <is>
          <t>1336-04-18</t>
        </is>
      </c>
    </row>
    <row r="6607">
      <c r="A6607" s="1" t="n">
        <v>6606</v>
      </c>
      <c r="B6607">
        <f>TEXT(6606, "[$-170000]yyyy-mm-dd")</f>
        <v/>
      </c>
      <c r="C6607">
        <f>TEXT(6606, "[$-060000]yyyy-mm-dd")</f>
        <v/>
      </c>
      <c r="D6607" t="inlineStr">
        <is>
          <t>1336-04-19</t>
        </is>
      </c>
    </row>
    <row r="6608">
      <c r="A6608" s="1" t="n">
        <v>6607</v>
      </c>
      <c r="B6608">
        <f>TEXT(6607, "[$-170000]yyyy-mm-dd")</f>
        <v/>
      </c>
      <c r="C6608">
        <f>TEXT(6607, "[$-060000]yyyy-mm-dd")</f>
        <v/>
      </c>
      <c r="D6608" t="inlineStr">
        <is>
          <t>1336-04-20</t>
        </is>
      </c>
    </row>
    <row r="6609">
      <c r="A6609" s="1" t="n">
        <v>6608</v>
      </c>
      <c r="B6609">
        <f>TEXT(6608, "[$-170000]yyyy-mm-dd")</f>
        <v/>
      </c>
      <c r="C6609">
        <f>TEXT(6608, "[$-060000]yyyy-mm-dd")</f>
        <v/>
      </c>
      <c r="D6609" t="inlineStr">
        <is>
          <t>1336-04-21</t>
        </is>
      </c>
    </row>
    <row r="6610">
      <c r="A6610" s="1" t="n">
        <v>6609</v>
      </c>
      <c r="B6610">
        <f>TEXT(6609, "[$-170000]yyyy-mm-dd")</f>
        <v/>
      </c>
      <c r="C6610">
        <f>TEXT(6609, "[$-060000]yyyy-mm-dd")</f>
        <v/>
      </c>
      <c r="D6610" t="inlineStr">
        <is>
          <t>1336-04-22</t>
        </is>
      </c>
    </row>
    <row r="6611">
      <c r="A6611" s="1" t="n">
        <v>6610</v>
      </c>
      <c r="B6611">
        <f>TEXT(6610, "[$-170000]yyyy-mm-dd")</f>
        <v/>
      </c>
      <c r="C6611">
        <f>TEXT(6610, "[$-060000]yyyy-mm-dd")</f>
        <v/>
      </c>
      <c r="D6611" t="inlineStr">
        <is>
          <t>1336-04-23</t>
        </is>
      </c>
    </row>
    <row r="6612">
      <c r="A6612" s="1" t="n">
        <v>6611</v>
      </c>
      <c r="B6612">
        <f>TEXT(6611, "[$-170000]yyyy-mm-dd")</f>
        <v/>
      </c>
      <c r="C6612">
        <f>TEXT(6611, "[$-060000]yyyy-mm-dd")</f>
        <v/>
      </c>
      <c r="D6612" t="inlineStr">
        <is>
          <t>1336-04-24</t>
        </is>
      </c>
    </row>
    <row r="6613">
      <c r="A6613" s="1" t="n">
        <v>6612</v>
      </c>
      <c r="B6613">
        <f>TEXT(6612, "[$-170000]yyyy-mm-dd")</f>
        <v/>
      </c>
      <c r="C6613">
        <f>TEXT(6612, "[$-060000]yyyy-mm-dd")</f>
        <v/>
      </c>
      <c r="D6613" t="inlineStr">
        <is>
          <t>1336-04-25</t>
        </is>
      </c>
    </row>
    <row r="6614">
      <c r="A6614" s="1" t="n">
        <v>6613</v>
      </c>
      <c r="B6614">
        <f>TEXT(6613, "[$-170000]yyyy-mm-dd")</f>
        <v/>
      </c>
      <c r="C6614">
        <f>TEXT(6613, "[$-060000]yyyy-mm-dd")</f>
        <v/>
      </c>
      <c r="D6614" t="inlineStr">
        <is>
          <t>1336-04-26</t>
        </is>
      </c>
    </row>
    <row r="6615">
      <c r="A6615" s="1" t="n">
        <v>6614</v>
      </c>
      <c r="B6615">
        <f>TEXT(6614, "[$-170000]yyyy-mm-dd")</f>
        <v/>
      </c>
      <c r="C6615">
        <f>TEXT(6614, "[$-060000]yyyy-mm-dd")</f>
        <v/>
      </c>
      <c r="D6615" t="inlineStr">
        <is>
          <t>1336-04-27</t>
        </is>
      </c>
    </row>
    <row r="6616">
      <c r="A6616" s="1" t="n">
        <v>6615</v>
      </c>
      <c r="B6616">
        <f>TEXT(6615, "[$-170000]yyyy-mm-dd")</f>
        <v/>
      </c>
      <c r="C6616">
        <f>TEXT(6615, "[$-060000]yyyy-mm-dd")</f>
        <v/>
      </c>
      <c r="D6616" t="inlineStr">
        <is>
          <t>1336-04-28</t>
        </is>
      </c>
    </row>
    <row r="6617">
      <c r="A6617" s="1" t="n">
        <v>6616</v>
      </c>
      <c r="B6617">
        <f>TEXT(6616, "[$-170000]yyyy-mm-dd")</f>
        <v/>
      </c>
      <c r="C6617">
        <f>TEXT(6616, "[$-060000]yyyy-mm-dd")</f>
        <v/>
      </c>
      <c r="D6617" t="inlineStr">
        <is>
          <t>1336-04-29</t>
        </is>
      </c>
    </row>
    <row r="6618">
      <c r="A6618" s="1" t="n">
        <v>6617</v>
      </c>
      <c r="B6618">
        <f>TEXT(6617, "[$-170000]yyyy-mm-dd")</f>
        <v/>
      </c>
      <c r="C6618">
        <f>TEXT(6617, "[$-060000]yyyy-mm-dd")</f>
        <v/>
      </c>
      <c r="D6618" t="inlineStr">
        <is>
          <t>1336-05-01</t>
        </is>
      </c>
    </row>
    <row r="6619">
      <c r="A6619" s="1" t="n">
        <v>6618</v>
      </c>
      <c r="B6619">
        <f>TEXT(6618, "[$-170000]yyyy-mm-dd")</f>
        <v/>
      </c>
      <c r="C6619">
        <f>TEXT(6618, "[$-060000]yyyy-mm-dd")</f>
        <v/>
      </c>
      <c r="D6619" t="inlineStr">
        <is>
          <t>1336-05-02</t>
        </is>
      </c>
    </row>
    <row r="6620">
      <c r="A6620" s="1" t="n">
        <v>6619</v>
      </c>
      <c r="B6620">
        <f>TEXT(6619, "[$-170000]yyyy-mm-dd")</f>
        <v/>
      </c>
      <c r="C6620">
        <f>TEXT(6619, "[$-060000]yyyy-mm-dd")</f>
        <v/>
      </c>
      <c r="D6620" t="inlineStr">
        <is>
          <t>1336-05-03</t>
        </is>
      </c>
    </row>
    <row r="6621">
      <c r="A6621" s="1" t="n">
        <v>6620</v>
      </c>
      <c r="B6621">
        <f>TEXT(6620, "[$-170000]yyyy-mm-dd")</f>
        <v/>
      </c>
      <c r="C6621">
        <f>TEXT(6620, "[$-060000]yyyy-mm-dd")</f>
        <v/>
      </c>
      <c r="D6621" t="inlineStr">
        <is>
          <t>1336-05-04</t>
        </is>
      </c>
    </row>
    <row r="6622">
      <c r="A6622" s="1" t="n">
        <v>6621</v>
      </c>
      <c r="B6622">
        <f>TEXT(6621, "[$-170000]yyyy-mm-dd")</f>
        <v/>
      </c>
      <c r="C6622">
        <f>TEXT(6621, "[$-060000]yyyy-mm-dd")</f>
        <v/>
      </c>
      <c r="D6622" t="inlineStr">
        <is>
          <t>1336-05-05</t>
        </is>
      </c>
    </row>
    <row r="6623">
      <c r="A6623" s="1" t="n">
        <v>6622</v>
      </c>
      <c r="B6623">
        <f>TEXT(6622, "[$-170000]yyyy-mm-dd")</f>
        <v/>
      </c>
      <c r="C6623">
        <f>TEXT(6622, "[$-060000]yyyy-mm-dd")</f>
        <v/>
      </c>
      <c r="D6623" t="inlineStr">
        <is>
          <t>1336-05-06</t>
        </is>
      </c>
    </row>
    <row r="6624">
      <c r="A6624" s="1" t="n">
        <v>6623</v>
      </c>
      <c r="B6624">
        <f>TEXT(6623, "[$-170000]yyyy-mm-dd")</f>
        <v/>
      </c>
      <c r="C6624">
        <f>TEXT(6623, "[$-060000]yyyy-mm-dd")</f>
        <v/>
      </c>
      <c r="D6624" t="inlineStr">
        <is>
          <t>1336-05-07</t>
        </is>
      </c>
    </row>
    <row r="6625">
      <c r="A6625" s="1" t="n">
        <v>6624</v>
      </c>
      <c r="B6625">
        <f>TEXT(6624, "[$-170000]yyyy-mm-dd")</f>
        <v/>
      </c>
      <c r="C6625">
        <f>TEXT(6624, "[$-060000]yyyy-mm-dd")</f>
        <v/>
      </c>
      <c r="D6625" t="inlineStr">
        <is>
          <t>1336-05-08</t>
        </is>
      </c>
    </row>
    <row r="6626">
      <c r="A6626" s="1" t="n">
        <v>6625</v>
      </c>
      <c r="B6626">
        <f>TEXT(6625, "[$-170000]yyyy-mm-dd")</f>
        <v/>
      </c>
      <c r="C6626">
        <f>TEXT(6625, "[$-060000]yyyy-mm-dd")</f>
        <v/>
      </c>
      <c r="D6626" t="inlineStr">
        <is>
          <t>1336-05-09</t>
        </is>
      </c>
    </row>
    <row r="6627">
      <c r="A6627" s="1" t="n">
        <v>6626</v>
      </c>
      <c r="B6627">
        <f>TEXT(6626, "[$-170000]yyyy-mm-dd")</f>
        <v/>
      </c>
      <c r="C6627">
        <f>TEXT(6626, "[$-060000]yyyy-mm-dd")</f>
        <v/>
      </c>
      <c r="D6627" t="inlineStr">
        <is>
          <t>1336-05-10</t>
        </is>
      </c>
    </row>
    <row r="6628">
      <c r="A6628" s="1" t="n">
        <v>6627</v>
      </c>
      <c r="B6628">
        <f>TEXT(6627, "[$-170000]yyyy-mm-dd")</f>
        <v/>
      </c>
      <c r="C6628">
        <f>TEXT(6627, "[$-060000]yyyy-mm-dd")</f>
        <v/>
      </c>
      <c r="D6628" t="inlineStr">
        <is>
          <t>1336-05-11</t>
        </is>
      </c>
    </row>
    <row r="6629">
      <c r="A6629" s="1" t="n">
        <v>6628</v>
      </c>
      <c r="B6629">
        <f>TEXT(6628, "[$-170000]yyyy-mm-dd")</f>
        <v/>
      </c>
      <c r="C6629">
        <f>TEXT(6628, "[$-060000]yyyy-mm-dd")</f>
        <v/>
      </c>
      <c r="D6629" t="inlineStr">
        <is>
          <t>1336-05-12</t>
        </is>
      </c>
    </row>
    <row r="6630">
      <c r="A6630" s="1" t="n">
        <v>6629</v>
      </c>
      <c r="B6630">
        <f>TEXT(6629, "[$-170000]yyyy-mm-dd")</f>
        <v/>
      </c>
      <c r="C6630">
        <f>TEXT(6629, "[$-060000]yyyy-mm-dd")</f>
        <v/>
      </c>
      <c r="D6630" t="inlineStr">
        <is>
          <t>1336-05-13</t>
        </is>
      </c>
    </row>
    <row r="6631">
      <c r="A6631" s="1" t="n">
        <v>6630</v>
      </c>
      <c r="B6631">
        <f>TEXT(6630, "[$-170000]yyyy-mm-dd")</f>
        <v/>
      </c>
      <c r="C6631">
        <f>TEXT(6630, "[$-060000]yyyy-mm-dd")</f>
        <v/>
      </c>
      <c r="D6631" t="inlineStr">
        <is>
          <t>1336-05-14</t>
        </is>
      </c>
    </row>
    <row r="6632">
      <c r="A6632" s="1" t="n">
        <v>6631</v>
      </c>
      <c r="B6632">
        <f>TEXT(6631, "[$-170000]yyyy-mm-dd")</f>
        <v/>
      </c>
      <c r="C6632">
        <f>TEXT(6631, "[$-060000]yyyy-mm-dd")</f>
        <v/>
      </c>
      <c r="D6632" t="inlineStr">
        <is>
          <t>1336-05-15</t>
        </is>
      </c>
    </row>
    <row r="6633">
      <c r="A6633" s="1" t="n">
        <v>6632</v>
      </c>
      <c r="B6633">
        <f>TEXT(6632, "[$-170000]yyyy-mm-dd")</f>
        <v/>
      </c>
      <c r="C6633">
        <f>TEXT(6632, "[$-060000]yyyy-mm-dd")</f>
        <v/>
      </c>
      <c r="D6633" t="inlineStr">
        <is>
          <t>1336-05-16</t>
        </is>
      </c>
    </row>
    <row r="6634">
      <c r="A6634" s="1" t="n">
        <v>6633</v>
      </c>
      <c r="B6634">
        <f>TEXT(6633, "[$-170000]yyyy-mm-dd")</f>
        <v/>
      </c>
      <c r="C6634">
        <f>TEXT(6633, "[$-060000]yyyy-mm-dd")</f>
        <v/>
      </c>
      <c r="D6634" t="inlineStr">
        <is>
          <t>1336-05-17</t>
        </is>
      </c>
    </row>
    <row r="6635">
      <c r="A6635" s="1" t="n">
        <v>6634</v>
      </c>
      <c r="B6635">
        <f>TEXT(6634, "[$-170000]yyyy-mm-dd")</f>
        <v/>
      </c>
      <c r="C6635">
        <f>TEXT(6634, "[$-060000]yyyy-mm-dd")</f>
        <v/>
      </c>
      <c r="D6635" t="inlineStr">
        <is>
          <t>1336-05-18</t>
        </is>
      </c>
    </row>
    <row r="6636">
      <c r="A6636" s="1" t="n">
        <v>6635</v>
      </c>
      <c r="B6636">
        <f>TEXT(6635, "[$-170000]yyyy-mm-dd")</f>
        <v/>
      </c>
      <c r="C6636">
        <f>TEXT(6635, "[$-060000]yyyy-mm-dd")</f>
        <v/>
      </c>
      <c r="D6636" t="inlineStr">
        <is>
          <t>1336-05-19</t>
        </is>
      </c>
    </row>
    <row r="6637">
      <c r="A6637" s="1" t="n">
        <v>6636</v>
      </c>
      <c r="B6637">
        <f>TEXT(6636, "[$-170000]yyyy-mm-dd")</f>
        <v/>
      </c>
      <c r="C6637">
        <f>TEXT(6636, "[$-060000]yyyy-mm-dd")</f>
        <v/>
      </c>
      <c r="D6637" t="inlineStr">
        <is>
          <t>1336-05-20</t>
        </is>
      </c>
    </row>
    <row r="6638">
      <c r="A6638" s="1" t="n">
        <v>6637</v>
      </c>
      <c r="B6638">
        <f>TEXT(6637, "[$-170000]yyyy-mm-dd")</f>
        <v/>
      </c>
      <c r="C6638">
        <f>TEXT(6637, "[$-060000]yyyy-mm-dd")</f>
        <v/>
      </c>
      <c r="D6638" t="inlineStr">
        <is>
          <t>1336-05-21</t>
        </is>
      </c>
    </row>
    <row r="6639">
      <c r="A6639" s="1" t="n">
        <v>6638</v>
      </c>
      <c r="B6639">
        <f>TEXT(6638, "[$-170000]yyyy-mm-dd")</f>
        <v/>
      </c>
      <c r="C6639">
        <f>TEXT(6638, "[$-060000]yyyy-mm-dd")</f>
        <v/>
      </c>
      <c r="D6639" t="inlineStr">
        <is>
          <t>1336-05-22</t>
        </is>
      </c>
    </row>
    <row r="6640">
      <c r="A6640" s="1" t="n">
        <v>6639</v>
      </c>
      <c r="B6640">
        <f>TEXT(6639, "[$-170000]yyyy-mm-dd")</f>
        <v/>
      </c>
      <c r="C6640">
        <f>TEXT(6639, "[$-060000]yyyy-mm-dd")</f>
        <v/>
      </c>
      <c r="D6640" t="inlineStr">
        <is>
          <t>1336-05-23</t>
        </is>
      </c>
    </row>
    <row r="6641">
      <c r="A6641" s="1" t="n">
        <v>6640</v>
      </c>
      <c r="B6641">
        <f>TEXT(6640, "[$-170000]yyyy-mm-dd")</f>
        <v/>
      </c>
      <c r="C6641">
        <f>TEXT(6640, "[$-060000]yyyy-mm-dd")</f>
        <v/>
      </c>
      <c r="D6641" t="inlineStr">
        <is>
          <t>1336-05-24</t>
        </is>
      </c>
    </row>
    <row r="6642">
      <c r="A6642" s="1" t="n">
        <v>6641</v>
      </c>
      <c r="B6642">
        <f>TEXT(6641, "[$-170000]yyyy-mm-dd")</f>
        <v/>
      </c>
      <c r="C6642">
        <f>TEXT(6641, "[$-060000]yyyy-mm-dd")</f>
        <v/>
      </c>
      <c r="D6642" t="inlineStr">
        <is>
          <t>1336-05-25</t>
        </is>
      </c>
    </row>
    <row r="6643">
      <c r="A6643" s="1" t="n">
        <v>6642</v>
      </c>
      <c r="B6643">
        <f>TEXT(6642, "[$-170000]yyyy-mm-dd")</f>
        <v/>
      </c>
      <c r="C6643">
        <f>TEXT(6642, "[$-060000]yyyy-mm-dd")</f>
        <v/>
      </c>
      <c r="D6643" t="inlineStr">
        <is>
          <t>1336-05-26</t>
        </is>
      </c>
    </row>
    <row r="6644">
      <c r="A6644" s="1" t="n">
        <v>6643</v>
      </c>
      <c r="B6644">
        <f>TEXT(6643, "[$-170000]yyyy-mm-dd")</f>
        <v/>
      </c>
      <c r="C6644">
        <f>TEXT(6643, "[$-060000]yyyy-mm-dd")</f>
        <v/>
      </c>
      <c r="D6644" t="inlineStr">
        <is>
          <t>1336-05-27</t>
        </is>
      </c>
    </row>
    <row r="6645">
      <c r="A6645" s="1" t="n">
        <v>6644</v>
      </c>
      <c r="B6645">
        <f>TEXT(6644, "[$-170000]yyyy-mm-dd")</f>
        <v/>
      </c>
      <c r="C6645">
        <f>TEXT(6644, "[$-060000]yyyy-mm-dd")</f>
        <v/>
      </c>
      <c r="D6645" t="inlineStr">
        <is>
          <t>1336-05-28</t>
        </is>
      </c>
    </row>
    <row r="6646">
      <c r="A6646" s="1" t="n">
        <v>6645</v>
      </c>
      <c r="B6646">
        <f>TEXT(6645, "[$-170000]yyyy-mm-dd")</f>
        <v/>
      </c>
      <c r="C6646">
        <f>TEXT(6645, "[$-060000]yyyy-mm-dd")</f>
        <v/>
      </c>
      <c r="D6646" t="inlineStr">
        <is>
          <t>1336-05-29</t>
        </is>
      </c>
    </row>
    <row r="6647">
      <c r="A6647" s="1" t="n">
        <v>6646</v>
      </c>
      <c r="B6647">
        <f>TEXT(6646, "[$-170000]yyyy-mm-dd")</f>
        <v/>
      </c>
      <c r="C6647">
        <f>TEXT(6646, "[$-060000]yyyy-mm-dd")</f>
        <v/>
      </c>
      <c r="D6647" t="inlineStr">
        <is>
          <t>1336-05-30</t>
        </is>
      </c>
    </row>
    <row r="6648">
      <c r="A6648" s="1" t="n">
        <v>6647</v>
      </c>
      <c r="B6648">
        <f>TEXT(6647, "[$-170000]yyyy-mm-dd")</f>
        <v/>
      </c>
      <c r="C6648">
        <f>TEXT(6647, "[$-060000]yyyy-mm-dd")</f>
        <v/>
      </c>
      <c r="D6648" t="inlineStr">
        <is>
          <t>1336-06-01</t>
        </is>
      </c>
    </row>
    <row r="6649">
      <c r="A6649" s="1" t="n">
        <v>6648</v>
      </c>
      <c r="B6649">
        <f>TEXT(6648, "[$-170000]yyyy-mm-dd")</f>
        <v/>
      </c>
      <c r="C6649">
        <f>TEXT(6648, "[$-060000]yyyy-mm-dd")</f>
        <v/>
      </c>
      <c r="D6649" t="inlineStr">
        <is>
          <t>1336-06-02</t>
        </is>
      </c>
    </row>
    <row r="6650">
      <c r="A6650" s="1" t="n">
        <v>6649</v>
      </c>
      <c r="B6650">
        <f>TEXT(6649, "[$-170000]yyyy-mm-dd")</f>
        <v/>
      </c>
      <c r="C6650">
        <f>TEXT(6649, "[$-060000]yyyy-mm-dd")</f>
        <v/>
      </c>
      <c r="D6650" t="inlineStr">
        <is>
          <t>1336-06-03</t>
        </is>
      </c>
    </row>
    <row r="6651">
      <c r="A6651" s="1" t="n">
        <v>6650</v>
      </c>
      <c r="B6651">
        <f>TEXT(6650, "[$-170000]yyyy-mm-dd")</f>
        <v/>
      </c>
      <c r="C6651">
        <f>TEXT(6650, "[$-060000]yyyy-mm-dd")</f>
        <v/>
      </c>
      <c r="D6651" t="inlineStr">
        <is>
          <t>1336-06-04</t>
        </is>
      </c>
    </row>
    <row r="6652">
      <c r="A6652" s="1" t="n">
        <v>6651</v>
      </c>
      <c r="B6652">
        <f>TEXT(6651, "[$-170000]yyyy-mm-dd")</f>
        <v/>
      </c>
      <c r="C6652">
        <f>TEXT(6651, "[$-060000]yyyy-mm-dd")</f>
        <v/>
      </c>
      <c r="D6652" t="inlineStr">
        <is>
          <t>1336-06-05</t>
        </is>
      </c>
    </row>
    <row r="6653">
      <c r="A6653" s="1" t="n">
        <v>6652</v>
      </c>
      <c r="B6653">
        <f>TEXT(6652, "[$-170000]yyyy-mm-dd")</f>
        <v/>
      </c>
      <c r="C6653">
        <f>TEXT(6652, "[$-060000]yyyy-mm-dd")</f>
        <v/>
      </c>
      <c r="D6653" t="inlineStr">
        <is>
          <t>1336-06-06</t>
        </is>
      </c>
    </row>
    <row r="6654">
      <c r="A6654" s="1" t="n">
        <v>6653</v>
      </c>
      <c r="B6654">
        <f>TEXT(6653, "[$-170000]yyyy-mm-dd")</f>
        <v/>
      </c>
      <c r="C6654">
        <f>TEXT(6653, "[$-060000]yyyy-mm-dd")</f>
        <v/>
      </c>
      <c r="D6654" t="inlineStr">
        <is>
          <t>1336-06-07</t>
        </is>
      </c>
    </row>
    <row r="6655">
      <c r="A6655" s="1" t="n">
        <v>6654</v>
      </c>
      <c r="B6655">
        <f>TEXT(6654, "[$-170000]yyyy-mm-dd")</f>
        <v/>
      </c>
      <c r="C6655">
        <f>TEXT(6654, "[$-060000]yyyy-mm-dd")</f>
        <v/>
      </c>
      <c r="D6655" t="inlineStr">
        <is>
          <t>1336-06-08</t>
        </is>
      </c>
    </row>
    <row r="6656">
      <c r="A6656" s="1" t="n">
        <v>6655</v>
      </c>
      <c r="B6656">
        <f>TEXT(6655, "[$-170000]yyyy-mm-dd")</f>
        <v/>
      </c>
      <c r="C6656">
        <f>TEXT(6655, "[$-060000]yyyy-mm-dd")</f>
        <v/>
      </c>
      <c r="D6656" t="inlineStr">
        <is>
          <t>1336-06-09</t>
        </is>
      </c>
    </row>
    <row r="6657">
      <c r="A6657" s="1" t="n">
        <v>6656</v>
      </c>
      <c r="B6657">
        <f>TEXT(6656, "[$-170000]yyyy-mm-dd")</f>
        <v/>
      </c>
      <c r="C6657">
        <f>TEXT(6656, "[$-060000]yyyy-mm-dd")</f>
        <v/>
      </c>
      <c r="D6657" t="inlineStr">
        <is>
          <t>1336-06-10</t>
        </is>
      </c>
    </row>
    <row r="6658">
      <c r="A6658" s="1" t="n">
        <v>6657</v>
      </c>
      <c r="B6658">
        <f>TEXT(6657, "[$-170000]yyyy-mm-dd")</f>
        <v/>
      </c>
      <c r="C6658">
        <f>TEXT(6657, "[$-060000]yyyy-mm-dd")</f>
        <v/>
      </c>
      <c r="D6658" t="inlineStr">
        <is>
          <t>1336-06-11</t>
        </is>
      </c>
    </row>
    <row r="6659">
      <c r="A6659" s="1" t="n">
        <v>6658</v>
      </c>
      <c r="B6659">
        <f>TEXT(6658, "[$-170000]yyyy-mm-dd")</f>
        <v/>
      </c>
      <c r="C6659">
        <f>TEXT(6658, "[$-060000]yyyy-mm-dd")</f>
        <v/>
      </c>
      <c r="D6659" t="inlineStr">
        <is>
          <t>1336-06-12</t>
        </is>
      </c>
    </row>
    <row r="6660">
      <c r="A6660" s="1" t="n">
        <v>6659</v>
      </c>
      <c r="B6660">
        <f>TEXT(6659, "[$-170000]yyyy-mm-dd")</f>
        <v/>
      </c>
      <c r="C6660">
        <f>TEXT(6659, "[$-060000]yyyy-mm-dd")</f>
        <v/>
      </c>
      <c r="D6660" t="inlineStr">
        <is>
          <t>1336-06-13</t>
        </is>
      </c>
    </row>
    <row r="6661">
      <c r="A6661" s="1" t="n">
        <v>6660</v>
      </c>
      <c r="B6661">
        <f>TEXT(6660, "[$-170000]yyyy-mm-dd")</f>
        <v/>
      </c>
      <c r="C6661">
        <f>TEXT(6660, "[$-060000]yyyy-mm-dd")</f>
        <v/>
      </c>
      <c r="D6661" t="inlineStr">
        <is>
          <t>1336-06-14</t>
        </is>
      </c>
    </row>
    <row r="6662">
      <c r="A6662" s="1" t="n">
        <v>6661</v>
      </c>
      <c r="B6662">
        <f>TEXT(6661, "[$-170000]yyyy-mm-dd")</f>
        <v/>
      </c>
      <c r="C6662">
        <f>TEXT(6661, "[$-060000]yyyy-mm-dd")</f>
        <v/>
      </c>
      <c r="D6662" t="inlineStr">
        <is>
          <t>1336-06-15</t>
        </is>
      </c>
    </row>
    <row r="6663">
      <c r="A6663" s="1" t="n">
        <v>6662</v>
      </c>
      <c r="B6663">
        <f>TEXT(6662, "[$-170000]yyyy-mm-dd")</f>
        <v/>
      </c>
      <c r="C6663">
        <f>TEXT(6662, "[$-060000]yyyy-mm-dd")</f>
        <v/>
      </c>
      <c r="D6663" t="inlineStr">
        <is>
          <t>1336-06-16</t>
        </is>
      </c>
    </row>
    <row r="6664">
      <c r="A6664" s="1" t="n">
        <v>6663</v>
      </c>
      <c r="B6664">
        <f>TEXT(6663, "[$-170000]yyyy-mm-dd")</f>
        <v/>
      </c>
      <c r="C6664">
        <f>TEXT(6663, "[$-060000]yyyy-mm-dd")</f>
        <v/>
      </c>
      <c r="D6664" t="inlineStr">
        <is>
          <t>1336-06-17</t>
        </is>
      </c>
    </row>
    <row r="6665">
      <c r="A6665" s="1" t="n">
        <v>6664</v>
      </c>
      <c r="B6665">
        <f>TEXT(6664, "[$-170000]yyyy-mm-dd")</f>
        <v/>
      </c>
      <c r="C6665">
        <f>TEXT(6664, "[$-060000]yyyy-mm-dd")</f>
        <v/>
      </c>
      <c r="D6665" t="inlineStr">
        <is>
          <t>1336-06-18</t>
        </is>
      </c>
    </row>
    <row r="6666">
      <c r="A6666" s="1" t="n">
        <v>6665</v>
      </c>
      <c r="B6666">
        <f>TEXT(6665, "[$-170000]yyyy-mm-dd")</f>
        <v/>
      </c>
      <c r="C6666">
        <f>TEXT(6665, "[$-060000]yyyy-mm-dd")</f>
        <v/>
      </c>
      <c r="D6666" t="inlineStr">
        <is>
          <t>1336-06-19</t>
        </is>
      </c>
    </row>
    <row r="6667">
      <c r="A6667" s="1" t="n">
        <v>6666</v>
      </c>
      <c r="B6667">
        <f>TEXT(6666, "[$-170000]yyyy-mm-dd")</f>
        <v/>
      </c>
      <c r="C6667">
        <f>TEXT(6666, "[$-060000]yyyy-mm-dd")</f>
        <v/>
      </c>
      <c r="D6667" t="inlineStr">
        <is>
          <t>1336-06-20</t>
        </is>
      </c>
    </row>
    <row r="6668">
      <c r="A6668" s="1" t="n">
        <v>6667</v>
      </c>
      <c r="B6668">
        <f>TEXT(6667, "[$-170000]yyyy-mm-dd")</f>
        <v/>
      </c>
      <c r="C6668">
        <f>TEXT(6667, "[$-060000]yyyy-mm-dd")</f>
        <v/>
      </c>
      <c r="D6668" t="inlineStr">
        <is>
          <t>1336-06-21</t>
        </is>
      </c>
    </row>
    <row r="6669">
      <c r="A6669" s="1" t="n">
        <v>6668</v>
      </c>
      <c r="B6669">
        <f>TEXT(6668, "[$-170000]yyyy-mm-dd")</f>
        <v/>
      </c>
      <c r="C6669">
        <f>TEXT(6668, "[$-060000]yyyy-mm-dd")</f>
        <v/>
      </c>
      <c r="D6669" t="inlineStr">
        <is>
          <t>1336-06-22</t>
        </is>
      </c>
    </row>
    <row r="6670">
      <c r="A6670" s="1" t="n">
        <v>6669</v>
      </c>
      <c r="B6670">
        <f>TEXT(6669, "[$-170000]yyyy-mm-dd")</f>
        <v/>
      </c>
      <c r="C6670">
        <f>TEXT(6669, "[$-060000]yyyy-mm-dd")</f>
        <v/>
      </c>
      <c r="D6670" t="inlineStr">
        <is>
          <t>1336-06-23</t>
        </is>
      </c>
    </row>
    <row r="6671">
      <c r="A6671" s="1" t="n">
        <v>6670</v>
      </c>
      <c r="B6671">
        <f>TEXT(6670, "[$-170000]yyyy-mm-dd")</f>
        <v/>
      </c>
      <c r="C6671">
        <f>TEXT(6670, "[$-060000]yyyy-mm-dd")</f>
        <v/>
      </c>
      <c r="D6671" t="inlineStr">
        <is>
          <t>1336-06-24</t>
        </is>
      </c>
    </row>
    <row r="6672">
      <c r="A6672" s="1" t="n">
        <v>6671</v>
      </c>
      <c r="B6672">
        <f>TEXT(6671, "[$-170000]yyyy-mm-dd")</f>
        <v/>
      </c>
      <c r="C6672">
        <f>TEXT(6671, "[$-060000]yyyy-mm-dd")</f>
        <v/>
      </c>
      <c r="D6672" t="inlineStr">
        <is>
          <t>1336-06-25</t>
        </is>
      </c>
    </row>
    <row r="6673">
      <c r="A6673" s="1" t="n">
        <v>6672</v>
      </c>
      <c r="B6673">
        <f>TEXT(6672, "[$-170000]yyyy-mm-dd")</f>
        <v/>
      </c>
      <c r="C6673">
        <f>TEXT(6672, "[$-060000]yyyy-mm-dd")</f>
        <v/>
      </c>
      <c r="D6673" t="inlineStr">
        <is>
          <t>1336-06-26</t>
        </is>
      </c>
    </row>
    <row r="6674">
      <c r="A6674" s="1" t="n">
        <v>6673</v>
      </c>
      <c r="B6674">
        <f>TEXT(6673, "[$-170000]yyyy-mm-dd")</f>
        <v/>
      </c>
      <c r="C6674">
        <f>TEXT(6673, "[$-060000]yyyy-mm-dd")</f>
        <v/>
      </c>
      <c r="D6674" t="inlineStr">
        <is>
          <t>1336-06-27</t>
        </is>
      </c>
    </row>
    <row r="6675">
      <c r="A6675" s="1" t="n">
        <v>6674</v>
      </c>
      <c r="B6675">
        <f>TEXT(6674, "[$-170000]yyyy-mm-dd")</f>
        <v/>
      </c>
      <c r="C6675">
        <f>TEXT(6674, "[$-060000]yyyy-mm-dd")</f>
        <v/>
      </c>
      <c r="D6675" t="inlineStr">
        <is>
          <t>1336-06-28</t>
        </is>
      </c>
    </row>
    <row r="6676">
      <c r="A6676" s="1" t="n">
        <v>6675</v>
      </c>
      <c r="B6676">
        <f>TEXT(6675, "[$-170000]yyyy-mm-dd")</f>
        <v/>
      </c>
      <c r="C6676">
        <f>TEXT(6675, "[$-060000]yyyy-mm-dd")</f>
        <v/>
      </c>
      <c r="D6676" t="inlineStr">
        <is>
          <t>1336-06-29</t>
        </is>
      </c>
    </row>
    <row r="6677">
      <c r="A6677" s="1" t="n">
        <v>6676</v>
      </c>
      <c r="B6677">
        <f>TEXT(6676, "[$-170000]yyyy-mm-dd")</f>
        <v/>
      </c>
      <c r="C6677">
        <f>TEXT(6676, "[$-060000]yyyy-mm-dd")</f>
        <v/>
      </c>
      <c r="D6677" t="inlineStr">
        <is>
          <t>1336-07-01</t>
        </is>
      </c>
    </row>
    <row r="6678">
      <c r="A6678" s="1" t="n">
        <v>6677</v>
      </c>
      <c r="B6678">
        <f>TEXT(6677, "[$-170000]yyyy-mm-dd")</f>
        <v/>
      </c>
      <c r="C6678">
        <f>TEXT(6677, "[$-060000]yyyy-mm-dd")</f>
        <v/>
      </c>
      <c r="D6678" t="inlineStr">
        <is>
          <t>1336-07-02</t>
        </is>
      </c>
    </row>
    <row r="6679">
      <c r="A6679" s="1" t="n">
        <v>6678</v>
      </c>
      <c r="B6679">
        <f>TEXT(6678, "[$-170000]yyyy-mm-dd")</f>
        <v/>
      </c>
      <c r="C6679">
        <f>TEXT(6678, "[$-060000]yyyy-mm-dd")</f>
        <v/>
      </c>
      <c r="D6679" t="inlineStr">
        <is>
          <t>1336-07-03</t>
        </is>
      </c>
    </row>
    <row r="6680">
      <c r="A6680" s="1" t="n">
        <v>6679</v>
      </c>
      <c r="B6680">
        <f>TEXT(6679, "[$-170000]yyyy-mm-dd")</f>
        <v/>
      </c>
      <c r="C6680">
        <f>TEXT(6679, "[$-060000]yyyy-mm-dd")</f>
        <v/>
      </c>
      <c r="D6680" t="inlineStr">
        <is>
          <t>1336-07-04</t>
        </is>
      </c>
    </row>
    <row r="6681">
      <c r="A6681" s="1" t="n">
        <v>6680</v>
      </c>
      <c r="B6681">
        <f>TEXT(6680, "[$-170000]yyyy-mm-dd")</f>
        <v/>
      </c>
      <c r="C6681">
        <f>TEXT(6680, "[$-060000]yyyy-mm-dd")</f>
        <v/>
      </c>
      <c r="D6681" t="inlineStr">
        <is>
          <t>1336-07-05</t>
        </is>
      </c>
    </row>
    <row r="6682">
      <c r="A6682" s="1" t="n">
        <v>6681</v>
      </c>
      <c r="B6682">
        <f>TEXT(6681, "[$-170000]yyyy-mm-dd")</f>
        <v/>
      </c>
      <c r="C6682">
        <f>TEXT(6681, "[$-060000]yyyy-mm-dd")</f>
        <v/>
      </c>
      <c r="D6682" t="inlineStr">
        <is>
          <t>1336-07-06</t>
        </is>
      </c>
    </row>
    <row r="6683">
      <c r="A6683" s="1" t="n">
        <v>6682</v>
      </c>
      <c r="B6683">
        <f>TEXT(6682, "[$-170000]yyyy-mm-dd")</f>
        <v/>
      </c>
      <c r="C6683">
        <f>TEXT(6682, "[$-060000]yyyy-mm-dd")</f>
        <v/>
      </c>
      <c r="D6683" t="inlineStr">
        <is>
          <t>1336-07-07</t>
        </is>
      </c>
    </row>
    <row r="6684">
      <c r="A6684" s="1" t="n">
        <v>6683</v>
      </c>
      <c r="B6684">
        <f>TEXT(6683, "[$-170000]yyyy-mm-dd")</f>
        <v/>
      </c>
      <c r="C6684">
        <f>TEXT(6683, "[$-060000]yyyy-mm-dd")</f>
        <v/>
      </c>
      <c r="D6684" t="inlineStr">
        <is>
          <t>1336-07-08</t>
        </is>
      </c>
    </row>
    <row r="6685">
      <c r="A6685" s="1" t="n">
        <v>6684</v>
      </c>
      <c r="B6685">
        <f>TEXT(6684, "[$-170000]yyyy-mm-dd")</f>
        <v/>
      </c>
      <c r="C6685">
        <f>TEXT(6684, "[$-060000]yyyy-mm-dd")</f>
        <v/>
      </c>
      <c r="D6685" t="inlineStr">
        <is>
          <t>1336-07-09</t>
        </is>
      </c>
    </row>
    <row r="6686">
      <c r="A6686" s="1" t="n">
        <v>6685</v>
      </c>
      <c r="B6686">
        <f>TEXT(6685, "[$-170000]yyyy-mm-dd")</f>
        <v/>
      </c>
      <c r="C6686">
        <f>TEXT(6685, "[$-060000]yyyy-mm-dd")</f>
        <v/>
      </c>
      <c r="D6686" t="inlineStr">
        <is>
          <t>1336-07-10</t>
        </is>
      </c>
    </row>
    <row r="6687">
      <c r="A6687" s="1" t="n">
        <v>6686</v>
      </c>
      <c r="B6687">
        <f>TEXT(6686, "[$-170000]yyyy-mm-dd")</f>
        <v/>
      </c>
      <c r="C6687">
        <f>TEXT(6686, "[$-060000]yyyy-mm-dd")</f>
        <v/>
      </c>
      <c r="D6687" t="inlineStr">
        <is>
          <t>1336-07-11</t>
        </is>
      </c>
    </row>
    <row r="6688">
      <c r="A6688" s="1" t="n">
        <v>6687</v>
      </c>
      <c r="B6688">
        <f>TEXT(6687, "[$-170000]yyyy-mm-dd")</f>
        <v/>
      </c>
      <c r="C6688">
        <f>TEXT(6687, "[$-060000]yyyy-mm-dd")</f>
        <v/>
      </c>
      <c r="D6688" t="inlineStr">
        <is>
          <t>1336-07-12</t>
        </is>
      </c>
    </row>
    <row r="6689">
      <c r="A6689" s="1" t="n">
        <v>6688</v>
      </c>
      <c r="B6689">
        <f>TEXT(6688, "[$-170000]yyyy-mm-dd")</f>
        <v/>
      </c>
      <c r="C6689">
        <f>TEXT(6688, "[$-060000]yyyy-mm-dd")</f>
        <v/>
      </c>
      <c r="D6689" t="inlineStr">
        <is>
          <t>1336-07-13</t>
        </is>
      </c>
    </row>
    <row r="6690">
      <c r="A6690" s="1" t="n">
        <v>6689</v>
      </c>
      <c r="B6690">
        <f>TEXT(6689, "[$-170000]yyyy-mm-dd")</f>
        <v/>
      </c>
      <c r="C6690">
        <f>TEXT(6689, "[$-060000]yyyy-mm-dd")</f>
        <v/>
      </c>
      <c r="D6690" t="inlineStr">
        <is>
          <t>1336-07-14</t>
        </is>
      </c>
    </row>
    <row r="6691">
      <c r="A6691" s="1" t="n">
        <v>6690</v>
      </c>
      <c r="B6691">
        <f>TEXT(6690, "[$-170000]yyyy-mm-dd")</f>
        <v/>
      </c>
      <c r="C6691">
        <f>TEXT(6690, "[$-060000]yyyy-mm-dd")</f>
        <v/>
      </c>
      <c r="D6691" t="inlineStr">
        <is>
          <t>1336-07-15</t>
        </is>
      </c>
    </row>
    <row r="6692">
      <c r="A6692" s="1" t="n">
        <v>6691</v>
      </c>
      <c r="B6692">
        <f>TEXT(6691, "[$-170000]yyyy-mm-dd")</f>
        <v/>
      </c>
      <c r="C6692">
        <f>TEXT(6691, "[$-060000]yyyy-mm-dd")</f>
        <v/>
      </c>
      <c r="D6692" t="inlineStr">
        <is>
          <t>1336-07-16</t>
        </is>
      </c>
    </row>
    <row r="6693">
      <c r="A6693" s="1" t="n">
        <v>6692</v>
      </c>
      <c r="B6693">
        <f>TEXT(6692, "[$-170000]yyyy-mm-dd")</f>
        <v/>
      </c>
      <c r="C6693">
        <f>TEXT(6692, "[$-060000]yyyy-mm-dd")</f>
        <v/>
      </c>
      <c r="D6693" t="inlineStr">
        <is>
          <t>1336-07-17</t>
        </is>
      </c>
    </row>
    <row r="6694">
      <c r="A6694" s="1" t="n">
        <v>6693</v>
      </c>
      <c r="B6694">
        <f>TEXT(6693, "[$-170000]yyyy-mm-dd")</f>
        <v/>
      </c>
      <c r="C6694">
        <f>TEXT(6693, "[$-060000]yyyy-mm-dd")</f>
        <v/>
      </c>
      <c r="D6694" t="inlineStr">
        <is>
          <t>1336-07-18</t>
        </is>
      </c>
    </row>
    <row r="6695">
      <c r="A6695" s="1" t="n">
        <v>6694</v>
      </c>
      <c r="B6695">
        <f>TEXT(6694, "[$-170000]yyyy-mm-dd")</f>
        <v/>
      </c>
      <c r="C6695">
        <f>TEXT(6694, "[$-060000]yyyy-mm-dd")</f>
        <v/>
      </c>
      <c r="D6695" t="inlineStr">
        <is>
          <t>1336-07-19</t>
        </is>
      </c>
    </row>
    <row r="6696">
      <c r="A6696" s="1" t="n">
        <v>6695</v>
      </c>
      <c r="B6696">
        <f>TEXT(6695, "[$-170000]yyyy-mm-dd")</f>
        <v/>
      </c>
      <c r="C6696">
        <f>TEXT(6695, "[$-060000]yyyy-mm-dd")</f>
        <v/>
      </c>
      <c r="D6696" t="inlineStr">
        <is>
          <t>1336-07-20</t>
        </is>
      </c>
    </row>
    <row r="6697">
      <c r="A6697" s="1" t="n">
        <v>6696</v>
      </c>
      <c r="B6697">
        <f>TEXT(6696, "[$-170000]yyyy-mm-dd")</f>
        <v/>
      </c>
      <c r="C6697">
        <f>TEXT(6696, "[$-060000]yyyy-mm-dd")</f>
        <v/>
      </c>
      <c r="D6697" t="inlineStr">
        <is>
          <t>1336-07-21</t>
        </is>
      </c>
    </row>
    <row r="6698">
      <c r="A6698" s="1" t="n">
        <v>6697</v>
      </c>
      <c r="B6698">
        <f>TEXT(6697, "[$-170000]yyyy-mm-dd")</f>
        <v/>
      </c>
      <c r="C6698">
        <f>TEXT(6697, "[$-060000]yyyy-mm-dd")</f>
        <v/>
      </c>
      <c r="D6698" t="inlineStr">
        <is>
          <t>1336-07-22</t>
        </is>
      </c>
    </row>
    <row r="6699">
      <c r="A6699" s="1" t="n">
        <v>6698</v>
      </c>
      <c r="B6699">
        <f>TEXT(6698, "[$-170000]yyyy-mm-dd")</f>
        <v/>
      </c>
      <c r="C6699">
        <f>TEXT(6698, "[$-060000]yyyy-mm-dd")</f>
        <v/>
      </c>
      <c r="D6699" t="inlineStr">
        <is>
          <t>1336-07-23</t>
        </is>
      </c>
    </row>
    <row r="6700">
      <c r="A6700" s="1" t="n">
        <v>6699</v>
      </c>
      <c r="B6700">
        <f>TEXT(6699, "[$-170000]yyyy-mm-dd")</f>
        <v/>
      </c>
      <c r="C6700">
        <f>TEXT(6699, "[$-060000]yyyy-mm-dd")</f>
        <v/>
      </c>
      <c r="D6700" t="inlineStr">
        <is>
          <t>1336-07-24</t>
        </is>
      </c>
    </row>
    <row r="6701">
      <c r="A6701" s="1" t="n">
        <v>6700</v>
      </c>
      <c r="B6701">
        <f>TEXT(6700, "[$-170000]yyyy-mm-dd")</f>
        <v/>
      </c>
      <c r="C6701">
        <f>TEXT(6700, "[$-060000]yyyy-mm-dd")</f>
        <v/>
      </c>
      <c r="D6701" t="inlineStr">
        <is>
          <t>1336-07-25</t>
        </is>
      </c>
    </row>
    <row r="6702">
      <c r="A6702" s="1" t="n">
        <v>6701</v>
      </c>
      <c r="B6702">
        <f>TEXT(6701, "[$-170000]yyyy-mm-dd")</f>
        <v/>
      </c>
      <c r="C6702">
        <f>TEXT(6701, "[$-060000]yyyy-mm-dd")</f>
        <v/>
      </c>
      <c r="D6702" t="inlineStr">
        <is>
          <t>1336-07-26</t>
        </is>
      </c>
    </row>
    <row r="6703">
      <c r="A6703" s="1" t="n">
        <v>6702</v>
      </c>
      <c r="B6703">
        <f>TEXT(6702, "[$-170000]yyyy-mm-dd")</f>
        <v/>
      </c>
      <c r="C6703">
        <f>TEXT(6702, "[$-060000]yyyy-mm-dd")</f>
        <v/>
      </c>
      <c r="D6703" t="inlineStr">
        <is>
          <t>1336-07-27</t>
        </is>
      </c>
    </row>
    <row r="6704">
      <c r="A6704" s="1" t="n">
        <v>6703</v>
      </c>
      <c r="B6704">
        <f>TEXT(6703, "[$-170000]yyyy-mm-dd")</f>
        <v/>
      </c>
      <c r="C6704">
        <f>TEXT(6703, "[$-060000]yyyy-mm-dd")</f>
        <v/>
      </c>
      <c r="D6704" t="inlineStr">
        <is>
          <t>1336-07-28</t>
        </is>
      </c>
    </row>
    <row r="6705">
      <c r="A6705" s="1" t="n">
        <v>6704</v>
      </c>
      <c r="B6705">
        <f>TEXT(6704, "[$-170000]yyyy-mm-dd")</f>
        <v/>
      </c>
      <c r="C6705">
        <f>TEXT(6704, "[$-060000]yyyy-mm-dd")</f>
        <v/>
      </c>
      <c r="D6705" t="inlineStr">
        <is>
          <t>1336-07-29</t>
        </is>
      </c>
    </row>
    <row r="6706">
      <c r="A6706" s="1" t="n">
        <v>6705</v>
      </c>
      <c r="B6706">
        <f>TEXT(6705, "[$-170000]yyyy-mm-dd")</f>
        <v/>
      </c>
      <c r="C6706">
        <f>TEXT(6705, "[$-060000]yyyy-mm-dd")</f>
        <v/>
      </c>
      <c r="D6706" t="inlineStr">
        <is>
          <t>1336-07-30</t>
        </is>
      </c>
    </row>
    <row r="6707">
      <c r="A6707" s="1" t="n">
        <v>6706</v>
      </c>
      <c r="B6707">
        <f>TEXT(6706, "[$-170000]yyyy-mm-dd")</f>
        <v/>
      </c>
      <c r="C6707">
        <f>TEXT(6706, "[$-060000]yyyy-mm-dd")</f>
        <v/>
      </c>
      <c r="D6707" t="inlineStr">
        <is>
          <t>1336-08-01</t>
        </is>
      </c>
    </row>
    <row r="6708">
      <c r="A6708" s="1" t="n">
        <v>6707</v>
      </c>
      <c r="B6708">
        <f>TEXT(6707, "[$-170000]yyyy-mm-dd")</f>
        <v/>
      </c>
      <c r="C6708">
        <f>TEXT(6707, "[$-060000]yyyy-mm-dd")</f>
        <v/>
      </c>
      <c r="D6708" t="inlineStr">
        <is>
          <t>1336-08-02</t>
        </is>
      </c>
    </row>
    <row r="6709">
      <c r="A6709" s="1" t="n">
        <v>6708</v>
      </c>
      <c r="B6709">
        <f>TEXT(6708, "[$-170000]yyyy-mm-dd")</f>
        <v/>
      </c>
      <c r="C6709">
        <f>TEXT(6708, "[$-060000]yyyy-mm-dd")</f>
        <v/>
      </c>
      <c r="D6709" t="inlineStr">
        <is>
          <t>1336-08-03</t>
        </is>
      </c>
    </row>
    <row r="6710">
      <c r="A6710" s="1" t="n">
        <v>6709</v>
      </c>
      <c r="B6710">
        <f>TEXT(6709, "[$-170000]yyyy-mm-dd")</f>
        <v/>
      </c>
      <c r="C6710">
        <f>TEXT(6709, "[$-060000]yyyy-mm-dd")</f>
        <v/>
      </c>
      <c r="D6710" t="inlineStr">
        <is>
          <t>1336-08-04</t>
        </is>
      </c>
    </row>
    <row r="6711">
      <c r="A6711" s="1" t="n">
        <v>6710</v>
      </c>
      <c r="B6711">
        <f>TEXT(6710, "[$-170000]yyyy-mm-dd")</f>
        <v/>
      </c>
      <c r="C6711">
        <f>TEXT(6710, "[$-060000]yyyy-mm-dd")</f>
        <v/>
      </c>
      <c r="D6711" t="inlineStr">
        <is>
          <t>1336-08-05</t>
        </is>
      </c>
    </row>
    <row r="6712">
      <c r="A6712" s="1" t="n">
        <v>6711</v>
      </c>
      <c r="B6712">
        <f>TEXT(6711, "[$-170000]yyyy-mm-dd")</f>
        <v/>
      </c>
      <c r="C6712">
        <f>TEXT(6711, "[$-060000]yyyy-mm-dd")</f>
        <v/>
      </c>
      <c r="D6712" t="inlineStr">
        <is>
          <t>1336-08-06</t>
        </is>
      </c>
    </row>
    <row r="6713">
      <c r="A6713" s="1" t="n">
        <v>6712</v>
      </c>
      <c r="B6713">
        <f>TEXT(6712, "[$-170000]yyyy-mm-dd")</f>
        <v/>
      </c>
      <c r="C6713">
        <f>TEXT(6712, "[$-060000]yyyy-mm-dd")</f>
        <v/>
      </c>
      <c r="D6713" t="inlineStr">
        <is>
          <t>1336-08-07</t>
        </is>
      </c>
    </row>
    <row r="6714">
      <c r="A6714" s="1" t="n">
        <v>6713</v>
      </c>
      <c r="B6714">
        <f>TEXT(6713, "[$-170000]yyyy-mm-dd")</f>
        <v/>
      </c>
      <c r="C6714">
        <f>TEXT(6713, "[$-060000]yyyy-mm-dd")</f>
        <v/>
      </c>
      <c r="D6714" t="inlineStr">
        <is>
          <t>1336-08-08</t>
        </is>
      </c>
    </row>
    <row r="6715">
      <c r="A6715" s="1" t="n">
        <v>6714</v>
      </c>
      <c r="B6715">
        <f>TEXT(6714, "[$-170000]yyyy-mm-dd")</f>
        <v/>
      </c>
      <c r="C6715">
        <f>TEXT(6714, "[$-060000]yyyy-mm-dd")</f>
        <v/>
      </c>
      <c r="D6715" t="inlineStr">
        <is>
          <t>1336-08-09</t>
        </is>
      </c>
    </row>
    <row r="6716">
      <c r="A6716" s="1" t="n">
        <v>6715</v>
      </c>
      <c r="B6716">
        <f>TEXT(6715, "[$-170000]yyyy-mm-dd")</f>
        <v/>
      </c>
      <c r="C6716">
        <f>TEXT(6715, "[$-060000]yyyy-mm-dd")</f>
        <v/>
      </c>
      <c r="D6716" t="inlineStr">
        <is>
          <t>1336-08-10</t>
        </is>
      </c>
    </row>
    <row r="6717">
      <c r="A6717" s="1" t="n">
        <v>6716</v>
      </c>
      <c r="B6717">
        <f>TEXT(6716, "[$-170000]yyyy-mm-dd")</f>
        <v/>
      </c>
      <c r="C6717">
        <f>TEXT(6716, "[$-060000]yyyy-mm-dd")</f>
        <v/>
      </c>
      <c r="D6717" t="inlineStr">
        <is>
          <t>1336-08-11</t>
        </is>
      </c>
    </row>
    <row r="6718">
      <c r="A6718" s="1" t="n">
        <v>6717</v>
      </c>
      <c r="B6718">
        <f>TEXT(6717, "[$-170000]yyyy-mm-dd")</f>
        <v/>
      </c>
      <c r="C6718">
        <f>TEXT(6717, "[$-060000]yyyy-mm-dd")</f>
        <v/>
      </c>
      <c r="D6718" t="inlineStr">
        <is>
          <t>1336-08-12</t>
        </is>
      </c>
    </row>
    <row r="6719">
      <c r="A6719" s="1" t="n">
        <v>6718</v>
      </c>
      <c r="B6719">
        <f>TEXT(6718, "[$-170000]yyyy-mm-dd")</f>
        <v/>
      </c>
      <c r="C6719">
        <f>TEXT(6718, "[$-060000]yyyy-mm-dd")</f>
        <v/>
      </c>
      <c r="D6719" t="inlineStr">
        <is>
          <t>1336-08-13</t>
        </is>
      </c>
    </row>
    <row r="6720">
      <c r="A6720" s="1" t="n">
        <v>6719</v>
      </c>
      <c r="B6720">
        <f>TEXT(6719, "[$-170000]yyyy-mm-dd")</f>
        <v/>
      </c>
      <c r="C6720">
        <f>TEXT(6719, "[$-060000]yyyy-mm-dd")</f>
        <v/>
      </c>
      <c r="D6720" t="inlineStr">
        <is>
          <t>1336-08-14</t>
        </is>
      </c>
    </row>
    <row r="6721">
      <c r="A6721" s="1" t="n">
        <v>6720</v>
      </c>
      <c r="B6721">
        <f>TEXT(6720, "[$-170000]yyyy-mm-dd")</f>
        <v/>
      </c>
      <c r="C6721">
        <f>TEXT(6720, "[$-060000]yyyy-mm-dd")</f>
        <v/>
      </c>
      <c r="D6721" t="inlineStr">
        <is>
          <t>1336-08-15</t>
        </is>
      </c>
    </row>
    <row r="6722">
      <c r="A6722" s="1" t="n">
        <v>6721</v>
      </c>
      <c r="B6722">
        <f>TEXT(6721, "[$-170000]yyyy-mm-dd")</f>
        <v/>
      </c>
      <c r="C6722">
        <f>TEXT(6721, "[$-060000]yyyy-mm-dd")</f>
        <v/>
      </c>
      <c r="D6722" t="inlineStr">
        <is>
          <t>1336-08-16</t>
        </is>
      </c>
    </row>
    <row r="6723">
      <c r="A6723" s="1" t="n">
        <v>6722</v>
      </c>
      <c r="B6723">
        <f>TEXT(6722, "[$-170000]yyyy-mm-dd")</f>
        <v/>
      </c>
      <c r="C6723">
        <f>TEXT(6722, "[$-060000]yyyy-mm-dd")</f>
        <v/>
      </c>
      <c r="D6723" t="inlineStr">
        <is>
          <t>1336-08-17</t>
        </is>
      </c>
    </row>
    <row r="6724">
      <c r="A6724" s="1" t="n">
        <v>6723</v>
      </c>
      <c r="B6724">
        <f>TEXT(6723, "[$-170000]yyyy-mm-dd")</f>
        <v/>
      </c>
      <c r="C6724">
        <f>TEXT(6723, "[$-060000]yyyy-mm-dd")</f>
        <v/>
      </c>
      <c r="D6724" t="inlineStr">
        <is>
          <t>1336-08-18</t>
        </is>
      </c>
    </row>
    <row r="6725">
      <c r="A6725" s="1" t="n">
        <v>6724</v>
      </c>
      <c r="B6725">
        <f>TEXT(6724, "[$-170000]yyyy-mm-dd")</f>
        <v/>
      </c>
      <c r="C6725">
        <f>TEXT(6724, "[$-060000]yyyy-mm-dd")</f>
        <v/>
      </c>
      <c r="D6725" t="inlineStr">
        <is>
          <t>1336-08-19</t>
        </is>
      </c>
    </row>
    <row r="6726">
      <c r="A6726" s="1" t="n">
        <v>6725</v>
      </c>
      <c r="B6726">
        <f>TEXT(6725, "[$-170000]yyyy-mm-dd")</f>
        <v/>
      </c>
      <c r="C6726">
        <f>TEXT(6725, "[$-060000]yyyy-mm-dd")</f>
        <v/>
      </c>
      <c r="D6726" t="inlineStr">
        <is>
          <t>1336-08-20</t>
        </is>
      </c>
    </row>
    <row r="6727">
      <c r="A6727" s="1" t="n">
        <v>6726</v>
      </c>
      <c r="B6727">
        <f>TEXT(6726, "[$-170000]yyyy-mm-dd")</f>
        <v/>
      </c>
      <c r="C6727">
        <f>TEXT(6726, "[$-060000]yyyy-mm-dd")</f>
        <v/>
      </c>
      <c r="D6727" t="inlineStr">
        <is>
          <t>1336-08-21</t>
        </is>
      </c>
    </row>
    <row r="6728">
      <c r="A6728" s="1" t="n">
        <v>6727</v>
      </c>
      <c r="B6728">
        <f>TEXT(6727, "[$-170000]yyyy-mm-dd")</f>
        <v/>
      </c>
      <c r="C6728">
        <f>TEXT(6727, "[$-060000]yyyy-mm-dd")</f>
        <v/>
      </c>
      <c r="D6728" t="inlineStr">
        <is>
          <t>1336-08-22</t>
        </is>
      </c>
    </row>
    <row r="6729">
      <c r="A6729" s="1" t="n">
        <v>6728</v>
      </c>
      <c r="B6729">
        <f>TEXT(6728, "[$-170000]yyyy-mm-dd")</f>
        <v/>
      </c>
      <c r="C6729">
        <f>TEXT(6728, "[$-060000]yyyy-mm-dd")</f>
        <v/>
      </c>
      <c r="D6729" t="inlineStr">
        <is>
          <t>1336-08-23</t>
        </is>
      </c>
    </row>
    <row r="6730">
      <c r="A6730" s="1" t="n">
        <v>6729</v>
      </c>
      <c r="B6730">
        <f>TEXT(6729, "[$-170000]yyyy-mm-dd")</f>
        <v/>
      </c>
      <c r="C6730">
        <f>TEXT(6729, "[$-060000]yyyy-mm-dd")</f>
        <v/>
      </c>
      <c r="D6730" t="inlineStr">
        <is>
          <t>1336-08-24</t>
        </is>
      </c>
    </row>
    <row r="6731">
      <c r="A6731" s="1" t="n">
        <v>6730</v>
      </c>
      <c r="B6731">
        <f>TEXT(6730, "[$-170000]yyyy-mm-dd")</f>
        <v/>
      </c>
      <c r="C6731">
        <f>TEXT(6730, "[$-060000]yyyy-mm-dd")</f>
        <v/>
      </c>
      <c r="D6731" t="inlineStr">
        <is>
          <t>1336-08-25</t>
        </is>
      </c>
    </row>
    <row r="6732">
      <c r="A6732" s="1" t="n">
        <v>6731</v>
      </c>
      <c r="B6732">
        <f>TEXT(6731, "[$-170000]yyyy-mm-dd")</f>
        <v/>
      </c>
      <c r="C6732">
        <f>TEXT(6731, "[$-060000]yyyy-mm-dd")</f>
        <v/>
      </c>
      <c r="D6732" t="inlineStr">
        <is>
          <t>1336-08-26</t>
        </is>
      </c>
    </row>
    <row r="6733">
      <c r="A6733" s="1" t="n">
        <v>6732</v>
      </c>
      <c r="B6733">
        <f>TEXT(6732, "[$-170000]yyyy-mm-dd")</f>
        <v/>
      </c>
      <c r="C6733">
        <f>TEXT(6732, "[$-060000]yyyy-mm-dd")</f>
        <v/>
      </c>
      <c r="D6733" t="inlineStr">
        <is>
          <t>1336-08-27</t>
        </is>
      </c>
    </row>
    <row r="6734">
      <c r="A6734" s="1" t="n">
        <v>6733</v>
      </c>
      <c r="B6734">
        <f>TEXT(6733, "[$-170000]yyyy-mm-dd")</f>
        <v/>
      </c>
      <c r="C6734">
        <f>TEXT(6733, "[$-060000]yyyy-mm-dd")</f>
        <v/>
      </c>
      <c r="D6734" t="inlineStr">
        <is>
          <t>1336-08-28</t>
        </is>
      </c>
    </row>
    <row r="6735">
      <c r="A6735" s="1" t="n">
        <v>6734</v>
      </c>
      <c r="B6735">
        <f>TEXT(6734, "[$-170000]yyyy-mm-dd")</f>
        <v/>
      </c>
      <c r="C6735">
        <f>TEXT(6734, "[$-060000]yyyy-mm-dd")</f>
        <v/>
      </c>
      <c r="D6735" t="inlineStr">
        <is>
          <t>1336-08-29</t>
        </is>
      </c>
    </row>
    <row r="6736">
      <c r="A6736" s="1" t="n">
        <v>6735</v>
      </c>
      <c r="B6736">
        <f>TEXT(6735, "[$-170000]yyyy-mm-dd")</f>
        <v/>
      </c>
      <c r="C6736">
        <f>TEXT(6735, "[$-060000]yyyy-mm-dd")</f>
        <v/>
      </c>
      <c r="D6736" t="inlineStr">
        <is>
          <t>1336-09-01</t>
        </is>
      </c>
    </row>
    <row r="6737">
      <c r="A6737" s="1" t="n">
        <v>6736</v>
      </c>
      <c r="B6737">
        <f>TEXT(6736, "[$-170000]yyyy-mm-dd")</f>
        <v/>
      </c>
      <c r="C6737">
        <f>TEXT(6736, "[$-060000]yyyy-mm-dd")</f>
        <v/>
      </c>
      <c r="D6737" t="inlineStr">
        <is>
          <t>1336-09-02</t>
        </is>
      </c>
    </row>
    <row r="6738">
      <c r="A6738" s="1" t="n">
        <v>6737</v>
      </c>
      <c r="B6738">
        <f>TEXT(6737, "[$-170000]yyyy-mm-dd")</f>
        <v/>
      </c>
      <c r="C6738">
        <f>TEXT(6737, "[$-060000]yyyy-mm-dd")</f>
        <v/>
      </c>
      <c r="D6738" t="inlineStr">
        <is>
          <t>1336-09-03</t>
        </is>
      </c>
    </row>
    <row r="6739">
      <c r="A6739" s="1" t="n">
        <v>6738</v>
      </c>
      <c r="B6739">
        <f>TEXT(6738, "[$-170000]yyyy-mm-dd")</f>
        <v/>
      </c>
      <c r="C6739">
        <f>TEXT(6738, "[$-060000]yyyy-mm-dd")</f>
        <v/>
      </c>
      <c r="D6739" t="inlineStr">
        <is>
          <t>1336-09-04</t>
        </is>
      </c>
    </row>
    <row r="6740">
      <c r="A6740" s="1" t="n">
        <v>6739</v>
      </c>
      <c r="B6740">
        <f>TEXT(6739, "[$-170000]yyyy-mm-dd")</f>
        <v/>
      </c>
      <c r="C6740">
        <f>TEXT(6739, "[$-060000]yyyy-mm-dd")</f>
        <v/>
      </c>
      <c r="D6740" t="inlineStr">
        <is>
          <t>1336-09-05</t>
        </is>
      </c>
    </row>
    <row r="6741">
      <c r="A6741" s="1" t="n">
        <v>6740</v>
      </c>
      <c r="B6741">
        <f>TEXT(6740, "[$-170000]yyyy-mm-dd")</f>
        <v/>
      </c>
      <c r="C6741">
        <f>TEXT(6740, "[$-060000]yyyy-mm-dd")</f>
        <v/>
      </c>
      <c r="D6741" t="inlineStr">
        <is>
          <t>1336-09-06</t>
        </is>
      </c>
    </row>
    <row r="6742">
      <c r="A6742" s="1" t="n">
        <v>6741</v>
      </c>
      <c r="B6742">
        <f>TEXT(6741, "[$-170000]yyyy-mm-dd")</f>
        <v/>
      </c>
      <c r="C6742">
        <f>TEXT(6741, "[$-060000]yyyy-mm-dd")</f>
        <v/>
      </c>
      <c r="D6742" t="inlineStr">
        <is>
          <t>1336-09-07</t>
        </is>
      </c>
    </row>
    <row r="6743">
      <c r="A6743" s="1" t="n">
        <v>6742</v>
      </c>
      <c r="B6743">
        <f>TEXT(6742, "[$-170000]yyyy-mm-dd")</f>
        <v/>
      </c>
      <c r="C6743">
        <f>TEXT(6742, "[$-060000]yyyy-mm-dd")</f>
        <v/>
      </c>
      <c r="D6743" t="inlineStr">
        <is>
          <t>1336-09-08</t>
        </is>
      </c>
    </row>
    <row r="6744">
      <c r="A6744" s="1" t="n">
        <v>6743</v>
      </c>
      <c r="B6744">
        <f>TEXT(6743, "[$-170000]yyyy-mm-dd")</f>
        <v/>
      </c>
      <c r="C6744">
        <f>TEXT(6743, "[$-060000]yyyy-mm-dd")</f>
        <v/>
      </c>
      <c r="D6744" t="inlineStr">
        <is>
          <t>1336-09-09</t>
        </is>
      </c>
    </row>
    <row r="6745">
      <c r="A6745" s="1" t="n">
        <v>6744</v>
      </c>
      <c r="B6745">
        <f>TEXT(6744, "[$-170000]yyyy-mm-dd")</f>
        <v/>
      </c>
      <c r="C6745">
        <f>TEXT(6744, "[$-060000]yyyy-mm-dd")</f>
        <v/>
      </c>
      <c r="D6745" t="inlineStr">
        <is>
          <t>1336-09-10</t>
        </is>
      </c>
    </row>
    <row r="6746">
      <c r="A6746" s="1" t="n">
        <v>6745</v>
      </c>
      <c r="B6746">
        <f>TEXT(6745, "[$-170000]yyyy-mm-dd")</f>
        <v/>
      </c>
      <c r="C6746">
        <f>TEXT(6745, "[$-060000]yyyy-mm-dd")</f>
        <v/>
      </c>
      <c r="D6746" t="inlineStr">
        <is>
          <t>1336-09-11</t>
        </is>
      </c>
    </row>
    <row r="6747">
      <c r="A6747" s="1" t="n">
        <v>6746</v>
      </c>
      <c r="B6747">
        <f>TEXT(6746, "[$-170000]yyyy-mm-dd")</f>
        <v/>
      </c>
      <c r="C6747">
        <f>TEXT(6746, "[$-060000]yyyy-mm-dd")</f>
        <v/>
      </c>
      <c r="D6747" t="inlineStr">
        <is>
          <t>1336-09-12</t>
        </is>
      </c>
    </row>
    <row r="6748">
      <c r="A6748" s="1" t="n">
        <v>6747</v>
      </c>
      <c r="B6748">
        <f>TEXT(6747, "[$-170000]yyyy-mm-dd")</f>
        <v/>
      </c>
      <c r="C6748">
        <f>TEXT(6747, "[$-060000]yyyy-mm-dd")</f>
        <v/>
      </c>
      <c r="D6748" t="inlineStr">
        <is>
          <t>1336-09-13</t>
        </is>
      </c>
    </row>
    <row r="6749">
      <c r="A6749" s="1" t="n">
        <v>6748</v>
      </c>
      <c r="B6749">
        <f>TEXT(6748, "[$-170000]yyyy-mm-dd")</f>
        <v/>
      </c>
      <c r="C6749">
        <f>TEXT(6748, "[$-060000]yyyy-mm-dd")</f>
        <v/>
      </c>
      <c r="D6749" t="inlineStr">
        <is>
          <t>1336-09-14</t>
        </is>
      </c>
    </row>
    <row r="6750">
      <c r="A6750" s="1" t="n">
        <v>6749</v>
      </c>
      <c r="B6750">
        <f>TEXT(6749, "[$-170000]yyyy-mm-dd")</f>
        <v/>
      </c>
      <c r="C6750">
        <f>TEXT(6749, "[$-060000]yyyy-mm-dd")</f>
        <v/>
      </c>
      <c r="D6750" t="inlineStr">
        <is>
          <t>1336-09-15</t>
        </is>
      </c>
    </row>
    <row r="6751">
      <c r="A6751" s="1" t="n">
        <v>6750</v>
      </c>
      <c r="B6751">
        <f>TEXT(6750, "[$-170000]yyyy-mm-dd")</f>
        <v/>
      </c>
      <c r="C6751">
        <f>TEXT(6750, "[$-060000]yyyy-mm-dd")</f>
        <v/>
      </c>
      <c r="D6751" t="inlineStr">
        <is>
          <t>1336-09-16</t>
        </is>
      </c>
    </row>
    <row r="6752">
      <c r="A6752" s="1" t="n">
        <v>6751</v>
      </c>
      <c r="B6752">
        <f>TEXT(6751, "[$-170000]yyyy-mm-dd")</f>
        <v/>
      </c>
      <c r="C6752">
        <f>TEXT(6751, "[$-060000]yyyy-mm-dd")</f>
        <v/>
      </c>
      <c r="D6752" t="inlineStr">
        <is>
          <t>1336-09-17</t>
        </is>
      </c>
    </row>
    <row r="6753">
      <c r="A6753" s="1" t="n">
        <v>6752</v>
      </c>
      <c r="B6753">
        <f>TEXT(6752, "[$-170000]yyyy-mm-dd")</f>
        <v/>
      </c>
      <c r="C6753">
        <f>TEXT(6752, "[$-060000]yyyy-mm-dd")</f>
        <v/>
      </c>
      <c r="D6753" t="inlineStr">
        <is>
          <t>1336-09-18</t>
        </is>
      </c>
    </row>
    <row r="6754">
      <c r="A6754" s="1" t="n">
        <v>6753</v>
      </c>
      <c r="B6754">
        <f>TEXT(6753, "[$-170000]yyyy-mm-dd")</f>
        <v/>
      </c>
      <c r="C6754">
        <f>TEXT(6753, "[$-060000]yyyy-mm-dd")</f>
        <v/>
      </c>
      <c r="D6754" t="inlineStr">
        <is>
          <t>1336-09-19</t>
        </is>
      </c>
    </row>
    <row r="6755">
      <c r="A6755" s="1" t="n">
        <v>6754</v>
      </c>
      <c r="B6755">
        <f>TEXT(6754, "[$-170000]yyyy-mm-dd")</f>
        <v/>
      </c>
      <c r="C6755">
        <f>TEXT(6754, "[$-060000]yyyy-mm-dd")</f>
        <v/>
      </c>
      <c r="D6755" t="inlineStr">
        <is>
          <t>1336-09-20</t>
        </is>
      </c>
    </row>
    <row r="6756">
      <c r="A6756" s="1" t="n">
        <v>6755</v>
      </c>
      <c r="B6756">
        <f>TEXT(6755, "[$-170000]yyyy-mm-dd")</f>
        <v/>
      </c>
      <c r="C6756">
        <f>TEXT(6755, "[$-060000]yyyy-mm-dd")</f>
        <v/>
      </c>
      <c r="D6756" t="inlineStr">
        <is>
          <t>1336-09-21</t>
        </is>
      </c>
    </row>
    <row r="6757">
      <c r="A6757" s="1" t="n">
        <v>6756</v>
      </c>
      <c r="B6757">
        <f>TEXT(6756, "[$-170000]yyyy-mm-dd")</f>
        <v/>
      </c>
      <c r="C6757">
        <f>TEXT(6756, "[$-060000]yyyy-mm-dd")</f>
        <v/>
      </c>
      <c r="D6757" t="inlineStr">
        <is>
          <t>1336-09-22</t>
        </is>
      </c>
    </row>
    <row r="6758">
      <c r="A6758" s="1" t="n">
        <v>6757</v>
      </c>
      <c r="B6758">
        <f>TEXT(6757, "[$-170000]yyyy-mm-dd")</f>
        <v/>
      </c>
      <c r="C6758">
        <f>TEXT(6757, "[$-060000]yyyy-mm-dd")</f>
        <v/>
      </c>
      <c r="D6758" t="inlineStr">
        <is>
          <t>1336-09-23</t>
        </is>
      </c>
    </row>
    <row r="6759">
      <c r="A6759" s="1" t="n">
        <v>6758</v>
      </c>
      <c r="B6759">
        <f>TEXT(6758, "[$-170000]yyyy-mm-dd")</f>
        <v/>
      </c>
      <c r="C6759">
        <f>TEXT(6758, "[$-060000]yyyy-mm-dd")</f>
        <v/>
      </c>
      <c r="D6759" t="inlineStr">
        <is>
          <t>1336-09-24</t>
        </is>
      </c>
    </row>
    <row r="6760">
      <c r="A6760" s="1" t="n">
        <v>6759</v>
      </c>
      <c r="B6760">
        <f>TEXT(6759, "[$-170000]yyyy-mm-dd")</f>
        <v/>
      </c>
      <c r="C6760">
        <f>TEXT(6759, "[$-060000]yyyy-mm-dd")</f>
        <v/>
      </c>
      <c r="D6760" t="inlineStr">
        <is>
          <t>1336-09-25</t>
        </is>
      </c>
    </row>
    <row r="6761">
      <c r="A6761" s="1" t="n">
        <v>6760</v>
      </c>
      <c r="B6761">
        <f>TEXT(6760, "[$-170000]yyyy-mm-dd")</f>
        <v/>
      </c>
      <c r="C6761">
        <f>TEXT(6760, "[$-060000]yyyy-mm-dd")</f>
        <v/>
      </c>
      <c r="D6761" t="inlineStr">
        <is>
          <t>1336-09-26</t>
        </is>
      </c>
    </row>
    <row r="6762">
      <c r="A6762" s="1" t="n">
        <v>6761</v>
      </c>
      <c r="B6762">
        <f>TEXT(6761, "[$-170000]yyyy-mm-dd")</f>
        <v/>
      </c>
      <c r="C6762">
        <f>TEXT(6761, "[$-060000]yyyy-mm-dd")</f>
        <v/>
      </c>
      <c r="D6762" t="inlineStr">
        <is>
          <t>1336-09-27</t>
        </is>
      </c>
    </row>
    <row r="6763">
      <c r="A6763" s="1" t="n">
        <v>6762</v>
      </c>
      <c r="B6763">
        <f>TEXT(6762, "[$-170000]yyyy-mm-dd")</f>
        <v/>
      </c>
      <c r="C6763">
        <f>TEXT(6762, "[$-060000]yyyy-mm-dd")</f>
        <v/>
      </c>
      <c r="D6763" t="inlineStr">
        <is>
          <t>1336-09-28</t>
        </is>
      </c>
    </row>
    <row r="6764">
      <c r="A6764" s="1" t="n">
        <v>6763</v>
      </c>
      <c r="B6764">
        <f>TEXT(6763, "[$-170000]yyyy-mm-dd")</f>
        <v/>
      </c>
      <c r="C6764">
        <f>TEXT(6763, "[$-060000]yyyy-mm-dd")</f>
        <v/>
      </c>
      <c r="D6764" t="inlineStr">
        <is>
          <t>1336-09-29</t>
        </is>
      </c>
    </row>
    <row r="6765">
      <c r="A6765" s="1" t="n">
        <v>6764</v>
      </c>
      <c r="B6765">
        <f>TEXT(6764, "[$-170000]yyyy-mm-dd")</f>
        <v/>
      </c>
      <c r="C6765">
        <f>TEXT(6764, "[$-060000]yyyy-mm-dd")</f>
        <v/>
      </c>
      <c r="D6765" t="inlineStr">
        <is>
          <t>1336-09-30</t>
        </is>
      </c>
    </row>
    <row r="6766">
      <c r="A6766" s="1" t="n">
        <v>6765</v>
      </c>
      <c r="B6766">
        <f>TEXT(6765, "[$-170000]yyyy-mm-dd")</f>
        <v/>
      </c>
      <c r="C6766">
        <f>TEXT(6765, "[$-060000]yyyy-mm-dd")</f>
        <v/>
      </c>
      <c r="D6766" t="inlineStr">
        <is>
          <t>1336-10-01</t>
        </is>
      </c>
    </row>
    <row r="6767">
      <c r="A6767" s="1" t="n">
        <v>6766</v>
      </c>
      <c r="B6767">
        <f>TEXT(6766, "[$-170000]yyyy-mm-dd")</f>
        <v/>
      </c>
      <c r="C6767">
        <f>TEXT(6766, "[$-060000]yyyy-mm-dd")</f>
        <v/>
      </c>
      <c r="D6767" t="inlineStr">
        <is>
          <t>1336-10-02</t>
        </is>
      </c>
    </row>
    <row r="6768">
      <c r="A6768" s="1" t="n">
        <v>6767</v>
      </c>
      <c r="B6768">
        <f>TEXT(6767, "[$-170000]yyyy-mm-dd")</f>
        <v/>
      </c>
      <c r="C6768">
        <f>TEXT(6767, "[$-060000]yyyy-mm-dd")</f>
        <v/>
      </c>
      <c r="D6768" t="inlineStr">
        <is>
          <t>1336-10-03</t>
        </is>
      </c>
    </row>
    <row r="6769">
      <c r="A6769" s="1" t="n">
        <v>6768</v>
      </c>
      <c r="B6769">
        <f>TEXT(6768, "[$-170000]yyyy-mm-dd")</f>
        <v/>
      </c>
      <c r="C6769">
        <f>TEXT(6768, "[$-060000]yyyy-mm-dd")</f>
        <v/>
      </c>
      <c r="D6769" t="inlineStr">
        <is>
          <t>1336-10-04</t>
        </is>
      </c>
    </row>
    <row r="6770">
      <c r="A6770" s="1" t="n">
        <v>6769</v>
      </c>
      <c r="B6770">
        <f>TEXT(6769, "[$-170000]yyyy-mm-dd")</f>
        <v/>
      </c>
      <c r="C6770">
        <f>TEXT(6769, "[$-060000]yyyy-mm-dd")</f>
        <v/>
      </c>
      <c r="D6770" t="inlineStr">
        <is>
          <t>1336-10-05</t>
        </is>
      </c>
    </row>
    <row r="6771">
      <c r="A6771" s="1" t="n">
        <v>6770</v>
      </c>
      <c r="B6771">
        <f>TEXT(6770, "[$-170000]yyyy-mm-dd")</f>
        <v/>
      </c>
      <c r="C6771">
        <f>TEXT(6770, "[$-060000]yyyy-mm-dd")</f>
        <v/>
      </c>
      <c r="D6771" t="inlineStr">
        <is>
          <t>1336-10-06</t>
        </is>
      </c>
    </row>
    <row r="6772">
      <c r="A6772" s="1" t="n">
        <v>6771</v>
      </c>
      <c r="B6772">
        <f>TEXT(6771, "[$-170000]yyyy-mm-dd")</f>
        <v/>
      </c>
      <c r="C6772">
        <f>TEXT(6771, "[$-060000]yyyy-mm-dd")</f>
        <v/>
      </c>
      <c r="D6772" t="inlineStr">
        <is>
          <t>1336-10-07</t>
        </is>
      </c>
    </row>
    <row r="6773">
      <c r="A6773" s="1" t="n">
        <v>6772</v>
      </c>
      <c r="B6773">
        <f>TEXT(6772, "[$-170000]yyyy-mm-dd")</f>
        <v/>
      </c>
      <c r="C6773">
        <f>TEXT(6772, "[$-060000]yyyy-mm-dd")</f>
        <v/>
      </c>
      <c r="D6773" t="inlineStr">
        <is>
          <t>1336-10-08</t>
        </is>
      </c>
    </row>
    <row r="6774">
      <c r="A6774" s="1" t="n">
        <v>6773</v>
      </c>
      <c r="B6774">
        <f>TEXT(6773, "[$-170000]yyyy-mm-dd")</f>
        <v/>
      </c>
      <c r="C6774">
        <f>TEXT(6773, "[$-060000]yyyy-mm-dd")</f>
        <v/>
      </c>
      <c r="D6774" t="inlineStr">
        <is>
          <t>1336-10-09</t>
        </is>
      </c>
    </row>
    <row r="6775">
      <c r="A6775" s="1" t="n">
        <v>6774</v>
      </c>
      <c r="B6775">
        <f>TEXT(6774, "[$-170000]yyyy-mm-dd")</f>
        <v/>
      </c>
      <c r="C6775">
        <f>TEXT(6774, "[$-060000]yyyy-mm-dd")</f>
        <v/>
      </c>
      <c r="D6775" t="inlineStr">
        <is>
          <t>1336-10-10</t>
        </is>
      </c>
    </row>
    <row r="6776">
      <c r="A6776" s="1" t="n">
        <v>6775</v>
      </c>
      <c r="B6776">
        <f>TEXT(6775, "[$-170000]yyyy-mm-dd")</f>
        <v/>
      </c>
      <c r="C6776">
        <f>TEXT(6775, "[$-060000]yyyy-mm-dd")</f>
        <v/>
      </c>
      <c r="D6776" t="inlineStr">
        <is>
          <t>1336-10-11</t>
        </is>
      </c>
    </row>
    <row r="6777">
      <c r="A6777" s="1" t="n">
        <v>6776</v>
      </c>
      <c r="B6777">
        <f>TEXT(6776, "[$-170000]yyyy-mm-dd")</f>
        <v/>
      </c>
      <c r="C6777">
        <f>TEXT(6776, "[$-060000]yyyy-mm-dd")</f>
        <v/>
      </c>
      <c r="D6777" t="inlineStr">
        <is>
          <t>1336-10-12</t>
        </is>
      </c>
    </row>
    <row r="6778">
      <c r="A6778" s="1" t="n">
        <v>6777</v>
      </c>
      <c r="B6778">
        <f>TEXT(6777, "[$-170000]yyyy-mm-dd")</f>
        <v/>
      </c>
      <c r="C6778">
        <f>TEXT(6777, "[$-060000]yyyy-mm-dd")</f>
        <v/>
      </c>
      <c r="D6778" t="inlineStr">
        <is>
          <t>1336-10-13</t>
        </is>
      </c>
    </row>
    <row r="6779">
      <c r="A6779" s="1" t="n">
        <v>6778</v>
      </c>
      <c r="B6779">
        <f>TEXT(6778, "[$-170000]yyyy-mm-dd")</f>
        <v/>
      </c>
      <c r="C6779">
        <f>TEXT(6778, "[$-060000]yyyy-mm-dd")</f>
        <v/>
      </c>
      <c r="D6779" t="inlineStr">
        <is>
          <t>1336-10-14</t>
        </is>
      </c>
    </row>
    <row r="6780">
      <c r="A6780" s="1" t="n">
        <v>6779</v>
      </c>
      <c r="B6780">
        <f>TEXT(6779, "[$-170000]yyyy-mm-dd")</f>
        <v/>
      </c>
      <c r="C6780">
        <f>TEXT(6779, "[$-060000]yyyy-mm-dd")</f>
        <v/>
      </c>
      <c r="D6780" t="inlineStr">
        <is>
          <t>1336-10-15</t>
        </is>
      </c>
    </row>
    <row r="6781">
      <c r="A6781" s="1" t="n">
        <v>6780</v>
      </c>
      <c r="B6781">
        <f>TEXT(6780, "[$-170000]yyyy-mm-dd")</f>
        <v/>
      </c>
      <c r="C6781">
        <f>TEXT(6780, "[$-060000]yyyy-mm-dd")</f>
        <v/>
      </c>
      <c r="D6781" t="inlineStr">
        <is>
          <t>1336-10-16</t>
        </is>
      </c>
    </row>
    <row r="6782">
      <c r="A6782" s="1" t="n">
        <v>6781</v>
      </c>
      <c r="B6782">
        <f>TEXT(6781, "[$-170000]yyyy-mm-dd")</f>
        <v/>
      </c>
      <c r="C6782">
        <f>TEXT(6781, "[$-060000]yyyy-mm-dd")</f>
        <v/>
      </c>
      <c r="D6782" t="inlineStr">
        <is>
          <t>1336-10-17</t>
        </is>
      </c>
    </row>
    <row r="6783">
      <c r="A6783" s="1" t="n">
        <v>6782</v>
      </c>
      <c r="B6783">
        <f>TEXT(6782, "[$-170000]yyyy-mm-dd")</f>
        <v/>
      </c>
      <c r="C6783">
        <f>TEXT(6782, "[$-060000]yyyy-mm-dd")</f>
        <v/>
      </c>
      <c r="D6783" t="inlineStr">
        <is>
          <t>1336-10-18</t>
        </is>
      </c>
    </row>
    <row r="6784">
      <c r="A6784" s="1" t="n">
        <v>6783</v>
      </c>
      <c r="B6784">
        <f>TEXT(6783, "[$-170000]yyyy-mm-dd")</f>
        <v/>
      </c>
      <c r="C6784">
        <f>TEXT(6783, "[$-060000]yyyy-mm-dd")</f>
        <v/>
      </c>
      <c r="D6784" t="inlineStr">
        <is>
          <t>1336-10-19</t>
        </is>
      </c>
    </row>
    <row r="6785">
      <c r="A6785" s="1" t="n">
        <v>6784</v>
      </c>
      <c r="B6785">
        <f>TEXT(6784, "[$-170000]yyyy-mm-dd")</f>
        <v/>
      </c>
      <c r="C6785">
        <f>TEXT(6784, "[$-060000]yyyy-mm-dd")</f>
        <v/>
      </c>
      <c r="D6785" t="inlineStr">
        <is>
          <t>1336-10-20</t>
        </is>
      </c>
    </row>
    <row r="6786">
      <c r="A6786" s="1" t="n">
        <v>6785</v>
      </c>
      <c r="B6786">
        <f>TEXT(6785, "[$-170000]yyyy-mm-dd")</f>
        <v/>
      </c>
      <c r="C6786">
        <f>TEXT(6785, "[$-060000]yyyy-mm-dd")</f>
        <v/>
      </c>
      <c r="D6786" t="inlineStr">
        <is>
          <t>1336-10-21</t>
        </is>
      </c>
    </row>
    <row r="6787">
      <c r="A6787" s="1" t="n">
        <v>6786</v>
      </c>
      <c r="B6787">
        <f>TEXT(6786, "[$-170000]yyyy-mm-dd")</f>
        <v/>
      </c>
      <c r="C6787">
        <f>TEXT(6786, "[$-060000]yyyy-mm-dd")</f>
        <v/>
      </c>
      <c r="D6787" t="inlineStr">
        <is>
          <t>1336-10-22</t>
        </is>
      </c>
    </row>
    <row r="6788">
      <c r="A6788" s="1" t="n">
        <v>6787</v>
      </c>
      <c r="B6788">
        <f>TEXT(6787, "[$-170000]yyyy-mm-dd")</f>
        <v/>
      </c>
      <c r="C6788">
        <f>TEXT(6787, "[$-060000]yyyy-mm-dd")</f>
        <v/>
      </c>
      <c r="D6788" t="inlineStr">
        <is>
          <t>1336-10-23</t>
        </is>
      </c>
    </row>
    <row r="6789">
      <c r="A6789" s="1" t="n">
        <v>6788</v>
      </c>
      <c r="B6789">
        <f>TEXT(6788, "[$-170000]yyyy-mm-dd")</f>
        <v/>
      </c>
      <c r="C6789">
        <f>TEXT(6788, "[$-060000]yyyy-mm-dd")</f>
        <v/>
      </c>
      <c r="D6789" t="inlineStr">
        <is>
          <t>1336-10-24</t>
        </is>
      </c>
    </row>
    <row r="6790">
      <c r="A6790" s="1" t="n">
        <v>6789</v>
      </c>
      <c r="B6790">
        <f>TEXT(6789, "[$-170000]yyyy-mm-dd")</f>
        <v/>
      </c>
      <c r="C6790">
        <f>TEXT(6789, "[$-060000]yyyy-mm-dd")</f>
        <v/>
      </c>
      <c r="D6790" t="inlineStr">
        <is>
          <t>1336-10-25</t>
        </is>
      </c>
    </row>
    <row r="6791">
      <c r="A6791" s="1" t="n">
        <v>6790</v>
      </c>
      <c r="B6791">
        <f>TEXT(6790, "[$-170000]yyyy-mm-dd")</f>
        <v/>
      </c>
      <c r="C6791">
        <f>TEXT(6790, "[$-060000]yyyy-mm-dd")</f>
        <v/>
      </c>
      <c r="D6791" t="inlineStr">
        <is>
          <t>1336-10-26</t>
        </is>
      </c>
    </row>
    <row r="6792">
      <c r="A6792" s="1" t="n">
        <v>6791</v>
      </c>
      <c r="B6792">
        <f>TEXT(6791, "[$-170000]yyyy-mm-dd")</f>
        <v/>
      </c>
      <c r="C6792">
        <f>TEXT(6791, "[$-060000]yyyy-mm-dd")</f>
        <v/>
      </c>
      <c r="D6792" t="inlineStr">
        <is>
          <t>1336-10-27</t>
        </is>
      </c>
    </row>
    <row r="6793">
      <c r="A6793" s="1" t="n">
        <v>6792</v>
      </c>
      <c r="B6793">
        <f>TEXT(6792, "[$-170000]yyyy-mm-dd")</f>
        <v/>
      </c>
      <c r="C6793">
        <f>TEXT(6792, "[$-060000]yyyy-mm-dd")</f>
        <v/>
      </c>
      <c r="D6793" t="inlineStr">
        <is>
          <t>1336-10-28</t>
        </is>
      </c>
    </row>
    <row r="6794">
      <c r="A6794" s="1" t="n">
        <v>6793</v>
      </c>
      <c r="B6794">
        <f>TEXT(6793, "[$-170000]yyyy-mm-dd")</f>
        <v/>
      </c>
      <c r="C6794">
        <f>TEXT(6793, "[$-060000]yyyy-mm-dd")</f>
        <v/>
      </c>
      <c r="D6794" t="inlineStr">
        <is>
          <t>1336-10-29</t>
        </is>
      </c>
    </row>
    <row r="6795">
      <c r="A6795" s="1" t="n">
        <v>6794</v>
      </c>
      <c r="B6795">
        <f>TEXT(6794, "[$-170000]yyyy-mm-dd")</f>
        <v/>
      </c>
      <c r="C6795">
        <f>TEXT(6794, "[$-060000]yyyy-mm-dd")</f>
        <v/>
      </c>
      <c r="D6795" t="inlineStr">
        <is>
          <t>1336-11-01</t>
        </is>
      </c>
    </row>
    <row r="6796">
      <c r="A6796" s="1" t="n">
        <v>6795</v>
      </c>
      <c r="B6796">
        <f>TEXT(6795, "[$-170000]yyyy-mm-dd")</f>
        <v/>
      </c>
      <c r="C6796">
        <f>TEXT(6795, "[$-060000]yyyy-mm-dd")</f>
        <v/>
      </c>
      <c r="D6796" t="inlineStr">
        <is>
          <t>1336-11-02</t>
        </is>
      </c>
    </row>
    <row r="6797">
      <c r="A6797" s="1" t="n">
        <v>6796</v>
      </c>
      <c r="B6797">
        <f>TEXT(6796, "[$-170000]yyyy-mm-dd")</f>
        <v/>
      </c>
      <c r="C6797">
        <f>TEXT(6796, "[$-060000]yyyy-mm-dd")</f>
        <v/>
      </c>
      <c r="D6797" t="inlineStr">
        <is>
          <t>1336-11-03</t>
        </is>
      </c>
    </row>
    <row r="6798">
      <c r="A6798" s="1" t="n">
        <v>6797</v>
      </c>
      <c r="B6798">
        <f>TEXT(6797, "[$-170000]yyyy-mm-dd")</f>
        <v/>
      </c>
      <c r="C6798">
        <f>TEXT(6797, "[$-060000]yyyy-mm-dd")</f>
        <v/>
      </c>
      <c r="D6798" t="inlineStr">
        <is>
          <t>1336-11-04</t>
        </is>
      </c>
    </row>
    <row r="6799">
      <c r="A6799" s="1" t="n">
        <v>6798</v>
      </c>
      <c r="B6799">
        <f>TEXT(6798, "[$-170000]yyyy-mm-dd")</f>
        <v/>
      </c>
      <c r="C6799">
        <f>TEXT(6798, "[$-060000]yyyy-mm-dd")</f>
        <v/>
      </c>
      <c r="D6799" t="inlineStr">
        <is>
          <t>1336-11-05</t>
        </is>
      </c>
    </row>
    <row r="6800">
      <c r="A6800" s="1" t="n">
        <v>6799</v>
      </c>
      <c r="B6800">
        <f>TEXT(6799, "[$-170000]yyyy-mm-dd")</f>
        <v/>
      </c>
      <c r="C6800">
        <f>TEXT(6799, "[$-060000]yyyy-mm-dd")</f>
        <v/>
      </c>
      <c r="D6800" t="inlineStr">
        <is>
          <t>1336-11-06</t>
        </is>
      </c>
    </row>
    <row r="6801">
      <c r="A6801" s="1" t="n">
        <v>6800</v>
      </c>
      <c r="B6801">
        <f>TEXT(6800, "[$-170000]yyyy-mm-dd")</f>
        <v/>
      </c>
      <c r="C6801">
        <f>TEXT(6800, "[$-060000]yyyy-mm-dd")</f>
        <v/>
      </c>
      <c r="D6801" t="inlineStr">
        <is>
          <t>1336-11-07</t>
        </is>
      </c>
    </row>
    <row r="6802">
      <c r="A6802" s="1" t="n">
        <v>6801</v>
      </c>
      <c r="B6802">
        <f>TEXT(6801, "[$-170000]yyyy-mm-dd")</f>
        <v/>
      </c>
      <c r="C6802">
        <f>TEXT(6801, "[$-060000]yyyy-mm-dd")</f>
        <v/>
      </c>
      <c r="D6802" t="inlineStr">
        <is>
          <t>1336-11-08</t>
        </is>
      </c>
    </row>
    <row r="6803">
      <c r="A6803" s="1" t="n">
        <v>6802</v>
      </c>
      <c r="B6803">
        <f>TEXT(6802, "[$-170000]yyyy-mm-dd")</f>
        <v/>
      </c>
      <c r="C6803">
        <f>TEXT(6802, "[$-060000]yyyy-mm-dd")</f>
        <v/>
      </c>
      <c r="D6803" t="inlineStr">
        <is>
          <t>1336-11-09</t>
        </is>
      </c>
    </row>
    <row r="6804">
      <c r="A6804" s="1" t="n">
        <v>6803</v>
      </c>
      <c r="B6804">
        <f>TEXT(6803, "[$-170000]yyyy-mm-dd")</f>
        <v/>
      </c>
      <c r="C6804">
        <f>TEXT(6803, "[$-060000]yyyy-mm-dd")</f>
        <v/>
      </c>
      <c r="D6804" t="inlineStr">
        <is>
          <t>1336-11-10</t>
        </is>
      </c>
    </row>
    <row r="6805">
      <c r="A6805" s="1" t="n">
        <v>6804</v>
      </c>
      <c r="B6805">
        <f>TEXT(6804, "[$-170000]yyyy-mm-dd")</f>
        <v/>
      </c>
      <c r="C6805">
        <f>TEXT(6804, "[$-060000]yyyy-mm-dd")</f>
        <v/>
      </c>
      <c r="D6805" t="inlineStr">
        <is>
          <t>1336-11-11</t>
        </is>
      </c>
    </row>
    <row r="6806">
      <c r="A6806" s="1" t="n">
        <v>6805</v>
      </c>
      <c r="B6806">
        <f>TEXT(6805, "[$-170000]yyyy-mm-dd")</f>
        <v/>
      </c>
      <c r="C6806">
        <f>TEXT(6805, "[$-060000]yyyy-mm-dd")</f>
        <v/>
      </c>
      <c r="D6806" t="inlineStr">
        <is>
          <t>1336-11-12</t>
        </is>
      </c>
    </row>
    <row r="6807">
      <c r="A6807" s="1" t="n">
        <v>6806</v>
      </c>
      <c r="B6807">
        <f>TEXT(6806, "[$-170000]yyyy-mm-dd")</f>
        <v/>
      </c>
      <c r="C6807">
        <f>TEXT(6806, "[$-060000]yyyy-mm-dd")</f>
        <v/>
      </c>
      <c r="D6807" t="inlineStr">
        <is>
          <t>1336-11-13</t>
        </is>
      </c>
    </row>
    <row r="6808">
      <c r="A6808" s="1" t="n">
        <v>6807</v>
      </c>
      <c r="B6808">
        <f>TEXT(6807, "[$-170000]yyyy-mm-dd")</f>
        <v/>
      </c>
      <c r="C6808">
        <f>TEXT(6807, "[$-060000]yyyy-mm-dd")</f>
        <v/>
      </c>
      <c r="D6808" t="inlineStr">
        <is>
          <t>1336-11-14</t>
        </is>
      </c>
    </row>
    <row r="6809">
      <c r="A6809" s="1" t="n">
        <v>6808</v>
      </c>
      <c r="B6809">
        <f>TEXT(6808, "[$-170000]yyyy-mm-dd")</f>
        <v/>
      </c>
      <c r="C6809">
        <f>TEXT(6808, "[$-060000]yyyy-mm-dd")</f>
        <v/>
      </c>
      <c r="D6809" t="inlineStr">
        <is>
          <t>1336-11-15</t>
        </is>
      </c>
    </row>
    <row r="6810">
      <c r="A6810" s="1" t="n">
        <v>6809</v>
      </c>
      <c r="B6810">
        <f>TEXT(6809, "[$-170000]yyyy-mm-dd")</f>
        <v/>
      </c>
      <c r="C6810">
        <f>TEXT(6809, "[$-060000]yyyy-mm-dd")</f>
        <v/>
      </c>
      <c r="D6810" t="inlineStr">
        <is>
          <t>1336-11-16</t>
        </is>
      </c>
    </row>
    <row r="6811">
      <c r="A6811" s="1" t="n">
        <v>6810</v>
      </c>
      <c r="B6811">
        <f>TEXT(6810, "[$-170000]yyyy-mm-dd")</f>
        <v/>
      </c>
      <c r="C6811">
        <f>TEXT(6810, "[$-060000]yyyy-mm-dd")</f>
        <v/>
      </c>
      <c r="D6811" t="inlineStr">
        <is>
          <t>1336-11-17</t>
        </is>
      </c>
    </row>
    <row r="6812">
      <c r="A6812" s="1" t="n">
        <v>6811</v>
      </c>
      <c r="B6812">
        <f>TEXT(6811, "[$-170000]yyyy-mm-dd")</f>
        <v/>
      </c>
      <c r="C6812">
        <f>TEXT(6811, "[$-060000]yyyy-mm-dd")</f>
        <v/>
      </c>
      <c r="D6812" t="inlineStr">
        <is>
          <t>1336-11-18</t>
        </is>
      </c>
    </row>
    <row r="6813">
      <c r="A6813" s="1" t="n">
        <v>6812</v>
      </c>
      <c r="B6813">
        <f>TEXT(6812, "[$-170000]yyyy-mm-dd")</f>
        <v/>
      </c>
      <c r="C6813">
        <f>TEXT(6812, "[$-060000]yyyy-mm-dd")</f>
        <v/>
      </c>
      <c r="D6813" t="inlineStr">
        <is>
          <t>1336-11-19</t>
        </is>
      </c>
    </row>
    <row r="6814">
      <c r="A6814" s="1" t="n">
        <v>6813</v>
      </c>
      <c r="B6814">
        <f>TEXT(6813, "[$-170000]yyyy-mm-dd")</f>
        <v/>
      </c>
      <c r="C6814">
        <f>TEXT(6813, "[$-060000]yyyy-mm-dd")</f>
        <v/>
      </c>
      <c r="D6814" t="inlineStr">
        <is>
          <t>1336-11-20</t>
        </is>
      </c>
    </row>
    <row r="6815">
      <c r="A6815" s="1" t="n">
        <v>6814</v>
      </c>
      <c r="B6815">
        <f>TEXT(6814, "[$-170000]yyyy-mm-dd")</f>
        <v/>
      </c>
      <c r="C6815">
        <f>TEXT(6814, "[$-060000]yyyy-mm-dd")</f>
        <v/>
      </c>
      <c r="D6815" t="inlineStr">
        <is>
          <t>1336-11-21</t>
        </is>
      </c>
    </row>
    <row r="6816">
      <c r="A6816" s="1" t="n">
        <v>6815</v>
      </c>
      <c r="B6816">
        <f>TEXT(6815, "[$-170000]yyyy-mm-dd")</f>
        <v/>
      </c>
      <c r="C6816">
        <f>TEXT(6815, "[$-060000]yyyy-mm-dd")</f>
        <v/>
      </c>
      <c r="D6816" t="inlineStr">
        <is>
          <t>1336-11-22</t>
        </is>
      </c>
    </row>
    <row r="6817">
      <c r="A6817" s="1" t="n">
        <v>6816</v>
      </c>
      <c r="B6817">
        <f>TEXT(6816, "[$-170000]yyyy-mm-dd")</f>
        <v/>
      </c>
      <c r="C6817">
        <f>TEXT(6816, "[$-060000]yyyy-mm-dd")</f>
        <v/>
      </c>
      <c r="D6817" t="inlineStr">
        <is>
          <t>1336-11-23</t>
        </is>
      </c>
    </row>
    <row r="6818">
      <c r="A6818" s="1" t="n">
        <v>6817</v>
      </c>
      <c r="B6818">
        <f>TEXT(6817, "[$-170000]yyyy-mm-dd")</f>
        <v/>
      </c>
      <c r="C6818">
        <f>TEXT(6817, "[$-060000]yyyy-mm-dd")</f>
        <v/>
      </c>
      <c r="D6818" t="inlineStr">
        <is>
          <t>1336-11-24</t>
        </is>
      </c>
    </row>
    <row r="6819">
      <c r="A6819" s="1" t="n">
        <v>6818</v>
      </c>
      <c r="B6819">
        <f>TEXT(6818, "[$-170000]yyyy-mm-dd")</f>
        <v/>
      </c>
      <c r="C6819">
        <f>TEXT(6818, "[$-060000]yyyy-mm-dd")</f>
        <v/>
      </c>
      <c r="D6819" t="inlineStr">
        <is>
          <t>1336-11-25</t>
        </is>
      </c>
    </row>
    <row r="6820">
      <c r="A6820" s="1" t="n">
        <v>6819</v>
      </c>
      <c r="B6820">
        <f>TEXT(6819, "[$-170000]yyyy-mm-dd")</f>
        <v/>
      </c>
      <c r="C6820">
        <f>TEXT(6819, "[$-060000]yyyy-mm-dd")</f>
        <v/>
      </c>
      <c r="D6820" t="inlineStr">
        <is>
          <t>1336-11-26</t>
        </is>
      </c>
    </row>
    <row r="6821">
      <c r="A6821" s="1" t="n">
        <v>6820</v>
      </c>
      <c r="B6821">
        <f>TEXT(6820, "[$-170000]yyyy-mm-dd")</f>
        <v/>
      </c>
      <c r="C6821">
        <f>TEXT(6820, "[$-060000]yyyy-mm-dd")</f>
        <v/>
      </c>
      <c r="D6821" t="inlineStr">
        <is>
          <t>1336-11-27</t>
        </is>
      </c>
    </row>
    <row r="6822">
      <c r="A6822" s="1" t="n">
        <v>6821</v>
      </c>
      <c r="B6822">
        <f>TEXT(6821, "[$-170000]yyyy-mm-dd")</f>
        <v/>
      </c>
      <c r="C6822">
        <f>TEXT(6821, "[$-060000]yyyy-mm-dd")</f>
        <v/>
      </c>
      <c r="D6822" t="inlineStr">
        <is>
          <t>1336-11-28</t>
        </is>
      </c>
    </row>
    <row r="6823">
      <c r="A6823" s="1" t="n">
        <v>6822</v>
      </c>
      <c r="B6823">
        <f>TEXT(6822, "[$-170000]yyyy-mm-dd")</f>
        <v/>
      </c>
      <c r="C6823">
        <f>TEXT(6822, "[$-060000]yyyy-mm-dd")</f>
        <v/>
      </c>
      <c r="D6823" t="inlineStr">
        <is>
          <t>1336-11-29</t>
        </is>
      </c>
    </row>
    <row r="6824">
      <c r="A6824" s="1" t="n">
        <v>6823</v>
      </c>
      <c r="B6824">
        <f>TEXT(6823, "[$-170000]yyyy-mm-dd")</f>
        <v/>
      </c>
      <c r="C6824">
        <f>TEXT(6823, "[$-060000]yyyy-mm-dd")</f>
        <v/>
      </c>
      <c r="D6824" t="inlineStr">
        <is>
          <t>1336-11-30</t>
        </is>
      </c>
    </row>
    <row r="6825">
      <c r="A6825" s="1" t="n">
        <v>6824</v>
      </c>
      <c r="B6825">
        <f>TEXT(6824, "[$-170000]yyyy-mm-dd")</f>
        <v/>
      </c>
      <c r="C6825">
        <f>TEXT(6824, "[$-060000]yyyy-mm-dd")</f>
        <v/>
      </c>
      <c r="D6825" t="inlineStr">
        <is>
          <t>1336-12-01</t>
        </is>
      </c>
    </row>
    <row r="6826">
      <c r="A6826" s="1" t="n">
        <v>6825</v>
      </c>
      <c r="B6826">
        <f>TEXT(6825, "[$-170000]yyyy-mm-dd")</f>
        <v/>
      </c>
      <c r="C6826">
        <f>TEXT(6825, "[$-060000]yyyy-mm-dd")</f>
        <v/>
      </c>
      <c r="D6826" t="inlineStr">
        <is>
          <t>1336-12-02</t>
        </is>
      </c>
    </row>
    <row r="6827">
      <c r="A6827" s="1" t="n">
        <v>6826</v>
      </c>
      <c r="B6827">
        <f>TEXT(6826, "[$-170000]yyyy-mm-dd")</f>
        <v/>
      </c>
      <c r="C6827">
        <f>TEXT(6826, "[$-060000]yyyy-mm-dd")</f>
        <v/>
      </c>
      <c r="D6827" t="inlineStr">
        <is>
          <t>1336-12-03</t>
        </is>
      </c>
    </row>
    <row r="6828">
      <c r="A6828" s="1" t="n">
        <v>6827</v>
      </c>
      <c r="B6828">
        <f>TEXT(6827, "[$-170000]yyyy-mm-dd")</f>
        <v/>
      </c>
      <c r="C6828">
        <f>TEXT(6827, "[$-060000]yyyy-mm-dd")</f>
        <v/>
      </c>
      <c r="D6828" t="inlineStr">
        <is>
          <t>1336-12-04</t>
        </is>
      </c>
    </row>
    <row r="6829">
      <c r="A6829" s="1" t="n">
        <v>6828</v>
      </c>
      <c r="B6829">
        <f>TEXT(6828, "[$-170000]yyyy-mm-dd")</f>
        <v/>
      </c>
      <c r="C6829">
        <f>TEXT(6828, "[$-060000]yyyy-mm-dd")</f>
        <v/>
      </c>
      <c r="D6829" t="inlineStr">
        <is>
          <t>1336-12-05</t>
        </is>
      </c>
    </row>
    <row r="6830">
      <c r="A6830" s="1" t="n">
        <v>6829</v>
      </c>
      <c r="B6830">
        <f>TEXT(6829, "[$-170000]yyyy-mm-dd")</f>
        <v/>
      </c>
      <c r="C6830">
        <f>TEXT(6829, "[$-060000]yyyy-mm-dd")</f>
        <v/>
      </c>
      <c r="D6830" t="inlineStr">
        <is>
          <t>1336-12-06</t>
        </is>
      </c>
    </row>
    <row r="6831">
      <c r="A6831" s="1" t="n">
        <v>6830</v>
      </c>
      <c r="B6831">
        <f>TEXT(6830, "[$-170000]yyyy-mm-dd")</f>
        <v/>
      </c>
      <c r="C6831">
        <f>TEXT(6830, "[$-060000]yyyy-mm-dd")</f>
        <v/>
      </c>
      <c r="D6831" t="inlineStr">
        <is>
          <t>1336-12-07</t>
        </is>
      </c>
    </row>
    <row r="6832">
      <c r="A6832" s="1" t="n">
        <v>6831</v>
      </c>
      <c r="B6832">
        <f>TEXT(6831, "[$-170000]yyyy-mm-dd")</f>
        <v/>
      </c>
      <c r="C6832">
        <f>TEXT(6831, "[$-060000]yyyy-mm-dd")</f>
        <v/>
      </c>
      <c r="D6832" t="inlineStr">
        <is>
          <t>1336-12-08</t>
        </is>
      </c>
    </row>
    <row r="6833">
      <c r="A6833" s="1" t="n">
        <v>6832</v>
      </c>
      <c r="B6833">
        <f>TEXT(6832, "[$-170000]yyyy-mm-dd")</f>
        <v/>
      </c>
      <c r="C6833">
        <f>TEXT(6832, "[$-060000]yyyy-mm-dd")</f>
        <v/>
      </c>
      <c r="D6833" t="inlineStr">
        <is>
          <t>1336-12-09</t>
        </is>
      </c>
    </row>
    <row r="6834">
      <c r="A6834" s="1" t="n">
        <v>6833</v>
      </c>
      <c r="B6834">
        <f>TEXT(6833, "[$-170000]yyyy-mm-dd")</f>
        <v/>
      </c>
      <c r="C6834">
        <f>TEXT(6833, "[$-060000]yyyy-mm-dd")</f>
        <v/>
      </c>
      <c r="D6834" t="inlineStr">
        <is>
          <t>1336-12-10</t>
        </is>
      </c>
    </row>
    <row r="6835">
      <c r="A6835" s="1" t="n">
        <v>6834</v>
      </c>
      <c r="B6835">
        <f>TEXT(6834, "[$-170000]yyyy-mm-dd")</f>
        <v/>
      </c>
      <c r="C6835">
        <f>TEXT(6834, "[$-060000]yyyy-mm-dd")</f>
        <v/>
      </c>
      <c r="D6835" t="inlineStr">
        <is>
          <t>1336-12-11</t>
        </is>
      </c>
    </row>
    <row r="6836">
      <c r="A6836" s="1" t="n">
        <v>6835</v>
      </c>
      <c r="B6836">
        <f>TEXT(6835, "[$-170000]yyyy-mm-dd")</f>
        <v/>
      </c>
      <c r="C6836">
        <f>TEXT(6835, "[$-060000]yyyy-mm-dd")</f>
        <v/>
      </c>
      <c r="D6836" t="inlineStr">
        <is>
          <t>1336-12-12</t>
        </is>
      </c>
    </row>
    <row r="6837">
      <c r="A6837" s="1" t="n">
        <v>6836</v>
      </c>
      <c r="B6837">
        <f>TEXT(6836, "[$-170000]yyyy-mm-dd")</f>
        <v/>
      </c>
      <c r="C6837">
        <f>TEXT(6836, "[$-060000]yyyy-mm-dd")</f>
        <v/>
      </c>
      <c r="D6837" t="inlineStr">
        <is>
          <t>1336-12-13</t>
        </is>
      </c>
    </row>
    <row r="6838">
      <c r="A6838" s="1" t="n">
        <v>6837</v>
      </c>
      <c r="B6838">
        <f>TEXT(6837, "[$-170000]yyyy-mm-dd")</f>
        <v/>
      </c>
      <c r="C6838">
        <f>TEXT(6837, "[$-060000]yyyy-mm-dd")</f>
        <v/>
      </c>
      <c r="D6838" t="inlineStr">
        <is>
          <t>1336-12-14</t>
        </is>
      </c>
    </row>
    <row r="6839">
      <c r="A6839" s="1" t="n">
        <v>6838</v>
      </c>
      <c r="B6839">
        <f>TEXT(6838, "[$-170000]yyyy-mm-dd")</f>
        <v/>
      </c>
      <c r="C6839">
        <f>TEXT(6838, "[$-060000]yyyy-mm-dd")</f>
        <v/>
      </c>
      <c r="D6839" t="inlineStr">
        <is>
          <t>1336-12-15</t>
        </is>
      </c>
    </row>
    <row r="6840">
      <c r="A6840" s="1" t="n">
        <v>6839</v>
      </c>
      <c r="B6840">
        <f>TEXT(6839, "[$-170000]yyyy-mm-dd")</f>
        <v/>
      </c>
      <c r="C6840">
        <f>TEXT(6839, "[$-060000]yyyy-mm-dd")</f>
        <v/>
      </c>
      <c r="D6840" t="inlineStr">
        <is>
          <t>1336-12-16</t>
        </is>
      </c>
    </row>
    <row r="6841">
      <c r="A6841" s="1" t="n">
        <v>6840</v>
      </c>
      <c r="B6841">
        <f>TEXT(6840, "[$-170000]yyyy-mm-dd")</f>
        <v/>
      </c>
      <c r="C6841">
        <f>TEXT(6840, "[$-060000]yyyy-mm-dd")</f>
        <v/>
      </c>
      <c r="D6841" t="inlineStr">
        <is>
          <t>1336-12-17</t>
        </is>
      </c>
    </row>
    <row r="6842">
      <c r="A6842" s="1" t="n">
        <v>6841</v>
      </c>
      <c r="B6842">
        <f>TEXT(6841, "[$-170000]yyyy-mm-dd")</f>
        <v/>
      </c>
      <c r="C6842">
        <f>TEXT(6841, "[$-060000]yyyy-mm-dd")</f>
        <v/>
      </c>
      <c r="D6842" t="inlineStr">
        <is>
          <t>1336-12-18</t>
        </is>
      </c>
    </row>
    <row r="6843">
      <c r="A6843" s="1" t="n">
        <v>6842</v>
      </c>
      <c r="B6843">
        <f>TEXT(6842, "[$-170000]yyyy-mm-dd")</f>
        <v/>
      </c>
      <c r="C6843">
        <f>TEXT(6842, "[$-060000]yyyy-mm-dd")</f>
        <v/>
      </c>
      <c r="D6843" t="inlineStr">
        <is>
          <t>1336-12-19</t>
        </is>
      </c>
    </row>
    <row r="6844">
      <c r="A6844" s="1" t="n">
        <v>6843</v>
      </c>
      <c r="B6844">
        <f>TEXT(6843, "[$-170000]yyyy-mm-dd")</f>
        <v/>
      </c>
      <c r="C6844">
        <f>TEXT(6843, "[$-060000]yyyy-mm-dd")</f>
        <v/>
      </c>
      <c r="D6844" t="inlineStr">
        <is>
          <t>1336-12-20</t>
        </is>
      </c>
    </row>
    <row r="6845">
      <c r="A6845" s="1" t="n">
        <v>6844</v>
      </c>
      <c r="B6845">
        <f>TEXT(6844, "[$-170000]yyyy-mm-dd")</f>
        <v/>
      </c>
      <c r="C6845">
        <f>TEXT(6844, "[$-060000]yyyy-mm-dd")</f>
        <v/>
      </c>
      <c r="D6845" t="inlineStr">
        <is>
          <t>1336-12-21</t>
        </is>
      </c>
    </row>
    <row r="6846">
      <c r="A6846" s="1" t="n">
        <v>6845</v>
      </c>
      <c r="B6846">
        <f>TEXT(6845, "[$-170000]yyyy-mm-dd")</f>
        <v/>
      </c>
      <c r="C6846">
        <f>TEXT(6845, "[$-060000]yyyy-mm-dd")</f>
        <v/>
      </c>
      <c r="D6846" t="inlineStr">
        <is>
          <t>1336-12-22</t>
        </is>
      </c>
    </row>
    <row r="6847">
      <c r="A6847" s="1" t="n">
        <v>6846</v>
      </c>
      <c r="B6847">
        <f>TEXT(6846, "[$-170000]yyyy-mm-dd")</f>
        <v/>
      </c>
      <c r="C6847">
        <f>TEXT(6846, "[$-060000]yyyy-mm-dd")</f>
        <v/>
      </c>
      <c r="D6847" t="inlineStr">
        <is>
          <t>1336-12-23</t>
        </is>
      </c>
    </row>
    <row r="6848">
      <c r="A6848" s="1" t="n">
        <v>6847</v>
      </c>
      <c r="B6848">
        <f>TEXT(6847, "[$-170000]yyyy-mm-dd")</f>
        <v/>
      </c>
      <c r="C6848">
        <f>TEXT(6847, "[$-060000]yyyy-mm-dd")</f>
        <v/>
      </c>
      <c r="D6848" t="inlineStr">
        <is>
          <t>1336-12-24</t>
        </is>
      </c>
    </row>
    <row r="6849">
      <c r="A6849" s="1" t="n">
        <v>6848</v>
      </c>
      <c r="B6849">
        <f>TEXT(6848, "[$-170000]yyyy-mm-dd")</f>
        <v/>
      </c>
      <c r="C6849">
        <f>TEXT(6848, "[$-060000]yyyy-mm-dd")</f>
        <v/>
      </c>
      <c r="D6849" t="inlineStr">
        <is>
          <t>1336-12-25</t>
        </is>
      </c>
    </row>
    <row r="6850">
      <c r="A6850" s="1" t="n">
        <v>6849</v>
      </c>
      <c r="B6850">
        <f>TEXT(6849, "[$-170000]yyyy-mm-dd")</f>
        <v/>
      </c>
      <c r="C6850">
        <f>TEXT(6849, "[$-060000]yyyy-mm-dd")</f>
        <v/>
      </c>
      <c r="D6850" t="inlineStr">
        <is>
          <t>1336-12-26</t>
        </is>
      </c>
    </row>
    <row r="6851">
      <c r="A6851" s="1" t="n">
        <v>6850</v>
      </c>
      <c r="B6851">
        <f>TEXT(6850, "[$-170000]yyyy-mm-dd")</f>
        <v/>
      </c>
      <c r="C6851">
        <f>TEXT(6850, "[$-060000]yyyy-mm-dd")</f>
        <v/>
      </c>
      <c r="D6851" t="inlineStr">
        <is>
          <t>1336-12-27</t>
        </is>
      </c>
    </row>
    <row r="6852">
      <c r="A6852" s="1" t="n">
        <v>6851</v>
      </c>
      <c r="B6852">
        <f>TEXT(6851, "[$-170000]yyyy-mm-dd")</f>
        <v/>
      </c>
      <c r="C6852">
        <f>TEXT(6851, "[$-060000]yyyy-mm-dd")</f>
        <v/>
      </c>
      <c r="D6852" t="inlineStr">
        <is>
          <t>1336-12-28</t>
        </is>
      </c>
    </row>
    <row r="6853">
      <c r="A6853" s="1" t="n">
        <v>6852</v>
      </c>
      <c r="B6853">
        <f>TEXT(6852, "[$-170000]yyyy-mm-dd")</f>
        <v/>
      </c>
      <c r="C6853">
        <f>TEXT(6852, "[$-060000]yyyy-mm-dd")</f>
        <v/>
      </c>
      <c r="D6853" t="inlineStr">
        <is>
          <t>1336-12-29</t>
        </is>
      </c>
    </row>
    <row r="6854">
      <c r="A6854" s="1" t="n">
        <v>6853</v>
      </c>
      <c r="B6854">
        <f>TEXT(6853, "[$-170000]yyyy-mm-dd")</f>
        <v/>
      </c>
      <c r="C6854">
        <f>TEXT(6853, "[$-060000]yyyy-mm-dd")</f>
        <v/>
      </c>
      <c r="D6854" t="inlineStr">
        <is>
          <t>1336-12-30</t>
        </is>
      </c>
    </row>
    <row r="6855">
      <c r="A6855" s="1" t="n">
        <v>6854</v>
      </c>
      <c r="B6855">
        <f>TEXT(6854, "[$-170000]yyyy-mm-dd")</f>
        <v/>
      </c>
      <c r="C6855">
        <f>TEXT(6854, "[$-060000]yyyy-mm-dd")</f>
        <v/>
      </c>
      <c r="D6855" t="inlineStr">
        <is>
          <t>1337-01-01</t>
        </is>
      </c>
    </row>
    <row r="6856">
      <c r="A6856" s="1" t="n">
        <v>6855</v>
      </c>
      <c r="B6856">
        <f>TEXT(6855, "[$-170000]yyyy-mm-dd")</f>
        <v/>
      </c>
      <c r="C6856">
        <f>TEXT(6855, "[$-060000]yyyy-mm-dd")</f>
        <v/>
      </c>
      <c r="D6856" t="inlineStr">
        <is>
          <t>1337-01-02</t>
        </is>
      </c>
    </row>
    <row r="6857">
      <c r="A6857" s="1" t="n">
        <v>6856</v>
      </c>
      <c r="B6857">
        <f>TEXT(6856, "[$-170000]yyyy-mm-dd")</f>
        <v/>
      </c>
      <c r="C6857">
        <f>TEXT(6856, "[$-060000]yyyy-mm-dd")</f>
        <v/>
      </c>
      <c r="D6857" t="inlineStr">
        <is>
          <t>1337-01-03</t>
        </is>
      </c>
    </row>
    <row r="6858">
      <c r="A6858" s="1" t="n">
        <v>6857</v>
      </c>
      <c r="B6858">
        <f>TEXT(6857, "[$-170000]yyyy-mm-dd")</f>
        <v/>
      </c>
      <c r="C6858">
        <f>TEXT(6857, "[$-060000]yyyy-mm-dd")</f>
        <v/>
      </c>
      <c r="D6858" t="inlineStr">
        <is>
          <t>1337-01-04</t>
        </is>
      </c>
    </row>
    <row r="6859">
      <c r="A6859" s="1" t="n">
        <v>6858</v>
      </c>
      <c r="B6859">
        <f>TEXT(6858, "[$-170000]yyyy-mm-dd")</f>
        <v/>
      </c>
      <c r="C6859">
        <f>TEXT(6858, "[$-060000]yyyy-mm-dd")</f>
        <v/>
      </c>
      <c r="D6859" t="inlineStr">
        <is>
          <t>1337-01-05</t>
        </is>
      </c>
    </row>
    <row r="6860">
      <c r="A6860" s="1" t="n">
        <v>6859</v>
      </c>
      <c r="B6860">
        <f>TEXT(6859, "[$-170000]yyyy-mm-dd")</f>
        <v/>
      </c>
      <c r="C6860">
        <f>TEXT(6859, "[$-060000]yyyy-mm-dd")</f>
        <v/>
      </c>
      <c r="D6860" t="inlineStr">
        <is>
          <t>1337-01-06</t>
        </is>
      </c>
    </row>
    <row r="6861">
      <c r="A6861" s="1" t="n">
        <v>6860</v>
      </c>
      <c r="B6861">
        <f>TEXT(6860, "[$-170000]yyyy-mm-dd")</f>
        <v/>
      </c>
      <c r="C6861">
        <f>TEXT(6860, "[$-060000]yyyy-mm-dd")</f>
        <v/>
      </c>
      <c r="D6861" t="inlineStr">
        <is>
          <t>1337-01-07</t>
        </is>
      </c>
    </row>
    <row r="6862">
      <c r="A6862" s="1" t="n">
        <v>6861</v>
      </c>
      <c r="B6862">
        <f>TEXT(6861, "[$-170000]yyyy-mm-dd")</f>
        <v/>
      </c>
      <c r="C6862">
        <f>TEXT(6861, "[$-060000]yyyy-mm-dd")</f>
        <v/>
      </c>
      <c r="D6862" t="inlineStr">
        <is>
          <t>1337-01-08</t>
        </is>
      </c>
    </row>
    <row r="6863">
      <c r="A6863" s="1" t="n">
        <v>6862</v>
      </c>
      <c r="B6863">
        <f>TEXT(6862, "[$-170000]yyyy-mm-dd")</f>
        <v/>
      </c>
      <c r="C6863">
        <f>TEXT(6862, "[$-060000]yyyy-mm-dd")</f>
        <v/>
      </c>
      <c r="D6863" t="inlineStr">
        <is>
          <t>1337-01-09</t>
        </is>
      </c>
    </row>
    <row r="6864">
      <c r="A6864" s="1" t="n">
        <v>6863</v>
      </c>
      <c r="B6864">
        <f>TEXT(6863, "[$-170000]yyyy-mm-dd")</f>
        <v/>
      </c>
      <c r="C6864">
        <f>TEXT(6863, "[$-060000]yyyy-mm-dd")</f>
        <v/>
      </c>
      <c r="D6864" t="inlineStr">
        <is>
          <t>1337-01-10</t>
        </is>
      </c>
    </row>
    <row r="6865">
      <c r="A6865" s="1" t="n">
        <v>6864</v>
      </c>
      <c r="B6865">
        <f>TEXT(6864, "[$-170000]yyyy-mm-dd")</f>
        <v/>
      </c>
      <c r="C6865">
        <f>TEXT(6864, "[$-060000]yyyy-mm-dd")</f>
        <v/>
      </c>
      <c r="D6865" t="inlineStr">
        <is>
          <t>1337-01-11</t>
        </is>
      </c>
    </row>
    <row r="6866">
      <c r="A6866" s="1" t="n">
        <v>6865</v>
      </c>
      <c r="B6866">
        <f>TEXT(6865, "[$-170000]yyyy-mm-dd")</f>
        <v/>
      </c>
      <c r="C6866">
        <f>TEXT(6865, "[$-060000]yyyy-mm-dd")</f>
        <v/>
      </c>
      <c r="D6866" t="inlineStr">
        <is>
          <t>1337-01-12</t>
        </is>
      </c>
    </row>
    <row r="6867">
      <c r="A6867" s="1" t="n">
        <v>6866</v>
      </c>
      <c r="B6867">
        <f>TEXT(6866, "[$-170000]yyyy-mm-dd")</f>
        <v/>
      </c>
      <c r="C6867">
        <f>TEXT(6866, "[$-060000]yyyy-mm-dd")</f>
        <v/>
      </c>
      <c r="D6867" t="inlineStr">
        <is>
          <t>1337-01-13</t>
        </is>
      </c>
    </row>
    <row r="6868">
      <c r="A6868" s="1" t="n">
        <v>6867</v>
      </c>
      <c r="B6868">
        <f>TEXT(6867, "[$-170000]yyyy-mm-dd")</f>
        <v/>
      </c>
      <c r="C6868">
        <f>TEXT(6867, "[$-060000]yyyy-mm-dd")</f>
        <v/>
      </c>
      <c r="D6868" t="inlineStr">
        <is>
          <t>1337-01-14</t>
        </is>
      </c>
    </row>
    <row r="6869">
      <c r="A6869" s="1" t="n">
        <v>6868</v>
      </c>
      <c r="B6869">
        <f>TEXT(6868, "[$-170000]yyyy-mm-dd")</f>
        <v/>
      </c>
      <c r="C6869">
        <f>TEXT(6868, "[$-060000]yyyy-mm-dd")</f>
        <v/>
      </c>
      <c r="D6869" t="inlineStr">
        <is>
          <t>1337-01-15</t>
        </is>
      </c>
    </row>
    <row r="6870">
      <c r="A6870" s="1" t="n">
        <v>6869</v>
      </c>
      <c r="B6870">
        <f>TEXT(6869, "[$-170000]yyyy-mm-dd")</f>
        <v/>
      </c>
      <c r="C6870">
        <f>TEXT(6869, "[$-060000]yyyy-mm-dd")</f>
        <v/>
      </c>
      <c r="D6870" t="inlineStr">
        <is>
          <t>1337-01-16</t>
        </is>
      </c>
    </row>
    <row r="6871">
      <c r="A6871" s="1" t="n">
        <v>6870</v>
      </c>
      <c r="B6871">
        <f>TEXT(6870, "[$-170000]yyyy-mm-dd")</f>
        <v/>
      </c>
      <c r="C6871">
        <f>TEXT(6870, "[$-060000]yyyy-mm-dd")</f>
        <v/>
      </c>
      <c r="D6871" t="inlineStr">
        <is>
          <t>1337-01-17</t>
        </is>
      </c>
    </row>
    <row r="6872">
      <c r="A6872" s="1" t="n">
        <v>6871</v>
      </c>
      <c r="B6872">
        <f>TEXT(6871, "[$-170000]yyyy-mm-dd")</f>
        <v/>
      </c>
      <c r="C6872">
        <f>TEXT(6871, "[$-060000]yyyy-mm-dd")</f>
        <v/>
      </c>
      <c r="D6872" t="inlineStr">
        <is>
          <t>1337-01-18</t>
        </is>
      </c>
    </row>
    <row r="6873">
      <c r="A6873" s="1" t="n">
        <v>6872</v>
      </c>
      <c r="B6873">
        <f>TEXT(6872, "[$-170000]yyyy-mm-dd")</f>
        <v/>
      </c>
      <c r="C6873">
        <f>TEXT(6872, "[$-060000]yyyy-mm-dd")</f>
        <v/>
      </c>
      <c r="D6873" t="inlineStr">
        <is>
          <t>1337-01-19</t>
        </is>
      </c>
    </row>
    <row r="6874">
      <c r="A6874" s="1" t="n">
        <v>6873</v>
      </c>
      <c r="B6874">
        <f>TEXT(6873, "[$-170000]yyyy-mm-dd")</f>
        <v/>
      </c>
      <c r="C6874">
        <f>TEXT(6873, "[$-060000]yyyy-mm-dd")</f>
        <v/>
      </c>
      <c r="D6874" t="inlineStr">
        <is>
          <t>1337-01-20</t>
        </is>
      </c>
    </row>
    <row r="6875">
      <c r="A6875" s="1" t="n">
        <v>6874</v>
      </c>
      <c r="B6875">
        <f>TEXT(6874, "[$-170000]yyyy-mm-dd")</f>
        <v/>
      </c>
      <c r="C6875">
        <f>TEXT(6874, "[$-060000]yyyy-mm-dd")</f>
        <v/>
      </c>
      <c r="D6875" t="inlineStr">
        <is>
          <t>1337-01-21</t>
        </is>
      </c>
    </row>
    <row r="6876">
      <c r="A6876" s="1" t="n">
        <v>6875</v>
      </c>
      <c r="B6876">
        <f>TEXT(6875, "[$-170000]yyyy-mm-dd")</f>
        <v/>
      </c>
      <c r="C6876">
        <f>TEXT(6875, "[$-060000]yyyy-mm-dd")</f>
        <v/>
      </c>
      <c r="D6876" t="inlineStr">
        <is>
          <t>1337-01-22</t>
        </is>
      </c>
    </row>
    <row r="6877">
      <c r="A6877" s="1" t="n">
        <v>6876</v>
      </c>
      <c r="B6877">
        <f>TEXT(6876, "[$-170000]yyyy-mm-dd")</f>
        <v/>
      </c>
      <c r="C6877">
        <f>TEXT(6876, "[$-060000]yyyy-mm-dd")</f>
        <v/>
      </c>
      <c r="D6877" t="inlineStr">
        <is>
          <t>1337-01-23</t>
        </is>
      </c>
    </row>
    <row r="6878">
      <c r="A6878" s="1" t="n">
        <v>6877</v>
      </c>
      <c r="B6878">
        <f>TEXT(6877, "[$-170000]yyyy-mm-dd")</f>
        <v/>
      </c>
      <c r="C6878">
        <f>TEXT(6877, "[$-060000]yyyy-mm-dd")</f>
        <v/>
      </c>
      <c r="D6878" t="inlineStr">
        <is>
          <t>1337-01-24</t>
        </is>
      </c>
    </row>
    <row r="6879">
      <c r="A6879" s="1" t="n">
        <v>6878</v>
      </c>
      <c r="B6879">
        <f>TEXT(6878, "[$-170000]yyyy-mm-dd")</f>
        <v/>
      </c>
      <c r="C6879">
        <f>TEXT(6878, "[$-060000]yyyy-mm-dd")</f>
        <v/>
      </c>
      <c r="D6879" t="inlineStr">
        <is>
          <t>1337-01-25</t>
        </is>
      </c>
    </row>
    <row r="6880">
      <c r="A6880" s="1" t="n">
        <v>6879</v>
      </c>
      <c r="B6880">
        <f>TEXT(6879, "[$-170000]yyyy-mm-dd")</f>
        <v/>
      </c>
      <c r="C6880">
        <f>TEXT(6879, "[$-060000]yyyy-mm-dd")</f>
        <v/>
      </c>
      <c r="D6880" t="inlineStr">
        <is>
          <t>1337-01-26</t>
        </is>
      </c>
    </row>
    <row r="6881">
      <c r="A6881" s="1" t="n">
        <v>6880</v>
      </c>
      <c r="B6881">
        <f>TEXT(6880, "[$-170000]yyyy-mm-dd")</f>
        <v/>
      </c>
      <c r="C6881">
        <f>TEXT(6880, "[$-060000]yyyy-mm-dd")</f>
        <v/>
      </c>
      <c r="D6881" t="inlineStr">
        <is>
          <t>1337-01-27</t>
        </is>
      </c>
    </row>
    <row r="6882">
      <c r="A6882" s="1" t="n">
        <v>6881</v>
      </c>
      <c r="B6882">
        <f>TEXT(6881, "[$-170000]yyyy-mm-dd")</f>
        <v/>
      </c>
      <c r="C6882">
        <f>TEXT(6881, "[$-060000]yyyy-mm-dd")</f>
        <v/>
      </c>
      <c r="D6882" t="inlineStr">
        <is>
          <t>1337-01-28</t>
        </is>
      </c>
    </row>
    <row r="6883">
      <c r="A6883" s="1" t="n">
        <v>6882</v>
      </c>
      <c r="B6883">
        <f>TEXT(6882, "[$-170000]yyyy-mm-dd")</f>
        <v/>
      </c>
      <c r="C6883">
        <f>TEXT(6882, "[$-060000]yyyy-mm-dd")</f>
        <v/>
      </c>
      <c r="D6883" t="inlineStr">
        <is>
          <t>1337-01-29</t>
        </is>
      </c>
    </row>
    <row r="6884">
      <c r="A6884" s="1" t="n">
        <v>6883</v>
      </c>
      <c r="B6884">
        <f>TEXT(6883, "[$-170000]yyyy-mm-dd")</f>
        <v/>
      </c>
      <c r="C6884">
        <f>TEXT(6883, "[$-060000]yyyy-mm-dd")</f>
        <v/>
      </c>
      <c r="D6884" t="inlineStr">
        <is>
          <t>1337-01-30</t>
        </is>
      </c>
    </row>
    <row r="6885">
      <c r="A6885" s="1" t="n">
        <v>6884</v>
      </c>
      <c r="B6885">
        <f>TEXT(6884, "[$-170000]yyyy-mm-dd")</f>
        <v/>
      </c>
      <c r="C6885">
        <f>TEXT(6884, "[$-060000]yyyy-mm-dd")</f>
        <v/>
      </c>
      <c r="D6885" t="inlineStr">
        <is>
          <t>1337-02-01</t>
        </is>
      </c>
    </row>
    <row r="6886">
      <c r="A6886" s="1" t="n">
        <v>6885</v>
      </c>
      <c r="B6886">
        <f>TEXT(6885, "[$-170000]yyyy-mm-dd")</f>
        <v/>
      </c>
      <c r="C6886">
        <f>TEXT(6885, "[$-060000]yyyy-mm-dd")</f>
        <v/>
      </c>
      <c r="D6886" t="inlineStr">
        <is>
          <t>1337-02-02</t>
        </is>
      </c>
    </row>
    <row r="6887">
      <c r="A6887" s="1" t="n">
        <v>6886</v>
      </c>
      <c r="B6887">
        <f>TEXT(6886, "[$-170000]yyyy-mm-dd")</f>
        <v/>
      </c>
      <c r="C6887">
        <f>TEXT(6886, "[$-060000]yyyy-mm-dd")</f>
        <v/>
      </c>
      <c r="D6887" t="inlineStr">
        <is>
          <t>1337-02-03</t>
        </is>
      </c>
    </row>
    <row r="6888">
      <c r="A6888" s="1" t="n">
        <v>6887</v>
      </c>
      <c r="B6888">
        <f>TEXT(6887, "[$-170000]yyyy-mm-dd")</f>
        <v/>
      </c>
      <c r="C6888">
        <f>TEXT(6887, "[$-060000]yyyy-mm-dd")</f>
        <v/>
      </c>
      <c r="D6888" t="inlineStr">
        <is>
          <t>1337-02-04</t>
        </is>
      </c>
    </row>
    <row r="6889">
      <c r="A6889" s="1" t="n">
        <v>6888</v>
      </c>
      <c r="B6889">
        <f>TEXT(6888, "[$-170000]yyyy-mm-dd")</f>
        <v/>
      </c>
      <c r="C6889">
        <f>TEXT(6888, "[$-060000]yyyy-mm-dd")</f>
        <v/>
      </c>
      <c r="D6889" t="inlineStr">
        <is>
          <t>1337-02-05</t>
        </is>
      </c>
    </row>
    <row r="6890">
      <c r="A6890" s="1" t="n">
        <v>6889</v>
      </c>
      <c r="B6890">
        <f>TEXT(6889, "[$-170000]yyyy-mm-dd")</f>
        <v/>
      </c>
      <c r="C6890">
        <f>TEXT(6889, "[$-060000]yyyy-mm-dd")</f>
        <v/>
      </c>
      <c r="D6890" t="inlineStr">
        <is>
          <t>1337-02-06</t>
        </is>
      </c>
    </row>
    <row r="6891">
      <c r="A6891" s="1" t="n">
        <v>6890</v>
      </c>
      <c r="B6891">
        <f>TEXT(6890, "[$-170000]yyyy-mm-dd")</f>
        <v/>
      </c>
      <c r="C6891">
        <f>TEXT(6890, "[$-060000]yyyy-mm-dd")</f>
        <v/>
      </c>
      <c r="D6891" t="inlineStr">
        <is>
          <t>1337-02-07</t>
        </is>
      </c>
    </row>
    <row r="6892">
      <c r="A6892" s="1" t="n">
        <v>6891</v>
      </c>
      <c r="B6892">
        <f>TEXT(6891, "[$-170000]yyyy-mm-dd")</f>
        <v/>
      </c>
      <c r="C6892">
        <f>TEXT(6891, "[$-060000]yyyy-mm-dd")</f>
        <v/>
      </c>
      <c r="D6892" t="inlineStr">
        <is>
          <t>1337-02-08</t>
        </is>
      </c>
    </row>
    <row r="6893">
      <c r="A6893" s="1" t="n">
        <v>6892</v>
      </c>
      <c r="B6893">
        <f>TEXT(6892, "[$-170000]yyyy-mm-dd")</f>
        <v/>
      </c>
      <c r="C6893">
        <f>TEXT(6892, "[$-060000]yyyy-mm-dd")</f>
        <v/>
      </c>
      <c r="D6893" t="inlineStr">
        <is>
          <t>1337-02-09</t>
        </is>
      </c>
    </row>
    <row r="6894">
      <c r="A6894" s="1" t="n">
        <v>6893</v>
      </c>
      <c r="B6894">
        <f>TEXT(6893, "[$-170000]yyyy-mm-dd")</f>
        <v/>
      </c>
      <c r="C6894">
        <f>TEXT(6893, "[$-060000]yyyy-mm-dd")</f>
        <v/>
      </c>
      <c r="D6894" t="inlineStr">
        <is>
          <t>1337-02-10</t>
        </is>
      </c>
    </row>
    <row r="6895">
      <c r="A6895" s="1" t="n">
        <v>6894</v>
      </c>
      <c r="B6895">
        <f>TEXT(6894, "[$-170000]yyyy-mm-dd")</f>
        <v/>
      </c>
      <c r="C6895">
        <f>TEXT(6894, "[$-060000]yyyy-mm-dd")</f>
        <v/>
      </c>
      <c r="D6895" t="inlineStr">
        <is>
          <t>1337-02-11</t>
        </is>
      </c>
    </row>
    <row r="6896">
      <c r="A6896" s="1" t="n">
        <v>6895</v>
      </c>
      <c r="B6896">
        <f>TEXT(6895, "[$-170000]yyyy-mm-dd")</f>
        <v/>
      </c>
      <c r="C6896">
        <f>TEXT(6895, "[$-060000]yyyy-mm-dd")</f>
        <v/>
      </c>
      <c r="D6896" t="inlineStr">
        <is>
          <t>1337-02-12</t>
        </is>
      </c>
    </row>
    <row r="6897">
      <c r="A6897" s="1" t="n">
        <v>6896</v>
      </c>
      <c r="B6897">
        <f>TEXT(6896, "[$-170000]yyyy-mm-dd")</f>
        <v/>
      </c>
      <c r="C6897">
        <f>TEXT(6896, "[$-060000]yyyy-mm-dd")</f>
        <v/>
      </c>
      <c r="D6897" t="inlineStr">
        <is>
          <t>1337-02-13</t>
        </is>
      </c>
    </row>
    <row r="6898">
      <c r="A6898" s="1" t="n">
        <v>6897</v>
      </c>
      <c r="B6898">
        <f>TEXT(6897, "[$-170000]yyyy-mm-dd")</f>
        <v/>
      </c>
      <c r="C6898">
        <f>TEXT(6897, "[$-060000]yyyy-mm-dd")</f>
        <v/>
      </c>
      <c r="D6898" t="inlineStr">
        <is>
          <t>1337-02-14</t>
        </is>
      </c>
    </row>
    <row r="6899">
      <c r="A6899" s="1" t="n">
        <v>6898</v>
      </c>
      <c r="B6899">
        <f>TEXT(6898, "[$-170000]yyyy-mm-dd")</f>
        <v/>
      </c>
      <c r="C6899">
        <f>TEXT(6898, "[$-060000]yyyy-mm-dd")</f>
        <v/>
      </c>
      <c r="D6899" t="inlineStr">
        <is>
          <t>1337-02-15</t>
        </is>
      </c>
    </row>
    <row r="6900">
      <c r="A6900" s="1" t="n">
        <v>6899</v>
      </c>
      <c r="B6900">
        <f>TEXT(6899, "[$-170000]yyyy-mm-dd")</f>
        <v/>
      </c>
      <c r="C6900">
        <f>TEXT(6899, "[$-060000]yyyy-mm-dd")</f>
        <v/>
      </c>
      <c r="D6900" t="inlineStr">
        <is>
          <t>1337-02-16</t>
        </is>
      </c>
    </row>
    <row r="6901">
      <c r="A6901" s="1" t="n">
        <v>6900</v>
      </c>
      <c r="B6901">
        <f>TEXT(6900, "[$-170000]yyyy-mm-dd")</f>
        <v/>
      </c>
      <c r="C6901">
        <f>TEXT(6900, "[$-060000]yyyy-mm-dd")</f>
        <v/>
      </c>
      <c r="D6901" t="inlineStr">
        <is>
          <t>1337-02-17</t>
        </is>
      </c>
    </row>
    <row r="6902">
      <c r="A6902" s="1" t="n">
        <v>6901</v>
      </c>
      <c r="B6902">
        <f>TEXT(6901, "[$-170000]yyyy-mm-dd")</f>
        <v/>
      </c>
      <c r="C6902">
        <f>TEXT(6901, "[$-060000]yyyy-mm-dd")</f>
        <v/>
      </c>
      <c r="D6902" t="inlineStr">
        <is>
          <t>1337-02-18</t>
        </is>
      </c>
    </row>
    <row r="6903">
      <c r="A6903" s="1" t="n">
        <v>6902</v>
      </c>
      <c r="B6903">
        <f>TEXT(6902, "[$-170000]yyyy-mm-dd")</f>
        <v/>
      </c>
      <c r="C6903">
        <f>TEXT(6902, "[$-060000]yyyy-mm-dd")</f>
        <v/>
      </c>
      <c r="D6903" t="inlineStr">
        <is>
          <t>1337-02-19</t>
        </is>
      </c>
    </row>
    <row r="6904">
      <c r="A6904" s="1" t="n">
        <v>6903</v>
      </c>
      <c r="B6904">
        <f>TEXT(6903, "[$-170000]yyyy-mm-dd")</f>
        <v/>
      </c>
      <c r="C6904">
        <f>TEXT(6903, "[$-060000]yyyy-mm-dd")</f>
        <v/>
      </c>
      <c r="D6904" t="inlineStr">
        <is>
          <t>1337-02-20</t>
        </is>
      </c>
    </row>
    <row r="6905">
      <c r="A6905" s="1" t="n">
        <v>6904</v>
      </c>
      <c r="B6905">
        <f>TEXT(6904, "[$-170000]yyyy-mm-dd")</f>
        <v/>
      </c>
      <c r="C6905">
        <f>TEXT(6904, "[$-060000]yyyy-mm-dd")</f>
        <v/>
      </c>
      <c r="D6905" t="inlineStr">
        <is>
          <t>1337-02-21</t>
        </is>
      </c>
    </row>
    <row r="6906">
      <c r="A6906" s="1" t="n">
        <v>6905</v>
      </c>
      <c r="B6906">
        <f>TEXT(6905, "[$-170000]yyyy-mm-dd")</f>
        <v/>
      </c>
      <c r="C6906">
        <f>TEXT(6905, "[$-060000]yyyy-mm-dd")</f>
        <v/>
      </c>
      <c r="D6906" t="inlineStr">
        <is>
          <t>1337-02-22</t>
        </is>
      </c>
    </row>
    <row r="6907">
      <c r="A6907" s="1" t="n">
        <v>6906</v>
      </c>
      <c r="B6907">
        <f>TEXT(6906, "[$-170000]yyyy-mm-dd")</f>
        <v/>
      </c>
      <c r="C6907">
        <f>TEXT(6906, "[$-060000]yyyy-mm-dd")</f>
        <v/>
      </c>
      <c r="D6907" t="inlineStr">
        <is>
          <t>1337-02-23</t>
        </is>
      </c>
    </row>
    <row r="6908">
      <c r="A6908" s="1" t="n">
        <v>6907</v>
      </c>
      <c r="B6908">
        <f>TEXT(6907, "[$-170000]yyyy-mm-dd")</f>
        <v/>
      </c>
      <c r="C6908">
        <f>TEXT(6907, "[$-060000]yyyy-mm-dd")</f>
        <v/>
      </c>
      <c r="D6908" t="inlineStr">
        <is>
          <t>1337-02-24</t>
        </is>
      </c>
    </row>
    <row r="6909">
      <c r="A6909" s="1" t="n">
        <v>6908</v>
      </c>
      <c r="B6909">
        <f>TEXT(6908, "[$-170000]yyyy-mm-dd")</f>
        <v/>
      </c>
      <c r="C6909">
        <f>TEXT(6908, "[$-060000]yyyy-mm-dd")</f>
        <v/>
      </c>
      <c r="D6909" t="inlineStr">
        <is>
          <t>1337-02-25</t>
        </is>
      </c>
    </row>
    <row r="6910">
      <c r="A6910" s="1" t="n">
        <v>6909</v>
      </c>
      <c r="B6910">
        <f>TEXT(6909, "[$-170000]yyyy-mm-dd")</f>
        <v/>
      </c>
      <c r="C6910">
        <f>TEXT(6909, "[$-060000]yyyy-mm-dd")</f>
        <v/>
      </c>
      <c r="D6910" t="inlineStr">
        <is>
          <t>1337-02-26</t>
        </is>
      </c>
    </row>
    <row r="6911">
      <c r="A6911" s="1" t="n">
        <v>6910</v>
      </c>
      <c r="B6911">
        <f>TEXT(6910, "[$-170000]yyyy-mm-dd")</f>
        <v/>
      </c>
      <c r="C6911">
        <f>TEXT(6910, "[$-060000]yyyy-mm-dd")</f>
        <v/>
      </c>
      <c r="D6911" t="inlineStr">
        <is>
          <t>1337-02-27</t>
        </is>
      </c>
    </row>
    <row r="6912">
      <c r="A6912" s="1" t="n">
        <v>6911</v>
      </c>
      <c r="B6912">
        <f>TEXT(6911, "[$-170000]yyyy-mm-dd")</f>
        <v/>
      </c>
      <c r="C6912">
        <f>TEXT(6911, "[$-060000]yyyy-mm-dd")</f>
        <v/>
      </c>
      <c r="D6912" t="inlineStr">
        <is>
          <t>1337-02-28</t>
        </is>
      </c>
    </row>
    <row r="6913">
      <c r="A6913" s="1" t="n">
        <v>6912</v>
      </c>
      <c r="B6913">
        <f>TEXT(6912, "[$-170000]yyyy-mm-dd")</f>
        <v/>
      </c>
      <c r="C6913">
        <f>TEXT(6912, "[$-060000]yyyy-mm-dd")</f>
        <v/>
      </c>
      <c r="D6913" t="inlineStr">
        <is>
          <t>1337-02-29</t>
        </is>
      </c>
    </row>
    <row r="6914">
      <c r="A6914" s="1" t="n">
        <v>6913</v>
      </c>
      <c r="B6914">
        <f>TEXT(6913, "[$-170000]yyyy-mm-dd")</f>
        <v/>
      </c>
      <c r="C6914">
        <f>TEXT(6913, "[$-060000]yyyy-mm-dd")</f>
        <v/>
      </c>
      <c r="D6914" t="inlineStr">
        <is>
          <t>1337-03-01</t>
        </is>
      </c>
    </row>
    <row r="6915">
      <c r="A6915" s="1" t="n">
        <v>6914</v>
      </c>
      <c r="B6915">
        <f>TEXT(6914, "[$-170000]yyyy-mm-dd")</f>
        <v/>
      </c>
      <c r="C6915">
        <f>TEXT(6914, "[$-060000]yyyy-mm-dd")</f>
        <v/>
      </c>
      <c r="D6915" t="inlineStr">
        <is>
          <t>1337-03-02</t>
        </is>
      </c>
    </row>
    <row r="6916">
      <c r="A6916" s="1" t="n">
        <v>6915</v>
      </c>
      <c r="B6916">
        <f>TEXT(6915, "[$-170000]yyyy-mm-dd")</f>
        <v/>
      </c>
      <c r="C6916">
        <f>TEXT(6915, "[$-060000]yyyy-mm-dd")</f>
        <v/>
      </c>
      <c r="D6916" t="inlineStr">
        <is>
          <t>1337-03-03</t>
        </is>
      </c>
    </row>
    <row r="6917">
      <c r="A6917" s="1" t="n">
        <v>6916</v>
      </c>
      <c r="B6917">
        <f>TEXT(6916, "[$-170000]yyyy-mm-dd")</f>
        <v/>
      </c>
      <c r="C6917">
        <f>TEXT(6916, "[$-060000]yyyy-mm-dd")</f>
        <v/>
      </c>
      <c r="D6917" t="inlineStr">
        <is>
          <t>1337-03-04</t>
        </is>
      </c>
    </row>
    <row r="6918">
      <c r="A6918" s="1" t="n">
        <v>6917</v>
      </c>
      <c r="B6918">
        <f>TEXT(6917, "[$-170000]yyyy-mm-dd")</f>
        <v/>
      </c>
      <c r="C6918">
        <f>TEXT(6917, "[$-060000]yyyy-mm-dd")</f>
        <v/>
      </c>
      <c r="D6918" t="inlineStr">
        <is>
          <t>1337-03-05</t>
        </is>
      </c>
    </row>
    <row r="6919">
      <c r="A6919" s="1" t="n">
        <v>6918</v>
      </c>
      <c r="B6919">
        <f>TEXT(6918, "[$-170000]yyyy-mm-dd")</f>
        <v/>
      </c>
      <c r="C6919">
        <f>TEXT(6918, "[$-060000]yyyy-mm-dd")</f>
        <v/>
      </c>
      <c r="D6919" t="inlineStr">
        <is>
          <t>1337-03-06</t>
        </is>
      </c>
    </row>
    <row r="6920">
      <c r="A6920" s="1" t="n">
        <v>6919</v>
      </c>
      <c r="B6920">
        <f>TEXT(6919, "[$-170000]yyyy-mm-dd")</f>
        <v/>
      </c>
      <c r="C6920">
        <f>TEXT(6919, "[$-060000]yyyy-mm-dd")</f>
        <v/>
      </c>
      <c r="D6920" t="inlineStr">
        <is>
          <t>1337-03-07</t>
        </is>
      </c>
    </row>
    <row r="6921">
      <c r="A6921" s="1" t="n">
        <v>6920</v>
      </c>
      <c r="B6921">
        <f>TEXT(6920, "[$-170000]yyyy-mm-dd")</f>
        <v/>
      </c>
      <c r="C6921">
        <f>TEXT(6920, "[$-060000]yyyy-mm-dd")</f>
        <v/>
      </c>
      <c r="D6921" t="inlineStr">
        <is>
          <t>1337-03-08</t>
        </is>
      </c>
    </row>
    <row r="6922">
      <c r="A6922" s="1" t="n">
        <v>6921</v>
      </c>
      <c r="B6922">
        <f>TEXT(6921, "[$-170000]yyyy-mm-dd")</f>
        <v/>
      </c>
      <c r="C6922">
        <f>TEXT(6921, "[$-060000]yyyy-mm-dd")</f>
        <v/>
      </c>
      <c r="D6922" t="inlineStr">
        <is>
          <t>1337-03-09</t>
        </is>
      </c>
    </row>
    <row r="6923">
      <c r="A6923" s="1" t="n">
        <v>6922</v>
      </c>
      <c r="B6923">
        <f>TEXT(6922, "[$-170000]yyyy-mm-dd")</f>
        <v/>
      </c>
      <c r="C6923">
        <f>TEXT(6922, "[$-060000]yyyy-mm-dd")</f>
        <v/>
      </c>
      <c r="D6923" t="inlineStr">
        <is>
          <t>1337-03-10</t>
        </is>
      </c>
    </row>
    <row r="6924">
      <c r="A6924" s="1" t="n">
        <v>6923</v>
      </c>
      <c r="B6924">
        <f>TEXT(6923, "[$-170000]yyyy-mm-dd")</f>
        <v/>
      </c>
      <c r="C6924">
        <f>TEXT(6923, "[$-060000]yyyy-mm-dd")</f>
        <v/>
      </c>
      <c r="D6924" t="inlineStr">
        <is>
          <t>1337-03-11</t>
        </is>
      </c>
    </row>
    <row r="6925">
      <c r="A6925" s="1" t="n">
        <v>6924</v>
      </c>
      <c r="B6925">
        <f>TEXT(6924, "[$-170000]yyyy-mm-dd")</f>
        <v/>
      </c>
      <c r="C6925">
        <f>TEXT(6924, "[$-060000]yyyy-mm-dd")</f>
        <v/>
      </c>
      <c r="D6925" t="inlineStr">
        <is>
          <t>1337-03-12</t>
        </is>
      </c>
    </row>
    <row r="6926">
      <c r="A6926" s="1" t="n">
        <v>6925</v>
      </c>
      <c r="B6926">
        <f>TEXT(6925, "[$-170000]yyyy-mm-dd")</f>
        <v/>
      </c>
      <c r="C6926">
        <f>TEXT(6925, "[$-060000]yyyy-mm-dd")</f>
        <v/>
      </c>
      <c r="D6926" t="inlineStr">
        <is>
          <t>1337-03-13</t>
        </is>
      </c>
    </row>
    <row r="6927">
      <c r="A6927" s="1" t="n">
        <v>6926</v>
      </c>
      <c r="B6927">
        <f>TEXT(6926, "[$-170000]yyyy-mm-dd")</f>
        <v/>
      </c>
      <c r="C6927">
        <f>TEXT(6926, "[$-060000]yyyy-mm-dd")</f>
        <v/>
      </c>
      <c r="D6927" t="inlineStr">
        <is>
          <t>1337-03-14</t>
        </is>
      </c>
    </row>
    <row r="6928">
      <c r="A6928" s="1" t="n">
        <v>6927</v>
      </c>
      <c r="B6928">
        <f>TEXT(6927, "[$-170000]yyyy-mm-dd")</f>
        <v/>
      </c>
      <c r="C6928">
        <f>TEXT(6927, "[$-060000]yyyy-mm-dd")</f>
        <v/>
      </c>
      <c r="D6928" t="inlineStr">
        <is>
          <t>1337-03-15</t>
        </is>
      </c>
    </row>
    <row r="6929">
      <c r="A6929" s="1" t="n">
        <v>6928</v>
      </c>
      <c r="B6929">
        <f>TEXT(6928, "[$-170000]yyyy-mm-dd")</f>
        <v/>
      </c>
      <c r="C6929">
        <f>TEXT(6928, "[$-060000]yyyy-mm-dd")</f>
        <v/>
      </c>
      <c r="D6929" t="inlineStr">
        <is>
          <t>1337-03-16</t>
        </is>
      </c>
    </row>
    <row r="6930">
      <c r="A6930" s="1" t="n">
        <v>6929</v>
      </c>
      <c r="B6930">
        <f>TEXT(6929, "[$-170000]yyyy-mm-dd")</f>
        <v/>
      </c>
      <c r="C6930">
        <f>TEXT(6929, "[$-060000]yyyy-mm-dd")</f>
        <v/>
      </c>
      <c r="D6930" t="inlineStr">
        <is>
          <t>1337-03-17</t>
        </is>
      </c>
    </row>
    <row r="6931">
      <c r="A6931" s="1" t="n">
        <v>6930</v>
      </c>
      <c r="B6931">
        <f>TEXT(6930, "[$-170000]yyyy-mm-dd")</f>
        <v/>
      </c>
      <c r="C6931">
        <f>TEXT(6930, "[$-060000]yyyy-mm-dd")</f>
        <v/>
      </c>
      <c r="D6931" t="inlineStr">
        <is>
          <t>1337-03-18</t>
        </is>
      </c>
    </row>
    <row r="6932">
      <c r="A6932" s="1" t="n">
        <v>6931</v>
      </c>
      <c r="B6932">
        <f>TEXT(6931, "[$-170000]yyyy-mm-dd")</f>
        <v/>
      </c>
      <c r="C6932">
        <f>TEXT(6931, "[$-060000]yyyy-mm-dd")</f>
        <v/>
      </c>
      <c r="D6932" t="inlineStr">
        <is>
          <t>1337-03-19</t>
        </is>
      </c>
    </row>
    <row r="6933">
      <c r="A6933" s="1" t="n">
        <v>6932</v>
      </c>
      <c r="B6933">
        <f>TEXT(6932, "[$-170000]yyyy-mm-dd")</f>
        <v/>
      </c>
      <c r="C6933">
        <f>TEXT(6932, "[$-060000]yyyy-mm-dd")</f>
        <v/>
      </c>
      <c r="D6933" t="inlineStr">
        <is>
          <t>1337-03-20</t>
        </is>
      </c>
    </row>
    <row r="6934">
      <c r="A6934" s="1" t="n">
        <v>6933</v>
      </c>
      <c r="B6934">
        <f>TEXT(6933, "[$-170000]yyyy-mm-dd")</f>
        <v/>
      </c>
      <c r="C6934">
        <f>TEXT(6933, "[$-060000]yyyy-mm-dd")</f>
        <v/>
      </c>
      <c r="D6934" t="inlineStr">
        <is>
          <t>1337-03-21</t>
        </is>
      </c>
    </row>
    <row r="6935">
      <c r="A6935" s="1" t="n">
        <v>6934</v>
      </c>
      <c r="B6935">
        <f>TEXT(6934, "[$-170000]yyyy-mm-dd")</f>
        <v/>
      </c>
      <c r="C6935">
        <f>TEXT(6934, "[$-060000]yyyy-mm-dd")</f>
        <v/>
      </c>
      <c r="D6935" t="inlineStr">
        <is>
          <t>1337-03-22</t>
        </is>
      </c>
    </row>
    <row r="6936">
      <c r="A6936" s="1" t="n">
        <v>6935</v>
      </c>
      <c r="B6936">
        <f>TEXT(6935, "[$-170000]yyyy-mm-dd")</f>
        <v/>
      </c>
      <c r="C6936">
        <f>TEXT(6935, "[$-060000]yyyy-mm-dd")</f>
        <v/>
      </c>
      <c r="D6936" t="inlineStr">
        <is>
          <t>1337-03-23</t>
        </is>
      </c>
    </row>
    <row r="6937">
      <c r="A6937" s="1" t="n">
        <v>6936</v>
      </c>
      <c r="B6937">
        <f>TEXT(6936, "[$-170000]yyyy-mm-dd")</f>
        <v/>
      </c>
      <c r="C6937">
        <f>TEXT(6936, "[$-060000]yyyy-mm-dd")</f>
        <v/>
      </c>
      <c r="D6937" t="inlineStr">
        <is>
          <t>1337-03-24</t>
        </is>
      </c>
    </row>
    <row r="6938">
      <c r="A6938" s="1" t="n">
        <v>6937</v>
      </c>
      <c r="B6938">
        <f>TEXT(6937, "[$-170000]yyyy-mm-dd")</f>
        <v/>
      </c>
      <c r="C6938">
        <f>TEXT(6937, "[$-060000]yyyy-mm-dd")</f>
        <v/>
      </c>
      <c r="D6938" t="inlineStr">
        <is>
          <t>1337-03-25</t>
        </is>
      </c>
    </row>
    <row r="6939">
      <c r="A6939" s="1" t="n">
        <v>6938</v>
      </c>
      <c r="B6939">
        <f>TEXT(6938, "[$-170000]yyyy-mm-dd")</f>
        <v/>
      </c>
      <c r="C6939">
        <f>TEXT(6938, "[$-060000]yyyy-mm-dd")</f>
        <v/>
      </c>
      <c r="D6939" t="inlineStr">
        <is>
          <t>1337-03-26</t>
        </is>
      </c>
    </row>
    <row r="6940">
      <c r="A6940" s="1" t="n">
        <v>6939</v>
      </c>
      <c r="B6940">
        <f>TEXT(6939, "[$-170000]yyyy-mm-dd")</f>
        <v/>
      </c>
      <c r="C6940">
        <f>TEXT(6939, "[$-060000]yyyy-mm-dd")</f>
        <v/>
      </c>
      <c r="D6940" t="inlineStr">
        <is>
          <t>1337-03-27</t>
        </is>
      </c>
    </row>
    <row r="6941">
      <c r="A6941" s="1" t="n">
        <v>6940</v>
      </c>
      <c r="B6941">
        <f>TEXT(6940, "[$-170000]yyyy-mm-dd")</f>
        <v/>
      </c>
      <c r="C6941">
        <f>TEXT(6940, "[$-060000]yyyy-mm-dd")</f>
        <v/>
      </c>
      <c r="D6941" t="inlineStr">
        <is>
          <t>1337-03-28</t>
        </is>
      </c>
    </row>
    <row r="6942">
      <c r="A6942" s="1" t="n">
        <v>6941</v>
      </c>
      <c r="B6942">
        <f>TEXT(6941, "[$-170000]yyyy-mm-dd")</f>
        <v/>
      </c>
      <c r="C6942">
        <f>TEXT(6941, "[$-060000]yyyy-mm-dd")</f>
        <v/>
      </c>
      <c r="D6942" t="inlineStr">
        <is>
          <t>1337-03-29</t>
        </is>
      </c>
    </row>
    <row r="6943">
      <c r="A6943" s="1" t="n">
        <v>6942</v>
      </c>
      <c r="B6943">
        <f>TEXT(6942, "[$-170000]yyyy-mm-dd")</f>
        <v/>
      </c>
      <c r="C6943">
        <f>TEXT(6942, "[$-060000]yyyy-mm-dd")</f>
        <v/>
      </c>
      <c r="D6943" t="inlineStr">
        <is>
          <t>1337-03-30</t>
        </is>
      </c>
    </row>
    <row r="6944">
      <c r="A6944" s="1" t="n">
        <v>6943</v>
      </c>
      <c r="B6944">
        <f>TEXT(6943, "[$-170000]yyyy-mm-dd")</f>
        <v/>
      </c>
      <c r="C6944">
        <f>TEXT(6943, "[$-060000]yyyy-mm-dd")</f>
        <v/>
      </c>
      <c r="D6944" t="inlineStr">
        <is>
          <t>1337-04-01</t>
        </is>
      </c>
    </row>
    <row r="6945">
      <c r="A6945" s="1" t="n">
        <v>6944</v>
      </c>
      <c r="B6945">
        <f>TEXT(6944, "[$-170000]yyyy-mm-dd")</f>
        <v/>
      </c>
      <c r="C6945">
        <f>TEXT(6944, "[$-060000]yyyy-mm-dd")</f>
        <v/>
      </c>
      <c r="D6945" t="inlineStr">
        <is>
          <t>1337-04-02</t>
        </is>
      </c>
    </row>
    <row r="6946">
      <c r="A6946" s="1" t="n">
        <v>6945</v>
      </c>
      <c r="B6946">
        <f>TEXT(6945, "[$-170000]yyyy-mm-dd")</f>
        <v/>
      </c>
      <c r="C6946">
        <f>TEXT(6945, "[$-060000]yyyy-mm-dd")</f>
        <v/>
      </c>
      <c r="D6946" t="inlineStr">
        <is>
          <t>1337-04-03</t>
        </is>
      </c>
    </row>
    <row r="6947">
      <c r="A6947" s="1" t="n">
        <v>6946</v>
      </c>
      <c r="B6947">
        <f>TEXT(6946, "[$-170000]yyyy-mm-dd")</f>
        <v/>
      </c>
      <c r="C6947">
        <f>TEXT(6946, "[$-060000]yyyy-mm-dd")</f>
        <v/>
      </c>
      <c r="D6947" t="inlineStr">
        <is>
          <t>1337-04-04</t>
        </is>
      </c>
    </row>
    <row r="6948">
      <c r="A6948" s="1" t="n">
        <v>6947</v>
      </c>
      <c r="B6948">
        <f>TEXT(6947, "[$-170000]yyyy-mm-dd")</f>
        <v/>
      </c>
      <c r="C6948">
        <f>TEXT(6947, "[$-060000]yyyy-mm-dd")</f>
        <v/>
      </c>
      <c r="D6948" t="inlineStr">
        <is>
          <t>1337-04-05</t>
        </is>
      </c>
    </row>
    <row r="6949">
      <c r="A6949" s="1" t="n">
        <v>6948</v>
      </c>
      <c r="B6949">
        <f>TEXT(6948, "[$-170000]yyyy-mm-dd")</f>
        <v/>
      </c>
      <c r="C6949">
        <f>TEXT(6948, "[$-060000]yyyy-mm-dd")</f>
        <v/>
      </c>
      <c r="D6949" t="inlineStr">
        <is>
          <t>1337-04-06</t>
        </is>
      </c>
    </row>
    <row r="6950">
      <c r="A6950" s="1" t="n">
        <v>6949</v>
      </c>
      <c r="B6950">
        <f>TEXT(6949, "[$-170000]yyyy-mm-dd")</f>
        <v/>
      </c>
      <c r="C6950">
        <f>TEXT(6949, "[$-060000]yyyy-mm-dd")</f>
        <v/>
      </c>
      <c r="D6950" t="inlineStr">
        <is>
          <t>1337-04-07</t>
        </is>
      </c>
    </row>
    <row r="6951">
      <c r="A6951" s="1" t="n">
        <v>6950</v>
      </c>
      <c r="B6951">
        <f>TEXT(6950, "[$-170000]yyyy-mm-dd")</f>
        <v/>
      </c>
      <c r="C6951">
        <f>TEXT(6950, "[$-060000]yyyy-mm-dd")</f>
        <v/>
      </c>
      <c r="D6951" t="inlineStr">
        <is>
          <t>1337-04-08</t>
        </is>
      </c>
    </row>
    <row r="6952">
      <c r="A6952" s="1" t="n">
        <v>6951</v>
      </c>
      <c r="B6952">
        <f>TEXT(6951, "[$-170000]yyyy-mm-dd")</f>
        <v/>
      </c>
      <c r="C6952">
        <f>TEXT(6951, "[$-060000]yyyy-mm-dd")</f>
        <v/>
      </c>
      <c r="D6952" t="inlineStr">
        <is>
          <t>1337-04-09</t>
        </is>
      </c>
    </row>
    <row r="6953">
      <c r="A6953" s="1" t="n">
        <v>6952</v>
      </c>
      <c r="B6953">
        <f>TEXT(6952, "[$-170000]yyyy-mm-dd")</f>
        <v/>
      </c>
      <c r="C6953">
        <f>TEXT(6952, "[$-060000]yyyy-mm-dd")</f>
        <v/>
      </c>
      <c r="D6953" t="inlineStr">
        <is>
          <t>1337-04-10</t>
        </is>
      </c>
    </row>
    <row r="6954">
      <c r="A6954" s="1" t="n">
        <v>6953</v>
      </c>
      <c r="B6954">
        <f>TEXT(6953, "[$-170000]yyyy-mm-dd")</f>
        <v/>
      </c>
      <c r="C6954">
        <f>TEXT(6953, "[$-060000]yyyy-mm-dd")</f>
        <v/>
      </c>
      <c r="D6954" t="inlineStr">
        <is>
          <t>1337-04-11</t>
        </is>
      </c>
    </row>
    <row r="6955">
      <c r="A6955" s="1" t="n">
        <v>6954</v>
      </c>
      <c r="B6955">
        <f>TEXT(6954, "[$-170000]yyyy-mm-dd")</f>
        <v/>
      </c>
      <c r="C6955">
        <f>TEXT(6954, "[$-060000]yyyy-mm-dd")</f>
        <v/>
      </c>
      <c r="D6955" t="inlineStr">
        <is>
          <t>1337-04-12</t>
        </is>
      </c>
    </row>
    <row r="6956">
      <c r="A6956" s="1" t="n">
        <v>6955</v>
      </c>
      <c r="B6956">
        <f>TEXT(6955, "[$-170000]yyyy-mm-dd")</f>
        <v/>
      </c>
      <c r="C6956">
        <f>TEXT(6955, "[$-060000]yyyy-mm-dd")</f>
        <v/>
      </c>
      <c r="D6956" t="inlineStr">
        <is>
          <t>1337-04-13</t>
        </is>
      </c>
    </row>
    <row r="6957">
      <c r="A6957" s="1" t="n">
        <v>6956</v>
      </c>
      <c r="B6957">
        <f>TEXT(6956, "[$-170000]yyyy-mm-dd")</f>
        <v/>
      </c>
      <c r="C6957">
        <f>TEXT(6956, "[$-060000]yyyy-mm-dd")</f>
        <v/>
      </c>
      <c r="D6957" t="inlineStr">
        <is>
          <t>1337-04-14</t>
        </is>
      </c>
    </row>
    <row r="6958">
      <c r="A6958" s="1" t="n">
        <v>6957</v>
      </c>
      <c r="B6958">
        <f>TEXT(6957, "[$-170000]yyyy-mm-dd")</f>
        <v/>
      </c>
      <c r="C6958">
        <f>TEXT(6957, "[$-060000]yyyy-mm-dd")</f>
        <v/>
      </c>
      <c r="D6958" t="inlineStr">
        <is>
          <t>1337-04-15</t>
        </is>
      </c>
    </row>
    <row r="6959">
      <c r="A6959" s="1" t="n">
        <v>6958</v>
      </c>
      <c r="B6959">
        <f>TEXT(6958, "[$-170000]yyyy-mm-dd")</f>
        <v/>
      </c>
      <c r="C6959">
        <f>TEXT(6958, "[$-060000]yyyy-mm-dd")</f>
        <v/>
      </c>
      <c r="D6959" t="inlineStr">
        <is>
          <t>1337-04-16</t>
        </is>
      </c>
    </row>
    <row r="6960">
      <c r="A6960" s="1" t="n">
        <v>6959</v>
      </c>
      <c r="B6960">
        <f>TEXT(6959, "[$-170000]yyyy-mm-dd")</f>
        <v/>
      </c>
      <c r="C6960">
        <f>TEXT(6959, "[$-060000]yyyy-mm-dd")</f>
        <v/>
      </c>
      <c r="D6960" t="inlineStr">
        <is>
          <t>1337-04-17</t>
        </is>
      </c>
    </row>
    <row r="6961">
      <c r="A6961" s="1" t="n">
        <v>6960</v>
      </c>
      <c r="B6961">
        <f>TEXT(6960, "[$-170000]yyyy-mm-dd")</f>
        <v/>
      </c>
      <c r="C6961">
        <f>TEXT(6960, "[$-060000]yyyy-mm-dd")</f>
        <v/>
      </c>
      <c r="D6961" t="inlineStr">
        <is>
          <t>1337-04-18</t>
        </is>
      </c>
    </row>
    <row r="6962">
      <c r="A6962" s="1" t="n">
        <v>6961</v>
      </c>
      <c r="B6962">
        <f>TEXT(6961, "[$-170000]yyyy-mm-dd")</f>
        <v/>
      </c>
      <c r="C6962">
        <f>TEXT(6961, "[$-060000]yyyy-mm-dd")</f>
        <v/>
      </c>
      <c r="D6962" t="inlineStr">
        <is>
          <t>1337-04-19</t>
        </is>
      </c>
    </row>
    <row r="6963">
      <c r="A6963" s="1" t="n">
        <v>6962</v>
      </c>
      <c r="B6963">
        <f>TEXT(6962, "[$-170000]yyyy-mm-dd")</f>
        <v/>
      </c>
      <c r="C6963">
        <f>TEXT(6962, "[$-060000]yyyy-mm-dd")</f>
        <v/>
      </c>
      <c r="D6963" t="inlineStr">
        <is>
          <t>1337-04-20</t>
        </is>
      </c>
    </row>
    <row r="6964">
      <c r="A6964" s="1" t="n">
        <v>6963</v>
      </c>
      <c r="B6964">
        <f>TEXT(6963, "[$-170000]yyyy-mm-dd")</f>
        <v/>
      </c>
      <c r="C6964">
        <f>TEXT(6963, "[$-060000]yyyy-mm-dd")</f>
        <v/>
      </c>
      <c r="D6964" t="inlineStr">
        <is>
          <t>1337-04-21</t>
        </is>
      </c>
    </row>
    <row r="6965">
      <c r="A6965" s="1" t="n">
        <v>6964</v>
      </c>
      <c r="B6965">
        <f>TEXT(6964, "[$-170000]yyyy-mm-dd")</f>
        <v/>
      </c>
      <c r="C6965">
        <f>TEXT(6964, "[$-060000]yyyy-mm-dd")</f>
        <v/>
      </c>
      <c r="D6965" t="inlineStr">
        <is>
          <t>1337-04-22</t>
        </is>
      </c>
    </row>
    <row r="6966">
      <c r="A6966" s="1" t="n">
        <v>6965</v>
      </c>
      <c r="B6966">
        <f>TEXT(6965, "[$-170000]yyyy-mm-dd")</f>
        <v/>
      </c>
      <c r="C6966">
        <f>TEXT(6965, "[$-060000]yyyy-mm-dd")</f>
        <v/>
      </c>
      <c r="D6966" t="inlineStr">
        <is>
          <t>1337-04-23</t>
        </is>
      </c>
    </row>
    <row r="6967">
      <c r="A6967" s="1" t="n">
        <v>6966</v>
      </c>
      <c r="B6967">
        <f>TEXT(6966, "[$-170000]yyyy-mm-dd")</f>
        <v/>
      </c>
      <c r="C6967">
        <f>TEXT(6966, "[$-060000]yyyy-mm-dd")</f>
        <v/>
      </c>
      <c r="D6967" t="inlineStr">
        <is>
          <t>1337-04-24</t>
        </is>
      </c>
    </row>
    <row r="6968">
      <c r="A6968" s="1" t="n">
        <v>6967</v>
      </c>
      <c r="B6968">
        <f>TEXT(6967, "[$-170000]yyyy-mm-dd")</f>
        <v/>
      </c>
      <c r="C6968">
        <f>TEXT(6967, "[$-060000]yyyy-mm-dd")</f>
        <v/>
      </c>
      <c r="D6968" t="inlineStr">
        <is>
          <t>1337-04-25</t>
        </is>
      </c>
    </row>
    <row r="6969">
      <c r="A6969" s="1" t="n">
        <v>6968</v>
      </c>
      <c r="B6969">
        <f>TEXT(6968, "[$-170000]yyyy-mm-dd")</f>
        <v/>
      </c>
      <c r="C6969">
        <f>TEXT(6968, "[$-060000]yyyy-mm-dd")</f>
        <v/>
      </c>
      <c r="D6969" t="inlineStr">
        <is>
          <t>1337-04-26</t>
        </is>
      </c>
    </row>
    <row r="6970">
      <c r="A6970" s="1" t="n">
        <v>6969</v>
      </c>
      <c r="B6970">
        <f>TEXT(6969, "[$-170000]yyyy-mm-dd")</f>
        <v/>
      </c>
      <c r="C6970">
        <f>TEXT(6969, "[$-060000]yyyy-mm-dd")</f>
        <v/>
      </c>
      <c r="D6970" t="inlineStr">
        <is>
          <t>1337-04-27</t>
        </is>
      </c>
    </row>
    <row r="6971">
      <c r="A6971" s="1" t="n">
        <v>6970</v>
      </c>
      <c r="B6971">
        <f>TEXT(6970, "[$-170000]yyyy-mm-dd")</f>
        <v/>
      </c>
      <c r="C6971">
        <f>TEXT(6970, "[$-060000]yyyy-mm-dd")</f>
        <v/>
      </c>
      <c r="D6971" t="inlineStr">
        <is>
          <t>1337-04-28</t>
        </is>
      </c>
    </row>
    <row r="6972">
      <c r="A6972" s="1" t="n">
        <v>6971</v>
      </c>
      <c r="B6972">
        <f>TEXT(6971, "[$-170000]yyyy-mm-dd")</f>
        <v/>
      </c>
      <c r="C6972">
        <f>TEXT(6971, "[$-060000]yyyy-mm-dd")</f>
        <v/>
      </c>
      <c r="D6972" t="inlineStr">
        <is>
          <t>1337-04-29</t>
        </is>
      </c>
    </row>
    <row r="6973">
      <c r="A6973" s="1" t="n">
        <v>6972</v>
      </c>
      <c r="B6973">
        <f>TEXT(6972, "[$-170000]yyyy-mm-dd")</f>
        <v/>
      </c>
      <c r="C6973">
        <f>TEXT(6972, "[$-060000]yyyy-mm-dd")</f>
        <v/>
      </c>
      <c r="D6973" t="inlineStr">
        <is>
          <t>1337-05-01</t>
        </is>
      </c>
    </row>
    <row r="6974">
      <c r="A6974" s="1" t="n">
        <v>6973</v>
      </c>
      <c r="B6974">
        <f>TEXT(6973, "[$-170000]yyyy-mm-dd")</f>
        <v/>
      </c>
      <c r="C6974">
        <f>TEXT(6973, "[$-060000]yyyy-mm-dd")</f>
        <v/>
      </c>
      <c r="D6974" t="inlineStr">
        <is>
          <t>1337-05-02</t>
        </is>
      </c>
    </row>
    <row r="6975">
      <c r="A6975" s="1" t="n">
        <v>6974</v>
      </c>
      <c r="B6975">
        <f>TEXT(6974, "[$-170000]yyyy-mm-dd")</f>
        <v/>
      </c>
      <c r="C6975">
        <f>TEXT(6974, "[$-060000]yyyy-mm-dd")</f>
        <v/>
      </c>
      <c r="D6975" t="inlineStr">
        <is>
          <t>1337-05-03</t>
        </is>
      </c>
    </row>
    <row r="6976">
      <c r="A6976" s="1" t="n">
        <v>6975</v>
      </c>
      <c r="B6976">
        <f>TEXT(6975, "[$-170000]yyyy-mm-dd")</f>
        <v/>
      </c>
      <c r="C6976">
        <f>TEXT(6975, "[$-060000]yyyy-mm-dd")</f>
        <v/>
      </c>
      <c r="D6976" t="inlineStr">
        <is>
          <t>1337-05-04</t>
        </is>
      </c>
    </row>
    <row r="6977">
      <c r="A6977" s="1" t="n">
        <v>6976</v>
      </c>
      <c r="B6977">
        <f>TEXT(6976, "[$-170000]yyyy-mm-dd")</f>
        <v/>
      </c>
      <c r="C6977">
        <f>TEXT(6976, "[$-060000]yyyy-mm-dd")</f>
        <v/>
      </c>
      <c r="D6977" t="inlineStr">
        <is>
          <t>1337-05-05</t>
        </is>
      </c>
    </row>
    <row r="6978">
      <c r="A6978" s="1" t="n">
        <v>6977</v>
      </c>
      <c r="B6978">
        <f>TEXT(6977, "[$-170000]yyyy-mm-dd")</f>
        <v/>
      </c>
      <c r="C6978">
        <f>TEXT(6977, "[$-060000]yyyy-mm-dd")</f>
        <v/>
      </c>
      <c r="D6978" t="inlineStr">
        <is>
          <t>1337-05-06</t>
        </is>
      </c>
    </row>
    <row r="6979">
      <c r="A6979" s="1" t="n">
        <v>6978</v>
      </c>
      <c r="B6979">
        <f>TEXT(6978, "[$-170000]yyyy-mm-dd")</f>
        <v/>
      </c>
      <c r="C6979">
        <f>TEXT(6978, "[$-060000]yyyy-mm-dd")</f>
        <v/>
      </c>
      <c r="D6979" t="inlineStr">
        <is>
          <t>1337-05-07</t>
        </is>
      </c>
    </row>
    <row r="6980">
      <c r="A6980" s="1" t="n">
        <v>6979</v>
      </c>
      <c r="B6980">
        <f>TEXT(6979, "[$-170000]yyyy-mm-dd")</f>
        <v/>
      </c>
      <c r="C6980">
        <f>TEXT(6979, "[$-060000]yyyy-mm-dd")</f>
        <v/>
      </c>
      <c r="D6980" t="inlineStr">
        <is>
          <t>1337-05-08</t>
        </is>
      </c>
    </row>
    <row r="6981">
      <c r="A6981" s="1" t="n">
        <v>6980</v>
      </c>
      <c r="B6981">
        <f>TEXT(6980, "[$-170000]yyyy-mm-dd")</f>
        <v/>
      </c>
      <c r="C6981">
        <f>TEXT(6980, "[$-060000]yyyy-mm-dd")</f>
        <v/>
      </c>
      <c r="D6981" t="inlineStr">
        <is>
          <t>1337-05-09</t>
        </is>
      </c>
    </row>
    <row r="6982">
      <c r="A6982" s="1" t="n">
        <v>6981</v>
      </c>
      <c r="B6982">
        <f>TEXT(6981, "[$-170000]yyyy-mm-dd")</f>
        <v/>
      </c>
      <c r="C6982">
        <f>TEXT(6981, "[$-060000]yyyy-mm-dd")</f>
        <v/>
      </c>
      <c r="D6982" t="inlineStr">
        <is>
          <t>1337-05-10</t>
        </is>
      </c>
    </row>
    <row r="6983">
      <c r="A6983" s="1" t="n">
        <v>6982</v>
      </c>
      <c r="B6983">
        <f>TEXT(6982, "[$-170000]yyyy-mm-dd")</f>
        <v/>
      </c>
      <c r="C6983">
        <f>TEXT(6982, "[$-060000]yyyy-mm-dd")</f>
        <v/>
      </c>
      <c r="D6983" t="inlineStr">
        <is>
          <t>1337-05-11</t>
        </is>
      </c>
    </row>
    <row r="6984">
      <c r="A6984" s="1" t="n">
        <v>6983</v>
      </c>
      <c r="B6984">
        <f>TEXT(6983, "[$-170000]yyyy-mm-dd")</f>
        <v/>
      </c>
      <c r="C6984">
        <f>TEXT(6983, "[$-060000]yyyy-mm-dd")</f>
        <v/>
      </c>
      <c r="D6984" t="inlineStr">
        <is>
          <t>1337-05-12</t>
        </is>
      </c>
    </row>
    <row r="6985">
      <c r="A6985" s="1" t="n">
        <v>6984</v>
      </c>
      <c r="B6985">
        <f>TEXT(6984, "[$-170000]yyyy-mm-dd")</f>
        <v/>
      </c>
      <c r="C6985">
        <f>TEXT(6984, "[$-060000]yyyy-mm-dd")</f>
        <v/>
      </c>
      <c r="D6985" t="inlineStr">
        <is>
          <t>1337-05-13</t>
        </is>
      </c>
    </row>
    <row r="6986">
      <c r="A6986" s="1" t="n">
        <v>6985</v>
      </c>
      <c r="B6986">
        <f>TEXT(6985, "[$-170000]yyyy-mm-dd")</f>
        <v/>
      </c>
      <c r="C6986">
        <f>TEXT(6985, "[$-060000]yyyy-mm-dd")</f>
        <v/>
      </c>
      <c r="D6986" t="inlineStr">
        <is>
          <t>1337-05-14</t>
        </is>
      </c>
    </row>
    <row r="6987">
      <c r="A6987" s="1" t="n">
        <v>6986</v>
      </c>
      <c r="B6987">
        <f>TEXT(6986, "[$-170000]yyyy-mm-dd")</f>
        <v/>
      </c>
      <c r="C6987">
        <f>TEXT(6986, "[$-060000]yyyy-mm-dd")</f>
        <v/>
      </c>
      <c r="D6987" t="inlineStr">
        <is>
          <t>1337-05-15</t>
        </is>
      </c>
    </row>
    <row r="6988">
      <c r="A6988" s="1" t="n">
        <v>6987</v>
      </c>
      <c r="B6988">
        <f>TEXT(6987, "[$-170000]yyyy-mm-dd")</f>
        <v/>
      </c>
      <c r="C6988">
        <f>TEXT(6987, "[$-060000]yyyy-mm-dd")</f>
        <v/>
      </c>
      <c r="D6988" t="inlineStr">
        <is>
          <t>1337-05-16</t>
        </is>
      </c>
    </row>
    <row r="6989">
      <c r="A6989" s="1" t="n">
        <v>6988</v>
      </c>
      <c r="B6989">
        <f>TEXT(6988, "[$-170000]yyyy-mm-dd")</f>
        <v/>
      </c>
      <c r="C6989">
        <f>TEXT(6988, "[$-060000]yyyy-mm-dd")</f>
        <v/>
      </c>
      <c r="D6989" t="inlineStr">
        <is>
          <t>1337-05-17</t>
        </is>
      </c>
    </row>
    <row r="6990">
      <c r="A6990" s="1" t="n">
        <v>6989</v>
      </c>
      <c r="B6990">
        <f>TEXT(6989, "[$-170000]yyyy-mm-dd")</f>
        <v/>
      </c>
      <c r="C6990">
        <f>TEXT(6989, "[$-060000]yyyy-mm-dd")</f>
        <v/>
      </c>
      <c r="D6990" t="inlineStr">
        <is>
          <t>1337-05-18</t>
        </is>
      </c>
    </row>
    <row r="6991">
      <c r="A6991" s="1" t="n">
        <v>6990</v>
      </c>
      <c r="B6991">
        <f>TEXT(6990, "[$-170000]yyyy-mm-dd")</f>
        <v/>
      </c>
      <c r="C6991">
        <f>TEXT(6990, "[$-060000]yyyy-mm-dd")</f>
        <v/>
      </c>
      <c r="D6991" t="inlineStr">
        <is>
          <t>1337-05-19</t>
        </is>
      </c>
    </row>
    <row r="6992">
      <c r="A6992" s="1" t="n">
        <v>6991</v>
      </c>
      <c r="B6992">
        <f>TEXT(6991, "[$-170000]yyyy-mm-dd")</f>
        <v/>
      </c>
      <c r="C6992">
        <f>TEXT(6991, "[$-060000]yyyy-mm-dd")</f>
        <v/>
      </c>
      <c r="D6992" t="inlineStr">
        <is>
          <t>1337-05-20</t>
        </is>
      </c>
    </row>
    <row r="6993">
      <c r="A6993" s="1" t="n">
        <v>6992</v>
      </c>
      <c r="B6993">
        <f>TEXT(6992, "[$-170000]yyyy-mm-dd")</f>
        <v/>
      </c>
      <c r="C6993">
        <f>TEXT(6992, "[$-060000]yyyy-mm-dd")</f>
        <v/>
      </c>
      <c r="D6993" t="inlineStr">
        <is>
          <t>1337-05-21</t>
        </is>
      </c>
    </row>
    <row r="6994">
      <c r="A6994" s="1" t="n">
        <v>6993</v>
      </c>
      <c r="B6994">
        <f>TEXT(6993, "[$-170000]yyyy-mm-dd")</f>
        <v/>
      </c>
      <c r="C6994">
        <f>TEXT(6993, "[$-060000]yyyy-mm-dd")</f>
        <v/>
      </c>
      <c r="D6994" t="inlineStr">
        <is>
          <t>1337-05-22</t>
        </is>
      </c>
    </row>
    <row r="6995">
      <c r="A6995" s="1" t="n">
        <v>6994</v>
      </c>
      <c r="B6995">
        <f>TEXT(6994, "[$-170000]yyyy-mm-dd")</f>
        <v/>
      </c>
      <c r="C6995">
        <f>TEXT(6994, "[$-060000]yyyy-mm-dd")</f>
        <v/>
      </c>
      <c r="D6995" t="inlineStr">
        <is>
          <t>1337-05-23</t>
        </is>
      </c>
    </row>
    <row r="6996">
      <c r="A6996" s="1" t="n">
        <v>6995</v>
      </c>
      <c r="B6996">
        <f>TEXT(6995, "[$-170000]yyyy-mm-dd")</f>
        <v/>
      </c>
      <c r="C6996">
        <f>TEXT(6995, "[$-060000]yyyy-mm-dd")</f>
        <v/>
      </c>
      <c r="D6996" t="inlineStr">
        <is>
          <t>1337-05-24</t>
        </is>
      </c>
    </row>
    <row r="6997">
      <c r="A6997" s="1" t="n">
        <v>6996</v>
      </c>
      <c r="B6997">
        <f>TEXT(6996, "[$-170000]yyyy-mm-dd")</f>
        <v/>
      </c>
      <c r="C6997">
        <f>TEXT(6996, "[$-060000]yyyy-mm-dd")</f>
        <v/>
      </c>
      <c r="D6997" t="inlineStr">
        <is>
          <t>1337-05-25</t>
        </is>
      </c>
    </row>
    <row r="6998">
      <c r="A6998" s="1" t="n">
        <v>6997</v>
      </c>
      <c r="B6998">
        <f>TEXT(6997, "[$-170000]yyyy-mm-dd")</f>
        <v/>
      </c>
      <c r="C6998">
        <f>TEXT(6997, "[$-060000]yyyy-mm-dd")</f>
        <v/>
      </c>
      <c r="D6998" t="inlineStr">
        <is>
          <t>1337-05-26</t>
        </is>
      </c>
    </row>
    <row r="6999">
      <c r="A6999" s="1" t="n">
        <v>6998</v>
      </c>
      <c r="B6999">
        <f>TEXT(6998, "[$-170000]yyyy-mm-dd")</f>
        <v/>
      </c>
      <c r="C6999">
        <f>TEXT(6998, "[$-060000]yyyy-mm-dd")</f>
        <v/>
      </c>
      <c r="D6999" t="inlineStr">
        <is>
          <t>1337-05-27</t>
        </is>
      </c>
    </row>
    <row r="7000">
      <c r="A7000" s="1" t="n">
        <v>6999</v>
      </c>
      <c r="B7000">
        <f>TEXT(6999, "[$-170000]yyyy-mm-dd")</f>
        <v/>
      </c>
      <c r="C7000">
        <f>TEXT(6999, "[$-060000]yyyy-mm-dd")</f>
        <v/>
      </c>
      <c r="D7000" t="inlineStr">
        <is>
          <t>1337-05-28</t>
        </is>
      </c>
    </row>
    <row r="7001">
      <c r="A7001" s="1" t="n">
        <v>7000</v>
      </c>
      <c r="B7001">
        <f>TEXT(7000, "[$-170000]yyyy-mm-dd")</f>
        <v/>
      </c>
      <c r="C7001">
        <f>TEXT(7000, "[$-060000]yyyy-mm-dd")</f>
        <v/>
      </c>
      <c r="D7001" t="inlineStr">
        <is>
          <t>1337-05-29</t>
        </is>
      </c>
    </row>
    <row r="7002">
      <c r="A7002" s="1" t="n">
        <v>7001</v>
      </c>
      <c r="B7002">
        <f>TEXT(7001, "[$-170000]yyyy-mm-dd")</f>
        <v/>
      </c>
      <c r="C7002">
        <f>TEXT(7001, "[$-060000]yyyy-mm-dd")</f>
        <v/>
      </c>
      <c r="D7002" t="inlineStr">
        <is>
          <t>1337-05-30</t>
        </is>
      </c>
    </row>
    <row r="7003">
      <c r="A7003" s="1" t="n">
        <v>7002</v>
      </c>
      <c r="B7003">
        <f>TEXT(7002, "[$-170000]yyyy-mm-dd")</f>
        <v/>
      </c>
      <c r="C7003">
        <f>TEXT(7002, "[$-060000]yyyy-mm-dd")</f>
        <v/>
      </c>
      <c r="D7003" t="inlineStr">
        <is>
          <t>1337-06-01</t>
        </is>
      </c>
    </row>
    <row r="7004">
      <c r="A7004" s="1" t="n">
        <v>7003</v>
      </c>
      <c r="B7004">
        <f>TEXT(7003, "[$-170000]yyyy-mm-dd")</f>
        <v/>
      </c>
      <c r="C7004">
        <f>TEXT(7003, "[$-060000]yyyy-mm-dd")</f>
        <v/>
      </c>
      <c r="D7004" t="inlineStr">
        <is>
          <t>1337-06-02</t>
        </is>
      </c>
    </row>
    <row r="7005">
      <c r="A7005" s="1" t="n">
        <v>7004</v>
      </c>
      <c r="B7005">
        <f>TEXT(7004, "[$-170000]yyyy-mm-dd")</f>
        <v/>
      </c>
      <c r="C7005">
        <f>TEXT(7004, "[$-060000]yyyy-mm-dd")</f>
        <v/>
      </c>
      <c r="D7005" t="inlineStr">
        <is>
          <t>1337-06-03</t>
        </is>
      </c>
    </row>
    <row r="7006">
      <c r="A7006" s="1" t="n">
        <v>7005</v>
      </c>
      <c r="B7006">
        <f>TEXT(7005, "[$-170000]yyyy-mm-dd")</f>
        <v/>
      </c>
      <c r="C7006">
        <f>TEXT(7005, "[$-060000]yyyy-mm-dd")</f>
        <v/>
      </c>
      <c r="D7006" t="inlineStr">
        <is>
          <t>1337-06-04</t>
        </is>
      </c>
    </row>
    <row r="7007">
      <c r="A7007" s="1" t="n">
        <v>7006</v>
      </c>
      <c r="B7007">
        <f>TEXT(7006, "[$-170000]yyyy-mm-dd")</f>
        <v/>
      </c>
      <c r="C7007">
        <f>TEXT(7006, "[$-060000]yyyy-mm-dd")</f>
        <v/>
      </c>
      <c r="D7007" t="inlineStr">
        <is>
          <t>1337-06-05</t>
        </is>
      </c>
    </row>
    <row r="7008">
      <c r="A7008" s="1" t="n">
        <v>7007</v>
      </c>
      <c r="B7008">
        <f>TEXT(7007, "[$-170000]yyyy-mm-dd")</f>
        <v/>
      </c>
      <c r="C7008">
        <f>TEXT(7007, "[$-060000]yyyy-mm-dd")</f>
        <v/>
      </c>
      <c r="D7008" t="inlineStr">
        <is>
          <t>1337-06-06</t>
        </is>
      </c>
    </row>
    <row r="7009">
      <c r="A7009" s="1" t="n">
        <v>7008</v>
      </c>
      <c r="B7009">
        <f>TEXT(7008, "[$-170000]yyyy-mm-dd")</f>
        <v/>
      </c>
      <c r="C7009">
        <f>TEXT(7008, "[$-060000]yyyy-mm-dd")</f>
        <v/>
      </c>
      <c r="D7009" t="inlineStr">
        <is>
          <t>1337-06-07</t>
        </is>
      </c>
    </row>
    <row r="7010">
      <c r="A7010" s="1" t="n">
        <v>7009</v>
      </c>
      <c r="B7010">
        <f>TEXT(7009, "[$-170000]yyyy-mm-dd")</f>
        <v/>
      </c>
      <c r="C7010">
        <f>TEXT(7009, "[$-060000]yyyy-mm-dd")</f>
        <v/>
      </c>
      <c r="D7010" t="inlineStr">
        <is>
          <t>1337-06-08</t>
        </is>
      </c>
    </row>
    <row r="7011">
      <c r="A7011" s="1" t="n">
        <v>7010</v>
      </c>
      <c r="B7011">
        <f>TEXT(7010, "[$-170000]yyyy-mm-dd")</f>
        <v/>
      </c>
      <c r="C7011">
        <f>TEXT(7010, "[$-060000]yyyy-mm-dd")</f>
        <v/>
      </c>
      <c r="D7011" t="inlineStr">
        <is>
          <t>1337-06-09</t>
        </is>
      </c>
    </row>
    <row r="7012">
      <c r="A7012" s="1" t="n">
        <v>7011</v>
      </c>
      <c r="B7012">
        <f>TEXT(7011, "[$-170000]yyyy-mm-dd")</f>
        <v/>
      </c>
      <c r="C7012">
        <f>TEXT(7011, "[$-060000]yyyy-mm-dd")</f>
        <v/>
      </c>
      <c r="D7012" t="inlineStr">
        <is>
          <t>1337-06-10</t>
        </is>
      </c>
    </row>
    <row r="7013">
      <c r="A7013" s="1" t="n">
        <v>7012</v>
      </c>
      <c r="B7013">
        <f>TEXT(7012, "[$-170000]yyyy-mm-dd")</f>
        <v/>
      </c>
      <c r="C7013">
        <f>TEXT(7012, "[$-060000]yyyy-mm-dd")</f>
        <v/>
      </c>
      <c r="D7013" t="inlineStr">
        <is>
          <t>1337-06-11</t>
        </is>
      </c>
    </row>
    <row r="7014">
      <c r="A7014" s="1" t="n">
        <v>7013</v>
      </c>
      <c r="B7014">
        <f>TEXT(7013, "[$-170000]yyyy-mm-dd")</f>
        <v/>
      </c>
      <c r="C7014">
        <f>TEXT(7013, "[$-060000]yyyy-mm-dd")</f>
        <v/>
      </c>
      <c r="D7014" t="inlineStr">
        <is>
          <t>1337-06-12</t>
        </is>
      </c>
    </row>
    <row r="7015">
      <c r="A7015" s="1" t="n">
        <v>7014</v>
      </c>
      <c r="B7015">
        <f>TEXT(7014, "[$-170000]yyyy-mm-dd")</f>
        <v/>
      </c>
      <c r="C7015">
        <f>TEXT(7014, "[$-060000]yyyy-mm-dd")</f>
        <v/>
      </c>
      <c r="D7015" t="inlineStr">
        <is>
          <t>1337-06-13</t>
        </is>
      </c>
    </row>
    <row r="7016">
      <c r="A7016" s="1" t="n">
        <v>7015</v>
      </c>
      <c r="B7016">
        <f>TEXT(7015, "[$-170000]yyyy-mm-dd")</f>
        <v/>
      </c>
      <c r="C7016">
        <f>TEXT(7015, "[$-060000]yyyy-mm-dd")</f>
        <v/>
      </c>
      <c r="D7016" t="inlineStr">
        <is>
          <t>1337-06-14</t>
        </is>
      </c>
    </row>
    <row r="7017">
      <c r="A7017" s="1" t="n">
        <v>7016</v>
      </c>
      <c r="B7017">
        <f>TEXT(7016, "[$-170000]yyyy-mm-dd")</f>
        <v/>
      </c>
      <c r="C7017">
        <f>TEXT(7016, "[$-060000]yyyy-mm-dd")</f>
        <v/>
      </c>
      <c r="D7017" t="inlineStr">
        <is>
          <t>1337-06-15</t>
        </is>
      </c>
    </row>
    <row r="7018">
      <c r="A7018" s="1" t="n">
        <v>7017</v>
      </c>
      <c r="B7018">
        <f>TEXT(7017, "[$-170000]yyyy-mm-dd")</f>
        <v/>
      </c>
      <c r="C7018">
        <f>TEXT(7017, "[$-060000]yyyy-mm-dd")</f>
        <v/>
      </c>
      <c r="D7018" t="inlineStr">
        <is>
          <t>1337-06-16</t>
        </is>
      </c>
    </row>
    <row r="7019">
      <c r="A7019" s="1" t="n">
        <v>7018</v>
      </c>
      <c r="B7019">
        <f>TEXT(7018, "[$-170000]yyyy-mm-dd")</f>
        <v/>
      </c>
      <c r="C7019">
        <f>TEXT(7018, "[$-060000]yyyy-mm-dd")</f>
        <v/>
      </c>
      <c r="D7019" t="inlineStr">
        <is>
          <t>1337-06-17</t>
        </is>
      </c>
    </row>
    <row r="7020">
      <c r="A7020" s="1" t="n">
        <v>7019</v>
      </c>
      <c r="B7020">
        <f>TEXT(7019, "[$-170000]yyyy-mm-dd")</f>
        <v/>
      </c>
      <c r="C7020">
        <f>TEXT(7019, "[$-060000]yyyy-mm-dd")</f>
        <v/>
      </c>
      <c r="D7020" t="inlineStr">
        <is>
          <t>1337-06-18</t>
        </is>
      </c>
    </row>
    <row r="7021">
      <c r="A7021" s="1" t="n">
        <v>7020</v>
      </c>
      <c r="B7021">
        <f>TEXT(7020, "[$-170000]yyyy-mm-dd")</f>
        <v/>
      </c>
      <c r="C7021">
        <f>TEXT(7020, "[$-060000]yyyy-mm-dd")</f>
        <v/>
      </c>
      <c r="D7021" t="inlineStr">
        <is>
          <t>1337-06-19</t>
        </is>
      </c>
    </row>
    <row r="7022">
      <c r="A7022" s="1" t="n">
        <v>7021</v>
      </c>
      <c r="B7022">
        <f>TEXT(7021, "[$-170000]yyyy-mm-dd")</f>
        <v/>
      </c>
      <c r="C7022">
        <f>TEXT(7021, "[$-060000]yyyy-mm-dd")</f>
        <v/>
      </c>
      <c r="D7022" t="inlineStr">
        <is>
          <t>1337-06-20</t>
        </is>
      </c>
    </row>
    <row r="7023">
      <c r="A7023" s="1" t="n">
        <v>7022</v>
      </c>
      <c r="B7023">
        <f>TEXT(7022, "[$-170000]yyyy-mm-dd")</f>
        <v/>
      </c>
      <c r="C7023">
        <f>TEXT(7022, "[$-060000]yyyy-mm-dd")</f>
        <v/>
      </c>
      <c r="D7023" t="inlineStr">
        <is>
          <t>1337-06-21</t>
        </is>
      </c>
    </row>
    <row r="7024">
      <c r="A7024" s="1" t="n">
        <v>7023</v>
      </c>
      <c r="B7024">
        <f>TEXT(7023, "[$-170000]yyyy-mm-dd")</f>
        <v/>
      </c>
      <c r="C7024">
        <f>TEXT(7023, "[$-060000]yyyy-mm-dd")</f>
        <v/>
      </c>
      <c r="D7024" t="inlineStr">
        <is>
          <t>1337-06-22</t>
        </is>
      </c>
    </row>
    <row r="7025">
      <c r="A7025" s="1" t="n">
        <v>7024</v>
      </c>
      <c r="B7025">
        <f>TEXT(7024, "[$-170000]yyyy-mm-dd")</f>
        <v/>
      </c>
      <c r="C7025">
        <f>TEXT(7024, "[$-060000]yyyy-mm-dd")</f>
        <v/>
      </c>
      <c r="D7025" t="inlineStr">
        <is>
          <t>1337-06-23</t>
        </is>
      </c>
    </row>
    <row r="7026">
      <c r="A7026" s="1" t="n">
        <v>7025</v>
      </c>
      <c r="B7026">
        <f>TEXT(7025, "[$-170000]yyyy-mm-dd")</f>
        <v/>
      </c>
      <c r="C7026">
        <f>TEXT(7025, "[$-060000]yyyy-mm-dd")</f>
        <v/>
      </c>
      <c r="D7026" t="inlineStr">
        <is>
          <t>1337-06-24</t>
        </is>
      </c>
    </row>
    <row r="7027">
      <c r="A7027" s="1" t="n">
        <v>7026</v>
      </c>
      <c r="B7027">
        <f>TEXT(7026, "[$-170000]yyyy-mm-dd")</f>
        <v/>
      </c>
      <c r="C7027">
        <f>TEXT(7026, "[$-060000]yyyy-mm-dd")</f>
        <v/>
      </c>
      <c r="D7027" t="inlineStr">
        <is>
          <t>1337-06-25</t>
        </is>
      </c>
    </row>
    <row r="7028">
      <c r="A7028" s="1" t="n">
        <v>7027</v>
      </c>
      <c r="B7028">
        <f>TEXT(7027, "[$-170000]yyyy-mm-dd")</f>
        <v/>
      </c>
      <c r="C7028">
        <f>TEXT(7027, "[$-060000]yyyy-mm-dd")</f>
        <v/>
      </c>
      <c r="D7028" t="inlineStr">
        <is>
          <t>1337-06-26</t>
        </is>
      </c>
    </row>
    <row r="7029">
      <c r="A7029" s="1" t="n">
        <v>7028</v>
      </c>
      <c r="B7029">
        <f>TEXT(7028, "[$-170000]yyyy-mm-dd")</f>
        <v/>
      </c>
      <c r="C7029">
        <f>TEXT(7028, "[$-060000]yyyy-mm-dd")</f>
        <v/>
      </c>
      <c r="D7029" t="inlineStr">
        <is>
          <t>1337-06-27</t>
        </is>
      </c>
    </row>
    <row r="7030">
      <c r="A7030" s="1" t="n">
        <v>7029</v>
      </c>
      <c r="B7030">
        <f>TEXT(7029, "[$-170000]yyyy-mm-dd")</f>
        <v/>
      </c>
      <c r="C7030">
        <f>TEXT(7029, "[$-060000]yyyy-mm-dd")</f>
        <v/>
      </c>
      <c r="D7030" t="inlineStr">
        <is>
          <t>1337-06-28</t>
        </is>
      </c>
    </row>
    <row r="7031">
      <c r="A7031" s="1" t="n">
        <v>7030</v>
      </c>
      <c r="B7031">
        <f>TEXT(7030, "[$-170000]yyyy-mm-dd")</f>
        <v/>
      </c>
      <c r="C7031">
        <f>TEXT(7030, "[$-060000]yyyy-mm-dd")</f>
        <v/>
      </c>
      <c r="D7031" t="inlineStr">
        <is>
          <t>1337-06-29</t>
        </is>
      </c>
    </row>
    <row r="7032">
      <c r="A7032" s="1" t="n">
        <v>7031</v>
      </c>
      <c r="B7032">
        <f>TEXT(7031, "[$-170000]yyyy-mm-dd")</f>
        <v/>
      </c>
      <c r="C7032">
        <f>TEXT(7031, "[$-060000]yyyy-mm-dd")</f>
        <v/>
      </c>
      <c r="D7032" t="inlineStr">
        <is>
          <t>1337-07-01</t>
        </is>
      </c>
    </row>
    <row r="7033">
      <c r="A7033" s="1" t="n">
        <v>7032</v>
      </c>
      <c r="B7033">
        <f>TEXT(7032, "[$-170000]yyyy-mm-dd")</f>
        <v/>
      </c>
      <c r="C7033">
        <f>TEXT(7032, "[$-060000]yyyy-mm-dd")</f>
        <v/>
      </c>
      <c r="D7033" t="inlineStr">
        <is>
          <t>1337-07-02</t>
        </is>
      </c>
    </row>
    <row r="7034">
      <c r="A7034" s="1" t="n">
        <v>7033</v>
      </c>
      <c r="B7034">
        <f>TEXT(7033, "[$-170000]yyyy-mm-dd")</f>
        <v/>
      </c>
      <c r="C7034">
        <f>TEXT(7033, "[$-060000]yyyy-mm-dd")</f>
        <v/>
      </c>
      <c r="D7034" t="inlineStr">
        <is>
          <t>1337-07-03</t>
        </is>
      </c>
    </row>
    <row r="7035">
      <c r="A7035" s="1" t="n">
        <v>7034</v>
      </c>
      <c r="B7035">
        <f>TEXT(7034, "[$-170000]yyyy-mm-dd")</f>
        <v/>
      </c>
      <c r="C7035">
        <f>TEXT(7034, "[$-060000]yyyy-mm-dd")</f>
        <v/>
      </c>
      <c r="D7035" t="inlineStr">
        <is>
          <t>1337-07-04</t>
        </is>
      </c>
    </row>
    <row r="7036">
      <c r="A7036" s="1" t="n">
        <v>7035</v>
      </c>
      <c r="B7036">
        <f>TEXT(7035, "[$-170000]yyyy-mm-dd")</f>
        <v/>
      </c>
      <c r="C7036">
        <f>TEXT(7035, "[$-060000]yyyy-mm-dd")</f>
        <v/>
      </c>
      <c r="D7036" t="inlineStr">
        <is>
          <t>1337-07-05</t>
        </is>
      </c>
    </row>
    <row r="7037">
      <c r="A7037" s="1" t="n">
        <v>7036</v>
      </c>
      <c r="B7037">
        <f>TEXT(7036, "[$-170000]yyyy-mm-dd")</f>
        <v/>
      </c>
      <c r="C7037">
        <f>TEXT(7036, "[$-060000]yyyy-mm-dd")</f>
        <v/>
      </c>
      <c r="D7037" t="inlineStr">
        <is>
          <t>1337-07-06</t>
        </is>
      </c>
    </row>
    <row r="7038">
      <c r="A7038" s="1" t="n">
        <v>7037</v>
      </c>
      <c r="B7038">
        <f>TEXT(7037, "[$-170000]yyyy-mm-dd")</f>
        <v/>
      </c>
      <c r="C7038">
        <f>TEXT(7037, "[$-060000]yyyy-mm-dd")</f>
        <v/>
      </c>
      <c r="D7038" t="inlineStr">
        <is>
          <t>1337-07-07</t>
        </is>
      </c>
    </row>
    <row r="7039">
      <c r="A7039" s="1" t="n">
        <v>7038</v>
      </c>
      <c r="B7039">
        <f>TEXT(7038, "[$-170000]yyyy-mm-dd")</f>
        <v/>
      </c>
      <c r="C7039">
        <f>TEXT(7038, "[$-060000]yyyy-mm-dd")</f>
        <v/>
      </c>
      <c r="D7039" t="inlineStr">
        <is>
          <t>1337-07-08</t>
        </is>
      </c>
    </row>
    <row r="7040">
      <c r="A7040" s="1" t="n">
        <v>7039</v>
      </c>
      <c r="B7040">
        <f>TEXT(7039, "[$-170000]yyyy-mm-dd")</f>
        <v/>
      </c>
      <c r="C7040">
        <f>TEXT(7039, "[$-060000]yyyy-mm-dd")</f>
        <v/>
      </c>
      <c r="D7040" t="inlineStr">
        <is>
          <t>1337-07-09</t>
        </is>
      </c>
    </row>
    <row r="7041">
      <c r="A7041" s="1" t="n">
        <v>7040</v>
      </c>
      <c r="B7041">
        <f>TEXT(7040, "[$-170000]yyyy-mm-dd")</f>
        <v/>
      </c>
      <c r="C7041">
        <f>TEXT(7040, "[$-060000]yyyy-mm-dd")</f>
        <v/>
      </c>
      <c r="D7041" t="inlineStr">
        <is>
          <t>1337-07-10</t>
        </is>
      </c>
    </row>
    <row r="7042">
      <c r="A7042" s="1" t="n">
        <v>7041</v>
      </c>
      <c r="B7042">
        <f>TEXT(7041, "[$-170000]yyyy-mm-dd")</f>
        <v/>
      </c>
      <c r="C7042">
        <f>TEXT(7041, "[$-060000]yyyy-mm-dd")</f>
        <v/>
      </c>
      <c r="D7042" t="inlineStr">
        <is>
          <t>1337-07-11</t>
        </is>
      </c>
    </row>
    <row r="7043">
      <c r="A7043" s="1" t="n">
        <v>7042</v>
      </c>
      <c r="B7043">
        <f>TEXT(7042, "[$-170000]yyyy-mm-dd")</f>
        <v/>
      </c>
      <c r="C7043">
        <f>TEXT(7042, "[$-060000]yyyy-mm-dd")</f>
        <v/>
      </c>
      <c r="D7043" t="inlineStr">
        <is>
          <t>1337-07-12</t>
        </is>
      </c>
    </row>
    <row r="7044">
      <c r="A7044" s="1" t="n">
        <v>7043</v>
      </c>
      <c r="B7044">
        <f>TEXT(7043, "[$-170000]yyyy-mm-dd")</f>
        <v/>
      </c>
      <c r="C7044">
        <f>TEXT(7043, "[$-060000]yyyy-mm-dd")</f>
        <v/>
      </c>
      <c r="D7044" t="inlineStr">
        <is>
          <t>1337-07-13</t>
        </is>
      </c>
    </row>
    <row r="7045">
      <c r="A7045" s="1" t="n">
        <v>7044</v>
      </c>
      <c r="B7045">
        <f>TEXT(7044, "[$-170000]yyyy-mm-dd")</f>
        <v/>
      </c>
      <c r="C7045">
        <f>TEXT(7044, "[$-060000]yyyy-mm-dd")</f>
        <v/>
      </c>
      <c r="D7045" t="inlineStr">
        <is>
          <t>1337-07-14</t>
        </is>
      </c>
    </row>
    <row r="7046">
      <c r="A7046" s="1" t="n">
        <v>7045</v>
      </c>
      <c r="B7046">
        <f>TEXT(7045, "[$-170000]yyyy-mm-dd")</f>
        <v/>
      </c>
      <c r="C7046">
        <f>TEXT(7045, "[$-060000]yyyy-mm-dd")</f>
        <v/>
      </c>
      <c r="D7046" t="inlineStr">
        <is>
          <t>1337-07-15</t>
        </is>
      </c>
    </row>
    <row r="7047">
      <c r="A7047" s="1" t="n">
        <v>7046</v>
      </c>
      <c r="B7047">
        <f>TEXT(7046, "[$-170000]yyyy-mm-dd")</f>
        <v/>
      </c>
      <c r="C7047">
        <f>TEXT(7046, "[$-060000]yyyy-mm-dd")</f>
        <v/>
      </c>
      <c r="D7047" t="inlineStr">
        <is>
          <t>1337-07-16</t>
        </is>
      </c>
    </row>
    <row r="7048">
      <c r="A7048" s="1" t="n">
        <v>7047</v>
      </c>
      <c r="B7048">
        <f>TEXT(7047, "[$-170000]yyyy-mm-dd")</f>
        <v/>
      </c>
      <c r="C7048">
        <f>TEXT(7047, "[$-060000]yyyy-mm-dd")</f>
        <v/>
      </c>
      <c r="D7048" t="inlineStr">
        <is>
          <t>1337-07-17</t>
        </is>
      </c>
    </row>
    <row r="7049">
      <c r="A7049" s="1" t="n">
        <v>7048</v>
      </c>
      <c r="B7049">
        <f>TEXT(7048, "[$-170000]yyyy-mm-dd")</f>
        <v/>
      </c>
      <c r="C7049">
        <f>TEXT(7048, "[$-060000]yyyy-mm-dd")</f>
        <v/>
      </c>
      <c r="D7049" t="inlineStr">
        <is>
          <t>1337-07-18</t>
        </is>
      </c>
    </row>
    <row r="7050">
      <c r="A7050" s="1" t="n">
        <v>7049</v>
      </c>
      <c r="B7050">
        <f>TEXT(7049, "[$-170000]yyyy-mm-dd")</f>
        <v/>
      </c>
      <c r="C7050">
        <f>TEXT(7049, "[$-060000]yyyy-mm-dd")</f>
        <v/>
      </c>
      <c r="D7050" t="inlineStr">
        <is>
          <t>1337-07-19</t>
        </is>
      </c>
    </row>
    <row r="7051">
      <c r="A7051" s="1" t="n">
        <v>7050</v>
      </c>
      <c r="B7051">
        <f>TEXT(7050, "[$-170000]yyyy-mm-dd")</f>
        <v/>
      </c>
      <c r="C7051">
        <f>TEXT(7050, "[$-060000]yyyy-mm-dd")</f>
        <v/>
      </c>
      <c r="D7051" t="inlineStr">
        <is>
          <t>1337-07-20</t>
        </is>
      </c>
    </row>
    <row r="7052">
      <c r="A7052" s="1" t="n">
        <v>7051</v>
      </c>
      <c r="B7052">
        <f>TEXT(7051, "[$-170000]yyyy-mm-dd")</f>
        <v/>
      </c>
      <c r="C7052">
        <f>TEXT(7051, "[$-060000]yyyy-mm-dd")</f>
        <v/>
      </c>
      <c r="D7052" t="inlineStr">
        <is>
          <t>1337-07-21</t>
        </is>
      </c>
    </row>
    <row r="7053">
      <c r="A7053" s="1" t="n">
        <v>7052</v>
      </c>
      <c r="B7053">
        <f>TEXT(7052, "[$-170000]yyyy-mm-dd")</f>
        <v/>
      </c>
      <c r="C7053">
        <f>TEXT(7052, "[$-060000]yyyy-mm-dd")</f>
        <v/>
      </c>
      <c r="D7053" t="inlineStr">
        <is>
          <t>1337-07-22</t>
        </is>
      </c>
    </row>
    <row r="7054">
      <c r="A7054" s="1" t="n">
        <v>7053</v>
      </c>
      <c r="B7054">
        <f>TEXT(7053, "[$-170000]yyyy-mm-dd")</f>
        <v/>
      </c>
      <c r="C7054">
        <f>TEXT(7053, "[$-060000]yyyy-mm-dd")</f>
        <v/>
      </c>
      <c r="D7054" t="inlineStr">
        <is>
          <t>1337-07-23</t>
        </is>
      </c>
    </row>
    <row r="7055">
      <c r="A7055" s="1" t="n">
        <v>7054</v>
      </c>
      <c r="B7055">
        <f>TEXT(7054, "[$-170000]yyyy-mm-dd")</f>
        <v/>
      </c>
      <c r="C7055">
        <f>TEXT(7054, "[$-060000]yyyy-mm-dd")</f>
        <v/>
      </c>
      <c r="D7055" t="inlineStr">
        <is>
          <t>1337-07-24</t>
        </is>
      </c>
    </row>
    <row r="7056">
      <c r="A7056" s="1" t="n">
        <v>7055</v>
      </c>
      <c r="B7056">
        <f>TEXT(7055, "[$-170000]yyyy-mm-dd")</f>
        <v/>
      </c>
      <c r="C7056">
        <f>TEXT(7055, "[$-060000]yyyy-mm-dd")</f>
        <v/>
      </c>
      <c r="D7056" t="inlineStr">
        <is>
          <t>1337-07-25</t>
        </is>
      </c>
    </row>
    <row r="7057">
      <c r="A7057" s="1" t="n">
        <v>7056</v>
      </c>
      <c r="B7057">
        <f>TEXT(7056, "[$-170000]yyyy-mm-dd")</f>
        <v/>
      </c>
      <c r="C7057">
        <f>TEXT(7056, "[$-060000]yyyy-mm-dd")</f>
        <v/>
      </c>
      <c r="D7057" t="inlineStr">
        <is>
          <t>1337-07-26</t>
        </is>
      </c>
    </row>
    <row r="7058">
      <c r="A7058" s="1" t="n">
        <v>7057</v>
      </c>
      <c r="B7058">
        <f>TEXT(7057, "[$-170000]yyyy-mm-dd")</f>
        <v/>
      </c>
      <c r="C7058">
        <f>TEXT(7057, "[$-060000]yyyy-mm-dd")</f>
        <v/>
      </c>
      <c r="D7058" t="inlineStr">
        <is>
          <t>1337-07-27</t>
        </is>
      </c>
    </row>
    <row r="7059">
      <c r="A7059" s="1" t="n">
        <v>7058</v>
      </c>
      <c r="B7059">
        <f>TEXT(7058, "[$-170000]yyyy-mm-dd")</f>
        <v/>
      </c>
      <c r="C7059">
        <f>TEXT(7058, "[$-060000]yyyy-mm-dd")</f>
        <v/>
      </c>
      <c r="D7059" t="inlineStr">
        <is>
          <t>1337-07-28</t>
        </is>
      </c>
    </row>
    <row r="7060">
      <c r="A7060" s="1" t="n">
        <v>7059</v>
      </c>
      <c r="B7060">
        <f>TEXT(7059, "[$-170000]yyyy-mm-dd")</f>
        <v/>
      </c>
      <c r="C7060">
        <f>TEXT(7059, "[$-060000]yyyy-mm-dd")</f>
        <v/>
      </c>
      <c r="D7060" t="inlineStr">
        <is>
          <t>1337-07-29</t>
        </is>
      </c>
    </row>
    <row r="7061">
      <c r="A7061" s="1" t="n">
        <v>7060</v>
      </c>
      <c r="B7061">
        <f>TEXT(7060, "[$-170000]yyyy-mm-dd")</f>
        <v/>
      </c>
      <c r="C7061">
        <f>TEXT(7060, "[$-060000]yyyy-mm-dd")</f>
        <v/>
      </c>
      <c r="D7061" t="inlineStr">
        <is>
          <t>1337-07-30</t>
        </is>
      </c>
    </row>
    <row r="7062">
      <c r="A7062" s="1" t="n">
        <v>7061</v>
      </c>
      <c r="B7062">
        <f>TEXT(7061, "[$-170000]yyyy-mm-dd")</f>
        <v/>
      </c>
      <c r="C7062">
        <f>TEXT(7061, "[$-060000]yyyy-mm-dd")</f>
        <v/>
      </c>
      <c r="D7062" t="inlineStr">
        <is>
          <t>1337-08-01</t>
        </is>
      </c>
    </row>
    <row r="7063">
      <c r="A7063" s="1" t="n">
        <v>7062</v>
      </c>
      <c r="B7063">
        <f>TEXT(7062, "[$-170000]yyyy-mm-dd")</f>
        <v/>
      </c>
      <c r="C7063">
        <f>TEXT(7062, "[$-060000]yyyy-mm-dd")</f>
        <v/>
      </c>
      <c r="D7063" t="inlineStr">
        <is>
          <t>1337-08-02</t>
        </is>
      </c>
    </row>
    <row r="7064">
      <c r="A7064" s="1" t="n">
        <v>7063</v>
      </c>
      <c r="B7064">
        <f>TEXT(7063, "[$-170000]yyyy-mm-dd")</f>
        <v/>
      </c>
      <c r="C7064">
        <f>TEXT(7063, "[$-060000]yyyy-mm-dd")</f>
        <v/>
      </c>
      <c r="D7064" t="inlineStr">
        <is>
          <t>1337-08-03</t>
        </is>
      </c>
    </row>
    <row r="7065">
      <c r="A7065" s="1" t="n">
        <v>7064</v>
      </c>
      <c r="B7065">
        <f>TEXT(7064, "[$-170000]yyyy-mm-dd")</f>
        <v/>
      </c>
      <c r="C7065">
        <f>TEXT(7064, "[$-060000]yyyy-mm-dd")</f>
        <v/>
      </c>
      <c r="D7065" t="inlineStr">
        <is>
          <t>1337-08-04</t>
        </is>
      </c>
    </row>
    <row r="7066">
      <c r="A7066" s="1" t="n">
        <v>7065</v>
      </c>
      <c r="B7066">
        <f>TEXT(7065, "[$-170000]yyyy-mm-dd")</f>
        <v/>
      </c>
      <c r="C7066">
        <f>TEXT(7065, "[$-060000]yyyy-mm-dd")</f>
        <v/>
      </c>
      <c r="D7066" t="inlineStr">
        <is>
          <t>1337-08-05</t>
        </is>
      </c>
    </row>
    <row r="7067">
      <c r="A7067" s="1" t="n">
        <v>7066</v>
      </c>
      <c r="B7067">
        <f>TEXT(7066, "[$-170000]yyyy-mm-dd")</f>
        <v/>
      </c>
      <c r="C7067">
        <f>TEXT(7066, "[$-060000]yyyy-mm-dd")</f>
        <v/>
      </c>
      <c r="D7067" t="inlineStr">
        <is>
          <t>1337-08-06</t>
        </is>
      </c>
    </row>
    <row r="7068">
      <c r="A7068" s="1" t="n">
        <v>7067</v>
      </c>
      <c r="B7068">
        <f>TEXT(7067, "[$-170000]yyyy-mm-dd")</f>
        <v/>
      </c>
      <c r="C7068">
        <f>TEXT(7067, "[$-060000]yyyy-mm-dd")</f>
        <v/>
      </c>
      <c r="D7068" t="inlineStr">
        <is>
          <t>1337-08-07</t>
        </is>
      </c>
    </row>
    <row r="7069">
      <c r="A7069" s="1" t="n">
        <v>7068</v>
      </c>
      <c r="B7069">
        <f>TEXT(7068, "[$-170000]yyyy-mm-dd")</f>
        <v/>
      </c>
      <c r="C7069">
        <f>TEXT(7068, "[$-060000]yyyy-mm-dd")</f>
        <v/>
      </c>
      <c r="D7069" t="inlineStr">
        <is>
          <t>1337-08-08</t>
        </is>
      </c>
    </row>
    <row r="7070">
      <c r="A7070" s="1" t="n">
        <v>7069</v>
      </c>
      <c r="B7070">
        <f>TEXT(7069, "[$-170000]yyyy-mm-dd")</f>
        <v/>
      </c>
      <c r="C7070">
        <f>TEXT(7069, "[$-060000]yyyy-mm-dd")</f>
        <v/>
      </c>
      <c r="D7070" t="inlineStr">
        <is>
          <t>1337-08-09</t>
        </is>
      </c>
    </row>
    <row r="7071">
      <c r="A7071" s="1" t="n">
        <v>7070</v>
      </c>
      <c r="B7071">
        <f>TEXT(7070, "[$-170000]yyyy-mm-dd")</f>
        <v/>
      </c>
      <c r="C7071">
        <f>TEXT(7070, "[$-060000]yyyy-mm-dd")</f>
        <v/>
      </c>
      <c r="D7071" t="inlineStr">
        <is>
          <t>1337-08-10</t>
        </is>
      </c>
    </row>
    <row r="7072">
      <c r="A7072" s="1" t="n">
        <v>7071</v>
      </c>
      <c r="B7072">
        <f>TEXT(7071, "[$-170000]yyyy-mm-dd")</f>
        <v/>
      </c>
      <c r="C7072">
        <f>TEXT(7071, "[$-060000]yyyy-mm-dd")</f>
        <v/>
      </c>
      <c r="D7072" t="inlineStr">
        <is>
          <t>1337-08-11</t>
        </is>
      </c>
    </row>
    <row r="7073">
      <c r="A7073" s="1" t="n">
        <v>7072</v>
      </c>
      <c r="B7073">
        <f>TEXT(7072, "[$-170000]yyyy-mm-dd")</f>
        <v/>
      </c>
      <c r="C7073">
        <f>TEXT(7072, "[$-060000]yyyy-mm-dd")</f>
        <v/>
      </c>
      <c r="D7073" t="inlineStr">
        <is>
          <t>1337-08-12</t>
        </is>
      </c>
    </row>
    <row r="7074">
      <c r="A7074" s="1" t="n">
        <v>7073</v>
      </c>
      <c r="B7074">
        <f>TEXT(7073, "[$-170000]yyyy-mm-dd")</f>
        <v/>
      </c>
      <c r="C7074">
        <f>TEXT(7073, "[$-060000]yyyy-mm-dd")</f>
        <v/>
      </c>
      <c r="D7074" t="inlineStr">
        <is>
          <t>1337-08-13</t>
        </is>
      </c>
    </row>
    <row r="7075">
      <c r="A7075" s="1" t="n">
        <v>7074</v>
      </c>
      <c r="B7075">
        <f>TEXT(7074, "[$-170000]yyyy-mm-dd")</f>
        <v/>
      </c>
      <c r="C7075">
        <f>TEXT(7074, "[$-060000]yyyy-mm-dd")</f>
        <v/>
      </c>
      <c r="D7075" t="inlineStr">
        <is>
          <t>1337-08-14</t>
        </is>
      </c>
    </row>
    <row r="7076">
      <c r="A7076" s="1" t="n">
        <v>7075</v>
      </c>
      <c r="B7076">
        <f>TEXT(7075, "[$-170000]yyyy-mm-dd")</f>
        <v/>
      </c>
      <c r="C7076">
        <f>TEXT(7075, "[$-060000]yyyy-mm-dd")</f>
        <v/>
      </c>
      <c r="D7076" t="inlineStr">
        <is>
          <t>1337-08-15</t>
        </is>
      </c>
    </row>
    <row r="7077">
      <c r="A7077" s="1" t="n">
        <v>7076</v>
      </c>
      <c r="B7077">
        <f>TEXT(7076, "[$-170000]yyyy-mm-dd")</f>
        <v/>
      </c>
      <c r="C7077">
        <f>TEXT(7076, "[$-060000]yyyy-mm-dd")</f>
        <v/>
      </c>
      <c r="D7077" t="inlineStr">
        <is>
          <t>1337-08-16</t>
        </is>
      </c>
    </row>
    <row r="7078">
      <c r="A7078" s="1" t="n">
        <v>7077</v>
      </c>
      <c r="B7078">
        <f>TEXT(7077, "[$-170000]yyyy-mm-dd")</f>
        <v/>
      </c>
      <c r="C7078">
        <f>TEXT(7077, "[$-060000]yyyy-mm-dd")</f>
        <v/>
      </c>
      <c r="D7078" t="inlineStr">
        <is>
          <t>1337-08-17</t>
        </is>
      </c>
    </row>
    <row r="7079">
      <c r="A7079" s="1" t="n">
        <v>7078</v>
      </c>
      <c r="B7079">
        <f>TEXT(7078, "[$-170000]yyyy-mm-dd")</f>
        <v/>
      </c>
      <c r="C7079">
        <f>TEXT(7078, "[$-060000]yyyy-mm-dd")</f>
        <v/>
      </c>
      <c r="D7079" t="inlineStr">
        <is>
          <t>1337-08-18</t>
        </is>
      </c>
    </row>
    <row r="7080">
      <c r="A7080" s="1" t="n">
        <v>7079</v>
      </c>
      <c r="B7080">
        <f>TEXT(7079, "[$-170000]yyyy-mm-dd")</f>
        <v/>
      </c>
      <c r="C7080">
        <f>TEXT(7079, "[$-060000]yyyy-mm-dd")</f>
        <v/>
      </c>
      <c r="D7080" t="inlineStr">
        <is>
          <t>1337-08-19</t>
        </is>
      </c>
    </row>
    <row r="7081">
      <c r="A7081" s="1" t="n">
        <v>7080</v>
      </c>
      <c r="B7081">
        <f>TEXT(7080, "[$-170000]yyyy-mm-dd")</f>
        <v/>
      </c>
      <c r="C7081">
        <f>TEXT(7080, "[$-060000]yyyy-mm-dd")</f>
        <v/>
      </c>
      <c r="D7081" t="inlineStr">
        <is>
          <t>1337-08-20</t>
        </is>
      </c>
    </row>
    <row r="7082">
      <c r="A7082" s="1" t="n">
        <v>7081</v>
      </c>
      <c r="B7082">
        <f>TEXT(7081, "[$-170000]yyyy-mm-dd")</f>
        <v/>
      </c>
      <c r="C7082">
        <f>TEXT(7081, "[$-060000]yyyy-mm-dd")</f>
        <v/>
      </c>
      <c r="D7082" t="inlineStr">
        <is>
          <t>1337-08-21</t>
        </is>
      </c>
    </row>
    <row r="7083">
      <c r="A7083" s="1" t="n">
        <v>7082</v>
      </c>
      <c r="B7083">
        <f>TEXT(7082, "[$-170000]yyyy-mm-dd")</f>
        <v/>
      </c>
      <c r="C7083">
        <f>TEXT(7082, "[$-060000]yyyy-mm-dd")</f>
        <v/>
      </c>
      <c r="D7083" t="inlineStr">
        <is>
          <t>1337-08-22</t>
        </is>
      </c>
    </row>
    <row r="7084">
      <c r="A7084" s="1" t="n">
        <v>7083</v>
      </c>
      <c r="B7084">
        <f>TEXT(7083, "[$-170000]yyyy-mm-dd")</f>
        <v/>
      </c>
      <c r="C7084">
        <f>TEXT(7083, "[$-060000]yyyy-mm-dd")</f>
        <v/>
      </c>
      <c r="D7084" t="inlineStr">
        <is>
          <t>1337-08-23</t>
        </is>
      </c>
    </row>
    <row r="7085">
      <c r="A7085" s="1" t="n">
        <v>7084</v>
      </c>
      <c r="B7085">
        <f>TEXT(7084, "[$-170000]yyyy-mm-dd")</f>
        <v/>
      </c>
      <c r="C7085">
        <f>TEXT(7084, "[$-060000]yyyy-mm-dd")</f>
        <v/>
      </c>
      <c r="D7085" t="inlineStr">
        <is>
          <t>1337-08-24</t>
        </is>
      </c>
    </row>
    <row r="7086">
      <c r="A7086" s="1" t="n">
        <v>7085</v>
      </c>
      <c r="B7086">
        <f>TEXT(7085, "[$-170000]yyyy-mm-dd")</f>
        <v/>
      </c>
      <c r="C7086">
        <f>TEXT(7085, "[$-060000]yyyy-mm-dd")</f>
        <v/>
      </c>
      <c r="D7086" t="inlineStr">
        <is>
          <t>1337-08-25</t>
        </is>
      </c>
    </row>
    <row r="7087">
      <c r="A7087" s="1" t="n">
        <v>7086</v>
      </c>
      <c r="B7087">
        <f>TEXT(7086, "[$-170000]yyyy-mm-dd")</f>
        <v/>
      </c>
      <c r="C7087">
        <f>TEXT(7086, "[$-060000]yyyy-mm-dd")</f>
        <v/>
      </c>
      <c r="D7087" t="inlineStr">
        <is>
          <t>1337-08-26</t>
        </is>
      </c>
    </row>
    <row r="7088">
      <c r="A7088" s="1" t="n">
        <v>7087</v>
      </c>
      <c r="B7088">
        <f>TEXT(7087, "[$-170000]yyyy-mm-dd")</f>
        <v/>
      </c>
      <c r="C7088">
        <f>TEXT(7087, "[$-060000]yyyy-mm-dd")</f>
        <v/>
      </c>
      <c r="D7088" t="inlineStr">
        <is>
          <t>1337-08-27</t>
        </is>
      </c>
    </row>
    <row r="7089">
      <c r="A7089" s="1" t="n">
        <v>7088</v>
      </c>
      <c r="B7089">
        <f>TEXT(7088, "[$-170000]yyyy-mm-dd")</f>
        <v/>
      </c>
      <c r="C7089">
        <f>TEXT(7088, "[$-060000]yyyy-mm-dd")</f>
        <v/>
      </c>
      <c r="D7089" t="inlineStr">
        <is>
          <t>1337-08-28</t>
        </is>
      </c>
    </row>
    <row r="7090">
      <c r="A7090" s="1" t="n">
        <v>7089</v>
      </c>
      <c r="B7090">
        <f>TEXT(7089, "[$-170000]yyyy-mm-dd")</f>
        <v/>
      </c>
      <c r="C7090">
        <f>TEXT(7089, "[$-060000]yyyy-mm-dd")</f>
        <v/>
      </c>
      <c r="D7090" t="inlineStr">
        <is>
          <t>1337-08-29</t>
        </is>
      </c>
    </row>
    <row r="7091">
      <c r="A7091" s="1" t="n">
        <v>7090</v>
      </c>
      <c r="B7091">
        <f>TEXT(7090, "[$-170000]yyyy-mm-dd")</f>
        <v/>
      </c>
      <c r="C7091">
        <f>TEXT(7090, "[$-060000]yyyy-mm-dd")</f>
        <v/>
      </c>
      <c r="D7091" t="inlineStr">
        <is>
          <t>1337-09-01</t>
        </is>
      </c>
    </row>
    <row r="7092">
      <c r="A7092" s="1" t="n">
        <v>7091</v>
      </c>
      <c r="B7092">
        <f>TEXT(7091, "[$-170000]yyyy-mm-dd")</f>
        <v/>
      </c>
      <c r="C7092">
        <f>TEXT(7091, "[$-060000]yyyy-mm-dd")</f>
        <v/>
      </c>
      <c r="D7092" t="inlineStr">
        <is>
          <t>1337-09-02</t>
        </is>
      </c>
    </row>
    <row r="7093">
      <c r="A7093" s="1" t="n">
        <v>7092</v>
      </c>
      <c r="B7093">
        <f>TEXT(7092, "[$-170000]yyyy-mm-dd")</f>
        <v/>
      </c>
      <c r="C7093">
        <f>TEXT(7092, "[$-060000]yyyy-mm-dd")</f>
        <v/>
      </c>
      <c r="D7093" t="inlineStr">
        <is>
          <t>1337-09-03</t>
        </is>
      </c>
    </row>
    <row r="7094">
      <c r="A7094" s="1" t="n">
        <v>7093</v>
      </c>
      <c r="B7094">
        <f>TEXT(7093, "[$-170000]yyyy-mm-dd")</f>
        <v/>
      </c>
      <c r="C7094">
        <f>TEXT(7093, "[$-060000]yyyy-mm-dd")</f>
        <v/>
      </c>
      <c r="D7094" t="inlineStr">
        <is>
          <t>1337-09-04</t>
        </is>
      </c>
    </row>
    <row r="7095">
      <c r="A7095" s="1" t="n">
        <v>7094</v>
      </c>
      <c r="B7095">
        <f>TEXT(7094, "[$-170000]yyyy-mm-dd")</f>
        <v/>
      </c>
      <c r="C7095">
        <f>TEXT(7094, "[$-060000]yyyy-mm-dd")</f>
        <v/>
      </c>
      <c r="D7095" t="inlineStr">
        <is>
          <t>1337-09-05</t>
        </is>
      </c>
    </row>
    <row r="7096">
      <c r="A7096" s="1" t="n">
        <v>7095</v>
      </c>
      <c r="B7096">
        <f>TEXT(7095, "[$-170000]yyyy-mm-dd")</f>
        <v/>
      </c>
      <c r="C7096">
        <f>TEXT(7095, "[$-060000]yyyy-mm-dd")</f>
        <v/>
      </c>
      <c r="D7096" t="inlineStr">
        <is>
          <t>1337-09-06</t>
        </is>
      </c>
    </row>
    <row r="7097">
      <c r="A7097" s="1" t="n">
        <v>7096</v>
      </c>
      <c r="B7097">
        <f>TEXT(7096, "[$-170000]yyyy-mm-dd")</f>
        <v/>
      </c>
      <c r="C7097">
        <f>TEXT(7096, "[$-060000]yyyy-mm-dd")</f>
        <v/>
      </c>
      <c r="D7097" t="inlineStr">
        <is>
          <t>1337-09-07</t>
        </is>
      </c>
    </row>
    <row r="7098">
      <c r="A7098" s="1" t="n">
        <v>7097</v>
      </c>
      <c r="B7098">
        <f>TEXT(7097, "[$-170000]yyyy-mm-dd")</f>
        <v/>
      </c>
      <c r="C7098">
        <f>TEXT(7097, "[$-060000]yyyy-mm-dd")</f>
        <v/>
      </c>
      <c r="D7098" t="inlineStr">
        <is>
          <t>1337-09-08</t>
        </is>
      </c>
    </row>
    <row r="7099">
      <c r="A7099" s="1" t="n">
        <v>7098</v>
      </c>
      <c r="B7099">
        <f>TEXT(7098, "[$-170000]yyyy-mm-dd")</f>
        <v/>
      </c>
      <c r="C7099">
        <f>TEXT(7098, "[$-060000]yyyy-mm-dd")</f>
        <v/>
      </c>
      <c r="D7099" t="inlineStr">
        <is>
          <t>1337-09-09</t>
        </is>
      </c>
    </row>
    <row r="7100">
      <c r="A7100" s="1" t="n">
        <v>7099</v>
      </c>
      <c r="B7100">
        <f>TEXT(7099, "[$-170000]yyyy-mm-dd")</f>
        <v/>
      </c>
      <c r="C7100">
        <f>TEXT(7099, "[$-060000]yyyy-mm-dd")</f>
        <v/>
      </c>
      <c r="D7100" t="inlineStr">
        <is>
          <t>1337-09-10</t>
        </is>
      </c>
    </row>
    <row r="7101">
      <c r="A7101" s="1" t="n">
        <v>7100</v>
      </c>
      <c r="B7101">
        <f>TEXT(7100, "[$-170000]yyyy-mm-dd")</f>
        <v/>
      </c>
      <c r="C7101">
        <f>TEXT(7100, "[$-060000]yyyy-mm-dd")</f>
        <v/>
      </c>
      <c r="D7101" t="inlineStr">
        <is>
          <t>1337-09-11</t>
        </is>
      </c>
    </row>
    <row r="7102">
      <c r="A7102" s="1" t="n">
        <v>7101</v>
      </c>
      <c r="B7102">
        <f>TEXT(7101, "[$-170000]yyyy-mm-dd")</f>
        <v/>
      </c>
      <c r="C7102">
        <f>TEXT(7101, "[$-060000]yyyy-mm-dd")</f>
        <v/>
      </c>
      <c r="D7102" t="inlineStr">
        <is>
          <t>1337-09-12</t>
        </is>
      </c>
    </row>
    <row r="7103">
      <c r="A7103" s="1" t="n">
        <v>7102</v>
      </c>
      <c r="B7103">
        <f>TEXT(7102, "[$-170000]yyyy-mm-dd")</f>
        <v/>
      </c>
      <c r="C7103">
        <f>TEXT(7102, "[$-060000]yyyy-mm-dd")</f>
        <v/>
      </c>
      <c r="D7103" t="inlineStr">
        <is>
          <t>1337-09-13</t>
        </is>
      </c>
    </row>
    <row r="7104">
      <c r="A7104" s="1" t="n">
        <v>7103</v>
      </c>
      <c r="B7104">
        <f>TEXT(7103, "[$-170000]yyyy-mm-dd")</f>
        <v/>
      </c>
      <c r="C7104">
        <f>TEXT(7103, "[$-060000]yyyy-mm-dd")</f>
        <v/>
      </c>
      <c r="D7104" t="inlineStr">
        <is>
          <t>1337-09-14</t>
        </is>
      </c>
    </row>
    <row r="7105">
      <c r="A7105" s="1" t="n">
        <v>7104</v>
      </c>
      <c r="B7105">
        <f>TEXT(7104, "[$-170000]yyyy-mm-dd")</f>
        <v/>
      </c>
      <c r="C7105">
        <f>TEXT(7104, "[$-060000]yyyy-mm-dd")</f>
        <v/>
      </c>
      <c r="D7105" t="inlineStr">
        <is>
          <t>1337-09-15</t>
        </is>
      </c>
    </row>
    <row r="7106">
      <c r="A7106" s="1" t="n">
        <v>7105</v>
      </c>
      <c r="B7106">
        <f>TEXT(7105, "[$-170000]yyyy-mm-dd")</f>
        <v/>
      </c>
      <c r="C7106">
        <f>TEXT(7105, "[$-060000]yyyy-mm-dd")</f>
        <v/>
      </c>
      <c r="D7106" t="inlineStr">
        <is>
          <t>1337-09-16</t>
        </is>
      </c>
    </row>
    <row r="7107">
      <c r="A7107" s="1" t="n">
        <v>7106</v>
      </c>
      <c r="B7107">
        <f>TEXT(7106, "[$-170000]yyyy-mm-dd")</f>
        <v/>
      </c>
      <c r="C7107">
        <f>TEXT(7106, "[$-060000]yyyy-mm-dd")</f>
        <v/>
      </c>
      <c r="D7107" t="inlineStr">
        <is>
          <t>1337-09-17</t>
        </is>
      </c>
    </row>
    <row r="7108">
      <c r="A7108" s="1" t="n">
        <v>7107</v>
      </c>
      <c r="B7108">
        <f>TEXT(7107, "[$-170000]yyyy-mm-dd")</f>
        <v/>
      </c>
      <c r="C7108">
        <f>TEXT(7107, "[$-060000]yyyy-mm-dd")</f>
        <v/>
      </c>
      <c r="D7108" t="inlineStr">
        <is>
          <t>1337-09-18</t>
        </is>
      </c>
    </row>
    <row r="7109">
      <c r="A7109" s="1" t="n">
        <v>7108</v>
      </c>
      <c r="B7109">
        <f>TEXT(7108, "[$-170000]yyyy-mm-dd")</f>
        <v/>
      </c>
      <c r="C7109">
        <f>TEXT(7108, "[$-060000]yyyy-mm-dd")</f>
        <v/>
      </c>
      <c r="D7109" t="inlineStr">
        <is>
          <t>1337-09-19</t>
        </is>
      </c>
    </row>
    <row r="7110">
      <c r="A7110" s="1" t="n">
        <v>7109</v>
      </c>
      <c r="B7110">
        <f>TEXT(7109, "[$-170000]yyyy-mm-dd")</f>
        <v/>
      </c>
      <c r="C7110">
        <f>TEXT(7109, "[$-060000]yyyy-mm-dd")</f>
        <v/>
      </c>
      <c r="D7110" t="inlineStr">
        <is>
          <t>1337-09-20</t>
        </is>
      </c>
    </row>
    <row r="7111">
      <c r="A7111" s="1" t="n">
        <v>7110</v>
      </c>
      <c r="B7111">
        <f>TEXT(7110, "[$-170000]yyyy-mm-dd")</f>
        <v/>
      </c>
      <c r="C7111">
        <f>TEXT(7110, "[$-060000]yyyy-mm-dd")</f>
        <v/>
      </c>
      <c r="D7111" t="inlineStr">
        <is>
          <t>1337-09-21</t>
        </is>
      </c>
    </row>
    <row r="7112">
      <c r="A7112" s="1" t="n">
        <v>7111</v>
      </c>
      <c r="B7112">
        <f>TEXT(7111, "[$-170000]yyyy-mm-dd")</f>
        <v/>
      </c>
      <c r="C7112">
        <f>TEXT(7111, "[$-060000]yyyy-mm-dd")</f>
        <v/>
      </c>
      <c r="D7112" t="inlineStr">
        <is>
          <t>1337-09-22</t>
        </is>
      </c>
    </row>
    <row r="7113">
      <c r="A7113" s="1" t="n">
        <v>7112</v>
      </c>
      <c r="B7113">
        <f>TEXT(7112, "[$-170000]yyyy-mm-dd")</f>
        <v/>
      </c>
      <c r="C7113">
        <f>TEXT(7112, "[$-060000]yyyy-mm-dd")</f>
        <v/>
      </c>
      <c r="D7113" t="inlineStr">
        <is>
          <t>1337-09-23</t>
        </is>
      </c>
    </row>
    <row r="7114">
      <c r="A7114" s="1" t="n">
        <v>7113</v>
      </c>
      <c r="B7114">
        <f>TEXT(7113, "[$-170000]yyyy-mm-dd")</f>
        <v/>
      </c>
      <c r="C7114">
        <f>TEXT(7113, "[$-060000]yyyy-mm-dd")</f>
        <v/>
      </c>
      <c r="D7114" t="inlineStr">
        <is>
          <t>1337-09-24</t>
        </is>
      </c>
    </row>
    <row r="7115">
      <c r="A7115" s="1" t="n">
        <v>7114</v>
      </c>
      <c r="B7115">
        <f>TEXT(7114, "[$-170000]yyyy-mm-dd")</f>
        <v/>
      </c>
      <c r="C7115">
        <f>TEXT(7114, "[$-060000]yyyy-mm-dd")</f>
        <v/>
      </c>
      <c r="D7115" t="inlineStr">
        <is>
          <t>1337-09-25</t>
        </is>
      </c>
    </row>
    <row r="7116">
      <c r="A7116" s="1" t="n">
        <v>7115</v>
      </c>
      <c r="B7116">
        <f>TEXT(7115, "[$-170000]yyyy-mm-dd")</f>
        <v/>
      </c>
      <c r="C7116">
        <f>TEXT(7115, "[$-060000]yyyy-mm-dd")</f>
        <v/>
      </c>
      <c r="D7116" t="inlineStr">
        <is>
          <t>1337-09-26</t>
        </is>
      </c>
    </row>
    <row r="7117">
      <c r="A7117" s="1" t="n">
        <v>7116</v>
      </c>
      <c r="B7117">
        <f>TEXT(7116, "[$-170000]yyyy-mm-dd")</f>
        <v/>
      </c>
      <c r="C7117">
        <f>TEXT(7116, "[$-060000]yyyy-mm-dd")</f>
        <v/>
      </c>
      <c r="D7117" t="inlineStr">
        <is>
          <t>1337-09-27</t>
        </is>
      </c>
    </row>
    <row r="7118">
      <c r="A7118" s="1" t="n">
        <v>7117</v>
      </c>
      <c r="B7118">
        <f>TEXT(7117, "[$-170000]yyyy-mm-dd")</f>
        <v/>
      </c>
      <c r="C7118">
        <f>TEXT(7117, "[$-060000]yyyy-mm-dd")</f>
        <v/>
      </c>
      <c r="D7118" t="inlineStr">
        <is>
          <t>1337-09-28</t>
        </is>
      </c>
    </row>
    <row r="7119">
      <c r="A7119" s="1" t="n">
        <v>7118</v>
      </c>
      <c r="B7119">
        <f>TEXT(7118, "[$-170000]yyyy-mm-dd")</f>
        <v/>
      </c>
      <c r="C7119">
        <f>TEXT(7118, "[$-060000]yyyy-mm-dd")</f>
        <v/>
      </c>
      <c r="D7119" t="inlineStr">
        <is>
          <t>1337-09-29</t>
        </is>
      </c>
    </row>
    <row r="7120">
      <c r="A7120" s="1" t="n">
        <v>7119</v>
      </c>
      <c r="B7120">
        <f>TEXT(7119, "[$-170000]yyyy-mm-dd")</f>
        <v/>
      </c>
      <c r="C7120">
        <f>TEXT(7119, "[$-060000]yyyy-mm-dd")</f>
        <v/>
      </c>
      <c r="D7120" t="inlineStr">
        <is>
          <t>1337-09-30</t>
        </is>
      </c>
    </row>
    <row r="7121">
      <c r="A7121" s="1" t="n">
        <v>7120</v>
      </c>
      <c r="B7121">
        <f>TEXT(7120, "[$-170000]yyyy-mm-dd")</f>
        <v/>
      </c>
      <c r="C7121">
        <f>TEXT(7120, "[$-060000]yyyy-mm-dd")</f>
        <v/>
      </c>
      <c r="D7121" t="inlineStr">
        <is>
          <t>1337-10-01</t>
        </is>
      </c>
    </row>
    <row r="7122">
      <c r="A7122" s="1" t="n">
        <v>7121</v>
      </c>
      <c r="B7122">
        <f>TEXT(7121, "[$-170000]yyyy-mm-dd")</f>
        <v/>
      </c>
      <c r="C7122">
        <f>TEXT(7121, "[$-060000]yyyy-mm-dd")</f>
        <v/>
      </c>
      <c r="D7122" t="inlineStr">
        <is>
          <t>1337-10-02</t>
        </is>
      </c>
    </row>
    <row r="7123">
      <c r="A7123" s="1" t="n">
        <v>7122</v>
      </c>
      <c r="B7123">
        <f>TEXT(7122, "[$-170000]yyyy-mm-dd")</f>
        <v/>
      </c>
      <c r="C7123">
        <f>TEXT(7122, "[$-060000]yyyy-mm-dd")</f>
        <v/>
      </c>
      <c r="D7123" t="inlineStr">
        <is>
          <t>1337-10-03</t>
        </is>
      </c>
    </row>
    <row r="7124">
      <c r="A7124" s="1" t="n">
        <v>7123</v>
      </c>
      <c r="B7124">
        <f>TEXT(7123, "[$-170000]yyyy-mm-dd")</f>
        <v/>
      </c>
      <c r="C7124">
        <f>TEXT(7123, "[$-060000]yyyy-mm-dd")</f>
        <v/>
      </c>
      <c r="D7124" t="inlineStr">
        <is>
          <t>1337-10-04</t>
        </is>
      </c>
    </row>
    <row r="7125">
      <c r="A7125" s="1" t="n">
        <v>7124</v>
      </c>
      <c r="B7125">
        <f>TEXT(7124, "[$-170000]yyyy-mm-dd")</f>
        <v/>
      </c>
      <c r="C7125">
        <f>TEXT(7124, "[$-060000]yyyy-mm-dd")</f>
        <v/>
      </c>
      <c r="D7125" t="inlineStr">
        <is>
          <t>1337-10-05</t>
        </is>
      </c>
    </row>
    <row r="7126">
      <c r="A7126" s="1" t="n">
        <v>7125</v>
      </c>
      <c r="B7126">
        <f>TEXT(7125, "[$-170000]yyyy-mm-dd")</f>
        <v/>
      </c>
      <c r="C7126">
        <f>TEXT(7125, "[$-060000]yyyy-mm-dd")</f>
        <v/>
      </c>
      <c r="D7126" t="inlineStr">
        <is>
          <t>1337-10-06</t>
        </is>
      </c>
    </row>
    <row r="7127">
      <c r="A7127" s="1" t="n">
        <v>7126</v>
      </c>
      <c r="B7127">
        <f>TEXT(7126, "[$-170000]yyyy-mm-dd")</f>
        <v/>
      </c>
      <c r="C7127">
        <f>TEXT(7126, "[$-060000]yyyy-mm-dd")</f>
        <v/>
      </c>
      <c r="D7127" t="inlineStr">
        <is>
          <t>1337-10-07</t>
        </is>
      </c>
    </row>
    <row r="7128">
      <c r="A7128" s="1" t="n">
        <v>7127</v>
      </c>
      <c r="B7128">
        <f>TEXT(7127, "[$-170000]yyyy-mm-dd")</f>
        <v/>
      </c>
      <c r="C7128">
        <f>TEXT(7127, "[$-060000]yyyy-mm-dd")</f>
        <v/>
      </c>
      <c r="D7128" t="inlineStr">
        <is>
          <t>1337-10-08</t>
        </is>
      </c>
    </row>
    <row r="7129">
      <c r="A7129" s="1" t="n">
        <v>7128</v>
      </c>
      <c r="B7129">
        <f>TEXT(7128, "[$-170000]yyyy-mm-dd")</f>
        <v/>
      </c>
      <c r="C7129">
        <f>TEXT(7128, "[$-060000]yyyy-mm-dd")</f>
        <v/>
      </c>
      <c r="D7129" t="inlineStr">
        <is>
          <t>1337-10-09</t>
        </is>
      </c>
    </row>
    <row r="7130">
      <c r="A7130" s="1" t="n">
        <v>7129</v>
      </c>
      <c r="B7130">
        <f>TEXT(7129, "[$-170000]yyyy-mm-dd")</f>
        <v/>
      </c>
      <c r="C7130">
        <f>TEXT(7129, "[$-060000]yyyy-mm-dd")</f>
        <v/>
      </c>
      <c r="D7130" t="inlineStr">
        <is>
          <t>1337-10-10</t>
        </is>
      </c>
    </row>
    <row r="7131">
      <c r="A7131" s="1" t="n">
        <v>7130</v>
      </c>
      <c r="B7131">
        <f>TEXT(7130, "[$-170000]yyyy-mm-dd")</f>
        <v/>
      </c>
      <c r="C7131">
        <f>TEXT(7130, "[$-060000]yyyy-mm-dd")</f>
        <v/>
      </c>
      <c r="D7131" t="inlineStr">
        <is>
          <t>1337-10-11</t>
        </is>
      </c>
    </row>
    <row r="7132">
      <c r="A7132" s="1" t="n">
        <v>7131</v>
      </c>
      <c r="B7132">
        <f>TEXT(7131, "[$-170000]yyyy-mm-dd")</f>
        <v/>
      </c>
      <c r="C7132">
        <f>TEXT(7131, "[$-060000]yyyy-mm-dd")</f>
        <v/>
      </c>
      <c r="D7132" t="inlineStr">
        <is>
          <t>1337-10-12</t>
        </is>
      </c>
    </row>
    <row r="7133">
      <c r="A7133" s="1" t="n">
        <v>7132</v>
      </c>
      <c r="B7133">
        <f>TEXT(7132, "[$-170000]yyyy-mm-dd")</f>
        <v/>
      </c>
      <c r="C7133">
        <f>TEXT(7132, "[$-060000]yyyy-mm-dd")</f>
        <v/>
      </c>
      <c r="D7133" t="inlineStr">
        <is>
          <t>1337-10-13</t>
        </is>
      </c>
    </row>
    <row r="7134">
      <c r="A7134" s="1" t="n">
        <v>7133</v>
      </c>
      <c r="B7134">
        <f>TEXT(7133, "[$-170000]yyyy-mm-dd")</f>
        <v/>
      </c>
      <c r="C7134">
        <f>TEXT(7133, "[$-060000]yyyy-mm-dd")</f>
        <v/>
      </c>
      <c r="D7134" t="inlineStr">
        <is>
          <t>1337-10-14</t>
        </is>
      </c>
    </row>
    <row r="7135">
      <c r="A7135" s="1" t="n">
        <v>7134</v>
      </c>
      <c r="B7135">
        <f>TEXT(7134, "[$-170000]yyyy-mm-dd")</f>
        <v/>
      </c>
      <c r="C7135">
        <f>TEXT(7134, "[$-060000]yyyy-mm-dd")</f>
        <v/>
      </c>
      <c r="D7135" t="inlineStr">
        <is>
          <t>1337-10-15</t>
        </is>
      </c>
    </row>
    <row r="7136">
      <c r="A7136" s="1" t="n">
        <v>7135</v>
      </c>
      <c r="B7136">
        <f>TEXT(7135, "[$-170000]yyyy-mm-dd")</f>
        <v/>
      </c>
      <c r="C7136">
        <f>TEXT(7135, "[$-060000]yyyy-mm-dd")</f>
        <v/>
      </c>
      <c r="D7136" t="inlineStr">
        <is>
          <t>1337-10-16</t>
        </is>
      </c>
    </row>
    <row r="7137">
      <c r="A7137" s="1" t="n">
        <v>7136</v>
      </c>
      <c r="B7137">
        <f>TEXT(7136, "[$-170000]yyyy-mm-dd")</f>
        <v/>
      </c>
      <c r="C7137">
        <f>TEXT(7136, "[$-060000]yyyy-mm-dd")</f>
        <v/>
      </c>
      <c r="D7137" t="inlineStr">
        <is>
          <t>1337-10-17</t>
        </is>
      </c>
    </row>
    <row r="7138">
      <c r="A7138" s="1" t="n">
        <v>7137</v>
      </c>
      <c r="B7138">
        <f>TEXT(7137, "[$-170000]yyyy-mm-dd")</f>
        <v/>
      </c>
      <c r="C7138">
        <f>TEXT(7137, "[$-060000]yyyy-mm-dd")</f>
        <v/>
      </c>
      <c r="D7138" t="inlineStr">
        <is>
          <t>1337-10-18</t>
        </is>
      </c>
    </row>
    <row r="7139">
      <c r="A7139" s="1" t="n">
        <v>7138</v>
      </c>
      <c r="B7139">
        <f>TEXT(7138, "[$-170000]yyyy-mm-dd")</f>
        <v/>
      </c>
      <c r="C7139">
        <f>TEXT(7138, "[$-060000]yyyy-mm-dd")</f>
        <v/>
      </c>
      <c r="D7139" t="inlineStr">
        <is>
          <t>1337-10-19</t>
        </is>
      </c>
    </row>
    <row r="7140">
      <c r="A7140" s="1" t="n">
        <v>7139</v>
      </c>
      <c r="B7140">
        <f>TEXT(7139, "[$-170000]yyyy-mm-dd")</f>
        <v/>
      </c>
      <c r="C7140">
        <f>TEXT(7139, "[$-060000]yyyy-mm-dd")</f>
        <v/>
      </c>
      <c r="D7140" t="inlineStr">
        <is>
          <t>1337-10-20</t>
        </is>
      </c>
    </row>
    <row r="7141">
      <c r="A7141" s="1" t="n">
        <v>7140</v>
      </c>
      <c r="B7141">
        <f>TEXT(7140, "[$-170000]yyyy-mm-dd")</f>
        <v/>
      </c>
      <c r="C7141">
        <f>TEXT(7140, "[$-060000]yyyy-mm-dd")</f>
        <v/>
      </c>
      <c r="D7141" t="inlineStr">
        <is>
          <t>1337-10-21</t>
        </is>
      </c>
    </row>
    <row r="7142">
      <c r="A7142" s="1" t="n">
        <v>7141</v>
      </c>
      <c r="B7142">
        <f>TEXT(7141, "[$-170000]yyyy-mm-dd")</f>
        <v/>
      </c>
      <c r="C7142">
        <f>TEXT(7141, "[$-060000]yyyy-mm-dd")</f>
        <v/>
      </c>
      <c r="D7142" t="inlineStr">
        <is>
          <t>1337-10-22</t>
        </is>
      </c>
    </row>
    <row r="7143">
      <c r="A7143" s="1" t="n">
        <v>7142</v>
      </c>
      <c r="B7143">
        <f>TEXT(7142, "[$-170000]yyyy-mm-dd")</f>
        <v/>
      </c>
      <c r="C7143">
        <f>TEXT(7142, "[$-060000]yyyy-mm-dd")</f>
        <v/>
      </c>
      <c r="D7143" t="inlineStr">
        <is>
          <t>1337-10-23</t>
        </is>
      </c>
    </row>
    <row r="7144">
      <c r="A7144" s="1" t="n">
        <v>7143</v>
      </c>
      <c r="B7144">
        <f>TEXT(7143, "[$-170000]yyyy-mm-dd")</f>
        <v/>
      </c>
      <c r="C7144">
        <f>TEXT(7143, "[$-060000]yyyy-mm-dd")</f>
        <v/>
      </c>
      <c r="D7144" t="inlineStr">
        <is>
          <t>1337-10-24</t>
        </is>
      </c>
    </row>
    <row r="7145">
      <c r="A7145" s="1" t="n">
        <v>7144</v>
      </c>
      <c r="B7145">
        <f>TEXT(7144, "[$-170000]yyyy-mm-dd")</f>
        <v/>
      </c>
      <c r="C7145">
        <f>TEXT(7144, "[$-060000]yyyy-mm-dd")</f>
        <v/>
      </c>
      <c r="D7145" t="inlineStr">
        <is>
          <t>1337-10-25</t>
        </is>
      </c>
    </row>
    <row r="7146">
      <c r="A7146" s="1" t="n">
        <v>7145</v>
      </c>
      <c r="B7146">
        <f>TEXT(7145, "[$-170000]yyyy-mm-dd")</f>
        <v/>
      </c>
      <c r="C7146">
        <f>TEXT(7145, "[$-060000]yyyy-mm-dd")</f>
        <v/>
      </c>
      <c r="D7146" t="inlineStr">
        <is>
          <t>1337-10-26</t>
        </is>
      </c>
    </row>
    <row r="7147">
      <c r="A7147" s="1" t="n">
        <v>7146</v>
      </c>
      <c r="B7147">
        <f>TEXT(7146, "[$-170000]yyyy-mm-dd")</f>
        <v/>
      </c>
      <c r="C7147">
        <f>TEXT(7146, "[$-060000]yyyy-mm-dd")</f>
        <v/>
      </c>
      <c r="D7147" t="inlineStr">
        <is>
          <t>1337-10-27</t>
        </is>
      </c>
    </row>
    <row r="7148">
      <c r="A7148" s="1" t="n">
        <v>7147</v>
      </c>
      <c r="B7148">
        <f>TEXT(7147, "[$-170000]yyyy-mm-dd")</f>
        <v/>
      </c>
      <c r="C7148">
        <f>TEXT(7147, "[$-060000]yyyy-mm-dd")</f>
        <v/>
      </c>
      <c r="D7148" t="inlineStr">
        <is>
          <t>1337-10-28</t>
        </is>
      </c>
    </row>
    <row r="7149">
      <c r="A7149" s="1" t="n">
        <v>7148</v>
      </c>
      <c r="B7149">
        <f>TEXT(7148, "[$-170000]yyyy-mm-dd")</f>
        <v/>
      </c>
      <c r="C7149">
        <f>TEXT(7148, "[$-060000]yyyy-mm-dd")</f>
        <v/>
      </c>
      <c r="D7149" t="inlineStr">
        <is>
          <t>1337-10-29</t>
        </is>
      </c>
    </row>
    <row r="7150">
      <c r="A7150" s="1" t="n">
        <v>7149</v>
      </c>
      <c r="B7150">
        <f>TEXT(7149, "[$-170000]yyyy-mm-dd")</f>
        <v/>
      </c>
      <c r="C7150">
        <f>TEXT(7149, "[$-060000]yyyy-mm-dd")</f>
        <v/>
      </c>
      <c r="D7150" t="inlineStr">
        <is>
          <t>1337-11-01</t>
        </is>
      </c>
    </row>
    <row r="7151">
      <c r="A7151" s="1" t="n">
        <v>7150</v>
      </c>
      <c r="B7151">
        <f>TEXT(7150, "[$-170000]yyyy-mm-dd")</f>
        <v/>
      </c>
      <c r="C7151">
        <f>TEXT(7150, "[$-060000]yyyy-mm-dd")</f>
        <v/>
      </c>
      <c r="D7151" t="inlineStr">
        <is>
          <t>1337-11-02</t>
        </is>
      </c>
    </row>
    <row r="7152">
      <c r="A7152" s="1" t="n">
        <v>7151</v>
      </c>
      <c r="B7152">
        <f>TEXT(7151, "[$-170000]yyyy-mm-dd")</f>
        <v/>
      </c>
      <c r="C7152">
        <f>TEXT(7151, "[$-060000]yyyy-mm-dd")</f>
        <v/>
      </c>
      <c r="D7152" t="inlineStr">
        <is>
          <t>1337-11-03</t>
        </is>
      </c>
    </row>
    <row r="7153">
      <c r="A7153" s="1" t="n">
        <v>7152</v>
      </c>
      <c r="B7153">
        <f>TEXT(7152, "[$-170000]yyyy-mm-dd")</f>
        <v/>
      </c>
      <c r="C7153">
        <f>TEXT(7152, "[$-060000]yyyy-mm-dd")</f>
        <v/>
      </c>
      <c r="D7153" t="inlineStr">
        <is>
          <t>1337-11-04</t>
        </is>
      </c>
    </row>
    <row r="7154">
      <c r="A7154" s="1" t="n">
        <v>7153</v>
      </c>
      <c r="B7154">
        <f>TEXT(7153, "[$-170000]yyyy-mm-dd")</f>
        <v/>
      </c>
      <c r="C7154">
        <f>TEXT(7153, "[$-060000]yyyy-mm-dd")</f>
        <v/>
      </c>
      <c r="D7154" t="inlineStr">
        <is>
          <t>1337-11-05</t>
        </is>
      </c>
    </row>
    <row r="7155">
      <c r="A7155" s="1" t="n">
        <v>7154</v>
      </c>
      <c r="B7155">
        <f>TEXT(7154, "[$-170000]yyyy-mm-dd")</f>
        <v/>
      </c>
      <c r="C7155">
        <f>TEXT(7154, "[$-060000]yyyy-mm-dd")</f>
        <v/>
      </c>
      <c r="D7155" t="inlineStr">
        <is>
          <t>1337-11-06</t>
        </is>
      </c>
    </row>
    <row r="7156">
      <c r="A7156" s="1" t="n">
        <v>7155</v>
      </c>
      <c r="B7156">
        <f>TEXT(7155, "[$-170000]yyyy-mm-dd")</f>
        <v/>
      </c>
      <c r="C7156">
        <f>TEXT(7155, "[$-060000]yyyy-mm-dd")</f>
        <v/>
      </c>
      <c r="D7156" t="inlineStr">
        <is>
          <t>1337-11-07</t>
        </is>
      </c>
    </row>
    <row r="7157">
      <c r="A7157" s="1" t="n">
        <v>7156</v>
      </c>
      <c r="B7157">
        <f>TEXT(7156, "[$-170000]yyyy-mm-dd")</f>
        <v/>
      </c>
      <c r="C7157">
        <f>TEXT(7156, "[$-060000]yyyy-mm-dd")</f>
        <v/>
      </c>
      <c r="D7157" t="inlineStr">
        <is>
          <t>1337-11-08</t>
        </is>
      </c>
    </row>
    <row r="7158">
      <c r="A7158" s="1" t="n">
        <v>7157</v>
      </c>
      <c r="B7158">
        <f>TEXT(7157, "[$-170000]yyyy-mm-dd")</f>
        <v/>
      </c>
      <c r="C7158">
        <f>TEXT(7157, "[$-060000]yyyy-mm-dd")</f>
        <v/>
      </c>
      <c r="D7158" t="inlineStr">
        <is>
          <t>1337-11-09</t>
        </is>
      </c>
    </row>
    <row r="7159">
      <c r="A7159" s="1" t="n">
        <v>7158</v>
      </c>
      <c r="B7159">
        <f>TEXT(7158, "[$-170000]yyyy-mm-dd")</f>
        <v/>
      </c>
      <c r="C7159">
        <f>TEXT(7158, "[$-060000]yyyy-mm-dd")</f>
        <v/>
      </c>
      <c r="D7159" t="inlineStr">
        <is>
          <t>1337-11-10</t>
        </is>
      </c>
    </row>
    <row r="7160">
      <c r="A7160" s="1" t="n">
        <v>7159</v>
      </c>
      <c r="B7160">
        <f>TEXT(7159, "[$-170000]yyyy-mm-dd")</f>
        <v/>
      </c>
      <c r="C7160">
        <f>TEXT(7159, "[$-060000]yyyy-mm-dd")</f>
        <v/>
      </c>
      <c r="D7160" t="inlineStr">
        <is>
          <t>1337-11-11</t>
        </is>
      </c>
    </row>
    <row r="7161">
      <c r="A7161" s="1" t="n">
        <v>7160</v>
      </c>
      <c r="B7161">
        <f>TEXT(7160, "[$-170000]yyyy-mm-dd")</f>
        <v/>
      </c>
      <c r="C7161">
        <f>TEXT(7160, "[$-060000]yyyy-mm-dd")</f>
        <v/>
      </c>
      <c r="D7161" t="inlineStr">
        <is>
          <t>1337-11-12</t>
        </is>
      </c>
    </row>
    <row r="7162">
      <c r="A7162" s="1" t="n">
        <v>7161</v>
      </c>
      <c r="B7162">
        <f>TEXT(7161, "[$-170000]yyyy-mm-dd")</f>
        <v/>
      </c>
      <c r="C7162">
        <f>TEXT(7161, "[$-060000]yyyy-mm-dd")</f>
        <v/>
      </c>
      <c r="D7162" t="inlineStr">
        <is>
          <t>1337-11-13</t>
        </is>
      </c>
    </row>
    <row r="7163">
      <c r="A7163" s="1" t="n">
        <v>7162</v>
      </c>
      <c r="B7163">
        <f>TEXT(7162, "[$-170000]yyyy-mm-dd")</f>
        <v/>
      </c>
      <c r="C7163">
        <f>TEXT(7162, "[$-060000]yyyy-mm-dd")</f>
        <v/>
      </c>
      <c r="D7163" t="inlineStr">
        <is>
          <t>1337-11-14</t>
        </is>
      </c>
    </row>
    <row r="7164">
      <c r="A7164" s="1" t="n">
        <v>7163</v>
      </c>
      <c r="B7164">
        <f>TEXT(7163, "[$-170000]yyyy-mm-dd")</f>
        <v/>
      </c>
      <c r="C7164">
        <f>TEXT(7163, "[$-060000]yyyy-mm-dd")</f>
        <v/>
      </c>
      <c r="D7164" t="inlineStr">
        <is>
          <t>1337-11-15</t>
        </is>
      </c>
    </row>
    <row r="7165">
      <c r="A7165" s="1" t="n">
        <v>7164</v>
      </c>
      <c r="B7165">
        <f>TEXT(7164, "[$-170000]yyyy-mm-dd")</f>
        <v/>
      </c>
      <c r="C7165">
        <f>TEXT(7164, "[$-060000]yyyy-mm-dd")</f>
        <v/>
      </c>
      <c r="D7165" t="inlineStr">
        <is>
          <t>1337-11-16</t>
        </is>
      </c>
    </row>
    <row r="7166">
      <c r="A7166" s="1" t="n">
        <v>7165</v>
      </c>
      <c r="B7166">
        <f>TEXT(7165, "[$-170000]yyyy-mm-dd")</f>
        <v/>
      </c>
      <c r="C7166">
        <f>TEXT(7165, "[$-060000]yyyy-mm-dd")</f>
        <v/>
      </c>
      <c r="D7166" t="inlineStr">
        <is>
          <t>1337-11-17</t>
        </is>
      </c>
    </row>
    <row r="7167">
      <c r="A7167" s="1" t="n">
        <v>7166</v>
      </c>
      <c r="B7167">
        <f>TEXT(7166, "[$-170000]yyyy-mm-dd")</f>
        <v/>
      </c>
      <c r="C7167">
        <f>TEXT(7166, "[$-060000]yyyy-mm-dd")</f>
        <v/>
      </c>
      <c r="D7167" t="inlineStr">
        <is>
          <t>1337-11-18</t>
        </is>
      </c>
    </row>
    <row r="7168">
      <c r="A7168" s="1" t="n">
        <v>7167</v>
      </c>
      <c r="B7168">
        <f>TEXT(7167, "[$-170000]yyyy-mm-dd")</f>
        <v/>
      </c>
      <c r="C7168">
        <f>TEXT(7167, "[$-060000]yyyy-mm-dd")</f>
        <v/>
      </c>
      <c r="D7168" t="inlineStr">
        <is>
          <t>1337-11-19</t>
        </is>
      </c>
    </row>
    <row r="7169">
      <c r="A7169" s="1" t="n">
        <v>7168</v>
      </c>
      <c r="B7169">
        <f>TEXT(7168, "[$-170000]yyyy-mm-dd")</f>
        <v/>
      </c>
      <c r="C7169">
        <f>TEXT(7168, "[$-060000]yyyy-mm-dd")</f>
        <v/>
      </c>
      <c r="D7169" t="inlineStr">
        <is>
          <t>1337-11-20</t>
        </is>
      </c>
    </row>
    <row r="7170">
      <c r="A7170" s="1" t="n">
        <v>7169</v>
      </c>
      <c r="B7170">
        <f>TEXT(7169, "[$-170000]yyyy-mm-dd")</f>
        <v/>
      </c>
      <c r="C7170">
        <f>TEXT(7169, "[$-060000]yyyy-mm-dd")</f>
        <v/>
      </c>
      <c r="D7170" t="inlineStr">
        <is>
          <t>1337-11-21</t>
        </is>
      </c>
    </row>
    <row r="7171">
      <c r="A7171" s="1" t="n">
        <v>7170</v>
      </c>
      <c r="B7171">
        <f>TEXT(7170, "[$-170000]yyyy-mm-dd")</f>
        <v/>
      </c>
      <c r="C7171">
        <f>TEXT(7170, "[$-060000]yyyy-mm-dd")</f>
        <v/>
      </c>
      <c r="D7171" t="inlineStr">
        <is>
          <t>1337-11-22</t>
        </is>
      </c>
    </row>
    <row r="7172">
      <c r="A7172" s="1" t="n">
        <v>7171</v>
      </c>
      <c r="B7172">
        <f>TEXT(7171, "[$-170000]yyyy-mm-dd")</f>
        <v/>
      </c>
      <c r="C7172">
        <f>TEXT(7171, "[$-060000]yyyy-mm-dd")</f>
        <v/>
      </c>
      <c r="D7172" t="inlineStr">
        <is>
          <t>1337-11-23</t>
        </is>
      </c>
    </row>
    <row r="7173">
      <c r="A7173" s="1" t="n">
        <v>7172</v>
      </c>
      <c r="B7173">
        <f>TEXT(7172, "[$-170000]yyyy-mm-dd")</f>
        <v/>
      </c>
      <c r="C7173">
        <f>TEXT(7172, "[$-060000]yyyy-mm-dd")</f>
        <v/>
      </c>
      <c r="D7173" t="inlineStr">
        <is>
          <t>1337-11-24</t>
        </is>
      </c>
    </row>
    <row r="7174">
      <c r="A7174" s="1" t="n">
        <v>7173</v>
      </c>
      <c r="B7174">
        <f>TEXT(7173, "[$-170000]yyyy-mm-dd")</f>
        <v/>
      </c>
      <c r="C7174">
        <f>TEXT(7173, "[$-060000]yyyy-mm-dd")</f>
        <v/>
      </c>
      <c r="D7174" t="inlineStr">
        <is>
          <t>1337-11-25</t>
        </is>
      </c>
    </row>
    <row r="7175">
      <c r="A7175" s="1" t="n">
        <v>7174</v>
      </c>
      <c r="B7175">
        <f>TEXT(7174, "[$-170000]yyyy-mm-dd")</f>
        <v/>
      </c>
      <c r="C7175">
        <f>TEXT(7174, "[$-060000]yyyy-mm-dd")</f>
        <v/>
      </c>
      <c r="D7175" t="inlineStr">
        <is>
          <t>1337-11-26</t>
        </is>
      </c>
    </row>
    <row r="7176">
      <c r="A7176" s="1" t="n">
        <v>7175</v>
      </c>
      <c r="B7176">
        <f>TEXT(7175, "[$-170000]yyyy-mm-dd")</f>
        <v/>
      </c>
      <c r="C7176">
        <f>TEXT(7175, "[$-060000]yyyy-mm-dd")</f>
        <v/>
      </c>
      <c r="D7176" t="inlineStr">
        <is>
          <t>1337-11-27</t>
        </is>
      </c>
    </row>
    <row r="7177">
      <c r="A7177" s="1" t="n">
        <v>7176</v>
      </c>
      <c r="B7177">
        <f>TEXT(7176, "[$-170000]yyyy-mm-dd")</f>
        <v/>
      </c>
      <c r="C7177">
        <f>TEXT(7176, "[$-060000]yyyy-mm-dd")</f>
        <v/>
      </c>
      <c r="D7177" t="inlineStr">
        <is>
          <t>1337-11-28</t>
        </is>
      </c>
    </row>
    <row r="7178">
      <c r="A7178" s="1" t="n">
        <v>7177</v>
      </c>
      <c r="B7178">
        <f>TEXT(7177, "[$-170000]yyyy-mm-dd")</f>
        <v/>
      </c>
      <c r="C7178">
        <f>TEXT(7177, "[$-060000]yyyy-mm-dd")</f>
        <v/>
      </c>
      <c r="D7178" t="inlineStr">
        <is>
          <t>1337-11-29</t>
        </is>
      </c>
    </row>
    <row r="7179">
      <c r="A7179" s="1" t="n">
        <v>7178</v>
      </c>
      <c r="B7179">
        <f>TEXT(7178, "[$-170000]yyyy-mm-dd")</f>
        <v/>
      </c>
      <c r="C7179">
        <f>TEXT(7178, "[$-060000]yyyy-mm-dd")</f>
        <v/>
      </c>
      <c r="D7179" t="inlineStr">
        <is>
          <t>1337-11-30</t>
        </is>
      </c>
    </row>
    <row r="7180">
      <c r="A7180" s="1" t="n">
        <v>7179</v>
      </c>
      <c r="B7180">
        <f>TEXT(7179, "[$-170000]yyyy-mm-dd")</f>
        <v/>
      </c>
      <c r="C7180">
        <f>TEXT(7179, "[$-060000]yyyy-mm-dd")</f>
        <v/>
      </c>
      <c r="D7180" t="inlineStr">
        <is>
          <t>1337-12-01</t>
        </is>
      </c>
    </row>
    <row r="7181">
      <c r="A7181" s="1" t="n">
        <v>7180</v>
      </c>
      <c r="B7181">
        <f>TEXT(7180, "[$-170000]yyyy-mm-dd")</f>
        <v/>
      </c>
      <c r="C7181">
        <f>TEXT(7180, "[$-060000]yyyy-mm-dd")</f>
        <v/>
      </c>
      <c r="D7181" t="inlineStr">
        <is>
          <t>1337-12-02</t>
        </is>
      </c>
    </row>
    <row r="7182">
      <c r="A7182" s="1" t="n">
        <v>7181</v>
      </c>
      <c r="B7182">
        <f>TEXT(7181, "[$-170000]yyyy-mm-dd")</f>
        <v/>
      </c>
      <c r="C7182">
        <f>TEXT(7181, "[$-060000]yyyy-mm-dd")</f>
        <v/>
      </c>
      <c r="D7182" t="inlineStr">
        <is>
          <t>1337-12-03</t>
        </is>
      </c>
    </row>
    <row r="7183">
      <c r="A7183" s="1" t="n">
        <v>7182</v>
      </c>
      <c r="B7183">
        <f>TEXT(7182, "[$-170000]yyyy-mm-dd")</f>
        <v/>
      </c>
      <c r="C7183">
        <f>TEXT(7182, "[$-060000]yyyy-mm-dd")</f>
        <v/>
      </c>
      <c r="D7183" t="inlineStr">
        <is>
          <t>1337-12-04</t>
        </is>
      </c>
    </row>
    <row r="7184">
      <c r="A7184" s="1" t="n">
        <v>7183</v>
      </c>
      <c r="B7184">
        <f>TEXT(7183, "[$-170000]yyyy-mm-dd")</f>
        <v/>
      </c>
      <c r="C7184">
        <f>TEXT(7183, "[$-060000]yyyy-mm-dd")</f>
        <v/>
      </c>
      <c r="D7184" t="inlineStr">
        <is>
          <t>1337-12-05</t>
        </is>
      </c>
    </row>
    <row r="7185">
      <c r="A7185" s="1" t="n">
        <v>7184</v>
      </c>
      <c r="B7185">
        <f>TEXT(7184, "[$-170000]yyyy-mm-dd")</f>
        <v/>
      </c>
      <c r="C7185">
        <f>TEXT(7184, "[$-060000]yyyy-mm-dd")</f>
        <v/>
      </c>
      <c r="D7185" t="inlineStr">
        <is>
          <t>1337-12-06</t>
        </is>
      </c>
    </row>
    <row r="7186">
      <c r="A7186" s="1" t="n">
        <v>7185</v>
      </c>
      <c r="B7186">
        <f>TEXT(7185, "[$-170000]yyyy-mm-dd")</f>
        <v/>
      </c>
      <c r="C7186">
        <f>TEXT(7185, "[$-060000]yyyy-mm-dd")</f>
        <v/>
      </c>
      <c r="D7186" t="inlineStr">
        <is>
          <t>1337-12-07</t>
        </is>
      </c>
    </row>
    <row r="7187">
      <c r="A7187" s="1" t="n">
        <v>7186</v>
      </c>
      <c r="B7187">
        <f>TEXT(7186, "[$-170000]yyyy-mm-dd")</f>
        <v/>
      </c>
      <c r="C7187">
        <f>TEXT(7186, "[$-060000]yyyy-mm-dd")</f>
        <v/>
      </c>
      <c r="D7187" t="inlineStr">
        <is>
          <t>1337-12-08</t>
        </is>
      </c>
    </row>
    <row r="7188">
      <c r="A7188" s="1" t="n">
        <v>7187</v>
      </c>
      <c r="B7188">
        <f>TEXT(7187, "[$-170000]yyyy-mm-dd")</f>
        <v/>
      </c>
      <c r="C7188">
        <f>TEXT(7187, "[$-060000]yyyy-mm-dd")</f>
        <v/>
      </c>
      <c r="D7188" t="inlineStr">
        <is>
          <t>1337-12-09</t>
        </is>
      </c>
    </row>
    <row r="7189">
      <c r="A7189" s="1" t="n">
        <v>7188</v>
      </c>
      <c r="B7189">
        <f>TEXT(7188, "[$-170000]yyyy-mm-dd")</f>
        <v/>
      </c>
      <c r="C7189">
        <f>TEXT(7188, "[$-060000]yyyy-mm-dd")</f>
        <v/>
      </c>
      <c r="D7189" t="inlineStr">
        <is>
          <t>1337-12-10</t>
        </is>
      </c>
    </row>
    <row r="7190">
      <c r="A7190" s="1" t="n">
        <v>7189</v>
      </c>
      <c r="B7190">
        <f>TEXT(7189, "[$-170000]yyyy-mm-dd")</f>
        <v/>
      </c>
      <c r="C7190">
        <f>TEXT(7189, "[$-060000]yyyy-mm-dd")</f>
        <v/>
      </c>
      <c r="D7190" t="inlineStr">
        <is>
          <t>1337-12-11</t>
        </is>
      </c>
    </row>
    <row r="7191">
      <c r="A7191" s="1" t="n">
        <v>7190</v>
      </c>
      <c r="B7191">
        <f>TEXT(7190, "[$-170000]yyyy-mm-dd")</f>
        <v/>
      </c>
      <c r="C7191">
        <f>TEXT(7190, "[$-060000]yyyy-mm-dd")</f>
        <v/>
      </c>
      <c r="D7191" t="inlineStr">
        <is>
          <t>1337-12-12</t>
        </is>
      </c>
    </row>
    <row r="7192">
      <c r="A7192" s="1" t="n">
        <v>7191</v>
      </c>
      <c r="B7192">
        <f>TEXT(7191, "[$-170000]yyyy-mm-dd")</f>
        <v/>
      </c>
      <c r="C7192">
        <f>TEXT(7191, "[$-060000]yyyy-mm-dd")</f>
        <v/>
      </c>
      <c r="D7192" t="inlineStr">
        <is>
          <t>1337-12-13</t>
        </is>
      </c>
    </row>
    <row r="7193">
      <c r="A7193" s="1" t="n">
        <v>7192</v>
      </c>
      <c r="B7193">
        <f>TEXT(7192, "[$-170000]yyyy-mm-dd")</f>
        <v/>
      </c>
      <c r="C7193">
        <f>TEXT(7192, "[$-060000]yyyy-mm-dd")</f>
        <v/>
      </c>
      <c r="D7193" t="inlineStr">
        <is>
          <t>1337-12-14</t>
        </is>
      </c>
    </row>
    <row r="7194">
      <c r="A7194" s="1" t="n">
        <v>7193</v>
      </c>
      <c r="B7194">
        <f>TEXT(7193, "[$-170000]yyyy-mm-dd")</f>
        <v/>
      </c>
      <c r="C7194">
        <f>TEXT(7193, "[$-060000]yyyy-mm-dd")</f>
        <v/>
      </c>
      <c r="D7194" t="inlineStr">
        <is>
          <t>1337-12-15</t>
        </is>
      </c>
    </row>
    <row r="7195">
      <c r="A7195" s="1" t="n">
        <v>7194</v>
      </c>
      <c r="B7195">
        <f>TEXT(7194, "[$-170000]yyyy-mm-dd")</f>
        <v/>
      </c>
      <c r="C7195">
        <f>TEXT(7194, "[$-060000]yyyy-mm-dd")</f>
        <v/>
      </c>
      <c r="D7195" t="inlineStr">
        <is>
          <t>1337-12-16</t>
        </is>
      </c>
    </row>
    <row r="7196">
      <c r="A7196" s="1" t="n">
        <v>7195</v>
      </c>
      <c r="B7196">
        <f>TEXT(7195, "[$-170000]yyyy-mm-dd")</f>
        <v/>
      </c>
      <c r="C7196">
        <f>TEXT(7195, "[$-060000]yyyy-mm-dd")</f>
        <v/>
      </c>
      <c r="D7196" t="inlineStr">
        <is>
          <t>1337-12-17</t>
        </is>
      </c>
    </row>
    <row r="7197">
      <c r="A7197" s="1" t="n">
        <v>7196</v>
      </c>
      <c r="B7197">
        <f>TEXT(7196, "[$-170000]yyyy-mm-dd")</f>
        <v/>
      </c>
      <c r="C7197">
        <f>TEXT(7196, "[$-060000]yyyy-mm-dd")</f>
        <v/>
      </c>
      <c r="D7197" t="inlineStr">
        <is>
          <t>1337-12-18</t>
        </is>
      </c>
    </row>
    <row r="7198">
      <c r="A7198" s="1" t="n">
        <v>7197</v>
      </c>
      <c r="B7198">
        <f>TEXT(7197, "[$-170000]yyyy-mm-dd")</f>
        <v/>
      </c>
      <c r="C7198">
        <f>TEXT(7197, "[$-060000]yyyy-mm-dd")</f>
        <v/>
      </c>
      <c r="D7198" t="inlineStr">
        <is>
          <t>1337-12-19</t>
        </is>
      </c>
    </row>
    <row r="7199">
      <c r="A7199" s="1" t="n">
        <v>7198</v>
      </c>
      <c r="B7199">
        <f>TEXT(7198, "[$-170000]yyyy-mm-dd")</f>
        <v/>
      </c>
      <c r="C7199">
        <f>TEXT(7198, "[$-060000]yyyy-mm-dd")</f>
        <v/>
      </c>
      <c r="D7199" t="inlineStr">
        <is>
          <t>1337-12-20</t>
        </is>
      </c>
    </row>
    <row r="7200">
      <c r="A7200" s="1" t="n">
        <v>7199</v>
      </c>
      <c r="B7200">
        <f>TEXT(7199, "[$-170000]yyyy-mm-dd")</f>
        <v/>
      </c>
      <c r="C7200">
        <f>TEXT(7199, "[$-060000]yyyy-mm-dd")</f>
        <v/>
      </c>
      <c r="D7200" t="inlineStr">
        <is>
          <t>1337-12-21</t>
        </is>
      </c>
    </row>
    <row r="7201">
      <c r="A7201" s="1" t="n">
        <v>7200</v>
      </c>
      <c r="B7201">
        <f>TEXT(7200, "[$-170000]yyyy-mm-dd")</f>
        <v/>
      </c>
      <c r="C7201">
        <f>TEXT(7200, "[$-060000]yyyy-mm-dd")</f>
        <v/>
      </c>
      <c r="D7201" t="inlineStr">
        <is>
          <t>1337-12-22</t>
        </is>
      </c>
    </row>
    <row r="7202">
      <c r="A7202" s="1" t="n">
        <v>7201</v>
      </c>
      <c r="B7202">
        <f>TEXT(7201, "[$-170000]yyyy-mm-dd")</f>
        <v/>
      </c>
      <c r="C7202">
        <f>TEXT(7201, "[$-060000]yyyy-mm-dd")</f>
        <v/>
      </c>
      <c r="D7202" t="inlineStr">
        <is>
          <t>1337-12-23</t>
        </is>
      </c>
    </row>
    <row r="7203">
      <c r="A7203" s="1" t="n">
        <v>7202</v>
      </c>
      <c r="B7203">
        <f>TEXT(7202, "[$-170000]yyyy-mm-dd")</f>
        <v/>
      </c>
      <c r="C7203">
        <f>TEXT(7202, "[$-060000]yyyy-mm-dd")</f>
        <v/>
      </c>
      <c r="D7203" t="inlineStr">
        <is>
          <t>1337-12-24</t>
        </is>
      </c>
    </row>
    <row r="7204">
      <c r="A7204" s="1" t="n">
        <v>7203</v>
      </c>
      <c r="B7204">
        <f>TEXT(7203, "[$-170000]yyyy-mm-dd")</f>
        <v/>
      </c>
      <c r="C7204">
        <f>TEXT(7203, "[$-060000]yyyy-mm-dd")</f>
        <v/>
      </c>
      <c r="D7204" t="inlineStr">
        <is>
          <t>1337-12-25</t>
        </is>
      </c>
    </row>
    <row r="7205">
      <c r="A7205" s="1" t="n">
        <v>7204</v>
      </c>
      <c r="B7205">
        <f>TEXT(7204, "[$-170000]yyyy-mm-dd")</f>
        <v/>
      </c>
      <c r="C7205">
        <f>TEXT(7204, "[$-060000]yyyy-mm-dd")</f>
        <v/>
      </c>
      <c r="D7205" t="inlineStr">
        <is>
          <t>1337-12-26</t>
        </is>
      </c>
    </row>
    <row r="7206">
      <c r="A7206" s="1" t="n">
        <v>7205</v>
      </c>
      <c r="B7206">
        <f>TEXT(7205, "[$-170000]yyyy-mm-dd")</f>
        <v/>
      </c>
      <c r="C7206">
        <f>TEXT(7205, "[$-060000]yyyy-mm-dd")</f>
        <v/>
      </c>
      <c r="D7206" t="inlineStr">
        <is>
          <t>1337-12-27</t>
        </is>
      </c>
    </row>
    <row r="7207">
      <c r="A7207" s="1" t="n">
        <v>7206</v>
      </c>
      <c r="B7207">
        <f>TEXT(7206, "[$-170000]yyyy-mm-dd")</f>
        <v/>
      </c>
      <c r="C7207">
        <f>TEXT(7206, "[$-060000]yyyy-mm-dd")</f>
        <v/>
      </c>
      <c r="D7207" t="inlineStr">
        <is>
          <t>1337-12-28</t>
        </is>
      </c>
    </row>
    <row r="7208">
      <c r="A7208" s="1" t="n">
        <v>7207</v>
      </c>
      <c r="B7208">
        <f>TEXT(7207, "[$-170000]yyyy-mm-dd")</f>
        <v/>
      </c>
      <c r="C7208">
        <f>TEXT(7207, "[$-060000]yyyy-mm-dd")</f>
        <v/>
      </c>
      <c r="D7208" t="inlineStr">
        <is>
          <t>1337-12-29</t>
        </is>
      </c>
    </row>
    <row r="7209">
      <c r="A7209" s="1" t="n">
        <v>7208</v>
      </c>
      <c r="B7209">
        <f>TEXT(7208, "[$-170000]yyyy-mm-dd")</f>
        <v/>
      </c>
      <c r="C7209">
        <f>TEXT(7208, "[$-060000]yyyy-mm-dd")</f>
        <v/>
      </c>
      <c r="D7209" t="inlineStr">
        <is>
          <t>1338-01-01</t>
        </is>
      </c>
    </row>
    <row r="7210">
      <c r="A7210" s="1" t="n">
        <v>7209</v>
      </c>
      <c r="B7210">
        <f>TEXT(7209, "[$-170000]yyyy-mm-dd")</f>
        <v/>
      </c>
      <c r="C7210">
        <f>TEXT(7209, "[$-060000]yyyy-mm-dd")</f>
        <v/>
      </c>
      <c r="D7210" t="inlineStr">
        <is>
          <t>1338-01-02</t>
        </is>
      </c>
    </row>
    <row r="7211">
      <c r="A7211" s="1" t="n">
        <v>7210</v>
      </c>
      <c r="B7211">
        <f>TEXT(7210, "[$-170000]yyyy-mm-dd")</f>
        <v/>
      </c>
      <c r="C7211">
        <f>TEXT(7210, "[$-060000]yyyy-mm-dd")</f>
        <v/>
      </c>
      <c r="D7211" t="inlineStr">
        <is>
          <t>1338-01-03</t>
        </is>
      </c>
    </row>
    <row r="7212">
      <c r="A7212" s="1" t="n">
        <v>7211</v>
      </c>
      <c r="B7212">
        <f>TEXT(7211, "[$-170000]yyyy-mm-dd")</f>
        <v/>
      </c>
      <c r="C7212">
        <f>TEXT(7211, "[$-060000]yyyy-mm-dd")</f>
        <v/>
      </c>
      <c r="D7212" t="inlineStr">
        <is>
          <t>1338-01-04</t>
        </is>
      </c>
    </row>
    <row r="7213">
      <c r="A7213" s="1" t="n">
        <v>7212</v>
      </c>
      <c r="B7213">
        <f>TEXT(7212, "[$-170000]yyyy-mm-dd")</f>
        <v/>
      </c>
      <c r="C7213">
        <f>TEXT(7212, "[$-060000]yyyy-mm-dd")</f>
        <v/>
      </c>
      <c r="D7213" t="inlineStr">
        <is>
          <t>1338-01-05</t>
        </is>
      </c>
    </row>
    <row r="7214">
      <c r="A7214" s="1" t="n">
        <v>7213</v>
      </c>
      <c r="B7214">
        <f>TEXT(7213, "[$-170000]yyyy-mm-dd")</f>
        <v/>
      </c>
      <c r="C7214">
        <f>TEXT(7213, "[$-060000]yyyy-mm-dd")</f>
        <v/>
      </c>
      <c r="D7214" t="inlineStr">
        <is>
          <t>1338-01-06</t>
        </is>
      </c>
    </row>
    <row r="7215">
      <c r="A7215" s="1" t="n">
        <v>7214</v>
      </c>
      <c r="B7215">
        <f>TEXT(7214, "[$-170000]yyyy-mm-dd")</f>
        <v/>
      </c>
      <c r="C7215">
        <f>TEXT(7214, "[$-060000]yyyy-mm-dd")</f>
        <v/>
      </c>
      <c r="D7215" t="inlineStr">
        <is>
          <t>1338-01-07</t>
        </is>
      </c>
    </row>
    <row r="7216">
      <c r="A7216" s="1" t="n">
        <v>7215</v>
      </c>
      <c r="B7216">
        <f>TEXT(7215, "[$-170000]yyyy-mm-dd")</f>
        <v/>
      </c>
      <c r="C7216">
        <f>TEXT(7215, "[$-060000]yyyy-mm-dd")</f>
        <v/>
      </c>
      <c r="D7216" t="inlineStr">
        <is>
          <t>1338-01-08</t>
        </is>
      </c>
    </row>
    <row r="7217">
      <c r="A7217" s="1" t="n">
        <v>7216</v>
      </c>
      <c r="B7217">
        <f>TEXT(7216, "[$-170000]yyyy-mm-dd")</f>
        <v/>
      </c>
      <c r="C7217">
        <f>TEXT(7216, "[$-060000]yyyy-mm-dd")</f>
        <v/>
      </c>
      <c r="D7217" t="inlineStr">
        <is>
          <t>1338-01-09</t>
        </is>
      </c>
    </row>
    <row r="7218">
      <c r="A7218" s="1" t="n">
        <v>7217</v>
      </c>
      <c r="B7218">
        <f>TEXT(7217, "[$-170000]yyyy-mm-dd")</f>
        <v/>
      </c>
      <c r="C7218">
        <f>TEXT(7217, "[$-060000]yyyy-mm-dd")</f>
        <v/>
      </c>
      <c r="D7218" t="inlineStr">
        <is>
          <t>1338-01-10</t>
        </is>
      </c>
    </row>
    <row r="7219">
      <c r="A7219" s="1" t="n">
        <v>7218</v>
      </c>
      <c r="B7219">
        <f>TEXT(7218, "[$-170000]yyyy-mm-dd")</f>
        <v/>
      </c>
      <c r="C7219">
        <f>TEXT(7218, "[$-060000]yyyy-mm-dd")</f>
        <v/>
      </c>
      <c r="D7219" t="inlineStr">
        <is>
          <t>1338-01-11</t>
        </is>
      </c>
    </row>
    <row r="7220">
      <c r="A7220" s="1" t="n">
        <v>7219</v>
      </c>
      <c r="B7220">
        <f>TEXT(7219, "[$-170000]yyyy-mm-dd")</f>
        <v/>
      </c>
      <c r="C7220">
        <f>TEXT(7219, "[$-060000]yyyy-mm-dd")</f>
        <v/>
      </c>
      <c r="D7220" t="inlineStr">
        <is>
          <t>1338-01-12</t>
        </is>
      </c>
    </row>
    <row r="7221">
      <c r="A7221" s="1" t="n">
        <v>7220</v>
      </c>
      <c r="B7221">
        <f>TEXT(7220, "[$-170000]yyyy-mm-dd")</f>
        <v/>
      </c>
      <c r="C7221">
        <f>TEXT(7220, "[$-060000]yyyy-mm-dd")</f>
        <v/>
      </c>
      <c r="D7221" t="inlineStr">
        <is>
          <t>1338-01-13</t>
        </is>
      </c>
    </row>
    <row r="7222">
      <c r="A7222" s="1" t="n">
        <v>7221</v>
      </c>
      <c r="B7222">
        <f>TEXT(7221, "[$-170000]yyyy-mm-dd")</f>
        <v/>
      </c>
      <c r="C7222">
        <f>TEXT(7221, "[$-060000]yyyy-mm-dd")</f>
        <v/>
      </c>
      <c r="D7222" t="inlineStr">
        <is>
          <t>1338-01-14</t>
        </is>
      </c>
    </row>
    <row r="7223">
      <c r="A7223" s="1" t="n">
        <v>7222</v>
      </c>
      <c r="B7223">
        <f>TEXT(7222, "[$-170000]yyyy-mm-dd")</f>
        <v/>
      </c>
      <c r="C7223">
        <f>TEXT(7222, "[$-060000]yyyy-mm-dd")</f>
        <v/>
      </c>
      <c r="D7223" t="inlineStr">
        <is>
          <t>1338-01-15</t>
        </is>
      </c>
    </row>
    <row r="7224">
      <c r="A7224" s="1" t="n">
        <v>7223</v>
      </c>
      <c r="B7224">
        <f>TEXT(7223, "[$-170000]yyyy-mm-dd")</f>
        <v/>
      </c>
      <c r="C7224">
        <f>TEXT(7223, "[$-060000]yyyy-mm-dd")</f>
        <v/>
      </c>
      <c r="D7224" t="inlineStr">
        <is>
          <t>1338-01-16</t>
        </is>
      </c>
    </row>
    <row r="7225">
      <c r="A7225" s="1" t="n">
        <v>7224</v>
      </c>
      <c r="B7225">
        <f>TEXT(7224, "[$-170000]yyyy-mm-dd")</f>
        <v/>
      </c>
      <c r="C7225">
        <f>TEXT(7224, "[$-060000]yyyy-mm-dd")</f>
        <v/>
      </c>
      <c r="D7225" t="inlineStr">
        <is>
          <t>1338-01-17</t>
        </is>
      </c>
    </row>
    <row r="7226">
      <c r="A7226" s="1" t="n">
        <v>7225</v>
      </c>
      <c r="B7226">
        <f>TEXT(7225, "[$-170000]yyyy-mm-dd")</f>
        <v/>
      </c>
      <c r="C7226">
        <f>TEXT(7225, "[$-060000]yyyy-mm-dd")</f>
        <v/>
      </c>
      <c r="D7226" t="inlineStr">
        <is>
          <t>1338-01-18</t>
        </is>
      </c>
    </row>
    <row r="7227">
      <c r="A7227" s="1" t="n">
        <v>7226</v>
      </c>
      <c r="B7227">
        <f>TEXT(7226, "[$-170000]yyyy-mm-dd")</f>
        <v/>
      </c>
      <c r="C7227">
        <f>TEXT(7226, "[$-060000]yyyy-mm-dd")</f>
        <v/>
      </c>
      <c r="D7227" t="inlineStr">
        <is>
          <t>1338-01-19</t>
        </is>
      </c>
    </row>
    <row r="7228">
      <c r="A7228" s="1" t="n">
        <v>7227</v>
      </c>
      <c r="B7228">
        <f>TEXT(7227, "[$-170000]yyyy-mm-dd")</f>
        <v/>
      </c>
      <c r="C7228">
        <f>TEXT(7227, "[$-060000]yyyy-mm-dd")</f>
        <v/>
      </c>
      <c r="D7228" t="inlineStr">
        <is>
          <t>1338-01-20</t>
        </is>
      </c>
    </row>
    <row r="7229">
      <c r="A7229" s="1" t="n">
        <v>7228</v>
      </c>
      <c r="B7229">
        <f>TEXT(7228, "[$-170000]yyyy-mm-dd")</f>
        <v/>
      </c>
      <c r="C7229">
        <f>TEXT(7228, "[$-060000]yyyy-mm-dd")</f>
        <v/>
      </c>
      <c r="D7229" t="inlineStr">
        <is>
          <t>1338-01-21</t>
        </is>
      </c>
    </row>
    <row r="7230">
      <c r="A7230" s="1" t="n">
        <v>7229</v>
      </c>
      <c r="B7230">
        <f>TEXT(7229, "[$-170000]yyyy-mm-dd")</f>
        <v/>
      </c>
      <c r="C7230">
        <f>TEXT(7229, "[$-060000]yyyy-mm-dd")</f>
        <v/>
      </c>
      <c r="D7230" t="inlineStr">
        <is>
          <t>1338-01-22</t>
        </is>
      </c>
    </row>
    <row r="7231">
      <c r="A7231" s="1" t="n">
        <v>7230</v>
      </c>
      <c r="B7231">
        <f>TEXT(7230, "[$-170000]yyyy-mm-dd")</f>
        <v/>
      </c>
      <c r="C7231">
        <f>TEXT(7230, "[$-060000]yyyy-mm-dd")</f>
        <v/>
      </c>
      <c r="D7231" t="inlineStr">
        <is>
          <t>1338-01-23</t>
        </is>
      </c>
    </row>
    <row r="7232">
      <c r="A7232" s="1" t="n">
        <v>7231</v>
      </c>
      <c r="B7232">
        <f>TEXT(7231, "[$-170000]yyyy-mm-dd")</f>
        <v/>
      </c>
      <c r="C7232">
        <f>TEXT(7231, "[$-060000]yyyy-mm-dd")</f>
        <v/>
      </c>
      <c r="D7232" t="inlineStr">
        <is>
          <t>1338-01-24</t>
        </is>
      </c>
    </row>
    <row r="7233">
      <c r="A7233" s="1" t="n">
        <v>7232</v>
      </c>
      <c r="B7233">
        <f>TEXT(7232, "[$-170000]yyyy-mm-dd")</f>
        <v/>
      </c>
      <c r="C7233">
        <f>TEXT(7232, "[$-060000]yyyy-mm-dd")</f>
        <v/>
      </c>
      <c r="D7233" t="inlineStr">
        <is>
          <t>1338-01-25</t>
        </is>
      </c>
    </row>
    <row r="7234">
      <c r="A7234" s="1" t="n">
        <v>7233</v>
      </c>
      <c r="B7234">
        <f>TEXT(7233, "[$-170000]yyyy-mm-dd")</f>
        <v/>
      </c>
      <c r="C7234">
        <f>TEXT(7233, "[$-060000]yyyy-mm-dd")</f>
        <v/>
      </c>
      <c r="D7234" t="inlineStr">
        <is>
          <t>1338-01-26</t>
        </is>
      </c>
    </row>
    <row r="7235">
      <c r="A7235" s="1" t="n">
        <v>7234</v>
      </c>
      <c r="B7235">
        <f>TEXT(7234, "[$-170000]yyyy-mm-dd")</f>
        <v/>
      </c>
      <c r="C7235">
        <f>TEXT(7234, "[$-060000]yyyy-mm-dd")</f>
        <v/>
      </c>
      <c r="D7235" t="inlineStr">
        <is>
          <t>1338-01-27</t>
        </is>
      </c>
    </row>
    <row r="7236">
      <c r="A7236" s="1" t="n">
        <v>7235</v>
      </c>
      <c r="B7236">
        <f>TEXT(7235, "[$-170000]yyyy-mm-dd")</f>
        <v/>
      </c>
      <c r="C7236">
        <f>TEXT(7235, "[$-060000]yyyy-mm-dd")</f>
        <v/>
      </c>
      <c r="D7236" t="inlineStr">
        <is>
          <t>1338-01-28</t>
        </is>
      </c>
    </row>
    <row r="7237">
      <c r="A7237" s="1" t="n">
        <v>7236</v>
      </c>
      <c r="B7237">
        <f>TEXT(7236, "[$-170000]yyyy-mm-dd")</f>
        <v/>
      </c>
      <c r="C7237">
        <f>TEXT(7236, "[$-060000]yyyy-mm-dd")</f>
        <v/>
      </c>
      <c r="D7237" t="inlineStr">
        <is>
          <t>1338-01-29</t>
        </is>
      </c>
    </row>
    <row r="7238">
      <c r="A7238" s="1" t="n">
        <v>7237</v>
      </c>
      <c r="B7238">
        <f>TEXT(7237, "[$-170000]yyyy-mm-dd")</f>
        <v/>
      </c>
      <c r="C7238">
        <f>TEXT(7237, "[$-060000]yyyy-mm-dd")</f>
        <v/>
      </c>
      <c r="D7238" t="inlineStr">
        <is>
          <t>1338-01-30</t>
        </is>
      </c>
    </row>
    <row r="7239">
      <c r="A7239" s="1" t="n">
        <v>7238</v>
      </c>
      <c r="B7239">
        <f>TEXT(7238, "[$-170000]yyyy-mm-dd")</f>
        <v/>
      </c>
      <c r="C7239">
        <f>TEXT(7238, "[$-060000]yyyy-mm-dd")</f>
        <v/>
      </c>
      <c r="D7239" t="inlineStr">
        <is>
          <t>1338-02-01</t>
        </is>
      </c>
    </row>
    <row r="7240">
      <c r="A7240" s="1" t="n">
        <v>7239</v>
      </c>
      <c r="B7240">
        <f>TEXT(7239, "[$-170000]yyyy-mm-dd")</f>
        <v/>
      </c>
      <c r="C7240">
        <f>TEXT(7239, "[$-060000]yyyy-mm-dd")</f>
        <v/>
      </c>
      <c r="D7240" t="inlineStr">
        <is>
          <t>1338-02-02</t>
        </is>
      </c>
    </row>
    <row r="7241">
      <c r="A7241" s="1" t="n">
        <v>7240</v>
      </c>
      <c r="B7241">
        <f>TEXT(7240, "[$-170000]yyyy-mm-dd")</f>
        <v/>
      </c>
      <c r="C7241">
        <f>TEXT(7240, "[$-060000]yyyy-mm-dd")</f>
        <v/>
      </c>
      <c r="D7241" t="inlineStr">
        <is>
          <t>1338-02-03</t>
        </is>
      </c>
    </row>
    <row r="7242">
      <c r="A7242" s="1" t="n">
        <v>7241</v>
      </c>
      <c r="B7242">
        <f>TEXT(7241, "[$-170000]yyyy-mm-dd")</f>
        <v/>
      </c>
      <c r="C7242">
        <f>TEXT(7241, "[$-060000]yyyy-mm-dd")</f>
        <v/>
      </c>
      <c r="D7242" t="inlineStr">
        <is>
          <t>1338-02-04</t>
        </is>
      </c>
    </row>
    <row r="7243">
      <c r="A7243" s="1" t="n">
        <v>7242</v>
      </c>
      <c r="B7243">
        <f>TEXT(7242, "[$-170000]yyyy-mm-dd")</f>
        <v/>
      </c>
      <c r="C7243">
        <f>TEXT(7242, "[$-060000]yyyy-mm-dd")</f>
        <v/>
      </c>
      <c r="D7243" t="inlineStr">
        <is>
          <t>1338-02-05</t>
        </is>
      </c>
    </row>
    <row r="7244">
      <c r="A7244" s="1" t="n">
        <v>7243</v>
      </c>
      <c r="B7244">
        <f>TEXT(7243, "[$-170000]yyyy-mm-dd")</f>
        <v/>
      </c>
      <c r="C7244">
        <f>TEXT(7243, "[$-060000]yyyy-mm-dd")</f>
        <v/>
      </c>
      <c r="D7244" t="inlineStr">
        <is>
          <t>1338-02-06</t>
        </is>
      </c>
    </row>
    <row r="7245">
      <c r="A7245" s="1" t="n">
        <v>7244</v>
      </c>
      <c r="B7245">
        <f>TEXT(7244, "[$-170000]yyyy-mm-dd")</f>
        <v/>
      </c>
      <c r="C7245">
        <f>TEXT(7244, "[$-060000]yyyy-mm-dd")</f>
        <v/>
      </c>
      <c r="D7245" t="inlineStr">
        <is>
          <t>1338-02-07</t>
        </is>
      </c>
    </row>
    <row r="7246">
      <c r="A7246" s="1" t="n">
        <v>7245</v>
      </c>
      <c r="B7246">
        <f>TEXT(7245, "[$-170000]yyyy-mm-dd")</f>
        <v/>
      </c>
      <c r="C7246">
        <f>TEXT(7245, "[$-060000]yyyy-mm-dd")</f>
        <v/>
      </c>
      <c r="D7246" t="inlineStr">
        <is>
          <t>1338-02-08</t>
        </is>
      </c>
    </row>
    <row r="7247">
      <c r="A7247" s="1" t="n">
        <v>7246</v>
      </c>
      <c r="B7247">
        <f>TEXT(7246, "[$-170000]yyyy-mm-dd")</f>
        <v/>
      </c>
      <c r="C7247">
        <f>TEXT(7246, "[$-060000]yyyy-mm-dd")</f>
        <v/>
      </c>
      <c r="D7247" t="inlineStr">
        <is>
          <t>1338-02-09</t>
        </is>
      </c>
    </row>
    <row r="7248">
      <c r="A7248" s="1" t="n">
        <v>7247</v>
      </c>
      <c r="B7248">
        <f>TEXT(7247, "[$-170000]yyyy-mm-dd")</f>
        <v/>
      </c>
      <c r="C7248">
        <f>TEXT(7247, "[$-060000]yyyy-mm-dd")</f>
        <v/>
      </c>
      <c r="D7248" t="inlineStr">
        <is>
          <t>1338-02-10</t>
        </is>
      </c>
    </row>
    <row r="7249">
      <c r="A7249" s="1" t="n">
        <v>7248</v>
      </c>
      <c r="B7249">
        <f>TEXT(7248, "[$-170000]yyyy-mm-dd")</f>
        <v/>
      </c>
      <c r="C7249">
        <f>TEXT(7248, "[$-060000]yyyy-mm-dd")</f>
        <v/>
      </c>
      <c r="D7249" t="inlineStr">
        <is>
          <t>1338-02-11</t>
        </is>
      </c>
    </row>
    <row r="7250">
      <c r="A7250" s="1" t="n">
        <v>7249</v>
      </c>
      <c r="B7250">
        <f>TEXT(7249, "[$-170000]yyyy-mm-dd")</f>
        <v/>
      </c>
      <c r="C7250">
        <f>TEXT(7249, "[$-060000]yyyy-mm-dd")</f>
        <v/>
      </c>
      <c r="D7250" t="inlineStr">
        <is>
          <t>1338-02-12</t>
        </is>
      </c>
    </row>
    <row r="7251">
      <c r="A7251" s="1" t="n">
        <v>7250</v>
      </c>
      <c r="B7251">
        <f>TEXT(7250, "[$-170000]yyyy-mm-dd")</f>
        <v/>
      </c>
      <c r="C7251">
        <f>TEXT(7250, "[$-060000]yyyy-mm-dd")</f>
        <v/>
      </c>
      <c r="D7251" t="inlineStr">
        <is>
          <t>1338-02-13</t>
        </is>
      </c>
    </row>
    <row r="7252">
      <c r="A7252" s="1" t="n">
        <v>7251</v>
      </c>
      <c r="B7252">
        <f>TEXT(7251, "[$-170000]yyyy-mm-dd")</f>
        <v/>
      </c>
      <c r="C7252">
        <f>TEXT(7251, "[$-060000]yyyy-mm-dd")</f>
        <v/>
      </c>
      <c r="D7252" t="inlineStr">
        <is>
          <t>1338-02-14</t>
        </is>
      </c>
    </row>
    <row r="7253">
      <c r="A7253" s="1" t="n">
        <v>7252</v>
      </c>
      <c r="B7253">
        <f>TEXT(7252, "[$-170000]yyyy-mm-dd")</f>
        <v/>
      </c>
      <c r="C7253">
        <f>TEXT(7252, "[$-060000]yyyy-mm-dd")</f>
        <v/>
      </c>
      <c r="D7253" t="inlineStr">
        <is>
          <t>1338-02-15</t>
        </is>
      </c>
    </row>
    <row r="7254">
      <c r="A7254" s="1" t="n">
        <v>7253</v>
      </c>
      <c r="B7254">
        <f>TEXT(7253, "[$-170000]yyyy-mm-dd")</f>
        <v/>
      </c>
      <c r="C7254">
        <f>TEXT(7253, "[$-060000]yyyy-mm-dd")</f>
        <v/>
      </c>
      <c r="D7254" t="inlineStr">
        <is>
          <t>1338-02-16</t>
        </is>
      </c>
    </row>
    <row r="7255">
      <c r="A7255" s="1" t="n">
        <v>7254</v>
      </c>
      <c r="B7255">
        <f>TEXT(7254, "[$-170000]yyyy-mm-dd")</f>
        <v/>
      </c>
      <c r="C7255">
        <f>TEXT(7254, "[$-060000]yyyy-mm-dd")</f>
        <v/>
      </c>
      <c r="D7255" t="inlineStr">
        <is>
          <t>1338-02-17</t>
        </is>
      </c>
    </row>
    <row r="7256">
      <c r="A7256" s="1" t="n">
        <v>7255</v>
      </c>
      <c r="B7256">
        <f>TEXT(7255, "[$-170000]yyyy-mm-dd")</f>
        <v/>
      </c>
      <c r="C7256">
        <f>TEXT(7255, "[$-060000]yyyy-mm-dd")</f>
        <v/>
      </c>
      <c r="D7256" t="inlineStr">
        <is>
          <t>1338-02-18</t>
        </is>
      </c>
    </row>
    <row r="7257">
      <c r="A7257" s="1" t="n">
        <v>7256</v>
      </c>
      <c r="B7257">
        <f>TEXT(7256, "[$-170000]yyyy-mm-dd")</f>
        <v/>
      </c>
      <c r="C7257">
        <f>TEXT(7256, "[$-060000]yyyy-mm-dd")</f>
        <v/>
      </c>
      <c r="D7257" t="inlineStr">
        <is>
          <t>1338-02-19</t>
        </is>
      </c>
    </row>
    <row r="7258">
      <c r="A7258" s="1" t="n">
        <v>7257</v>
      </c>
      <c r="B7258">
        <f>TEXT(7257, "[$-170000]yyyy-mm-dd")</f>
        <v/>
      </c>
      <c r="C7258">
        <f>TEXT(7257, "[$-060000]yyyy-mm-dd")</f>
        <v/>
      </c>
      <c r="D7258" t="inlineStr">
        <is>
          <t>1338-02-20</t>
        </is>
      </c>
    </row>
    <row r="7259">
      <c r="A7259" s="1" t="n">
        <v>7258</v>
      </c>
      <c r="B7259">
        <f>TEXT(7258, "[$-170000]yyyy-mm-dd")</f>
        <v/>
      </c>
      <c r="C7259">
        <f>TEXT(7258, "[$-060000]yyyy-mm-dd")</f>
        <v/>
      </c>
      <c r="D7259" t="inlineStr">
        <is>
          <t>1338-02-21</t>
        </is>
      </c>
    </row>
    <row r="7260">
      <c r="A7260" s="1" t="n">
        <v>7259</v>
      </c>
      <c r="B7260">
        <f>TEXT(7259, "[$-170000]yyyy-mm-dd")</f>
        <v/>
      </c>
      <c r="C7260">
        <f>TEXT(7259, "[$-060000]yyyy-mm-dd")</f>
        <v/>
      </c>
      <c r="D7260" t="inlineStr">
        <is>
          <t>1338-02-22</t>
        </is>
      </c>
    </row>
    <row r="7261">
      <c r="A7261" s="1" t="n">
        <v>7260</v>
      </c>
      <c r="B7261">
        <f>TEXT(7260, "[$-170000]yyyy-mm-dd")</f>
        <v/>
      </c>
      <c r="C7261">
        <f>TEXT(7260, "[$-060000]yyyy-mm-dd")</f>
        <v/>
      </c>
      <c r="D7261" t="inlineStr">
        <is>
          <t>1338-02-23</t>
        </is>
      </c>
    </row>
    <row r="7262">
      <c r="A7262" s="1" t="n">
        <v>7261</v>
      </c>
      <c r="B7262">
        <f>TEXT(7261, "[$-170000]yyyy-mm-dd")</f>
        <v/>
      </c>
      <c r="C7262">
        <f>TEXT(7261, "[$-060000]yyyy-mm-dd")</f>
        <v/>
      </c>
      <c r="D7262" t="inlineStr">
        <is>
          <t>1338-02-24</t>
        </is>
      </c>
    </row>
    <row r="7263">
      <c r="A7263" s="1" t="n">
        <v>7262</v>
      </c>
      <c r="B7263">
        <f>TEXT(7262, "[$-170000]yyyy-mm-dd")</f>
        <v/>
      </c>
      <c r="C7263">
        <f>TEXT(7262, "[$-060000]yyyy-mm-dd")</f>
        <v/>
      </c>
      <c r="D7263" t="inlineStr">
        <is>
          <t>1338-02-25</t>
        </is>
      </c>
    </row>
    <row r="7264">
      <c r="A7264" s="1" t="n">
        <v>7263</v>
      </c>
      <c r="B7264">
        <f>TEXT(7263, "[$-170000]yyyy-mm-dd")</f>
        <v/>
      </c>
      <c r="C7264">
        <f>TEXT(7263, "[$-060000]yyyy-mm-dd")</f>
        <v/>
      </c>
      <c r="D7264" t="inlineStr">
        <is>
          <t>1338-02-26</t>
        </is>
      </c>
    </row>
    <row r="7265">
      <c r="A7265" s="1" t="n">
        <v>7264</v>
      </c>
      <c r="B7265">
        <f>TEXT(7264, "[$-170000]yyyy-mm-dd")</f>
        <v/>
      </c>
      <c r="C7265">
        <f>TEXT(7264, "[$-060000]yyyy-mm-dd")</f>
        <v/>
      </c>
      <c r="D7265" t="inlineStr">
        <is>
          <t>1338-02-27</t>
        </is>
      </c>
    </row>
    <row r="7266">
      <c r="A7266" s="1" t="n">
        <v>7265</v>
      </c>
      <c r="B7266">
        <f>TEXT(7265, "[$-170000]yyyy-mm-dd")</f>
        <v/>
      </c>
      <c r="C7266">
        <f>TEXT(7265, "[$-060000]yyyy-mm-dd")</f>
        <v/>
      </c>
      <c r="D7266" t="inlineStr">
        <is>
          <t>1338-02-28</t>
        </is>
      </c>
    </row>
    <row r="7267">
      <c r="A7267" s="1" t="n">
        <v>7266</v>
      </c>
      <c r="B7267">
        <f>TEXT(7266, "[$-170000]yyyy-mm-dd")</f>
        <v/>
      </c>
      <c r="C7267">
        <f>TEXT(7266, "[$-060000]yyyy-mm-dd")</f>
        <v/>
      </c>
      <c r="D7267" t="inlineStr">
        <is>
          <t>1338-02-29</t>
        </is>
      </c>
    </row>
    <row r="7268">
      <c r="A7268" s="1" t="n">
        <v>7267</v>
      </c>
      <c r="B7268">
        <f>TEXT(7267, "[$-170000]yyyy-mm-dd")</f>
        <v/>
      </c>
      <c r="C7268">
        <f>TEXT(7267, "[$-060000]yyyy-mm-dd")</f>
        <v/>
      </c>
      <c r="D7268" t="inlineStr">
        <is>
          <t>1338-03-01</t>
        </is>
      </c>
    </row>
    <row r="7269">
      <c r="A7269" s="1" t="n">
        <v>7268</v>
      </c>
      <c r="B7269">
        <f>TEXT(7268, "[$-170000]yyyy-mm-dd")</f>
        <v/>
      </c>
      <c r="C7269">
        <f>TEXT(7268, "[$-060000]yyyy-mm-dd")</f>
        <v/>
      </c>
      <c r="D7269" t="inlineStr">
        <is>
          <t>1338-03-02</t>
        </is>
      </c>
    </row>
    <row r="7270">
      <c r="A7270" s="1" t="n">
        <v>7269</v>
      </c>
      <c r="B7270">
        <f>TEXT(7269, "[$-170000]yyyy-mm-dd")</f>
        <v/>
      </c>
      <c r="C7270">
        <f>TEXT(7269, "[$-060000]yyyy-mm-dd")</f>
        <v/>
      </c>
      <c r="D7270" t="inlineStr">
        <is>
          <t>1338-03-03</t>
        </is>
      </c>
    </row>
    <row r="7271">
      <c r="A7271" s="1" t="n">
        <v>7270</v>
      </c>
      <c r="B7271">
        <f>TEXT(7270, "[$-170000]yyyy-mm-dd")</f>
        <v/>
      </c>
      <c r="C7271">
        <f>TEXT(7270, "[$-060000]yyyy-mm-dd")</f>
        <v/>
      </c>
      <c r="D7271" t="inlineStr">
        <is>
          <t>1338-03-04</t>
        </is>
      </c>
    </row>
    <row r="7272">
      <c r="A7272" s="1" t="n">
        <v>7271</v>
      </c>
      <c r="B7272">
        <f>TEXT(7271, "[$-170000]yyyy-mm-dd")</f>
        <v/>
      </c>
      <c r="C7272">
        <f>TEXT(7271, "[$-060000]yyyy-mm-dd")</f>
        <v/>
      </c>
      <c r="D7272" t="inlineStr">
        <is>
          <t>1338-03-05</t>
        </is>
      </c>
    </row>
    <row r="7273">
      <c r="A7273" s="1" t="n">
        <v>7272</v>
      </c>
      <c r="B7273">
        <f>TEXT(7272, "[$-170000]yyyy-mm-dd")</f>
        <v/>
      </c>
      <c r="C7273">
        <f>TEXT(7272, "[$-060000]yyyy-mm-dd")</f>
        <v/>
      </c>
      <c r="D7273" t="inlineStr">
        <is>
          <t>1338-03-06</t>
        </is>
      </c>
    </row>
    <row r="7274">
      <c r="A7274" s="1" t="n">
        <v>7273</v>
      </c>
      <c r="B7274">
        <f>TEXT(7273, "[$-170000]yyyy-mm-dd")</f>
        <v/>
      </c>
      <c r="C7274">
        <f>TEXT(7273, "[$-060000]yyyy-mm-dd")</f>
        <v/>
      </c>
      <c r="D7274" t="inlineStr">
        <is>
          <t>1338-03-07</t>
        </is>
      </c>
    </row>
    <row r="7275">
      <c r="A7275" s="1" t="n">
        <v>7274</v>
      </c>
      <c r="B7275">
        <f>TEXT(7274, "[$-170000]yyyy-mm-dd")</f>
        <v/>
      </c>
      <c r="C7275">
        <f>TEXT(7274, "[$-060000]yyyy-mm-dd")</f>
        <v/>
      </c>
      <c r="D7275" t="inlineStr">
        <is>
          <t>1338-03-08</t>
        </is>
      </c>
    </row>
    <row r="7276">
      <c r="A7276" s="1" t="n">
        <v>7275</v>
      </c>
      <c r="B7276">
        <f>TEXT(7275, "[$-170000]yyyy-mm-dd")</f>
        <v/>
      </c>
      <c r="C7276">
        <f>TEXT(7275, "[$-060000]yyyy-mm-dd")</f>
        <v/>
      </c>
      <c r="D7276" t="inlineStr">
        <is>
          <t>1338-03-09</t>
        </is>
      </c>
    </row>
    <row r="7277">
      <c r="A7277" s="1" t="n">
        <v>7276</v>
      </c>
      <c r="B7277">
        <f>TEXT(7276, "[$-170000]yyyy-mm-dd")</f>
        <v/>
      </c>
      <c r="C7277">
        <f>TEXT(7276, "[$-060000]yyyy-mm-dd")</f>
        <v/>
      </c>
      <c r="D7277" t="inlineStr">
        <is>
          <t>1338-03-10</t>
        </is>
      </c>
    </row>
    <row r="7278">
      <c r="A7278" s="1" t="n">
        <v>7277</v>
      </c>
      <c r="B7278">
        <f>TEXT(7277, "[$-170000]yyyy-mm-dd")</f>
        <v/>
      </c>
      <c r="C7278">
        <f>TEXT(7277, "[$-060000]yyyy-mm-dd")</f>
        <v/>
      </c>
      <c r="D7278" t="inlineStr">
        <is>
          <t>1338-03-11</t>
        </is>
      </c>
    </row>
    <row r="7279">
      <c r="A7279" s="1" t="n">
        <v>7278</v>
      </c>
      <c r="B7279">
        <f>TEXT(7278, "[$-170000]yyyy-mm-dd")</f>
        <v/>
      </c>
      <c r="C7279">
        <f>TEXT(7278, "[$-060000]yyyy-mm-dd")</f>
        <v/>
      </c>
      <c r="D7279" t="inlineStr">
        <is>
          <t>1338-03-12</t>
        </is>
      </c>
    </row>
    <row r="7280">
      <c r="A7280" s="1" t="n">
        <v>7279</v>
      </c>
      <c r="B7280">
        <f>TEXT(7279, "[$-170000]yyyy-mm-dd")</f>
        <v/>
      </c>
      <c r="C7280">
        <f>TEXT(7279, "[$-060000]yyyy-mm-dd")</f>
        <v/>
      </c>
      <c r="D7280" t="inlineStr">
        <is>
          <t>1338-03-13</t>
        </is>
      </c>
    </row>
    <row r="7281">
      <c r="A7281" s="1" t="n">
        <v>7280</v>
      </c>
      <c r="B7281">
        <f>TEXT(7280, "[$-170000]yyyy-mm-dd")</f>
        <v/>
      </c>
      <c r="C7281">
        <f>TEXT(7280, "[$-060000]yyyy-mm-dd")</f>
        <v/>
      </c>
      <c r="D7281" t="inlineStr">
        <is>
          <t>1338-03-14</t>
        </is>
      </c>
    </row>
    <row r="7282">
      <c r="A7282" s="1" t="n">
        <v>7281</v>
      </c>
      <c r="B7282">
        <f>TEXT(7281, "[$-170000]yyyy-mm-dd")</f>
        <v/>
      </c>
      <c r="C7282">
        <f>TEXT(7281, "[$-060000]yyyy-mm-dd")</f>
        <v/>
      </c>
      <c r="D7282" t="inlineStr">
        <is>
          <t>1338-03-15</t>
        </is>
      </c>
    </row>
    <row r="7283">
      <c r="A7283" s="1" t="n">
        <v>7282</v>
      </c>
      <c r="B7283">
        <f>TEXT(7282, "[$-170000]yyyy-mm-dd")</f>
        <v/>
      </c>
      <c r="C7283">
        <f>TEXT(7282, "[$-060000]yyyy-mm-dd")</f>
        <v/>
      </c>
      <c r="D7283" t="inlineStr">
        <is>
          <t>1338-03-16</t>
        </is>
      </c>
    </row>
    <row r="7284">
      <c r="A7284" s="1" t="n">
        <v>7283</v>
      </c>
      <c r="B7284">
        <f>TEXT(7283, "[$-170000]yyyy-mm-dd")</f>
        <v/>
      </c>
      <c r="C7284">
        <f>TEXT(7283, "[$-060000]yyyy-mm-dd")</f>
        <v/>
      </c>
      <c r="D7284" t="inlineStr">
        <is>
          <t>1338-03-17</t>
        </is>
      </c>
    </row>
    <row r="7285">
      <c r="A7285" s="1" t="n">
        <v>7284</v>
      </c>
      <c r="B7285">
        <f>TEXT(7284, "[$-170000]yyyy-mm-dd")</f>
        <v/>
      </c>
      <c r="C7285">
        <f>TEXT(7284, "[$-060000]yyyy-mm-dd")</f>
        <v/>
      </c>
      <c r="D7285" t="inlineStr">
        <is>
          <t>1338-03-18</t>
        </is>
      </c>
    </row>
    <row r="7286">
      <c r="A7286" s="1" t="n">
        <v>7285</v>
      </c>
      <c r="B7286">
        <f>TEXT(7285, "[$-170000]yyyy-mm-dd")</f>
        <v/>
      </c>
      <c r="C7286">
        <f>TEXT(7285, "[$-060000]yyyy-mm-dd")</f>
        <v/>
      </c>
      <c r="D7286" t="inlineStr">
        <is>
          <t>1338-03-19</t>
        </is>
      </c>
    </row>
    <row r="7287">
      <c r="A7287" s="1" t="n">
        <v>7286</v>
      </c>
      <c r="B7287">
        <f>TEXT(7286, "[$-170000]yyyy-mm-dd")</f>
        <v/>
      </c>
      <c r="C7287">
        <f>TEXT(7286, "[$-060000]yyyy-mm-dd")</f>
        <v/>
      </c>
      <c r="D7287" t="inlineStr">
        <is>
          <t>1338-03-20</t>
        </is>
      </c>
    </row>
    <row r="7288">
      <c r="A7288" s="1" t="n">
        <v>7287</v>
      </c>
      <c r="B7288">
        <f>TEXT(7287, "[$-170000]yyyy-mm-dd")</f>
        <v/>
      </c>
      <c r="C7288">
        <f>TEXT(7287, "[$-060000]yyyy-mm-dd")</f>
        <v/>
      </c>
      <c r="D7288" t="inlineStr">
        <is>
          <t>1338-03-21</t>
        </is>
      </c>
    </row>
    <row r="7289">
      <c r="A7289" s="1" t="n">
        <v>7288</v>
      </c>
      <c r="B7289">
        <f>TEXT(7288, "[$-170000]yyyy-mm-dd")</f>
        <v/>
      </c>
      <c r="C7289">
        <f>TEXT(7288, "[$-060000]yyyy-mm-dd")</f>
        <v/>
      </c>
      <c r="D7289" t="inlineStr">
        <is>
          <t>1338-03-22</t>
        </is>
      </c>
    </row>
    <row r="7290">
      <c r="A7290" s="1" t="n">
        <v>7289</v>
      </c>
      <c r="B7290">
        <f>TEXT(7289, "[$-170000]yyyy-mm-dd")</f>
        <v/>
      </c>
      <c r="C7290">
        <f>TEXT(7289, "[$-060000]yyyy-mm-dd")</f>
        <v/>
      </c>
      <c r="D7290" t="inlineStr">
        <is>
          <t>1338-03-23</t>
        </is>
      </c>
    </row>
    <row r="7291">
      <c r="A7291" s="1" t="n">
        <v>7290</v>
      </c>
      <c r="B7291">
        <f>TEXT(7290, "[$-170000]yyyy-mm-dd")</f>
        <v/>
      </c>
      <c r="C7291">
        <f>TEXT(7290, "[$-060000]yyyy-mm-dd")</f>
        <v/>
      </c>
      <c r="D7291" t="inlineStr">
        <is>
          <t>1338-03-24</t>
        </is>
      </c>
    </row>
    <row r="7292">
      <c r="A7292" s="1" t="n">
        <v>7291</v>
      </c>
      <c r="B7292">
        <f>TEXT(7291, "[$-170000]yyyy-mm-dd")</f>
        <v/>
      </c>
      <c r="C7292">
        <f>TEXT(7291, "[$-060000]yyyy-mm-dd")</f>
        <v/>
      </c>
      <c r="D7292" t="inlineStr">
        <is>
          <t>1338-03-25</t>
        </is>
      </c>
    </row>
    <row r="7293">
      <c r="A7293" s="1" t="n">
        <v>7292</v>
      </c>
      <c r="B7293">
        <f>TEXT(7292, "[$-170000]yyyy-mm-dd")</f>
        <v/>
      </c>
      <c r="C7293">
        <f>TEXT(7292, "[$-060000]yyyy-mm-dd")</f>
        <v/>
      </c>
      <c r="D7293" t="inlineStr">
        <is>
          <t>1338-03-26</t>
        </is>
      </c>
    </row>
    <row r="7294">
      <c r="A7294" s="1" t="n">
        <v>7293</v>
      </c>
      <c r="B7294">
        <f>TEXT(7293, "[$-170000]yyyy-mm-dd")</f>
        <v/>
      </c>
      <c r="C7294">
        <f>TEXT(7293, "[$-060000]yyyy-mm-dd")</f>
        <v/>
      </c>
      <c r="D7294" t="inlineStr">
        <is>
          <t>1338-03-27</t>
        </is>
      </c>
    </row>
    <row r="7295">
      <c r="A7295" s="1" t="n">
        <v>7294</v>
      </c>
      <c r="B7295">
        <f>TEXT(7294, "[$-170000]yyyy-mm-dd")</f>
        <v/>
      </c>
      <c r="C7295">
        <f>TEXT(7294, "[$-060000]yyyy-mm-dd")</f>
        <v/>
      </c>
      <c r="D7295" t="inlineStr">
        <is>
          <t>1338-03-28</t>
        </is>
      </c>
    </row>
    <row r="7296">
      <c r="A7296" s="1" t="n">
        <v>7295</v>
      </c>
      <c r="B7296">
        <f>TEXT(7295, "[$-170000]yyyy-mm-dd")</f>
        <v/>
      </c>
      <c r="C7296">
        <f>TEXT(7295, "[$-060000]yyyy-mm-dd")</f>
        <v/>
      </c>
      <c r="D7296" t="inlineStr">
        <is>
          <t>1338-03-29</t>
        </is>
      </c>
    </row>
    <row r="7297">
      <c r="A7297" s="1" t="n">
        <v>7296</v>
      </c>
      <c r="B7297">
        <f>TEXT(7296, "[$-170000]yyyy-mm-dd")</f>
        <v/>
      </c>
      <c r="C7297">
        <f>TEXT(7296, "[$-060000]yyyy-mm-dd")</f>
        <v/>
      </c>
      <c r="D7297" t="inlineStr">
        <is>
          <t>1338-03-30</t>
        </is>
      </c>
    </row>
    <row r="7298">
      <c r="A7298" s="1" t="n">
        <v>7297</v>
      </c>
      <c r="B7298">
        <f>TEXT(7297, "[$-170000]yyyy-mm-dd")</f>
        <v/>
      </c>
      <c r="C7298">
        <f>TEXT(7297, "[$-060000]yyyy-mm-dd")</f>
        <v/>
      </c>
      <c r="D7298" t="inlineStr">
        <is>
          <t>1338-04-01</t>
        </is>
      </c>
    </row>
    <row r="7299">
      <c r="A7299" s="1" t="n">
        <v>7298</v>
      </c>
      <c r="B7299">
        <f>TEXT(7298, "[$-170000]yyyy-mm-dd")</f>
        <v/>
      </c>
      <c r="C7299">
        <f>TEXT(7298, "[$-060000]yyyy-mm-dd")</f>
        <v/>
      </c>
      <c r="D7299" t="inlineStr">
        <is>
          <t>1338-04-02</t>
        </is>
      </c>
    </row>
    <row r="7300">
      <c r="A7300" s="1" t="n">
        <v>7299</v>
      </c>
      <c r="B7300">
        <f>TEXT(7299, "[$-170000]yyyy-mm-dd")</f>
        <v/>
      </c>
      <c r="C7300">
        <f>TEXT(7299, "[$-060000]yyyy-mm-dd")</f>
        <v/>
      </c>
      <c r="D7300" t="inlineStr">
        <is>
          <t>1338-04-03</t>
        </is>
      </c>
    </row>
    <row r="7301">
      <c r="A7301" s="1" t="n">
        <v>7300</v>
      </c>
      <c r="B7301">
        <f>TEXT(7300, "[$-170000]yyyy-mm-dd")</f>
        <v/>
      </c>
      <c r="C7301">
        <f>TEXT(7300, "[$-060000]yyyy-mm-dd")</f>
        <v/>
      </c>
      <c r="D7301" t="inlineStr">
        <is>
          <t>1338-04-04</t>
        </is>
      </c>
    </row>
    <row r="7302">
      <c r="A7302" s="1" t="n">
        <v>7301</v>
      </c>
      <c r="B7302">
        <f>TEXT(7301, "[$-170000]yyyy-mm-dd")</f>
        <v/>
      </c>
      <c r="C7302">
        <f>TEXT(7301, "[$-060000]yyyy-mm-dd")</f>
        <v/>
      </c>
      <c r="D7302" t="inlineStr">
        <is>
          <t>1338-04-05</t>
        </is>
      </c>
    </row>
    <row r="7303">
      <c r="A7303" s="1" t="n">
        <v>7302</v>
      </c>
      <c r="B7303">
        <f>TEXT(7302, "[$-170000]yyyy-mm-dd")</f>
        <v/>
      </c>
      <c r="C7303">
        <f>TEXT(7302, "[$-060000]yyyy-mm-dd")</f>
        <v/>
      </c>
      <c r="D7303" t="inlineStr">
        <is>
          <t>1338-04-06</t>
        </is>
      </c>
    </row>
    <row r="7304">
      <c r="A7304" s="1" t="n">
        <v>7303</v>
      </c>
      <c r="B7304">
        <f>TEXT(7303, "[$-170000]yyyy-mm-dd")</f>
        <v/>
      </c>
      <c r="C7304">
        <f>TEXT(7303, "[$-060000]yyyy-mm-dd")</f>
        <v/>
      </c>
      <c r="D7304" t="inlineStr">
        <is>
          <t>1338-04-07</t>
        </is>
      </c>
    </row>
    <row r="7305">
      <c r="A7305" s="1" t="n">
        <v>7304</v>
      </c>
      <c r="B7305">
        <f>TEXT(7304, "[$-170000]yyyy-mm-dd")</f>
        <v/>
      </c>
      <c r="C7305">
        <f>TEXT(7304, "[$-060000]yyyy-mm-dd")</f>
        <v/>
      </c>
      <c r="D7305" t="inlineStr">
        <is>
          <t>1338-04-08</t>
        </is>
      </c>
    </row>
    <row r="7306">
      <c r="A7306" s="1" t="n">
        <v>7305</v>
      </c>
      <c r="B7306">
        <f>TEXT(7305, "[$-170000]yyyy-mm-dd")</f>
        <v/>
      </c>
      <c r="C7306">
        <f>TEXT(7305, "[$-060000]yyyy-mm-dd")</f>
        <v/>
      </c>
      <c r="D7306" t="inlineStr">
        <is>
          <t>1338-04-09</t>
        </is>
      </c>
    </row>
    <row r="7307">
      <c r="A7307" s="1" t="n">
        <v>7306</v>
      </c>
      <c r="B7307">
        <f>TEXT(7306, "[$-170000]yyyy-mm-dd")</f>
        <v/>
      </c>
      <c r="C7307">
        <f>TEXT(7306, "[$-060000]yyyy-mm-dd")</f>
        <v/>
      </c>
      <c r="D7307" t="inlineStr">
        <is>
          <t>1338-04-10</t>
        </is>
      </c>
    </row>
    <row r="7308">
      <c r="A7308" s="1" t="n">
        <v>7307</v>
      </c>
      <c r="B7308">
        <f>TEXT(7307, "[$-170000]yyyy-mm-dd")</f>
        <v/>
      </c>
      <c r="C7308">
        <f>TEXT(7307, "[$-060000]yyyy-mm-dd")</f>
        <v/>
      </c>
      <c r="D7308" t="inlineStr">
        <is>
          <t>1338-04-11</t>
        </is>
      </c>
    </row>
    <row r="7309">
      <c r="A7309" s="1" t="n">
        <v>7308</v>
      </c>
      <c r="B7309">
        <f>TEXT(7308, "[$-170000]yyyy-mm-dd")</f>
        <v/>
      </c>
      <c r="C7309">
        <f>TEXT(7308, "[$-060000]yyyy-mm-dd")</f>
        <v/>
      </c>
      <c r="D7309" t="inlineStr">
        <is>
          <t>1338-04-12</t>
        </is>
      </c>
    </row>
    <row r="7310">
      <c r="A7310" s="1" t="n">
        <v>7309</v>
      </c>
      <c r="B7310">
        <f>TEXT(7309, "[$-170000]yyyy-mm-dd")</f>
        <v/>
      </c>
      <c r="C7310">
        <f>TEXT(7309, "[$-060000]yyyy-mm-dd")</f>
        <v/>
      </c>
      <c r="D7310" t="inlineStr">
        <is>
          <t>1338-04-13</t>
        </is>
      </c>
    </row>
    <row r="7311">
      <c r="A7311" s="1" t="n">
        <v>7310</v>
      </c>
      <c r="B7311">
        <f>TEXT(7310, "[$-170000]yyyy-mm-dd")</f>
        <v/>
      </c>
      <c r="C7311">
        <f>TEXT(7310, "[$-060000]yyyy-mm-dd")</f>
        <v/>
      </c>
      <c r="D7311" t="inlineStr">
        <is>
          <t>1338-04-14</t>
        </is>
      </c>
    </row>
    <row r="7312">
      <c r="A7312" s="1" t="n">
        <v>7311</v>
      </c>
      <c r="B7312">
        <f>TEXT(7311, "[$-170000]yyyy-mm-dd")</f>
        <v/>
      </c>
      <c r="C7312">
        <f>TEXT(7311, "[$-060000]yyyy-mm-dd")</f>
        <v/>
      </c>
      <c r="D7312" t="inlineStr">
        <is>
          <t>1338-04-15</t>
        </is>
      </c>
    </row>
    <row r="7313">
      <c r="A7313" s="1" t="n">
        <v>7312</v>
      </c>
      <c r="B7313">
        <f>TEXT(7312, "[$-170000]yyyy-mm-dd")</f>
        <v/>
      </c>
      <c r="C7313">
        <f>TEXT(7312, "[$-060000]yyyy-mm-dd")</f>
        <v/>
      </c>
      <c r="D7313" t="inlineStr">
        <is>
          <t>1338-04-16</t>
        </is>
      </c>
    </row>
    <row r="7314">
      <c r="A7314" s="1" t="n">
        <v>7313</v>
      </c>
      <c r="B7314">
        <f>TEXT(7313, "[$-170000]yyyy-mm-dd")</f>
        <v/>
      </c>
      <c r="C7314">
        <f>TEXT(7313, "[$-060000]yyyy-mm-dd")</f>
        <v/>
      </c>
      <c r="D7314" t="inlineStr">
        <is>
          <t>1338-04-17</t>
        </is>
      </c>
    </row>
    <row r="7315">
      <c r="A7315" s="1" t="n">
        <v>7314</v>
      </c>
      <c r="B7315">
        <f>TEXT(7314, "[$-170000]yyyy-mm-dd")</f>
        <v/>
      </c>
      <c r="C7315">
        <f>TEXT(7314, "[$-060000]yyyy-mm-dd")</f>
        <v/>
      </c>
      <c r="D7315" t="inlineStr">
        <is>
          <t>1338-04-18</t>
        </is>
      </c>
    </row>
    <row r="7316">
      <c r="A7316" s="1" t="n">
        <v>7315</v>
      </c>
      <c r="B7316">
        <f>TEXT(7315, "[$-170000]yyyy-mm-dd")</f>
        <v/>
      </c>
      <c r="C7316">
        <f>TEXT(7315, "[$-060000]yyyy-mm-dd")</f>
        <v/>
      </c>
      <c r="D7316" t="inlineStr">
        <is>
          <t>1338-04-19</t>
        </is>
      </c>
    </row>
    <row r="7317">
      <c r="A7317" s="1" t="n">
        <v>7316</v>
      </c>
      <c r="B7317">
        <f>TEXT(7316, "[$-170000]yyyy-mm-dd")</f>
        <v/>
      </c>
      <c r="C7317">
        <f>TEXT(7316, "[$-060000]yyyy-mm-dd")</f>
        <v/>
      </c>
      <c r="D7317" t="inlineStr">
        <is>
          <t>1338-04-20</t>
        </is>
      </c>
    </row>
    <row r="7318">
      <c r="A7318" s="1" t="n">
        <v>7317</v>
      </c>
      <c r="B7318">
        <f>TEXT(7317, "[$-170000]yyyy-mm-dd")</f>
        <v/>
      </c>
      <c r="C7318">
        <f>TEXT(7317, "[$-060000]yyyy-mm-dd")</f>
        <v/>
      </c>
      <c r="D7318" t="inlineStr">
        <is>
          <t>1338-04-21</t>
        </is>
      </c>
    </row>
    <row r="7319">
      <c r="A7319" s="1" t="n">
        <v>7318</v>
      </c>
      <c r="B7319">
        <f>TEXT(7318, "[$-170000]yyyy-mm-dd")</f>
        <v/>
      </c>
      <c r="C7319">
        <f>TEXT(7318, "[$-060000]yyyy-mm-dd")</f>
        <v/>
      </c>
      <c r="D7319" t="inlineStr">
        <is>
          <t>1338-04-22</t>
        </is>
      </c>
    </row>
    <row r="7320">
      <c r="A7320" s="1" t="n">
        <v>7319</v>
      </c>
      <c r="B7320">
        <f>TEXT(7319, "[$-170000]yyyy-mm-dd")</f>
        <v/>
      </c>
      <c r="C7320">
        <f>TEXT(7319, "[$-060000]yyyy-mm-dd")</f>
        <v/>
      </c>
      <c r="D7320" t="inlineStr">
        <is>
          <t>1338-04-23</t>
        </is>
      </c>
    </row>
    <row r="7321">
      <c r="A7321" s="1" t="n">
        <v>7320</v>
      </c>
      <c r="B7321">
        <f>TEXT(7320, "[$-170000]yyyy-mm-dd")</f>
        <v/>
      </c>
      <c r="C7321">
        <f>TEXT(7320, "[$-060000]yyyy-mm-dd")</f>
        <v/>
      </c>
      <c r="D7321" t="inlineStr">
        <is>
          <t>1338-04-24</t>
        </is>
      </c>
    </row>
    <row r="7322">
      <c r="A7322" s="1" t="n">
        <v>7321</v>
      </c>
      <c r="B7322">
        <f>TEXT(7321, "[$-170000]yyyy-mm-dd")</f>
        <v/>
      </c>
      <c r="C7322">
        <f>TEXT(7321, "[$-060000]yyyy-mm-dd")</f>
        <v/>
      </c>
      <c r="D7322" t="inlineStr">
        <is>
          <t>1338-04-25</t>
        </is>
      </c>
    </row>
    <row r="7323">
      <c r="A7323" s="1" t="n">
        <v>7322</v>
      </c>
      <c r="B7323">
        <f>TEXT(7322, "[$-170000]yyyy-mm-dd")</f>
        <v/>
      </c>
      <c r="C7323">
        <f>TEXT(7322, "[$-060000]yyyy-mm-dd")</f>
        <v/>
      </c>
      <c r="D7323" t="inlineStr">
        <is>
          <t>1338-04-26</t>
        </is>
      </c>
    </row>
    <row r="7324">
      <c r="A7324" s="1" t="n">
        <v>7323</v>
      </c>
      <c r="B7324">
        <f>TEXT(7323, "[$-170000]yyyy-mm-dd")</f>
        <v/>
      </c>
      <c r="C7324">
        <f>TEXT(7323, "[$-060000]yyyy-mm-dd")</f>
        <v/>
      </c>
      <c r="D7324" t="inlineStr">
        <is>
          <t>1338-04-27</t>
        </is>
      </c>
    </row>
    <row r="7325">
      <c r="A7325" s="1" t="n">
        <v>7324</v>
      </c>
      <c r="B7325">
        <f>TEXT(7324, "[$-170000]yyyy-mm-dd")</f>
        <v/>
      </c>
      <c r="C7325">
        <f>TEXT(7324, "[$-060000]yyyy-mm-dd")</f>
        <v/>
      </c>
      <c r="D7325" t="inlineStr">
        <is>
          <t>1338-04-28</t>
        </is>
      </c>
    </row>
    <row r="7326">
      <c r="A7326" s="1" t="n">
        <v>7325</v>
      </c>
      <c r="B7326">
        <f>TEXT(7325, "[$-170000]yyyy-mm-dd")</f>
        <v/>
      </c>
      <c r="C7326">
        <f>TEXT(7325, "[$-060000]yyyy-mm-dd")</f>
        <v/>
      </c>
      <c r="D7326" t="inlineStr">
        <is>
          <t>1338-04-29</t>
        </is>
      </c>
    </row>
    <row r="7327">
      <c r="A7327" s="1" t="n">
        <v>7326</v>
      </c>
      <c r="B7327">
        <f>TEXT(7326, "[$-170000]yyyy-mm-dd")</f>
        <v/>
      </c>
      <c r="C7327">
        <f>TEXT(7326, "[$-060000]yyyy-mm-dd")</f>
        <v/>
      </c>
      <c r="D7327" t="inlineStr">
        <is>
          <t>1338-05-01</t>
        </is>
      </c>
    </row>
    <row r="7328">
      <c r="A7328" s="1" t="n">
        <v>7327</v>
      </c>
      <c r="B7328">
        <f>TEXT(7327, "[$-170000]yyyy-mm-dd")</f>
        <v/>
      </c>
      <c r="C7328">
        <f>TEXT(7327, "[$-060000]yyyy-mm-dd")</f>
        <v/>
      </c>
      <c r="D7328" t="inlineStr">
        <is>
          <t>1338-05-02</t>
        </is>
      </c>
    </row>
    <row r="7329">
      <c r="A7329" s="1" t="n">
        <v>7328</v>
      </c>
      <c r="B7329">
        <f>TEXT(7328, "[$-170000]yyyy-mm-dd")</f>
        <v/>
      </c>
      <c r="C7329">
        <f>TEXT(7328, "[$-060000]yyyy-mm-dd")</f>
        <v/>
      </c>
      <c r="D7329" t="inlineStr">
        <is>
          <t>1338-05-03</t>
        </is>
      </c>
    </row>
    <row r="7330">
      <c r="A7330" s="1" t="n">
        <v>7329</v>
      </c>
      <c r="B7330">
        <f>TEXT(7329, "[$-170000]yyyy-mm-dd")</f>
        <v/>
      </c>
      <c r="C7330">
        <f>TEXT(7329, "[$-060000]yyyy-mm-dd")</f>
        <v/>
      </c>
      <c r="D7330" t="inlineStr">
        <is>
          <t>1338-05-04</t>
        </is>
      </c>
    </row>
    <row r="7331">
      <c r="A7331" s="1" t="n">
        <v>7330</v>
      </c>
      <c r="B7331">
        <f>TEXT(7330, "[$-170000]yyyy-mm-dd")</f>
        <v/>
      </c>
      <c r="C7331">
        <f>TEXT(7330, "[$-060000]yyyy-mm-dd")</f>
        <v/>
      </c>
      <c r="D7331" t="inlineStr">
        <is>
          <t>1338-05-05</t>
        </is>
      </c>
    </row>
    <row r="7332">
      <c r="A7332" s="1" t="n">
        <v>7331</v>
      </c>
      <c r="B7332">
        <f>TEXT(7331, "[$-170000]yyyy-mm-dd")</f>
        <v/>
      </c>
      <c r="C7332">
        <f>TEXT(7331, "[$-060000]yyyy-mm-dd")</f>
        <v/>
      </c>
      <c r="D7332" t="inlineStr">
        <is>
          <t>1338-05-06</t>
        </is>
      </c>
    </row>
    <row r="7333">
      <c r="A7333" s="1" t="n">
        <v>7332</v>
      </c>
      <c r="B7333">
        <f>TEXT(7332, "[$-170000]yyyy-mm-dd")</f>
        <v/>
      </c>
      <c r="C7333">
        <f>TEXT(7332, "[$-060000]yyyy-mm-dd")</f>
        <v/>
      </c>
      <c r="D7333" t="inlineStr">
        <is>
          <t>1338-05-07</t>
        </is>
      </c>
    </row>
    <row r="7334">
      <c r="A7334" s="1" t="n">
        <v>7333</v>
      </c>
      <c r="B7334">
        <f>TEXT(7333, "[$-170000]yyyy-mm-dd")</f>
        <v/>
      </c>
      <c r="C7334">
        <f>TEXT(7333, "[$-060000]yyyy-mm-dd")</f>
        <v/>
      </c>
      <c r="D7334" t="inlineStr">
        <is>
          <t>1338-05-08</t>
        </is>
      </c>
    </row>
    <row r="7335">
      <c r="A7335" s="1" t="n">
        <v>7334</v>
      </c>
      <c r="B7335">
        <f>TEXT(7334, "[$-170000]yyyy-mm-dd")</f>
        <v/>
      </c>
      <c r="C7335">
        <f>TEXT(7334, "[$-060000]yyyy-mm-dd")</f>
        <v/>
      </c>
      <c r="D7335" t="inlineStr">
        <is>
          <t>1338-05-09</t>
        </is>
      </c>
    </row>
    <row r="7336">
      <c r="A7336" s="1" t="n">
        <v>7335</v>
      </c>
      <c r="B7336">
        <f>TEXT(7335, "[$-170000]yyyy-mm-dd")</f>
        <v/>
      </c>
      <c r="C7336">
        <f>TEXT(7335, "[$-060000]yyyy-mm-dd")</f>
        <v/>
      </c>
      <c r="D7336" t="inlineStr">
        <is>
          <t>1338-05-10</t>
        </is>
      </c>
    </row>
    <row r="7337">
      <c r="A7337" s="1" t="n">
        <v>7336</v>
      </c>
      <c r="B7337">
        <f>TEXT(7336, "[$-170000]yyyy-mm-dd")</f>
        <v/>
      </c>
      <c r="C7337">
        <f>TEXT(7336, "[$-060000]yyyy-mm-dd")</f>
        <v/>
      </c>
      <c r="D7337" t="inlineStr">
        <is>
          <t>1338-05-11</t>
        </is>
      </c>
    </row>
    <row r="7338">
      <c r="A7338" s="1" t="n">
        <v>7337</v>
      </c>
      <c r="B7338">
        <f>TEXT(7337, "[$-170000]yyyy-mm-dd")</f>
        <v/>
      </c>
      <c r="C7338">
        <f>TEXT(7337, "[$-060000]yyyy-mm-dd")</f>
        <v/>
      </c>
      <c r="D7338" t="inlineStr">
        <is>
          <t>1338-05-12</t>
        </is>
      </c>
    </row>
    <row r="7339">
      <c r="A7339" s="1" t="n">
        <v>7338</v>
      </c>
      <c r="B7339">
        <f>TEXT(7338, "[$-170000]yyyy-mm-dd")</f>
        <v/>
      </c>
      <c r="C7339">
        <f>TEXT(7338, "[$-060000]yyyy-mm-dd")</f>
        <v/>
      </c>
      <c r="D7339" t="inlineStr">
        <is>
          <t>1338-05-13</t>
        </is>
      </c>
    </row>
    <row r="7340">
      <c r="A7340" s="1" t="n">
        <v>7339</v>
      </c>
      <c r="B7340">
        <f>TEXT(7339, "[$-170000]yyyy-mm-dd")</f>
        <v/>
      </c>
      <c r="C7340">
        <f>TEXT(7339, "[$-060000]yyyy-mm-dd")</f>
        <v/>
      </c>
      <c r="D7340" t="inlineStr">
        <is>
          <t>1338-05-14</t>
        </is>
      </c>
    </row>
    <row r="7341">
      <c r="A7341" s="1" t="n">
        <v>7340</v>
      </c>
      <c r="B7341">
        <f>TEXT(7340, "[$-170000]yyyy-mm-dd")</f>
        <v/>
      </c>
      <c r="C7341">
        <f>TEXT(7340, "[$-060000]yyyy-mm-dd")</f>
        <v/>
      </c>
      <c r="D7341" t="inlineStr">
        <is>
          <t>1338-05-15</t>
        </is>
      </c>
    </row>
    <row r="7342">
      <c r="A7342" s="1" t="n">
        <v>7341</v>
      </c>
      <c r="B7342">
        <f>TEXT(7341, "[$-170000]yyyy-mm-dd")</f>
        <v/>
      </c>
      <c r="C7342">
        <f>TEXT(7341, "[$-060000]yyyy-mm-dd")</f>
        <v/>
      </c>
      <c r="D7342" t="inlineStr">
        <is>
          <t>1338-05-16</t>
        </is>
      </c>
    </row>
    <row r="7343">
      <c r="A7343" s="1" t="n">
        <v>7342</v>
      </c>
      <c r="B7343">
        <f>TEXT(7342, "[$-170000]yyyy-mm-dd")</f>
        <v/>
      </c>
      <c r="C7343">
        <f>TEXT(7342, "[$-060000]yyyy-mm-dd")</f>
        <v/>
      </c>
      <c r="D7343" t="inlineStr">
        <is>
          <t>1338-05-17</t>
        </is>
      </c>
    </row>
    <row r="7344">
      <c r="A7344" s="1" t="n">
        <v>7343</v>
      </c>
      <c r="B7344">
        <f>TEXT(7343, "[$-170000]yyyy-mm-dd")</f>
        <v/>
      </c>
      <c r="C7344">
        <f>TEXT(7343, "[$-060000]yyyy-mm-dd")</f>
        <v/>
      </c>
      <c r="D7344" t="inlineStr">
        <is>
          <t>1338-05-18</t>
        </is>
      </c>
    </row>
    <row r="7345">
      <c r="A7345" s="1" t="n">
        <v>7344</v>
      </c>
      <c r="B7345">
        <f>TEXT(7344, "[$-170000]yyyy-mm-dd")</f>
        <v/>
      </c>
      <c r="C7345">
        <f>TEXT(7344, "[$-060000]yyyy-mm-dd")</f>
        <v/>
      </c>
      <c r="D7345" t="inlineStr">
        <is>
          <t>1338-05-19</t>
        </is>
      </c>
    </row>
    <row r="7346">
      <c r="A7346" s="1" t="n">
        <v>7345</v>
      </c>
      <c r="B7346">
        <f>TEXT(7345, "[$-170000]yyyy-mm-dd")</f>
        <v/>
      </c>
      <c r="C7346">
        <f>TEXT(7345, "[$-060000]yyyy-mm-dd")</f>
        <v/>
      </c>
      <c r="D7346" t="inlineStr">
        <is>
          <t>1338-05-20</t>
        </is>
      </c>
    </row>
    <row r="7347">
      <c r="A7347" s="1" t="n">
        <v>7346</v>
      </c>
      <c r="B7347">
        <f>TEXT(7346, "[$-170000]yyyy-mm-dd")</f>
        <v/>
      </c>
      <c r="C7347">
        <f>TEXT(7346, "[$-060000]yyyy-mm-dd")</f>
        <v/>
      </c>
      <c r="D7347" t="inlineStr">
        <is>
          <t>1338-05-21</t>
        </is>
      </c>
    </row>
    <row r="7348">
      <c r="A7348" s="1" t="n">
        <v>7347</v>
      </c>
      <c r="B7348">
        <f>TEXT(7347, "[$-170000]yyyy-mm-dd")</f>
        <v/>
      </c>
      <c r="C7348">
        <f>TEXT(7347, "[$-060000]yyyy-mm-dd")</f>
        <v/>
      </c>
      <c r="D7348" t="inlineStr">
        <is>
          <t>1338-05-22</t>
        </is>
      </c>
    </row>
    <row r="7349">
      <c r="A7349" s="1" t="n">
        <v>7348</v>
      </c>
      <c r="B7349">
        <f>TEXT(7348, "[$-170000]yyyy-mm-dd")</f>
        <v/>
      </c>
      <c r="C7349">
        <f>TEXT(7348, "[$-060000]yyyy-mm-dd")</f>
        <v/>
      </c>
      <c r="D7349" t="inlineStr">
        <is>
          <t>1338-05-23</t>
        </is>
      </c>
    </row>
    <row r="7350">
      <c r="A7350" s="1" t="n">
        <v>7349</v>
      </c>
      <c r="B7350">
        <f>TEXT(7349, "[$-170000]yyyy-mm-dd")</f>
        <v/>
      </c>
      <c r="C7350">
        <f>TEXT(7349, "[$-060000]yyyy-mm-dd")</f>
        <v/>
      </c>
      <c r="D7350" t="inlineStr">
        <is>
          <t>1338-05-24</t>
        </is>
      </c>
    </row>
    <row r="7351">
      <c r="A7351" s="1" t="n">
        <v>7350</v>
      </c>
      <c r="B7351">
        <f>TEXT(7350, "[$-170000]yyyy-mm-dd")</f>
        <v/>
      </c>
      <c r="C7351">
        <f>TEXT(7350, "[$-060000]yyyy-mm-dd")</f>
        <v/>
      </c>
      <c r="D7351" t="inlineStr">
        <is>
          <t>1338-05-25</t>
        </is>
      </c>
    </row>
    <row r="7352">
      <c r="A7352" s="1" t="n">
        <v>7351</v>
      </c>
      <c r="B7352">
        <f>TEXT(7351, "[$-170000]yyyy-mm-dd")</f>
        <v/>
      </c>
      <c r="C7352">
        <f>TEXT(7351, "[$-060000]yyyy-mm-dd")</f>
        <v/>
      </c>
      <c r="D7352" t="inlineStr">
        <is>
          <t>1338-05-26</t>
        </is>
      </c>
    </row>
    <row r="7353">
      <c r="A7353" s="1" t="n">
        <v>7352</v>
      </c>
      <c r="B7353">
        <f>TEXT(7352, "[$-170000]yyyy-mm-dd")</f>
        <v/>
      </c>
      <c r="C7353">
        <f>TEXT(7352, "[$-060000]yyyy-mm-dd")</f>
        <v/>
      </c>
      <c r="D7353" t="inlineStr">
        <is>
          <t>1338-05-27</t>
        </is>
      </c>
    </row>
    <row r="7354">
      <c r="A7354" s="1" t="n">
        <v>7353</v>
      </c>
      <c r="B7354">
        <f>TEXT(7353, "[$-170000]yyyy-mm-dd")</f>
        <v/>
      </c>
      <c r="C7354">
        <f>TEXT(7353, "[$-060000]yyyy-mm-dd")</f>
        <v/>
      </c>
      <c r="D7354" t="inlineStr">
        <is>
          <t>1338-05-28</t>
        </is>
      </c>
    </row>
    <row r="7355">
      <c r="A7355" s="1" t="n">
        <v>7354</v>
      </c>
      <c r="B7355">
        <f>TEXT(7354, "[$-170000]yyyy-mm-dd")</f>
        <v/>
      </c>
      <c r="C7355">
        <f>TEXT(7354, "[$-060000]yyyy-mm-dd")</f>
        <v/>
      </c>
      <c r="D7355" t="inlineStr">
        <is>
          <t>1338-05-29</t>
        </is>
      </c>
    </row>
    <row r="7356">
      <c r="A7356" s="1" t="n">
        <v>7355</v>
      </c>
      <c r="B7356">
        <f>TEXT(7355, "[$-170000]yyyy-mm-dd")</f>
        <v/>
      </c>
      <c r="C7356">
        <f>TEXT(7355, "[$-060000]yyyy-mm-dd")</f>
        <v/>
      </c>
      <c r="D7356" t="inlineStr">
        <is>
          <t>1338-05-30</t>
        </is>
      </c>
    </row>
    <row r="7357">
      <c r="A7357" s="1" t="n">
        <v>7356</v>
      </c>
      <c r="B7357">
        <f>TEXT(7356, "[$-170000]yyyy-mm-dd")</f>
        <v/>
      </c>
      <c r="C7357">
        <f>TEXT(7356, "[$-060000]yyyy-mm-dd")</f>
        <v/>
      </c>
      <c r="D7357" t="inlineStr">
        <is>
          <t>1338-06-01</t>
        </is>
      </c>
    </row>
    <row r="7358">
      <c r="A7358" s="1" t="n">
        <v>7357</v>
      </c>
      <c r="B7358">
        <f>TEXT(7357, "[$-170000]yyyy-mm-dd")</f>
        <v/>
      </c>
      <c r="C7358">
        <f>TEXT(7357, "[$-060000]yyyy-mm-dd")</f>
        <v/>
      </c>
      <c r="D7358" t="inlineStr">
        <is>
          <t>1338-06-02</t>
        </is>
      </c>
    </row>
    <row r="7359">
      <c r="A7359" s="1" t="n">
        <v>7358</v>
      </c>
      <c r="B7359">
        <f>TEXT(7358, "[$-170000]yyyy-mm-dd")</f>
        <v/>
      </c>
      <c r="C7359">
        <f>TEXT(7358, "[$-060000]yyyy-mm-dd")</f>
        <v/>
      </c>
      <c r="D7359" t="inlineStr">
        <is>
          <t>1338-06-03</t>
        </is>
      </c>
    </row>
    <row r="7360">
      <c r="A7360" s="1" t="n">
        <v>7359</v>
      </c>
      <c r="B7360">
        <f>TEXT(7359, "[$-170000]yyyy-mm-dd")</f>
        <v/>
      </c>
      <c r="C7360">
        <f>TEXT(7359, "[$-060000]yyyy-mm-dd")</f>
        <v/>
      </c>
      <c r="D7360" t="inlineStr">
        <is>
          <t>1338-06-04</t>
        </is>
      </c>
    </row>
    <row r="7361">
      <c r="A7361" s="1" t="n">
        <v>7360</v>
      </c>
      <c r="B7361">
        <f>TEXT(7360, "[$-170000]yyyy-mm-dd")</f>
        <v/>
      </c>
      <c r="C7361">
        <f>TEXT(7360, "[$-060000]yyyy-mm-dd")</f>
        <v/>
      </c>
      <c r="D7361" t="inlineStr">
        <is>
          <t>1338-06-05</t>
        </is>
      </c>
    </row>
    <row r="7362">
      <c r="A7362" s="1" t="n">
        <v>7361</v>
      </c>
      <c r="B7362">
        <f>TEXT(7361, "[$-170000]yyyy-mm-dd")</f>
        <v/>
      </c>
      <c r="C7362">
        <f>TEXT(7361, "[$-060000]yyyy-mm-dd")</f>
        <v/>
      </c>
      <c r="D7362" t="inlineStr">
        <is>
          <t>1338-06-06</t>
        </is>
      </c>
    </row>
    <row r="7363">
      <c r="A7363" s="1" t="n">
        <v>7362</v>
      </c>
      <c r="B7363">
        <f>TEXT(7362, "[$-170000]yyyy-mm-dd")</f>
        <v/>
      </c>
      <c r="C7363">
        <f>TEXT(7362, "[$-060000]yyyy-mm-dd")</f>
        <v/>
      </c>
      <c r="D7363" t="inlineStr">
        <is>
          <t>1338-06-07</t>
        </is>
      </c>
    </row>
    <row r="7364">
      <c r="A7364" s="1" t="n">
        <v>7363</v>
      </c>
      <c r="B7364">
        <f>TEXT(7363, "[$-170000]yyyy-mm-dd")</f>
        <v/>
      </c>
      <c r="C7364">
        <f>TEXT(7363, "[$-060000]yyyy-mm-dd")</f>
        <v/>
      </c>
      <c r="D7364" t="inlineStr">
        <is>
          <t>1338-06-08</t>
        </is>
      </c>
    </row>
    <row r="7365">
      <c r="A7365" s="1" t="n">
        <v>7364</v>
      </c>
      <c r="B7365">
        <f>TEXT(7364, "[$-170000]yyyy-mm-dd")</f>
        <v/>
      </c>
      <c r="C7365">
        <f>TEXT(7364, "[$-060000]yyyy-mm-dd")</f>
        <v/>
      </c>
      <c r="D7365" t="inlineStr">
        <is>
          <t>1338-06-09</t>
        </is>
      </c>
    </row>
    <row r="7366">
      <c r="A7366" s="1" t="n">
        <v>7365</v>
      </c>
      <c r="B7366">
        <f>TEXT(7365, "[$-170000]yyyy-mm-dd")</f>
        <v/>
      </c>
      <c r="C7366">
        <f>TEXT(7365, "[$-060000]yyyy-mm-dd")</f>
        <v/>
      </c>
      <c r="D7366" t="inlineStr">
        <is>
          <t>1338-06-10</t>
        </is>
      </c>
    </row>
    <row r="7367">
      <c r="A7367" s="1" t="n">
        <v>7366</v>
      </c>
      <c r="B7367">
        <f>TEXT(7366, "[$-170000]yyyy-mm-dd")</f>
        <v/>
      </c>
      <c r="C7367">
        <f>TEXT(7366, "[$-060000]yyyy-mm-dd")</f>
        <v/>
      </c>
      <c r="D7367" t="inlineStr">
        <is>
          <t>1338-06-11</t>
        </is>
      </c>
    </row>
    <row r="7368">
      <c r="A7368" s="1" t="n">
        <v>7367</v>
      </c>
      <c r="B7368">
        <f>TEXT(7367, "[$-170000]yyyy-mm-dd")</f>
        <v/>
      </c>
      <c r="C7368">
        <f>TEXT(7367, "[$-060000]yyyy-mm-dd")</f>
        <v/>
      </c>
      <c r="D7368" t="inlineStr">
        <is>
          <t>1338-06-12</t>
        </is>
      </c>
    </row>
    <row r="7369">
      <c r="A7369" s="1" t="n">
        <v>7368</v>
      </c>
      <c r="B7369">
        <f>TEXT(7368, "[$-170000]yyyy-mm-dd")</f>
        <v/>
      </c>
      <c r="C7369">
        <f>TEXT(7368, "[$-060000]yyyy-mm-dd")</f>
        <v/>
      </c>
      <c r="D7369" t="inlineStr">
        <is>
          <t>1338-06-13</t>
        </is>
      </c>
    </row>
    <row r="7370">
      <c r="A7370" s="1" t="n">
        <v>7369</v>
      </c>
      <c r="B7370">
        <f>TEXT(7369, "[$-170000]yyyy-mm-dd")</f>
        <v/>
      </c>
      <c r="C7370">
        <f>TEXT(7369, "[$-060000]yyyy-mm-dd")</f>
        <v/>
      </c>
      <c r="D7370" t="inlineStr">
        <is>
          <t>1338-06-14</t>
        </is>
      </c>
    </row>
    <row r="7371">
      <c r="A7371" s="1" t="n">
        <v>7370</v>
      </c>
      <c r="B7371">
        <f>TEXT(7370, "[$-170000]yyyy-mm-dd")</f>
        <v/>
      </c>
      <c r="C7371">
        <f>TEXT(7370, "[$-060000]yyyy-mm-dd")</f>
        <v/>
      </c>
      <c r="D7371" t="inlineStr">
        <is>
          <t>1338-06-15</t>
        </is>
      </c>
    </row>
    <row r="7372">
      <c r="A7372" s="1" t="n">
        <v>7371</v>
      </c>
      <c r="B7372">
        <f>TEXT(7371, "[$-170000]yyyy-mm-dd")</f>
        <v/>
      </c>
      <c r="C7372">
        <f>TEXT(7371, "[$-060000]yyyy-mm-dd")</f>
        <v/>
      </c>
      <c r="D7372" t="inlineStr">
        <is>
          <t>1338-06-16</t>
        </is>
      </c>
    </row>
    <row r="7373">
      <c r="A7373" s="1" t="n">
        <v>7372</v>
      </c>
      <c r="B7373">
        <f>TEXT(7372, "[$-170000]yyyy-mm-dd")</f>
        <v/>
      </c>
      <c r="C7373">
        <f>TEXT(7372, "[$-060000]yyyy-mm-dd")</f>
        <v/>
      </c>
      <c r="D7373" t="inlineStr">
        <is>
          <t>1338-06-17</t>
        </is>
      </c>
    </row>
    <row r="7374">
      <c r="A7374" s="1" t="n">
        <v>7373</v>
      </c>
      <c r="B7374">
        <f>TEXT(7373, "[$-170000]yyyy-mm-dd")</f>
        <v/>
      </c>
      <c r="C7374">
        <f>TEXT(7373, "[$-060000]yyyy-mm-dd")</f>
        <v/>
      </c>
      <c r="D7374" t="inlineStr">
        <is>
          <t>1338-06-18</t>
        </is>
      </c>
    </row>
    <row r="7375">
      <c r="A7375" s="1" t="n">
        <v>7374</v>
      </c>
      <c r="B7375">
        <f>TEXT(7374, "[$-170000]yyyy-mm-dd")</f>
        <v/>
      </c>
      <c r="C7375">
        <f>TEXT(7374, "[$-060000]yyyy-mm-dd")</f>
        <v/>
      </c>
      <c r="D7375" t="inlineStr">
        <is>
          <t>1338-06-19</t>
        </is>
      </c>
    </row>
    <row r="7376">
      <c r="A7376" s="1" t="n">
        <v>7375</v>
      </c>
      <c r="B7376">
        <f>TEXT(7375, "[$-170000]yyyy-mm-dd")</f>
        <v/>
      </c>
      <c r="C7376">
        <f>TEXT(7375, "[$-060000]yyyy-mm-dd")</f>
        <v/>
      </c>
      <c r="D7376" t="inlineStr">
        <is>
          <t>1338-06-20</t>
        </is>
      </c>
    </row>
    <row r="7377">
      <c r="A7377" s="1" t="n">
        <v>7376</v>
      </c>
      <c r="B7377">
        <f>TEXT(7376, "[$-170000]yyyy-mm-dd")</f>
        <v/>
      </c>
      <c r="C7377">
        <f>TEXT(7376, "[$-060000]yyyy-mm-dd")</f>
        <v/>
      </c>
      <c r="D7377" t="inlineStr">
        <is>
          <t>1338-06-21</t>
        </is>
      </c>
    </row>
    <row r="7378">
      <c r="A7378" s="1" t="n">
        <v>7377</v>
      </c>
      <c r="B7378">
        <f>TEXT(7377, "[$-170000]yyyy-mm-dd")</f>
        <v/>
      </c>
      <c r="C7378">
        <f>TEXT(7377, "[$-060000]yyyy-mm-dd")</f>
        <v/>
      </c>
      <c r="D7378" t="inlineStr">
        <is>
          <t>1338-06-22</t>
        </is>
      </c>
    </row>
    <row r="7379">
      <c r="A7379" s="1" t="n">
        <v>7378</v>
      </c>
      <c r="B7379">
        <f>TEXT(7378, "[$-170000]yyyy-mm-dd")</f>
        <v/>
      </c>
      <c r="C7379">
        <f>TEXT(7378, "[$-060000]yyyy-mm-dd")</f>
        <v/>
      </c>
      <c r="D7379" t="inlineStr">
        <is>
          <t>1338-06-23</t>
        </is>
      </c>
    </row>
    <row r="7380">
      <c r="A7380" s="1" t="n">
        <v>7379</v>
      </c>
      <c r="B7380">
        <f>TEXT(7379, "[$-170000]yyyy-mm-dd")</f>
        <v/>
      </c>
      <c r="C7380">
        <f>TEXT(7379, "[$-060000]yyyy-mm-dd")</f>
        <v/>
      </c>
      <c r="D7380" t="inlineStr">
        <is>
          <t>1338-06-24</t>
        </is>
      </c>
    </row>
    <row r="7381">
      <c r="A7381" s="1" t="n">
        <v>7380</v>
      </c>
      <c r="B7381">
        <f>TEXT(7380, "[$-170000]yyyy-mm-dd")</f>
        <v/>
      </c>
      <c r="C7381">
        <f>TEXT(7380, "[$-060000]yyyy-mm-dd")</f>
        <v/>
      </c>
      <c r="D7381" t="inlineStr">
        <is>
          <t>1338-06-25</t>
        </is>
      </c>
    </row>
    <row r="7382">
      <c r="A7382" s="1" t="n">
        <v>7381</v>
      </c>
      <c r="B7382">
        <f>TEXT(7381, "[$-170000]yyyy-mm-dd")</f>
        <v/>
      </c>
      <c r="C7382">
        <f>TEXT(7381, "[$-060000]yyyy-mm-dd")</f>
        <v/>
      </c>
      <c r="D7382" t="inlineStr">
        <is>
          <t>1338-06-26</t>
        </is>
      </c>
    </row>
    <row r="7383">
      <c r="A7383" s="1" t="n">
        <v>7382</v>
      </c>
      <c r="B7383">
        <f>TEXT(7382, "[$-170000]yyyy-mm-dd")</f>
        <v/>
      </c>
      <c r="C7383">
        <f>TEXT(7382, "[$-060000]yyyy-mm-dd")</f>
        <v/>
      </c>
      <c r="D7383" t="inlineStr">
        <is>
          <t>1338-06-27</t>
        </is>
      </c>
    </row>
    <row r="7384">
      <c r="A7384" s="1" t="n">
        <v>7383</v>
      </c>
      <c r="B7384">
        <f>TEXT(7383, "[$-170000]yyyy-mm-dd")</f>
        <v/>
      </c>
      <c r="C7384">
        <f>TEXT(7383, "[$-060000]yyyy-mm-dd")</f>
        <v/>
      </c>
      <c r="D7384" t="inlineStr">
        <is>
          <t>1338-06-28</t>
        </is>
      </c>
    </row>
    <row r="7385">
      <c r="A7385" s="1" t="n">
        <v>7384</v>
      </c>
      <c r="B7385">
        <f>TEXT(7384, "[$-170000]yyyy-mm-dd")</f>
        <v/>
      </c>
      <c r="C7385">
        <f>TEXT(7384, "[$-060000]yyyy-mm-dd")</f>
        <v/>
      </c>
      <c r="D7385" t="inlineStr">
        <is>
          <t>1338-06-29</t>
        </is>
      </c>
    </row>
    <row r="7386">
      <c r="A7386" s="1" t="n">
        <v>7385</v>
      </c>
      <c r="B7386">
        <f>TEXT(7385, "[$-170000]yyyy-mm-dd")</f>
        <v/>
      </c>
      <c r="C7386">
        <f>TEXT(7385, "[$-060000]yyyy-mm-dd")</f>
        <v/>
      </c>
      <c r="D7386" t="inlineStr">
        <is>
          <t>1338-07-01</t>
        </is>
      </c>
    </row>
    <row r="7387">
      <c r="A7387" s="1" t="n">
        <v>7386</v>
      </c>
      <c r="B7387">
        <f>TEXT(7386, "[$-170000]yyyy-mm-dd")</f>
        <v/>
      </c>
      <c r="C7387">
        <f>TEXT(7386, "[$-060000]yyyy-mm-dd")</f>
        <v/>
      </c>
      <c r="D7387" t="inlineStr">
        <is>
          <t>1338-07-02</t>
        </is>
      </c>
    </row>
    <row r="7388">
      <c r="A7388" s="1" t="n">
        <v>7387</v>
      </c>
      <c r="B7388">
        <f>TEXT(7387, "[$-170000]yyyy-mm-dd")</f>
        <v/>
      </c>
      <c r="C7388">
        <f>TEXT(7387, "[$-060000]yyyy-mm-dd")</f>
        <v/>
      </c>
      <c r="D7388" t="inlineStr">
        <is>
          <t>1338-07-03</t>
        </is>
      </c>
    </row>
    <row r="7389">
      <c r="A7389" s="1" t="n">
        <v>7388</v>
      </c>
      <c r="B7389">
        <f>TEXT(7388, "[$-170000]yyyy-mm-dd")</f>
        <v/>
      </c>
      <c r="C7389">
        <f>TEXT(7388, "[$-060000]yyyy-mm-dd")</f>
        <v/>
      </c>
      <c r="D7389" t="inlineStr">
        <is>
          <t>1338-07-04</t>
        </is>
      </c>
    </row>
    <row r="7390">
      <c r="A7390" s="1" t="n">
        <v>7389</v>
      </c>
      <c r="B7390">
        <f>TEXT(7389, "[$-170000]yyyy-mm-dd")</f>
        <v/>
      </c>
      <c r="C7390">
        <f>TEXT(7389, "[$-060000]yyyy-mm-dd")</f>
        <v/>
      </c>
      <c r="D7390" t="inlineStr">
        <is>
          <t>1338-07-05</t>
        </is>
      </c>
    </row>
    <row r="7391">
      <c r="A7391" s="1" t="n">
        <v>7390</v>
      </c>
      <c r="B7391">
        <f>TEXT(7390, "[$-170000]yyyy-mm-dd")</f>
        <v/>
      </c>
      <c r="C7391">
        <f>TEXT(7390, "[$-060000]yyyy-mm-dd")</f>
        <v/>
      </c>
      <c r="D7391" t="inlineStr">
        <is>
          <t>1338-07-06</t>
        </is>
      </c>
    </row>
    <row r="7392">
      <c r="A7392" s="1" t="n">
        <v>7391</v>
      </c>
      <c r="B7392">
        <f>TEXT(7391, "[$-170000]yyyy-mm-dd")</f>
        <v/>
      </c>
      <c r="C7392">
        <f>TEXT(7391, "[$-060000]yyyy-mm-dd")</f>
        <v/>
      </c>
      <c r="D7392" t="inlineStr">
        <is>
          <t>1338-07-07</t>
        </is>
      </c>
    </row>
    <row r="7393">
      <c r="A7393" s="1" t="n">
        <v>7392</v>
      </c>
      <c r="B7393">
        <f>TEXT(7392, "[$-170000]yyyy-mm-dd")</f>
        <v/>
      </c>
      <c r="C7393">
        <f>TEXT(7392, "[$-060000]yyyy-mm-dd")</f>
        <v/>
      </c>
      <c r="D7393" t="inlineStr">
        <is>
          <t>1338-07-08</t>
        </is>
      </c>
    </row>
    <row r="7394">
      <c r="A7394" s="1" t="n">
        <v>7393</v>
      </c>
      <c r="B7394">
        <f>TEXT(7393, "[$-170000]yyyy-mm-dd")</f>
        <v/>
      </c>
      <c r="C7394">
        <f>TEXT(7393, "[$-060000]yyyy-mm-dd")</f>
        <v/>
      </c>
      <c r="D7394" t="inlineStr">
        <is>
          <t>1338-07-09</t>
        </is>
      </c>
    </row>
    <row r="7395">
      <c r="A7395" s="1" t="n">
        <v>7394</v>
      </c>
      <c r="B7395">
        <f>TEXT(7394, "[$-170000]yyyy-mm-dd")</f>
        <v/>
      </c>
      <c r="C7395">
        <f>TEXT(7394, "[$-060000]yyyy-mm-dd")</f>
        <v/>
      </c>
      <c r="D7395" t="inlineStr">
        <is>
          <t>1338-07-10</t>
        </is>
      </c>
    </row>
    <row r="7396">
      <c r="A7396" s="1" t="n">
        <v>7395</v>
      </c>
      <c r="B7396">
        <f>TEXT(7395, "[$-170000]yyyy-mm-dd")</f>
        <v/>
      </c>
      <c r="C7396">
        <f>TEXT(7395, "[$-060000]yyyy-mm-dd")</f>
        <v/>
      </c>
      <c r="D7396" t="inlineStr">
        <is>
          <t>1338-07-11</t>
        </is>
      </c>
    </row>
    <row r="7397">
      <c r="A7397" s="1" t="n">
        <v>7396</v>
      </c>
      <c r="B7397">
        <f>TEXT(7396, "[$-170000]yyyy-mm-dd")</f>
        <v/>
      </c>
      <c r="C7397">
        <f>TEXT(7396, "[$-060000]yyyy-mm-dd")</f>
        <v/>
      </c>
      <c r="D7397" t="inlineStr">
        <is>
          <t>1338-07-12</t>
        </is>
      </c>
    </row>
    <row r="7398">
      <c r="A7398" s="1" t="n">
        <v>7397</v>
      </c>
      <c r="B7398">
        <f>TEXT(7397, "[$-170000]yyyy-mm-dd")</f>
        <v/>
      </c>
      <c r="C7398">
        <f>TEXT(7397, "[$-060000]yyyy-mm-dd")</f>
        <v/>
      </c>
      <c r="D7398" t="inlineStr">
        <is>
          <t>1338-07-13</t>
        </is>
      </c>
    </row>
    <row r="7399">
      <c r="A7399" s="1" t="n">
        <v>7398</v>
      </c>
      <c r="B7399">
        <f>TEXT(7398, "[$-170000]yyyy-mm-dd")</f>
        <v/>
      </c>
      <c r="C7399">
        <f>TEXT(7398, "[$-060000]yyyy-mm-dd")</f>
        <v/>
      </c>
      <c r="D7399" t="inlineStr">
        <is>
          <t>1338-07-14</t>
        </is>
      </c>
    </row>
    <row r="7400">
      <c r="A7400" s="1" t="n">
        <v>7399</v>
      </c>
      <c r="B7400">
        <f>TEXT(7399, "[$-170000]yyyy-mm-dd")</f>
        <v/>
      </c>
      <c r="C7400">
        <f>TEXT(7399, "[$-060000]yyyy-mm-dd")</f>
        <v/>
      </c>
      <c r="D7400" t="inlineStr">
        <is>
          <t>1338-07-15</t>
        </is>
      </c>
    </row>
    <row r="7401">
      <c r="A7401" s="1" t="n">
        <v>7400</v>
      </c>
      <c r="B7401">
        <f>TEXT(7400, "[$-170000]yyyy-mm-dd")</f>
        <v/>
      </c>
      <c r="C7401">
        <f>TEXT(7400, "[$-060000]yyyy-mm-dd")</f>
        <v/>
      </c>
      <c r="D7401" t="inlineStr">
        <is>
          <t>1338-07-16</t>
        </is>
      </c>
    </row>
    <row r="7402">
      <c r="A7402" s="1" t="n">
        <v>7401</v>
      </c>
      <c r="B7402">
        <f>TEXT(7401, "[$-170000]yyyy-mm-dd")</f>
        <v/>
      </c>
      <c r="C7402">
        <f>TEXT(7401, "[$-060000]yyyy-mm-dd")</f>
        <v/>
      </c>
      <c r="D7402" t="inlineStr">
        <is>
          <t>1338-07-17</t>
        </is>
      </c>
    </row>
    <row r="7403">
      <c r="A7403" s="1" t="n">
        <v>7402</v>
      </c>
      <c r="B7403">
        <f>TEXT(7402, "[$-170000]yyyy-mm-dd")</f>
        <v/>
      </c>
      <c r="C7403">
        <f>TEXT(7402, "[$-060000]yyyy-mm-dd")</f>
        <v/>
      </c>
      <c r="D7403" t="inlineStr">
        <is>
          <t>1338-07-18</t>
        </is>
      </c>
    </row>
    <row r="7404">
      <c r="A7404" s="1" t="n">
        <v>7403</v>
      </c>
      <c r="B7404">
        <f>TEXT(7403, "[$-170000]yyyy-mm-dd")</f>
        <v/>
      </c>
      <c r="C7404">
        <f>TEXT(7403, "[$-060000]yyyy-mm-dd")</f>
        <v/>
      </c>
      <c r="D7404" t="inlineStr">
        <is>
          <t>1338-07-19</t>
        </is>
      </c>
    </row>
    <row r="7405">
      <c r="A7405" s="1" t="n">
        <v>7404</v>
      </c>
      <c r="B7405">
        <f>TEXT(7404, "[$-170000]yyyy-mm-dd")</f>
        <v/>
      </c>
      <c r="C7405">
        <f>TEXT(7404, "[$-060000]yyyy-mm-dd")</f>
        <v/>
      </c>
      <c r="D7405" t="inlineStr">
        <is>
          <t>1338-07-20</t>
        </is>
      </c>
    </row>
    <row r="7406">
      <c r="A7406" s="1" t="n">
        <v>7405</v>
      </c>
      <c r="B7406">
        <f>TEXT(7405, "[$-170000]yyyy-mm-dd")</f>
        <v/>
      </c>
      <c r="C7406">
        <f>TEXT(7405, "[$-060000]yyyy-mm-dd")</f>
        <v/>
      </c>
      <c r="D7406" t="inlineStr">
        <is>
          <t>1338-07-21</t>
        </is>
      </c>
    </row>
    <row r="7407">
      <c r="A7407" s="1" t="n">
        <v>7406</v>
      </c>
      <c r="B7407">
        <f>TEXT(7406, "[$-170000]yyyy-mm-dd")</f>
        <v/>
      </c>
      <c r="C7407">
        <f>TEXT(7406, "[$-060000]yyyy-mm-dd")</f>
        <v/>
      </c>
      <c r="D7407" t="inlineStr">
        <is>
          <t>1338-07-22</t>
        </is>
      </c>
    </row>
    <row r="7408">
      <c r="A7408" s="1" t="n">
        <v>7407</v>
      </c>
      <c r="B7408">
        <f>TEXT(7407, "[$-170000]yyyy-mm-dd")</f>
        <v/>
      </c>
      <c r="C7408">
        <f>TEXT(7407, "[$-060000]yyyy-mm-dd")</f>
        <v/>
      </c>
      <c r="D7408" t="inlineStr">
        <is>
          <t>1338-07-23</t>
        </is>
      </c>
    </row>
    <row r="7409">
      <c r="A7409" s="1" t="n">
        <v>7408</v>
      </c>
      <c r="B7409">
        <f>TEXT(7408, "[$-170000]yyyy-mm-dd")</f>
        <v/>
      </c>
      <c r="C7409">
        <f>TEXT(7408, "[$-060000]yyyy-mm-dd")</f>
        <v/>
      </c>
      <c r="D7409" t="inlineStr">
        <is>
          <t>1338-07-24</t>
        </is>
      </c>
    </row>
    <row r="7410">
      <c r="A7410" s="1" t="n">
        <v>7409</v>
      </c>
      <c r="B7410">
        <f>TEXT(7409, "[$-170000]yyyy-mm-dd")</f>
        <v/>
      </c>
      <c r="C7410">
        <f>TEXT(7409, "[$-060000]yyyy-mm-dd")</f>
        <v/>
      </c>
      <c r="D7410" t="inlineStr">
        <is>
          <t>1338-07-25</t>
        </is>
      </c>
    </row>
    <row r="7411">
      <c r="A7411" s="1" t="n">
        <v>7410</v>
      </c>
      <c r="B7411">
        <f>TEXT(7410, "[$-170000]yyyy-mm-dd")</f>
        <v/>
      </c>
      <c r="C7411">
        <f>TEXT(7410, "[$-060000]yyyy-mm-dd")</f>
        <v/>
      </c>
      <c r="D7411" t="inlineStr">
        <is>
          <t>1338-07-26</t>
        </is>
      </c>
    </row>
    <row r="7412">
      <c r="A7412" s="1" t="n">
        <v>7411</v>
      </c>
      <c r="B7412">
        <f>TEXT(7411, "[$-170000]yyyy-mm-dd")</f>
        <v/>
      </c>
      <c r="C7412">
        <f>TEXT(7411, "[$-060000]yyyy-mm-dd")</f>
        <v/>
      </c>
      <c r="D7412" t="inlineStr">
        <is>
          <t>1338-07-27</t>
        </is>
      </c>
    </row>
    <row r="7413">
      <c r="A7413" s="1" t="n">
        <v>7412</v>
      </c>
      <c r="B7413">
        <f>TEXT(7412, "[$-170000]yyyy-mm-dd")</f>
        <v/>
      </c>
      <c r="C7413">
        <f>TEXT(7412, "[$-060000]yyyy-mm-dd")</f>
        <v/>
      </c>
      <c r="D7413" t="inlineStr">
        <is>
          <t>1338-07-28</t>
        </is>
      </c>
    </row>
    <row r="7414">
      <c r="A7414" s="1" t="n">
        <v>7413</v>
      </c>
      <c r="B7414">
        <f>TEXT(7413, "[$-170000]yyyy-mm-dd")</f>
        <v/>
      </c>
      <c r="C7414">
        <f>TEXT(7413, "[$-060000]yyyy-mm-dd")</f>
        <v/>
      </c>
      <c r="D7414" t="inlineStr">
        <is>
          <t>1338-07-29</t>
        </is>
      </c>
    </row>
    <row r="7415">
      <c r="A7415" s="1" t="n">
        <v>7414</v>
      </c>
      <c r="B7415">
        <f>TEXT(7414, "[$-170000]yyyy-mm-dd")</f>
        <v/>
      </c>
      <c r="C7415">
        <f>TEXT(7414, "[$-060000]yyyy-mm-dd")</f>
        <v/>
      </c>
      <c r="D7415" t="inlineStr">
        <is>
          <t>1338-07-30</t>
        </is>
      </c>
    </row>
    <row r="7416">
      <c r="A7416" s="1" t="n">
        <v>7415</v>
      </c>
      <c r="B7416">
        <f>TEXT(7415, "[$-170000]yyyy-mm-dd")</f>
        <v/>
      </c>
      <c r="C7416">
        <f>TEXT(7415, "[$-060000]yyyy-mm-dd")</f>
        <v/>
      </c>
      <c r="D7416" t="inlineStr">
        <is>
          <t>1338-08-01</t>
        </is>
      </c>
    </row>
    <row r="7417">
      <c r="A7417" s="1" t="n">
        <v>7416</v>
      </c>
      <c r="B7417">
        <f>TEXT(7416, "[$-170000]yyyy-mm-dd")</f>
        <v/>
      </c>
      <c r="C7417">
        <f>TEXT(7416, "[$-060000]yyyy-mm-dd")</f>
        <v/>
      </c>
      <c r="D7417" t="inlineStr">
        <is>
          <t>1338-08-02</t>
        </is>
      </c>
    </row>
    <row r="7418">
      <c r="A7418" s="1" t="n">
        <v>7417</v>
      </c>
      <c r="B7418">
        <f>TEXT(7417, "[$-170000]yyyy-mm-dd")</f>
        <v/>
      </c>
      <c r="C7418">
        <f>TEXT(7417, "[$-060000]yyyy-mm-dd")</f>
        <v/>
      </c>
      <c r="D7418" t="inlineStr">
        <is>
          <t>1338-08-03</t>
        </is>
      </c>
    </row>
    <row r="7419">
      <c r="A7419" s="1" t="n">
        <v>7418</v>
      </c>
      <c r="B7419">
        <f>TEXT(7418, "[$-170000]yyyy-mm-dd")</f>
        <v/>
      </c>
      <c r="C7419">
        <f>TEXT(7418, "[$-060000]yyyy-mm-dd")</f>
        <v/>
      </c>
      <c r="D7419" t="inlineStr">
        <is>
          <t>1338-08-04</t>
        </is>
      </c>
    </row>
    <row r="7420">
      <c r="A7420" s="1" t="n">
        <v>7419</v>
      </c>
      <c r="B7420">
        <f>TEXT(7419, "[$-170000]yyyy-mm-dd")</f>
        <v/>
      </c>
      <c r="C7420">
        <f>TEXT(7419, "[$-060000]yyyy-mm-dd")</f>
        <v/>
      </c>
      <c r="D7420" t="inlineStr">
        <is>
          <t>1338-08-05</t>
        </is>
      </c>
    </row>
    <row r="7421">
      <c r="A7421" s="1" t="n">
        <v>7420</v>
      </c>
      <c r="B7421">
        <f>TEXT(7420, "[$-170000]yyyy-mm-dd")</f>
        <v/>
      </c>
      <c r="C7421">
        <f>TEXT(7420, "[$-060000]yyyy-mm-dd")</f>
        <v/>
      </c>
      <c r="D7421" t="inlineStr">
        <is>
          <t>1338-08-06</t>
        </is>
      </c>
    </row>
    <row r="7422">
      <c r="A7422" s="1" t="n">
        <v>7421</v>
      </c>
      <c r="B7422">
        <f>TEXT(7421, "[$-170000]yyyy-mm-dd")</f>
        <v/>
      </c>
      <c r="C7422">
        <f>TEXT(7421, "[$-060000]yyyy-mm-dd")</f>
        <v/>
      </c>
      <c r="D7422" t="inlineStr">
        <is>
          <t>1338-08-07</t>
        </is>
      </c>
    </row>
    <row r="7423">
      <c r="A7423" s="1" t="n">
        <v>7422</v>
      </c>
      <c r="B7423">
        <f>TEXT(7422, "[$-170000]yyyy-mm-dd")</f>
        <v/>
      </c>
      <c r="C7423">
        <f>TEXT(7422, "[$-060000]yyyy-mm-dd")</f>
        <v/>
      </c>
      <c r="D7423" t="inlineStr">
        <is>
          <t>1338-08-08</t>
        </is>
      </c>
    </row>
    <row r="7424">
      <c r="A7424" s="1" t="n">
        <v>7423</v>
      </c>
      <c r="B7424">
        <f>TEXT(7423, "[$-170000]yyyy-mm-dd")</f>
        <v/>
      </c>
      <c r="C7424">
        <f>TEXT(7423, "[$-060000]yyyy-mm-dd")</f>
        <v/>
      </c>
      <c r="D7424" t="inlineStr">
        <is>
          <t>1338-08-09</t>
        </is>
      </c>
    </row>
    <row r="7425">
      <c r="A7425" s="1" t="n">
        <v>7424</v>
      </c>
      <c r="B7425">
        <f>TEXT(7424, "[$-170000]yyyy-mm-dd")</f>
        <v/>
      </c>
      <c r="C7425">
        <f>TEXT(7424, "[$-060000]yyyy-mm-dd")</f>
        <v/>
      </c>
      <c r="D7425" t="inlineStr">
        <is>
          <t>1338-08-10</t>
        </is>
      </c>
    </row>
    <row r="7426">
      <c r="A7426" s="1" t="n">
        <v>7425</v>
      </c>
      <c r="B7426">
        <f>TEXT(7425, "[$-170000]yyyy-mm-dd")</f>
        <v/>
      </c>
      <c r="C7426">
        <f>TEXT(7425, "[$-060000]yyyy-mm-dd")</f>
        <v/>
      </c>
      <c r="D7426" t="inlineStr">
        <is>
          <t>1338-08-11</t>
        </is>
      </c>
    </row>
    <row r="7427">
      <c r="A7427" s="1" t="n">
        <v>7426</v>
      </c>
      <c r="B7427">
        <f>TEXT(7426, "[$-170000]yyyy-mm-dd")</f>
        <v/>
      </c>
      <c r="C7427">
        <f>TEXT(7426, "[$-060000]yyyy-mm-dd")</f>
        <v/>
      </c>
      <c r="D7427" t="inlineStr">
        <is>
          <t>1338-08-12</t>
        </is>
      </c>
    </row>
    <row r="7428">
      <c r="A7428" s="1" t="n">
        <v>7427</v>
      </c>
      <c r="B7428">
        <f>TEXT(7427, "[$-170000]yyyy-mm-dd")</f>
        <v/>
      </c>
      <c r="C7428">
        <f>TEXT(7427, "[$-060000]yyyy-mm-dd")</f>
        <v/>
      </c>
      <c r="D7428" t="inlineStr">
        <is>
          <t>1338-08-13</t>
        </is>
      </c>
    </row>
    <row r="7429">
      <c r="A7429" s="1" t="n">
        <v>7428</v>
      </c>
      <c r="B7429">
        <f>TEXT(7428, "[$-170000]yyyy-mm-dd")</f>
        <v/>
      </c>
      <c r="C7429">
        <f>TEXT(7428, "[$-060000]yyyy-mm-dd")</f>
        <v/>
      </c>
      <c r="D7429" t="inlineStr">
        <is>
          <t>1338-08-14</t>
        </is>
      </c>
    </row>
    <row r="7430">
      <c r="A7430" s="1" t="n">
        <v>7429</v>
      </c>
      <c r="B7430">
        <f>TEXT(7429, "[$-170000]yyyy-mm-dd")</f>
        <v/>
      </c>
      <c r="C7430">
        <f>TEXT(7429, "[$-060000]yyyy-mm-dd")</f>
        <v/>
      </c>
      <c r="D7430" t="inlineStr">
        <is>
          <t>1338-08-15</t>
        </is>
      </c>
    </row>
    <row r="7431">
      <c r="A7431" s="1" t="n">
        <v>7430</v>
      </c>
      <c r="B7431">
        <f>TEXT(7430, "[$-170000]yyyy-mm-dd")</f>
        <v/>
      </c>
      <c r="C7431">
        <f>TEXT(7430, "[$-060000]yyyy-mm-dd")</f>
        <v/>
      </c>
      <c r="D7431" t="inlineStr">
        <is>
          <t>1338-08-16</t>
        </is>
      </c>
    </row>
    <row r="7432">
      <c r="A7432" s="1" t="n">
        <v>7431</v>
      </c>
      <c r="B7432">
        <f>TEXT(7431, "[$-170000]yyyy-mm-dd")</f>
        <v/>
      </c>
      <c r="C7432">
        <f>TEXT(7431, "[$-060000]yyyy-mm-dd")</f>
        <v/>
      </c>
      <c r="D7432" t="inlineStr">
        <is>
          <t>1338-08-17</t>
        </is>
      </c>
    </row>
    <row r="7433">
      <c r="A7433" s="1" t="n">
        <v>7432</v>
      </c>
      <c r="B7433">
        <f>TEXT(7432, "[$-170000]yyyy-mm-dd")</f>
        <v/>
      </c>
      <c r="C7433">
        <f>TEXT(7432, "[$-060000]yyyy-mm-dd")</f>
        <v/>
      </c>
      <c r="D7433" t="inlineStr">
        <is>
          <t>1338-08-18</t>
        </is>
      </c>
    </row>
    <row r="7434">
      <c r="A7434" s="1" t="n">
        <v>7433</v>
      </c>
      <c r="B7434">
        <f>TEXT(7433, "[$-170000]yyyy-mm-dd")</f>
        <v/>
      </c>
      <c r="C7434">
        <f>TEXT(7433, "[$-060000]yyyy-mm-dd")</f>
        <v/>
      </c>
      <c r="D7434" t="inlineStr">
        <is>
          <t>1338-08-19</t>
        </is>
      </c>
    </row>
    <row r="7435">
      <c r="A7435" s="1" t="n">
        <v>7434</v>
      </c>
      <c r="B7435">
        <f>TEXT(7434, "[$-170000]yyyy-mm-dd")</f>
        <v/>
      </c>
      <c r="C7435">
        <f>TEXT(7434, "[$-060000]yyyy-mm-dd")</f>
        <v/>
      </c>
      <c r="D7435" t="inlineStr">
        <is>
          <t>1338-08-20</t>
        </is>
      </c>
    </row>
    <row r="7436">
      <c r="A7436" s="1" t="n">
        <v>7435</v>
      </c>
      <c r="B7436">
        <f>TEXT(7435, "[$-170000]yyyy-mm-dd")</f>
        <v/>
      </c>
      <c r="C7436">
        <f>TEXT(7435, "[$-060000]yyyy-mm-dd")</f>
        <v/>
      </c>
      <c r="D7436" t="inlineStr">
        <is>
          <t>1338-08-21</t>
        </is>
      </c>
    </row>
    <row r="7437">
      <c r="A7437" s="1" t="n">
        <v>7436</v>
      </c>
      <c r="B7437">
        <f>TEXT(7436, "[$-170000]yyyy-mm-dd")</f>
        <v/>
      </c>
      <c r="C7437">
        <f>TEXT(7436, "[$-060000]yyyy-mm-dd")</f>
        <v/>
      </c>
      <c r="D7437" t="inlineStr">
        <is>
          <t>1338-08-22</t>
        </is>
      </c>
    </row>
    <row r="7438">
      <c r="A7438" s="1" t="n">
        <v>7437</v>
      </c>
      <c r="B7438">
        <f>TEXT(7437, "[$-170000]yyyy-mm-dd")</f>
        <v/>
      </c>
      <c r="C7438">
        <f>TEXT(7437, "[$-060000]yyyy-mm-dd")</f>
        <v/>
      </c>
      <c r="D7438" t="inlineStr">
        <is>
          <t>1338-08-23</t>
        </is>
      </c>
    </row>
    <row r="7439">
      <c r="A7439" s="1" t="n">
        <v>7438</v>
      </c>
      <c r="B7439">
        <f>TEXT(7438, "[$-170000]yyyy-mm-dd")</f>
        <v/>
      </c>
      <c r="C7439">
        <f>TEXT(7438, "[$-060000]yyyy-mm-dd")</f>
        <v/>
      </c>
      <c r="D7439" t="inlineStr">
        <is>
          <t>1338-08-24</t>
        </is>
      </c>
    </row>
    <row r="7440">
      <c r="A7440" s="1" t="n">
        <v>7439</v>
      </c>
      <c r="B7440">
        <f>TEXT(7439, "[$-170000]yyyy-mm-dd")</f>
        <v/>
      </c>
      <c r="C7440">
        <f>TEXT(7439, "[$-060000]yyyy-mm-dd")</f>
        <v/>
      </c>
      <c r="D7440" t="inlineStr">
        <is>
          <t>1338-08-25</t>
        </is>
      </c>
    </row>
    <row r="7441">
      <c r="A7441" s="1" t="n">
        <v>7440</v>
      </c>
      <c r="B7441">
        <f>TEXT(7440, "[$-170000]yyyy-mm-dd")</f>
        <v/>
      </c>
      <c r="C7441">
        <f>TEXT(7440, "[$-060000]yyyy-mm-dd")</f>
        <v/>
      </c>
      <c r="D7441" t="inlineStr">
        <is>
          <t>1338-08-26</t>
        </is>
      </c>
    </row>
    <row r="7442">
      <c r="A7442" s="1" t="n">
        <v>7441</v>
      </c>
      <c r="B7442">
        <f>TEXT(7441, "[$-170000]yyyy-mm-dd")</f>
        <v/>
      </c>
      <c r="C7442">
        <f>TEXT(7441, "[$-060000]yyyy-mm-dd")</f>
        <v/>
      </c>
      <c r="D7442" t="inlineStr">
        <is>
          <t>1338-08-27</t>
        </is>
      </c>
    </row>
    <row r="7443">
      <c r="A7443" s="1" t="n">
        <v>7442</v>
      </c>
      <c r="B7443">
        <f>TEXT(7442, "[$-170000]yyyy-mm-dd")</f>
        <v/>
      </c>
      <c r="C7443">
        <f>TEXT(7442, "[$-060000]yyyy-mm-dd")</f>
        <v/>
      </c>
      <c r="D7443" t="inlineStr">
        <is>
          <t>1338-08-28</t>
        </is>
      </c>
    </row>
    <row r="7444">
      <c r="A7444" s="1" t="n">
        <v>7443</v>
      </c>
      <c r="B7444">
        <f>TEXT(7443, "[$-170000]yyyy-mm-dd")</f>
        <v/>
      </c>
      <c r="C7444">
        <f>TEXT(7443, "[$-060000]yyyy-mm-dd")</f>
        <v/>
      </c>
      <c r="D7444" t="inlineStr">
        <is>
          <t>1338-08-29</t>
        </is>
      </c>
    </row>
    <row r="7445">
      <c r="A7445" s="1" t="n">
        <v>7444</v>
      </c>
      <c r="B7445">
        <f>TEXT(7444, "[$-170000]yyyy-mm-dd")</f>
        <v/>
      </c>
      <c r="C7445">
        <f>TEXT(7444, "[$-060000]yyyy-mm-dd")</f>
        <v/>
      </c>
      <c r="D7445" t="inlineStr">
        <is>
          <t>1338-09-01</t>
        </is>
      </c>
    </row>
    <row r="7446">
      <c r="A7446" s="1" t="n">
        <v>7445</v>
      </c>
      <c r="B7446">
        <f>TEXT(7445, "[$-170000]yyyy-mm-dd")</f>
        <v/>
      </c>
      <c r="C7446">
        <f>TEXT(7445, "[$-060000]yyyy-mm-dd")</f>
        <v/>
      </c>
      <c r="D7446" t="inlineStr">
        <is>
          <t>1338-09-02</t>
        </is>
      </c>
    </row>
    <row r="7447">
      <c r="A7447" s="1" t="n">
        <v>7446</v>
      </c>
      <c r="B7447">
        <f>TEXT(7446, "[$-170000]yyyy-mm-dd")</f>
        <v/>
      </c>
      <c r="C7447">
        <f>TEXT(7446, "[$-060000]yyyy-mm-dd")</f>
        <v/>
      </c>
      <c r="D7447" t="inlineStr">
        <is>
          <t>1338-09-03</t>
        </is>
      </c>
    </row>
    <row r="7448">
      <c r="A7448" s="1" t="n">
        <v>7447</v>
      </c>
      <c r="B7448">
        <f>TEXT(7447, "[$-170000]yyyy-mm-dd")</f>
        <v/>
      </c>
      <c r="C7448">
        <f>TEXT(7447, "[$-060000]yyyy-mm-dd")</f>
        <v/>
      </c>
      <c r="D7448" t="inlineStr">
        <is>
          <t>1338-09-04</t>
        </is>
      </c>
    </row>
    <row r="7449">
      <c r="A7449" s="1" t="n">
        <v>7448</v>
      </c>
      <c r="B7449">
        <f>TEXT(7448, "[$-170000]yyyy-mm-dd")</f>
        <v/>
      </c>
      <c r="C7449">
        <f>TEXT(7448, "[$-060000]yyyy-mm-dd")</f>
        <v/>
      </c>
      <c r="D7449" t="inlineStr">
        <is>
          <t>1338-09-05</t>
        </is>
      </c>
    </row>
    <row r="7450">
      <c r="A7450" s="1" t="n">
        <v>7449</v>
      </c>
      <c r="B7450">
        <f>TEXT(7449, "[$-170000]yyyy-mm-dd")</f>
        <v/>
      </c>
      <c r="C7450">
        <f>TEXT(7449, "[$-060000]yyyy-mm-dd")</f>
        <v/>
      </c>
      <c r="D7450" t="inlineStr">
        <is>
          <t>1338-09-06</t>
        </is>
      </c>
    </row>
    <row r="7451">
      <c r="A7451" s="1" t="n">
        <v>7450</v>
      </c>
      <c r="B7451">
        <f>TEXT(7450, "[$-170000]yyyy-mm-dd")</f>
        <v/>
      </c>
      <c r="C7451">
        <f>TEXT(7450, "[$-060000]yyyy-mm-dd")</f>
        <v/>
      </c>
      <c r="D7451" t="inlineStr">
        <is>
          <t>1338-09-07</t>
        </is>
      </c>
    </row>
    <row r="7452">
      <c r="A7452" s="1" t="n">
        <v>7451</v>
      </c>
      <c r="B7452">
        <f>TEXT(7451, "[$-170000]yyyy-mm-dd")</f>
        <v/>
      </c>
      <c r="C7452">
        <f>TEXT(7451, "[$-060000]yyyy-mm-dd")</f>
        <v/>
      </c>
      <c r="D7452" t="inlineStr">
        <is>
          <t>1338-09-08</t>
        </is>
      </c>
    </row>
    <row r="7453">
      <c r="A7453" s="1" t="n">
        <v>7452</v>
      </c>
      <c r="B7453">
        <f>TEXT(7452, "[$-170000]yyyy-mm-dd")</f>
        <v/>
      </c>
      <c r="C7453">
        <f>TEXT(7452, "[$-060000]yyyy-mm-dd")</f>
        <v/>
      </c>
      <c r="D7453" t="inlineStr">
        <is>
          <t>1338-09-09</t>
        </is>
      </c>
    </row>
    <row r="7454">
      <c r="A7454" s="1" t="n">
        <v>7453</v>
      </c>
      <c r="B7454">
        <f>TEXT(7453, "[$-170000]yyyy-mm-dd")</f>
        <v/>
      </c>
      <c r="C7454">
        <f>TEXT(7453, "[$-060000]yyyy-mm-dd")</f>
        <v/>
      </c>
      <c r="D7454" t="inlineStr">
        <is>
          <t>1338-09-10</t>
        </is>
      </c>
    </row>
    <row r="7455">
      <c r="A7455" s="1" t="n">
        <v>7454</v>
      </c>
      <c r="B7455">
        <f>TEXT(7454, "[$-170000]yyyy-mm-dd")</f>
        <v/>
      </c>
      <c r="C7455">
        <f>TEXT(7454, "[$-060000]yyyy-mm-dd")</f>
        <v/>
      </c>
      <c r="D7455" t="inlineStr">
        <is>
          <t>1338-09-11</t>
        </is>
      </c>
    </row>
    <row r="7456">
      <c r="A7456" s="1" t="n">
        <v>7455</v>
      </c>
      <c r="B7456">
        <f>TEXT(7455, "[$-170000]yyyy-mm-dd")</f>
        <v/>
      </c>
      <c r="C7456">
        <f>TEXT(7455, "[$-060000]yyyy-mm-dd")</f>
        <v/>
      </c>
      <c r="D7456" t="inlineStr">
        <is>
          <t>1338-09-12</t>
        </is>
      </c>
    </row>
    <row r="7457">
      <c r="A7457" s="1" t="n">
        <v>7456</v>
      </c>
      <c r="B7457">
        <f>TEXT(7456, "[$-170000]yyyy-mm-dd")</f>
        <v/>
      </c>
      <c r="C7457">
        <f>TEXT(7456, "[$-060000]yyyy-mm-dd")</f>
        <v/>
      </c>
      <c r="D7457" t="inlineStr">
        <is>
          <t>1338-09-13</t>
        </is>
      </c>
    </row>
    <row r="7458">
      <c r="A7458" s="1" t="n">
        <v>7457</v>
      </c>
      <c r="B7458">
        <f>TEXT(7457, "[$-170000]yyyy-mm-dd")</f>
        <v/>
      </c>
      <c r="C7458">
        <f>TEXT(7457, "[$-060000]yyyy-mm-dd")</f>
        <v/>
      </c>
      <c r="D7458" t="inlineStr">
        <is>
          <t>1338-09-14</t>
        </is>
      </c>
    </row>
    <row r="7459">
      <c r="A7459" s="1" t="n">
        <v>7458</v>
      </c>
      <c r="B7459">
        <f>TEXT(7458, "[$-170000]yyyy-mm-dd")</f>
        <v/>
      </c>
      <c r="C7459">
        <f>TEXT(7458, "[$-060000]yyyy-mm-dd")</f>
        <v/>
      </c>
      <c r="D7459" t="inlineStr">
        <is>
          <t>1338-09-15</t>
        </is>
      </c>
    </row>
    <row r="7460">
      <c r="A7460" s="1" t="n">
        <v>7459</v>
      </c>
      <c r="B7460">
        <f>TEXT(7459, "[$-170000]yyyy-mm-dd")</f>
        <v/>
      </c>
      <c r="C7460">
        <f>TEXT(7459, "[$-060000]yyyy-mm-dd")</f>
        <v/>
      </c>
      <c r="D7460" t="inlineStr">
        <is>
          <t>1338-09-16</t>
        </is>
      </c>
    </row>
    <row r="7461">
      <c r="A7461" s="1" t="n">
        <v>7460</v>
      </c>
      <c r="B7461">
        <f>TEXT(7460, "[$-170000]yyyy-mm-dd")</f>
        <v/>
      </c>
      <c r="C7461">
        <f>TEXT(7460, "[$-060000]yyyy-mm-dd")</f>
        <v/>
      </c>
      <c r="D7461" t="inlineStr">
        <is>
          <t>1338-09-17</t>
        </is>
      </c>
    </row>
    <row r="7462">
      <c r="A7462" s="1" t="n">
        <v>7461</v>
      </c>
      <c r="B7462">
        <f>TEXT(7461, "[$-170000]yyyy-mm-dd")</f>
        <v/>
      </c>
      <c r="C7462">
        <f>TEXT(7461, "[$-060000]yyyy-mm-dd")</f>
        <v/>
      </c>
      <c r="D7462" t="inlineStr">
        <is>
          <t>1338-09-18</t>
        </is>
      </c>
    </row>
    <row r="7463">
      <c r="A7463" s="1" t="n">
        <v>7462</v>
      </c>
      <c r="B7463">
        <f>TEXT(7462, "[$-170000]yyyy-mm-dd")</f>
        <v/>
      </c>
      <c r="C7463">
        <f>TEXT(7462, "[$-060000]yyyy-mm-dd")</f>
        <v/>
      </c>
      <c r="D7463" t="inlineStr">
        <is>
          <t>1338-09-19</t>
        </is>
      </c>
    </row>
    <row r="7464">
      <c r="A7464" s="1" t="n">
        <v>7463</v>
      </c>
      <c r="B7464">
        <f>TEXT(7463, "[$-170000]yyyy-mm-dd")</f>
        <v/>
      </c>
      <c r="C7464">
        <f>TEXT(7463, "[$-060000]yyyy-mm-dd")</f>
        <v/>
      </c>
      <c r="D7464" t="inlineStr">
        <is>
          <t>1338-09-20</t>
        </is>
      </c>
    </row>
    <row r="7465">
      <c r="A7465" s="1" t="n">
        <v>7464</v>
      </c>
      <c r="B7465">
        <f>TEXT(7464, "[$-170000]yyyy-mm-dd")</f>
        <v/>
      </c>
      <c r="C7465">
        <f>TEXT(7464, "[$-060000]yyyy-mm-dd")</f>
        <v/>
      </c>
      <c r="D7465" t="inlineStr">
        <is>
          <t>1338-09-21</t>
        </is>
      </c>
    </row>
    <row r="7466">
      <c r="A7466" s="1" t="n">
        <v>7465</v>
      </c>
      <c r="B7466">
        <f>TEXT(7465, "[$-170000]yyyy-mm-dd")</f>
        <v/>
      </c>
      <c r="C7466">
        <f>TEXT(7465, "[$-060000]yyyy-mm-dd")</f>
        <v/>
      </c>
      <c r="D7466" t="inlineStr">
        <is>
          <t>1338-09-22</t>
        </is>
      </c>
    </row>
    <row r="7467">
      <c r="A7467" s="1" t="n">
        <v>7466</v>
      </c>
      <c r="B7467">
        <f>TEXT(7466, "[$-170000]yyyy-mm-dd")</f>
        <v/>
      </c>
      <c r="C7467">
        <f>TEXT(7466, "[$-060000]yyyy-mm-dd")</f>
        <v/>
      </c>
      <c r="D7467" t="inlineStr">
        <is>
          <t>1338-09-23</t>
        </is>
      </c>
    </row>
    <row r="7468">
      <c r="A7468" s="1" t="n">
        <v>7467</v>
      </c>
      <c r="B7468">
        <f>TEXT(7467, "[$-170000]yyyy-mm-dd")</f>
        <v/>
      </c>
      <c r="C7468">
        <f>TEXT(7467, "[$-060000]yyyy-mm-dd")</f>
        <v/>
      </c>
      <c r="D7468" t="inlineStr">
        <is>
          <t>1338-09-24</t>
        </is>
      </c>
    </row>
    <row r="7469">
      <c r="A7469" s="1" t="n">
        <v>7468</v>
      </c>
      <c r="B7469">
        <f>TEXT(7468, "[$-170000]yyyy-mm-dd")</f>
        <v/>
      </c>
      <c r="C7469">
        <f>TEXT(7468, "[$-060000]yyyy-mm-dd")</f>
        <v/>
      </c>
      <c r="D7469" t="inlineStr">
        <is>
          <t>1338-09-25</t>
        </is>
      </c>
    </row>
    <row r="7470">
      <c r="A7470" s="1" t="n">
        <v>7469</v>
      </c>
      <c r="B7470">
        <f>TEXT(7469, "[$-170000]yyyy-mm-dd")</f>
        <v/>
      </c>
      <c r="C7470">
        <f>TEXT(7469, "[$-060000]yyyy-mm-dd")</f>
        <v/>
      </c>
      <c r="D7470" t="inlineStr">
        <is>
          <t>1338-09-26</t>
        </is>
      </c>
    </row>
    <row r="7471">
      <c r="A7471" s="1" t="n">
        <v>7470</v>
      </c>
      <c r="B7471">
        <f>TEXT(7470, "[$-170000]yyyy-mm-dd")</f>
        <v/>
      </c>
      <c r="C7471">
        <f>TEXT(7470, "[$-060000]yyyy-mm-dd")</f>
        <v/>
      </c>
      <c r="D7471" t="inlineStr">
        <is>
          <t>1338-09-27</t>
        </is>
      </c>
    </row>
    <row r="7472">
      <c r="A7472" s="1" t="n">
        <v>7471</v>
      </c>
      <c r="B7472">
        <f>TEXT(7471, "[$-170000]yyyy-mm-dd")</f>
        <v/>
      </c>
      <c r="C7472">
        <f>TEXT(7471, "[$-060000]yyyy-mm-dd")</f>
        <v/>
      </c>
      <c r="D7472" t="inlineStr">
        <is>
          <t>1338-09-28</t>
        </is>
      </c>
    </row>
    <row r="7473">
      <c r="A7473" s="1" t="n">
        <v>7472</v>
      </c>
      <c r="B7473">
        <f>TEXT(7472, "[$-170000]yyyy-mm-dd")</f>
        <v/>
      </c>
      <c r="C7473">
        <f>TEXT(7472, "[$-060000]yyyy-mm-dd")</f>
        <v/>
      </c>
      <c r="D7473" t="inlineStr">
        <is>
          <t>1338-09-29</t>
        </is>
      </c>
    </row>
    <row r="7474">
      <c r="A7474" s="1" t="n">
        <v>7473</v>
      </c>
      <c r="B7474">
        <f>TEXT(7473, "[$-170000]yyyy-mm-dd")</f>
        <v/>
      </c>
      <c r="C7474">
        <f>TEXT(7473, "[$-060000]yyyy-mm-dd")</f>
        <v/>
      </c>
      <c r="D7474" t="inlineStr">
        <is>
          <t>1338-09-30</t>
        </is>
      </c>
    </row>
    <row r="7475">
      <c r="A7475" s="1" t="n">
        <v>7474</v>
      </c>
      <c r="B7475">
        <f>TEXT(7474, "[$-170000]yyyy-mm-dd")</f>
        <v/>
      </c>
      <c r="C7475">
        <f>TEXT(7474, "[$-060000]yyyy-mm-dd")</f>
        <v/>
      </c>
      <c r="D7475" t="inlineStr">
        <is>
          <t>1338-10-01</t>
        </is>
      </c>
    </row>
    <row r="7476">
      <c r="A7476" s="1" t="n">
        <v>7475</v>
      </c>
      <c r="B7476">
        <f>TEXT(7475, "[$-170000]yyyy-mm-dd")</f>
        <v/>
      </c>
      <c r="C7476">
        <f>TEXT(7475, "[$-060000]yyyy-mm-dd")</f>
        <v/>
      </c>
      <c r="D7476" t="inlineStr">
        <is>
          <t>1338-10-02</t>
        </is>
      </c>
    </row>
    <row r="7477">
      <c r="A7477" s="1" t="n">
        <v>7476</v>
      </c>
      <c r="B7477">
        <f>TEXT(7476, "[$-170000]yyyy-mm-dd")</f>
        <v/>
      </c>
      <c r="C7477">
        <f>TEXT(7476, "[$-060000]yyyy-mm-dd")</f>
        <v/>
      </c>
      <c r="D7477" t="inlineStr">
        <is>
          <t>1338-10-03</t>
        </is>
      </c>
    </row>
    <row r="7478">
      <c r="A7478" s="1" t="n">
        <v>7477</v>
      </c>
      <c r="B7478">
        <f>TEXT(7477, "[$-170000]yyyy-mm-dd")</f>
        <v/>
      </c>
      <c r="C7478">
        <f>TEXT(7477, "[$-060000]yyyy-mm-dd")</f>
        <v/>
      </c>
      <c r="D7478" t="inlineStr">
        <is>
          <t>1338-10-04</t>
        </is>
      </c>
    </row>
    <row r="7479">
      <c r="A7479" s="1" t="n">
        <v>7478</v>
      </c>
      <c r="B7479">
        <f>TEXT(7478, "[$-170000]yyyy-mm-dd")</f>
        <v/>
      </c>
      <c r="C7479">
        <f>TEXT(7478, "[$-060000]yyyy-mm-dd")</f>
        <v/>
      </c>
      <c r="D7479" t="inlineStr">
        <is>
          <t>1338-10-05</t>
        </is>
      </c>
    </row>
    <row r="7480">
      <c r="A7480" s="1" t="n">
        <v>7479</v>
      </c>
      <c r="B7480">
        <f>TEXT(7479, "[$-170000]yyyy-mm-dd")</f>
        <v/>
      </c>
      <c r="C7480">
        <f>TEXT(7479, "[$-060000]yyyy-mm-dd")</f>
        <v/>
      </c>
      <c r="D7480" t="inlineStr">
        <is>
          <t>1338-10-06</t>
        </is>
      </c>
    </row>
    <row r="7481">
      <c r="A7481" s="1" t="n">
        <v>7480</v>
      </c>
      <c r="B7481">
        <f>TEXT(7480, "[$-170000]yyyy-mm-dd")</f>
        <v/>
      </c>
      <c r="C7481">
        <f>TEXT(7480, "[$-060000]yyyy-mm-dd")</f>
        <v/>
      </c>
      <c r="D7481" t="inlineStr">
        <is>
          <t>1338-10-07</t>
        </is>
      </c>
    </row>
    <row r="7482">
      <c r="A7482" s="1" t="n">
        <v>7481</v>
      </c>
      <c r="B7482">
        <f>TEXT(7481, "[$-170000]yyyy-mm-dd")</f>
        <v/>
      </c>
      <c r="C7482">
        <f>TEXT(7481, "[$-060000]yyyy-mm-dd")</f>
        <v/>
      </c>
      <c r="D7482" t="inlineStr">
        <is>
          <t>1338-10-08</t>
        </is>
      </c>
    </row>
    <row r="7483">
      <c r="A7483" s="1" t="n">
        <v>7482</v>
      </c>
      <c r="B7483">
        <f>TEXT(7482, "[$-170000]yyyy-mm-dd")</f>
        <v/>
      </c>
      <c r="C7483">
        <f>TEXT(7482, "[$-060000]yyyy-mm-dd")</f>
        <v/>
      </c>
      <c r="D7483" t="inlineStr">
        <is>
          <t>1338-10-09</t>
        </is>
      </c>
    </row>
    <row r="7484">
      <c r="A7484" s="1" t="n">
        <v>7483</v>
      </c>
      <c r="B7484">
        <f>TEXT(7483, "[$-170000]yyyy-mm-dd")</f>
        <v/>
      </c>
      <c r="C7484">
        <f>TEXT(7483, "[$-060000]yyyy-mm-dd")</f>
        <v/>
      </c>
      <c r="D7484" t="inlineStr">
        <is>
          <t>1338-10-10</t>
        </is>
      </c>
    </row>
    <row r="7485">
      <c r="A7485" s="1" t="n">
        <v>7484</v>
      </c>
      <c r="B7485">
        <f>TEXT(7484, "[$-170000]yyyy-mm-dd")</f>
        <v/>
      </c>
      <c r="C7485">
        <f>TEXT(7484, "[$-060000]yyyy-mm-dd")</f>
        <v/>
      </c>
      <c r="D7485" t="inlineStr">
        <is>
          <t>1338-10-11</t>
        </is>
      </c>
    </row>
    <row r="7486">
      <c r="A7486" s="1" t="n">
        <v>7485</v>
      </c>
      <c r="B7486">
        <f>TEXT(7485, "[$-170000]yyyy-mm-dd")</f>
        <v/>
      </c>
      <c r="C7486">
        <f>TEXT(7485, "[$-060000]yyyy-mm-dd")</f>
        <v/>
      </c>
      <c r="D7486" t="inlineStr">
        <is>
          <t>1338-10-12</t>
        </is>
      </c>
    </row>
    <row r="7487">
      <c r="A7487" s="1" t="n">
        <v>7486</v>
      </c>
      <c r="B7487">
        <f>TEXT(7486, "[$-170000]yyyy-mm-dd")</f>
        <v/>
      </c>
      <c r="C7487">
        <f>TEXT(7486, "[$-060000]yyyy-mm-dd")</f>
        <v/>
      </c>
      <c r="D7487" t="inlineStr">
        <is>
          <t>1338-10-13</t>
        </is>
      </c>
    </row>
    <row r="7488">
      <c r="A7488" s="1" t="n">
        <v>7487</v>
      </c>
      <c r="B7488">
        <f>TEXT(7487, "[$-170000]yyyy-mm-dd")</f>
        <v/>
      </c>
      <c r="C7488">
        <f>TEXT(7487, "[$-060000]yyyy-mm-dd")</f>
        <v/>
      </c>
      <c r="D7488" t="inlineStr">
        <is>
          <t>1338-10-14</t>
        </is>
      </c>
    </row>
    <row r="7489">
      <c r="A7489" s="1" t="n">
        <v>7488</v>
      </c>
      <c r="B7489">
        <f>TEXT(7488, "[$-170000]yyyy-mm-dd")</f>
        <v/>
      </c>
      <c r="C7489">
        <f>TEXT(7488, "[$-060000]yyyy-mm-dd")</f>
        <v/>
      </c>
      <c r="D7489" t="inlineStr">
        <is>
          <t>1338-10-15</t>
        </is>
      </c>
    </row>
    <row r="7490">
      <c r="A7490" s="1" t="n">
        <v>7489</v>
      </c>
      <c r="B7490">
        <f>TEXT(7489, "[$-170000]yyyy-mm-dd")</f>
        <v/>
      </c>
      <c r="C7490">
        <f>TEXT(7489, "[$-060000]yyyy-mm-dd")</f>
        <v/>
      </c>
      <c r="D7490" t="inlineStr">
        <is>
          <t>1338-10-16</t>
        </is>
      </c>
    </row>
    <row r="7491">
      <c r="A7491" s="1" t="n">
        <v>7490</v>
      </c>
      <c r="B7491">
        <f>TEXT(7490, "[$-170000]yyyy-mm-dd")</f>
        <v/>
      </c>
      <c r="C7491">
        <f>TEXT(7490, "[$-060000]yyyy-mm-dd")</f>
        <v/>
      </c>
      <c r="D7491" t="inlineStr">
        <is>
          <t>1338-10-17</t>
        </is>
      </c>
    </row>
    <row r="7492">
      <c r="A7492" s="1" t="n">
        <v>7491</v>
      </c>
      <c r="B7492">
        <f>TEXT(7491, "[$-170000]yyyy-mm-dd")</f>
        <v/>
      </c>
      <c r="C7492">
        <f>TEXT(7491, "[$-060000]yyyy-mm-dd")</f>
        <v/>
      </c>
      <c r="D7492" t="inlineStr">
        <is>
          <t>1338-10-18</t>
        </is>
      </c>
    </row>
    <row r="7493">
      <c r="A7493" s="1" t="n">
        <v>7492</v>
      </c>
      <c r="B7493">
        <f>TEXT(7492, "[$-170000]yyyy-mm-dd")</f>
        <v/>
      </c>
      <c r="C7493">
        <f>TEXT(7492, "[$-060000]yyyy-mm-dd")</f>
        <v/>
      </c>
      <c r="D7493" t="inlineStr">
        <is>
          <t>1338-10-19</t>
        </is>
      </c>
    </row>
    <row r="7494">
      <c r="A7494" s="1" t="n">
        <v>7493</v>
      </c>
      <c r="B7494">
        <f>TEXT(7493, "[$-170000]yyyy-mm-dd")</f>
        <v/>
      </c>
      <c r="C7494">
        <f>TEXT(7493, "[$-060000]yyyy-mm-dd")</f>
        <v/>
      </c>
      <c r="D7494" t="inlineStr">
        <is>
          <t>1338-10-20</t>
        </is>
      </c>
    </row>
    <row r="7495">
      <c r="A7495" s="1" t="n">
        <v>7494</v>
      </c>
      <c r="B7495">
        <f>TEXT(7494, "[$-170000]yyyy-mm-dd")</f>
        <v/>
      </c>
      <c r="C7495">
        <f>TEXT(7494, "[$-060000]yyyy-mm-dd")</f>
        <v/>
      </c>
      <c r="D7495" t="inlineStr">
        <is>
          <t>1338-10-21</t>
        </is>
      </c>
    </row>
    <row r="7496">
      <c r="A7496" s="1" t="n">
        <v>7495</v>
      </c>
      <c r="B7496">
        <f>TEXT(7495, "[$-170000]yyyy-mm-dd")</f>
        <v/>
      </c>
      <c r="C7496">
        <f>TEXT(7495, "[$-060000]yyyy-mm-dd")</f>
        <v/>
      </c>
      <c r="D7496" t="inlineStr">
        <is>
          <t>1338-10-22</t>
        </is>
      </c>
    </row>
    <row r="7497">
      <c r="A7497" s="1" t="n">
        <v>7496</v>
      </c>
      <c r="B7497">
        <f>TEXT(7496, "[$-170000]yyyy-mm-dd")</f>
        <v/>
      </c>
      <c r="C7497">
        <f>TEXT(7496, "[$-060000]yyyy-mm-dd")</f>
        <v/>
      </c>
      <c r="D7497" t="inlineStr">
        <is>
          <t>1338-10-23</t>
        </is>
      </c>
    </row>
    <row r="7498">
      <c r="A7498" s="1" t="n">
        <v>7497</v>
      </c>
      <c r="B7498">
        <f>TEXT(7497, "[$-170000]yyyy-mm-dd")</f>
        <v/>
      </c>
      <c r="C7498">
        <f>TEXT(7497, "[$-060000]yyyy-mm-dd")</f>
        <v/>
      </c>
      <c r="D7498" t="inlineStr">
        <is>
          <t>1338-10-24</t>
        </is>
      </c>
    </row>
    <row r="7499">
      <c r="A7499" s="1" t="n">
        <v>7498</v>
      </c>
      <c r="B7499">
        <f>TEXT(7498, "[$-170000]yyyy-mm-dd")</f>
        <v/>
      </c>
      <c r="C7499">
        <f>TEXT(7498, "[$-060000]yyyy-mm-dd")</f>
        <v/>
      </c>
      <c r="D7499" t="inlineStr">
        <is>
          <t>1338-10-25</t>
        </is>
      </c>
    </row>
    <row r="7500">
      <c r="A7500" s="1" t="n">
        <v>7499</v>
      </c>
      <c r="B7500">
        <f>TEXT(7499, "[$-170000]yyyy-mm-dd")</f>
        <v/>
      </c>
      <c r="C7500">
        <f>TEXT(7499, "[$-060000]yyyy-mm-dd")</f>
        <v/>
      </c>
      <c r="D7500" t="inlineStr">
        <is>
          <t>1338-10-26</t>
        </is>
      </c>
    </row>
    <row r="7501">
      <c r="A7501" s="1" t="n">
        <v>7500</v>
      </c>
      <c r="B7501">
        <f>TEXT(7500, "[$-170000]yyyy-mm-dd")</f>
        <v/>
      </c>
      <c r="C7501">
        <f>TEXT(7500, "[$-060000]yyyy-mm-dd")</f>
        <v/>
      </c>
      <c r="D7501" t="inlineStr">
        <is>
          <t>1338-10-27</t>
        </is>
      </c>
    </row>
    <row r="7502">
      <c r="A7502" s="1" t="n">
        <v>7501</v>
      </c>
      <c r="B7502">
        <f>TEXT(7501, "[$-170000]yyyy-mm-dd")</f>
        <v/>
      </c>
      <c r="C7502">
        <f>TEXT(7501, "[$-060000]yyyy-mm-dd")</f>
        <v/>
      </c>
      <c r="D7502" t="inlineStr">
        <is>
          <t>1338-10-28</t>
        </is>
      </c>
    </row>
    <row r="7503">
      <c r="A7503" s="1" t="n">
        <v>7502</v>
      </c>
      <c r="B7503">
        <f>TEXT(7502, "[$-170000]yyyy-mm-dd")</f>
        <v/>
      </c>
      <c r="C7503">
        <f>TEXT(7502, "[$-060000]yyyy-mm-dd")</f>
        <v/>
      </c>
      <c r="D7503" t="inlineStr">
        <is>
          <t>1338-10-29</t>
        </is>
      </c>
    </row>
    <row r="7504">
      <c r="A7504" s="1" t="n">
        <v>7503</v>
      </c>
      <c r="B7504">
        <f>TEXT(7503, "[$-170000]yyyy-mm-dd")</f>
        <v/>
      </c>
      <c r="C7504">
        <f>TEXT(7503, "[$-060000]yyyy-mm-dd")</f>
        <v/>
      </c>
      <c r="D7504" t="inlineStr">
        <is>
          <t>1338-11-01</t>
        </is>
      </c>
    </row>
    <row r="7505">
      <c r="A7505" s="1" t="n">
        <v>7504</v>
      </c>
      <c r="B7505">
        <f>TEXT(7504, "[$-170000]yyyy-mm-dd")</f>
        <v/>
      </c>
      <c r="C7505">
        <f>TEXT(7504, "[$-060000]yyyy-mm-dd")</f>
        <v/>
      </c>
      <c r="D7505" t="inlineStr">
        <is>
          <t>1338-11-02</t>
        </is>
      </c>
    </row>
    <row r="7506">
      <c r="A7506" s="1" t="n">
        <v>7505</v>
      </c>
      <c r="B7506">
        <f>TEXT(7505, "[$-170000]yyyy-mm-dd")</f>
        <v/>
      </c>
      <c r="C7506">
        <f>TEXT(7505, "[$-060000]yyyy-mm-dd")</f>
        <v/>
      </c>
      <c r="D7506" t="inlineStr">
        <is>
          <t>1338-11-03</t>
        </is>
      </c>
    </row>
    <row r="7507">
      <c r="A7507" s="1" t="n">
        <v>7506</v>
      </c>
      <c r="B7507">
        <f>TEXT(7506, "[$-170000]yyyy-mm-dd")</f>
        <v/>
      </c>
      <c r="C7507">
        <f>TEXT(7506, "[$-060000]yyyy-mm-dd")</f>
        <v/>
      </c>
      <c r="D7507" t="inlineStr">
        <is>
          <t>1338-11-04</t>
        </is>
      </c>
    </row>
    <row r="7508">
      <c r="A7508" s="1" t="n">
        <v>7507</v>
      </c>
      <c r="B7508">
        <f>TEXT(7507, "[$-170000]yyyy-mm-dd")</f>
        <v/>
      </c>
      <c r="C7508">
        <f>TEXT(7507, "[$-060000]yyyy-mm-dd")</f>
        <v/>
      </c>
      <c r="D7508" t="inlineStr">
        <is>
          <t>1338-11-05</t>
        </is>
      </c>
    </row>
    <row r="7509">
      <c r="A7509" s="1" t="n">
        <v>7508</v>
      </c>
      <c r="B7509">
        <f>TEXT(7508, "[$-170000]yyyy-mm-dd")</f>
        <v/>
      </c>
      <c r="C7509">
        <f>TEXT(7508, "[$-060000]yyyy-mm-dd")</f>
        <v/>
      </c>
      <c r="D7509" t="inlineStr">
        <is>
          <t>1338-11-06</t>
        </is>
      </c>
    </row>
    <row r="7510">
      <c r="A7510" s="1" t="n">
        <v>7509</v>
      </c>
      <c r="B7510">
        <f>TEXT(7509, "[$-170000]yyyy-mm-dd")</f>
        <v/>
      </c>
      <c r="C7510">
        <f>TEXT(7509, "[$-060000]yyyy-mm-dd")</f>
        <v/>
      </c>
      <c r="D7510" t="inlineStr">
        <is>
          <t>1338-11-07</t>
        </is>
      </c>
    </row>
    <row r="7511">
      <c r="A7511" s="1" t="n">
        <v>7510</v>
      </c>
      <c r="B7511">
        <f>TEXT(7510, "[$-170000]yyyy-mm-dd")</f>
        <v/>
      </c>
      <c r="C7511">
        <f>TEXT(7510, "[$-060000]yyyy-mm-dd")</f>
        <v/>
      </c>
      <c r="D7511" t="inlineStr">
        <is>
          <t>1338-11-08</t>
        </is>
      </c>
    </row>
    <row r="7512">
      <c r="A7512" s="1" t="n">
        <v>7511</v>
      </c>
      <c r="B7512">
        <f>TEXT(7511, "[$-170000]yyyy-mm-dd")</f>
        <v/>
      </c>
      <c r="C7512">
        <f>TEXT(7511, "[$-060000]yyyy-mm-dd")</f>
        <v/>
      </c>
      <c r="D7512" t="inlineStr">
        <is>
          <t>1338-11-09</t>
        </is>
      </c>
    </row>
    <row r="7513">
      <c r="A7513" s="1" t="n">
        <v>7512</v>
      </c>
      <c r="B7513">
        <f>TEXT(7512, "[$-170000]yyyy-mm-dd")</f>
        <v/>
      </c>
      <c r="C7513">
        <f>TEXT(7512, "[$-060000]yyyy-mm-dd")</f>
        <v/>
      </c>
      <c r="D7513" t="inlineStr">
        <is>
          <t>1338-11-10</t>
        </is>
      </c>
    </row>
    <row r="7514">
      <c r="A7514" s="1" t="n">
        <v>7513</v>
      </c>
      <c r="B7514">
        <f>TEXT(7513, "[$-170000]yyyy-mm-dd")</f>
        <v/>
      </c>
      <c r="C7514">
        <f>TEXT(7513, "[$-060000]yyyy-mm-dd")</f>
        <v/>
      </c>
      <c r="D7514" t="inlineStr">
        <is>
          <t>1338-11-11</t>
        </is>
      </c>
    </row>
    <row r="7515">
      <c r="A7515" s="1" t="n">
        <v>7514</v>
      </c>
      <c r="B7515">
        <f>TEXT(7514, "[$-170000]yyyy-mm-dd")</f>
        <v/>
      </c>
      <c r="C7515">
        <f>TEXT(7514, "[$-060000]yyyy-mm-dd")</f>
        <v/>
      </c>
      <c r="D7515" t="inlineStr">
        <is>
          <t>1338-11-12</t>
        </is>
      </c>
    </row>
    <row r="7516">
      <c r="A7516" s="1" t="n">
        <v>7515</v>
      </c>
      <c r="B7516">
        <f>TEXT(7515, "[$-170000]yyyy-mm-dd")</f>
        <v/>
      </c>
      <c r="C7516">
        <f>TEXT(7515, "[$-060000]yyyy-mm-dd")</f>
        <v/>
      </c>
      <c r="D7516" t="inlineStr">
        <is>
          <t>1338-11-13</t>
        </is>
      </c>
    </row>
    <row r="7517">
      <c r="A7517" s="1" t="n">
        <v>7516</v>
      </c>
      <c r="B7517">
        <f>TEXT(7516, "[$-170000]yyyy-mm-dd")</f>
        <v/>
      </c>
      <c r="C7517">
        <f>TEXT(7516, "[$-060000]yyyy-mm-dd")</f>
        <v/>
      </c>
      <c r="D7517" t="inlineStr">
        <is>
          <t>1338-11-14</t>
        </is>
      </c>
    </row>
    <row r="7518">
      <c r="A7518" s="1" t="n">
        <v>7517</v>
      </c>
      <c r="B7518">
        <f>TEXT(7517, "[$-170000]yyyy-mm-dd")</f>
        <v/>
      </c>
      <c r="C7518">
        <f>TEXT(7517, "[$-060000]yyyy-mm-dd")</f>
        <v/>
      </c>
      <c r="D7518" t="inlineStr">
        <is>
          <t>1338-11-15</t>
        </is>
      </c>
    </row>
    <row r="7519">
      <c r="A7519" s="1" t="n">
        <v>7518</v>
      </c>
      <c r="B7519">
        <f>TEXT(7518, "[$-170000]yyyy-mm-dd")</f>
        <v/>
      </c>
      <c r="C7519">
        <f>TEXT(7518, "[$-060000]yyyy-mm-dd")</f>
        <v/>
      </c>
      <c r="D7519" t="inlineStr">
        <is>
          <t>1338-11-16</t>
        </is>
      </c>
    </row>
    <row r="7520">
      <c r="A7520" s="1" t="n">
        <v>7519</v>
      </c>
      <c r="B7520">
        <f>TEXT(7519, "[$-170000]yyyy-mm-dd")</f>
        <v/>
      </c>
      <c r="C7520">
        <f>TEXT(7519, "[$-060000]yyyy-mm-dd")</f>
        <v/>
      </c>
      <c r="D7520" t="inlineStr">
        <is>
          <t>1338-11-17</t>
        </is>
      </c>
    </row>
    <row r="7521">
      <c r="A7521" s="1" t="n">
        <v>7520</v>
      </c>
      <c r="B7521">
        <f>TEXT(7520, "[$-170000]yyyy-mm-dd")</f>
        <v/>
      </c>
      <c r="C7521">
        <f>TEXT(7520, "[$-060000]yyyy-mm-dd")</f>
        <v/>
      </c>
      <c r="D7521" t="inlineStr">
        <is>
          <t>1338-11-18</t>
        </is>
      </c>
    </row>
    <row r="7522">
      <c r="A7522" s="1" t="n">
        <v>7521</v>
      </c>
      <c r="B7522">
        <f>TEXT(7521, "[$-170000]yyyy-mm-dd")</f>
        <v/>
      </c>
      <c r="C7522">
        <f>TEXT(7521, "[$-060000]yyyy-mm-dd")</f>
        <v/>
      </c>
      <c r="D7522" t="inlineStr">
        <is>
          <t>1338-11-19</t>
        </is>
      </c>
    </row>
    <row r="7523">
      <c r="A7523" s="1" t="n">
        <v>7522</v>
      </c>
      <c r="B7523">
        <f>TEXT(7522, "[$-170000]yyyy-mm-dd")</f>
        <v/>
      </c>
      <c r="C7523">
        <f>TEXT(7522, "[$-060000]yyyy-mm-dd")</f>
        <v/>
      </c>
      <c r="D7523" t="inlineStr">
        <is>
          <t>1338-11-20</t>
        </is>
      </c>
    </row>
    <row r="7524">
      <c r="A7524" s="1" t="n">
        <v>7523</v>
      </c>
      <c r="B7524">
        <f>TEXT(7523, "[$-170000]yyyy-mm-dd")</f>
        <v/>
      </c>
      <c r="C7524">
        <f>TEXT(7523, "[$-060000]yyyy-mm-dd")</f>
        <v/>
      </c>
      <c r="D7524" t="inlineStr">
        <is>
          <t>1338-11-21</t>
        </is>
      </c>
    </row>
    <row r="7525">
      <c r="A7525" s="1" t="n">
        <v>7524</v>
      </c>
      <c r="B7525">
        <f>TEXT(7524, "[$-170000]yyyy-mm-dd")</f>
        <v/>
      </c>
      <c r="C7525">
        <f>TEXT(7524, "[$-060000]yyyy-mm-dd")</f>
        <v/>
      </c>
      <c r="D7525" t="inlineStr">
        <is>
          <t>1338-11-22</t>
        </is>
      </c>
    </row>
    <row r="7526">
      <c r="A7526" s="1" t="n">
        <v>7525</v>
      </c>
      <c r="B7526">
        <f>TEXT(7525, "[$-170000]yyyy-mm-dd")</f>
        <v/>
      </c>
      <c r="C7526">
        <f>TEXT(7525, "[$-060000]yyyy-mm-dd")</f>
        <v/>
      </c>
      <c r="D7526" t="inlineStr">
        <is>
          <t>1338-11-23</t>
        </is>
      </c>
    </row>
    <row r="7527">
      <c r="A7527" s="1" t="n">
        <v>7526</v>
      </c>
      <c r="B7527">
        <f>TEXT(7526, "[$-170000]yyyy-mm-dd")</f>
        <v/>
      </c>
      <c r="C7527">
        <f>TEXT(7526, "[$-060000]yyyy-mm-dd")</f>
        <v/>
      </c>
      <c r="D7527" t="inlineStr">
        <is>
          <t>1338-11-24</t>
        </is>
      </c>
    </row>
    <row r="7528">
      <c r="A7528" s="1" t="n">
        <v>7527</v>
      </c>
      <c r="B7528">
        <f>TEXT(7527, "[$-170000]yyyy-mm-dd")</f>
        <v/>
      </c>
      <c r="C7528">
        <f>TEXT(7527, "[$-060000]yyyy-mm-dd")</f>
        <v/>
      </c>
      <c r="D7528" t="inlineStr">
        <is>
          <t>1338-11-25</t>
        </is>
      </c>
    </row>
    <row r="7529">
      <c r="A7529" s="1" t="n">
        <v>7528</v>
      </c>
      <c r="B7529">
        <f>TEXT(7528, "[$-170000]yyyy-mm-dd")</f>
        <v/>
      </c>
      <c r="C7529">
        <f>TEXT(7528, "[$-060000]yyyy-mm-dd")</f>
        <v/>
      </c>
      <c r="D7529" t="inlineStr">
        <is>
          <t>1338-11-26</t>
        </is>
      </c>
    </row>
    <row r="7530">
      <c r="A7530" s="1" t="n">
        <v>7529</v>
      </c>
      <c r="B7530">
        <f>TEXT(7529, "[$-170000]yyyy-mm-dd")</f>
        <v/>
      </c>
      <c r="C7530">
        <f>TEXT(7529, "[$-060000]yyyy-mm-dd")</f>
        <v/>
      </c>
      <c r="D7530" t="inlineStr">
        <is>
          <t>1338-11-27</t>
        </is>
      </c>
    </row>
    <row r="7531">
      <c r="A7531" s="1" t="n">
        <v>7530</v>
      </c>
      <c r="B7531">
        <f>TEXT(7530, "[$-170000]yyyy-mm-dd")</f>
        <v/>
      </c>
      <c r="C7531">
        <f>TEXT(7530, "[$-060000]yyyy-mm-dd")</f>
        <v/>
      </c>
      <c r="D7531" t="inlineStr">
        <is>
          <t>1338-11-28</t>
        </is>
      </c>
    </row>
    <row r="7532">
      <c r="A7532" s="1" t="n">
        <v>7531</v>
      </c>
      <c r="B7532">
        <f>TEXT(7531, "[$-170000]yyyy-mm-dd")</f>
        <v/>
      </c>
      <c r="C7532">
        <f>TEXT(7531, "[$-060000]yyyy-mm-dd")</f>
        <v/>
      </c>
      <c r="D7532" t="inlineStr">
        <is>
          <t>1338-11-29</t>
        </is>
      </c>
    </row>
    <row r="7533">
      <c r="A7533" s="1" t="n">
        <v>7532</v>
      </c>
      <c r="B7533">
        <f>TEXT(7532, "[$-170000]yyyy-mm-dd")</f>
        <v/>
      </c>
      <c r="C7533">
        <f>TEXT(7532, "[$-060000]yyyy-mm-dd")</f>
        <v/>
      </c>
      <c r="D7533" t="inlineStr">
        <is>
          <t>1338-11-30</t>
        </is>
      </c>
    </row>
    <row r="7534">
      <c r="A7534" s="1" t="n">
        <v>7533</v>
      </c>
      <c r="B7534">
        <f>TEXT(7533, "[$-170000]yyyy-mm-dd")</f>
        <v/>
      </c>
      <c r="C7534">
        <f>TEXT(7533, "[$-060000]yyyy-mm-dd")</f>
        <v/>
      </c>
      <c r="D7534" t="inlineStr">
        <is>
          <t>1338-12-01</t>
        </is>
      </c>
    </row>
    <row r="7535">
      <c r="A7535" s="1" t="n">
        <v>7534</v>
      </c>
      <c r="B7535">
        <f>TEXT(7534, "[$-170000]yyyy-mm-dd")</f>
        <v/>
      </c>
      <c r="C7535">
        <f>TEXT(7534, "[$-060000]yyyy-mm-dd")</f>
        <v/>
      </c>
      <c r="D7535" t="inlineStr">
        <is>
          <t>1338-12-02</t>
        </is>
      </c>
    </row>
    <row r="7536">
      <c r="A7536" s="1" t="n">
        <v>7535</v>
      </c>
      <c r="B7536">
        <f>TEXT(7535, "[$-170000]yyyy-mm-dd")</f>
        <v/>
      </c>
      <c r="C7536">
        <f>TEXT(7535, "[$-060000]yyyy-mm-dd")</f>
        <v/>
      </c>
      <c r="D7536" t="inlineStr">
        <is>
          <t>1338-12-03</t>
        </is>
      </c>
    </row>
    <row r="7537">
      <c r="A7537" s="1" t="n">
        <v>7536</v>
      </c>
      <c r="B7537">
        <f>TEXT(7536, "[$-170000]yyyy-mm-dd")</f>
        <v/>
      </c>
      <c r="C7537">
        <f>TEXT(7536, "[$-060000]yyyy-mm-dd")</f>
        <v/>
      </c>
      <c r="D7537" t="inlineStr">
        <is>
          <t>1338-12-04</t>
        </is>
      </c>
    </row>
    <row r="7538">
      <c r="A7538" s="1" t="n">
        <v>7537</v>
      </c>
      <c r="B7538">
        <f>TEXT(7537, "[$-170000]yyyy-mm-dd")</f>
        <v/>
      </c>
      <c r="C7538">
        <f>TEXT(7537, "[$-060000]yyyy-mm-dd")</f>
        <v/>
      </c>
      <c r="D7538" t="inlineStr">
        <is>
          <t>1338-12-05</t>
        </is>
      </c>
    </row>
    <row r="7539">
      <c r="A7539" s="1" t="n">
        <v>7538</v>
      </c>
      <c r="B7539">
        <f>TEXT(7538, "[$-170000]yyyy-mm-dd")</f>
        <v/>
      </c>
      <c r="C7539">
        <f>TEXT(7538, "[$-060000]yyyy-mm-dd")</f>
        <v/>
      </c>
      <c r="D7539" t="inlineStr">
        <is>
          <t>1338-12-06</t>
        </is>
      </c>
    </row>
    <row r="7540">
      <c r="A7540" s="1" t="n">
        <v>7539</v>
      </c>
      <c r="B7540">
        <f>TEXT(7539, "[$-170000]yyyy-mm-dd")</f>
        <v/>
      </c>
      <c r="C7540">
        <f>TEXT(7539, "[$-060000]yyyy-mm-dd")</f>
        <v/>
      </c>
      <c r="D7540" t="inlineStr">
        <is>
          <t>1338-12-07</t>
        </is>
      </c>
    </row>
    <row r="7541">
      <c r="A7541" s="1" t="n">
        <v>7540</v>
      </c>
      <c r="B7541">
        <f>TEXT(7540, "[$-170000]yyyy-mm-dd")</f>
        <v/>
      </c>
      <c r="C7541">
        <f>TEXT(7540, "[$-060000]yyyy-mm-dd")</f>
        <v/>
      </c>
      <c r="D7541" t="inlineStr">
        <is>
          <t>1338-12-08</t>
        </is>
      </c>
    </row>
    <row r="7542">
      <c r="A7542" s="1" t="n">
        <v>7541</v>
      </c>
      <c r="B7542">
        <f>TEXT(7541, "[$-170000]yyyy-mm-dd")</f>
        <v/>
      </c>
      <c r="C7542">
        <f>TEXT(7541, "[$-060000]yyyy-mm-dd")</f>
        <v/>
      </c>
      <c r="D7542" t="inlineStr">
        <is>
          <t>1338-12-09</t>
        </is>
      </c>
    </row>
    <row r="7543">
      <c r="A7543" s="1" t="n">
        <v>7542</v>
      </c>
      <c r="B7543">
        <f>TEXT(7542, "[$-170000]yyyy-mm-dd")</f>
        <v/>
      </c>
      <c r="C7543">
        <f>TEXT(7542, "[$-060000]yyyy-mm-dd")</f>
        <v/>
      </c>
      <c r="D7543" t="inlineStr">
        <is>
          <t>1338-12-10</t>
        </is>
      </c>
    </row>
    <row r="7544">
      <c r="A7544" s="1" t="n">
        <v>7543</v>
      </c>
      <c r="B7544">
        <f>TEXT(7543, "[$-170000]yyyy-mm-dd")</f>
        <v/>
      </c>
      <c r="C7544">
        <f>TEXT(7543, "[$-060000]yyyy-mm-dd")</f>
        <v/>
      </c>
      <c r="D7544" t="inlineStr">
        <is>
          <t>1338-12-11</t>
        </is>
      </c>
    </row>
    <row r="7545">
      <c r="A7545" s="1" t="n">
        <v>7544</v>
      </c>
      <c r="B7545">
        <f>TEXT(7544, "[$-170000]yyyy-mm-dd")</f>
        <v/>
      </c>
      <c r="C7545">
        <f>TEXT(7544, "[$-060000]yyyy-mm-dd")</f>
        <v/>
      </c>
      <c r="D7545" t="inlineStr">
        <is>
          <t>1338-12-12</t>
        </is>
      </c>
    </row>
    <row r="7546">
      <c r="A7546" s="1" t="n">
        <v>7545</v>
      </c>
      <c r="B7546">
        <f>TEXT(7545, "[$-170000]yyyy-mm-dd")</f>
        <v/>
      </c>
      <c r="C7546">
        <f>TEXT(7545, "[$-060000]yyyy-mm-dd")</f>
        <v/>
      </c>
      <c r="D7546" t="inlineStr">
        <is>
          <t>1338-12-13</t>
        </is>
      </c>
    </row>
    <row r="7547">
      <c r="A7547" s="1" t="n">
        <v>7546</v>
      </c>
      <c r="B7547">
        <f>TEXT(7546, "[$-170000]yyyy-mm-dd")</f>
        <v/>
      </c>
      <c r="C7547">
        <f>TEXT(7546, "[$-060000]yyyy-mm-dd")</f>
        <v/>
      </c>
      <c r="D7547" t="inlineStr">
        <is>
          <t>1338-12-14</t>
        </is>
      </c>
    </row>
    <row r="7548">
      <c r="A7548" s="1" t="n">
        <v>7547</v>
      </c>
      <c r="B7548">
        <f>TEXT(7547, "[$-170000]yyyy-mm-dd")</f>
        <v/>
      </c>
      <c r="C7548">
        <f>TEXT(7547, "[$-060000]yyyy-mm-dd")</f>
        <v/>
      </c>
      <c r="D7548" t="inlineStr">
        <is>
          <t>1338-12-15</t>
        </is>
      </c>
    </row>
    <row r="7549">
      <c r="A7549" s="1" t="n">
        <v>7548</v>
      </c>
      <c r="B7549">
        <f>TEXT(7548, "[$-170000]yyyy-mm-dd")</f>
        <v/>
      </c>
      <c r="C7549">
        <f>TEXT(7548, "[$-060000]yyyy-mm-dd")</f>
        <v/>
      </c>
      <c r="D7549" t="inlineStr">
        <is>
          <t>1338-12-16</t>
        </is>
      </c>
    </row>
    <row r="7550">
      <c r="A7550" s="1" t="n">
        <v>7549</v>
      </c>
      <c r="B7550">
        <f>TEXT(7549, "[$-170000]yyyy-mm-dd")</f>
        <v/>
      </c>
      <c r="C7550">
        <f>TEXT(7549, "[$-060000]yyyy-mm-dd")</f>
        <v/>
      </c>
      <c r="D7550" t="inlineStr">
        <is>
          <t>1338-12-17</t>
        </is>
      </c>
    </row>
    <row r="7551">
      <c r="A7551" s="1" t="n">
        <v>7550</v>
      </c>
      <c r="B7551">
        <f>TEXT(7550, "[$-170000]yyyy-mm-dd")</f>
        <v/>
      </c>
      <c r="C7551">
        <f>TEXT(7550, "[$-060000]yyyy-mm-dd")</f>
        <v/>
      </c>
      <c r="D7551" t="inlineStr">
        <is>
          <t>1338-12-18</t>
        </is>
      </c>
    </row>
    <row r="7552">
      <c r="A7552" s="1" t="n">
        <v>7551</v>
      </c>
      <c r="B7552">
        <f>TEXT(7551, "[$-170000]yyyy-mm-dd")</f>
        <v/>
      </c>
      <c r="C7552">
        <f>TEXT(7551, "[$-060000]yyyy-mm-dd")</f>
        <v/>
      </c>
      <c r="D7552" t="inlineStr">
        <is>
          <t>1338-12-19</t>
        </is>
      </c>
    </row>
    <row r="7553">
      <c r="A7553" s="1" t="n">
        <v>7552</v>
      </c>
      <c r="B7553">
        <f>TEXT(7552, "[$-170000]yyyy-mm-dd")</f>
        <v/>
      </c>
      <c r="C7553">
        <f>TEXT(7552, "[$-060000]yyyy-mm-dd")</f>
        <v/>
      </c>
      <c r="D7553" t="inlineStr">
        <is>
          <t>1338-12-20</t>
        </is>
      </c>
    </row>
    <row r="7554">
      <c r="A7554" s="1" t="n">
        <v>7553</v>
      </c>
      <c r="B7554">
        <f>TEXT(7553, "[$-170000]yyyy-mm-dd")</f>
        <v/>
      </c>
      <c r="C7554">
        <f>TEXT(7553, "[$-060000]yyyy-mm-dd")</f>
        <v/>
      </c>
      <c r="D7554" t="inlineStr">
        <is>
          <t>1338-12-21</t>
        </is>
      </c>
    </row>
    <row r="7555">
      <c r="A7555" s="1" t="n">
        <v>7554</v>
      </c>
      <c r="B7555">
        <f>TEXT(7554, "[$-170000]yyyy-mm-dd")</f>
        <v/>
      </c>
      <c r="C7555">
        <f>TEXT(7554, "[$-060000]yyyy-mm-dd")</f>
        <v/>
      </c>
      <c r="D7555" t="inlineStr">
        <is>
          <t>1338-12-22</t>
        </is>
      </c>
    </row>
    <row r="7556">
      <c r="A7556" s="1" t="n">
        <v>7555</v>
      </c>
      <c r="B7556">
        <f>TEXT(7555, "[$-170000]yyyy-mm-dd")</f>
        <v/>
      </c>
      <c r="C7556">
        <f>TEXT(7555, "[$-060000]yyyy-mm-dd")</f>
        <v/>
      </c>
      <c r="D7556" t="inlineStr">
        <is>
          <t>1338-12-23</t>
        </is>
      </c>
    </row>
    <row r="7557">
      <c r="A7557" s="1" t="n">
        <v>7556</v>
      </c>
      <c r="B7557">
        <f>TEXT(7556, "[$-170000]yyyy-mm-dd")</f>
        <v/>
      </c>
      <c r="C7557">
        <f>TEXT(7556, "[$-060000]yyyy-mm-dd")</f>
        <v/>
      </c>
      <c r="D7557" t="inlineStr">
        <is>
          <t>1338-12-24</t>
        </is>
      </c>
    </row>
    <row r="7558">
      <c r="A7558" s="1" t="n">
        <v>7557</v>
      </c>
      <c r="B7558">
        <f>TEXT(7557, "[$-170000]yyyy-mm-dd")</f>
        <v/>
      </c>
      <c r="C7558">
        <f>TEXT(7557, "[$-060000]yyyy-mm-dd")</f>
        <v/>
      </c>
      <c r="D7558" t="inlineStr">
        <is>
          <t>1338-12-25</t>
        </is>
      </c>
    </row>
    <row r="7559">
      <c r="A7559" s="1" t="n">
        <v>7558</v>
      </c>
      <c r="B7559">
        <f>TEXT(7558, "[$-170000]yyyy-mm-dd")</f>
        <v/>
      </c>
      <c r="C7559">
        <f>TEXT(7558, "[$-060000]yyyy-mm-dd")</f>
        <v/>
      </c>
      <c r="D7559" t="inlineStr">
        <is>
          <t>1338-12-26</t>
        </is>
      </c>
    </row>
    <row r="7560">
      <c r="A7560" s="1" t="n">
        <v>7559</v>
      </c>
      <c r="B7560">
        <f>TEXT(7559, "[$-170000]yyyy-mm-dd")</f>
        <v/>
      </c>
      <c r="C7560">
        <f>TEXT(7559, "[$-060000]yyyy-mm-dd")</f>
        <v/>
      </c>
      <c r="D7560" t="inlineStr">
        <is>
          <t>1338-12-27</t>
        </is>
      </c>
    </row>
    <row r="7561">
      <c r="A7561" s="1" t="n">
        <v>7560</v>
      </c>
      <c r="B7561">
        <f>TEXT(7560, "[$-170000]yyyy-mm-dd")</f>
        <v/>
      </c>
      <c r="C7561">
        <f>TEXT(7560, "[$-060000]yyyy-mm-dd")</f>
        <v/>
      </c>
      <c r="D7561" t="inlineStr">
        <is>
          <t>1338-12-28</t>
        </is>
      </c>
    </row>
    <row r="7562">
      <c r="A7562" s="1" t="n">
        <v>7561</v>
      </c>
      <c r="B7562">
        <f>TEXT(7561, "[$-170000]yyyy-mm-dd")</f>
        <v/>
      </c>
      <c r="C7562">
        <f>TEXT(7561, "[$-060000]yyyy-mm-dd")</f>
        <v/>
      </c>
      <c r="D7562" t="inlineStr">
        <is>
          <t>1338-12-29</t>
        </is>
      </c>
    </row>
    <row r="7563">
      <c r="A7563" s="1" t="n">
        <v>7562</v>
      </c>
      <c r="B7563">
        <f>TEXT(7562, "[$-170000]yyyy-mm-dd")</f>
        <v/>
      </c>
      <c r="C7563">
        <f>TEXT(7562, "[$-060000]yyyy-mm-dd")</f>
        <v/>
      </c>
      <c r="D7563" t="inlineStr">
        <is>
          <t>1338-12-30</t>
        </is>
      </c>
    </row>
    <row r="7564">
      <c r="A7564" s="1" t="n">
        <v>7563</v>
      </c>
      <c r="B7564">
        <f>TEXT(7563, "[$-170000]yyyy-mm-dd")</f>
        <v/>
      </c>
      <c r="C7564">
        <f>TEXT(7563, "[$-060000]yyyy-mm-dd")</f>
        <v/>
      </c>
      <c r="D7564" t="inlineStr">
        <is>
          <t>1339-01-01</t>
        </is>
      </c>
    </row>
    <row r="7565">
      <c r="A7565" s="1" t="n">
        <v>7564</v>
      </c>
      <c r="B7565">
        <f>TEXT(7564, "[$-170000]yyyy-mm-dd")</f>
        <v/>
      </c>
      <c r="C7565">
        <f>TEXT(7564, "[$-060000]yyyy-mm-dd")</f>
        <v/>
      </c>
      <c r="D7565" t="inlineStr">
        <is>
          <t>1339-01-02</t>
        </is>
      </c>
    </row>
    <row r="7566">
      <c r="A7566" s="1" t="n">
        <v>7565</v>
      </c>
      <c r="B7566">
        <f>TEXT(7565, "[$-170000]yyyy-mm-dd")</f>
        <v/>
      </c>
      <c r="C7566">
        <f>TEXT(7565, "[$-060000]yyyy-mm-dd")</f>
        <v/>
      </c>
      <c r="D7566" t="inlineStr">
        <is>
          <t>1339-01-03</t>
        </is>
      </c>
    </row>
    <row r="7567">
      <c r="A7567" s="1" t="n">
        <v>7566</v>
      </c>
      <c r="B7567">
        <f>TEXT(7566, "[$-170000]yyyy-mm-dd")</f>
        <v/>
      </c>
      <c r="C7567">
        <f>TEXT(7566, "[$-060000]yyyy-mm-dd")</f>
        <v/>
      </c>
      <c r="D7567" t="inlineStr">
        <is>
          <t>1339-01-04</t>
        </is>
      </c>
    </row>
    <row r="7568">
      <c r="A7568" s="1" t="n">
        <v>7567</v>
      </c>
      <c r="B7568">
        <f>TEXT(7567, "[$-170000]yyyy-mm-dd")</f>
        <v/>
      </c>
      <c r="C7568">
        <f>TEXT(7567, "[$-060000]yyyy-mm-dd")</f>
        <v/>
      </c>
      <c r="D7568" t="inlineStr">
        <is>
          <t>1339-01-05</t>
        </is>
      </c>
    </row>
    <row r="7569">
      <c r="A7569" s="1" t="n">
        <v>7568</v>
      </c>
      <c r="B7569">
        <f>TEXT(7568, "[$-170000]yyyy-mm-dd")</f>
        <v/>
      </c>
      <c r="C7569">
        <f>TEXT(7568, "[$-060000]yyyy-mm-dd")</f>
        <v/>
      </c>
      <c r="D7569" t="inlineStr">
        <is>
          <t>1339-01-06</t>
        </is>
      </c>
    </row>
    <row r="7570">
      <c r="A7570" s="1" t="n">
        <v>7569</v>
      </c>
      <c r="B7570">
        <f>TEXT(7569, "[$-170000]yyyy-mm-dd")</f>
        <v/>
      </c>
      <c r="C7570">
        <f>TEXT(7569, "[$-060000]yyyy-mm-dd")</f>
        <v/>
      </c>
      <c r="D7570" t="inlineStr">
        <is>
          <t>1339-01-07</t>
        </is>
      </c>
    </row>
    <row r="7571">
      <c r="A7571" s="1" t="n">
        <v>7570</v>
      </c>
      <c r="B7571">
        <f>TEXT(7570, "[$-170000]yyyy-mm-dd")</f>
        <v/>
      </c>
      <c r="C7571">
        <f>TEXT(7570, "[$-060000]yyyy-mm-dd")</f>
        <v/>
      </c>
      <c r="D7571" t="inlineStr">
        <is>
          <t>1339-01-08</t>
        </is>
      </c>
    </row>
    <row r="7572">
      <c r="A7572" s="1" t="n">
        <v>7571</v>
      </c>
      <c r="B7572">
        <f>TEXT(7571, "[$-170000]yyyy-mm-dd")</f>
        <v/>
      </c>
      <c r="C7572">
        <f>TEXT(7571, "[$-060000]yyyy-mm-dd")</f>
        <v/>
      </c>
      <c r="D7572" t="inlineStr">
        <is>
          <t>1339-01-09</t>
        </is>
      </c>
    </row>
    <row r="7573">
      <c r="A7573" s="1" t="n">
        <v>7572</v>
      </c>
      <c r="B7573">
        <f>TEXT(7572, "[$-170000]yyyy-mm-dd")</f>
        <v/>
      </c>
      <c r="C7573">
        <f>TEXT(7572, "[$-060000]yyyy-mm-dd")</f>
        <v/>
      </c>
      <c r="D7573" t="inlineStr">
        <is>
          <t>1339-01-10</t>
        </is>
      </c>
    </row>
    <row r="7574">
      <c r="A7574" s="1" t="n">
        <v>7573</v>
      </c>
      <c r="B7574">
        <f>TEXT(7573, "[$-170000]yyyy-mm-dd")</f>
        <v/>
      </c>
      <c r="C7574">
        <f>TEXT(7573, "[$-060000]yyyy-mm-dd")</f>
        <v/>
      </c>
      <c r="D7574" t="inlineStr">
        <is>
          <t>1339-01-11</t>
        </is>
      </c>
    </row>
    <row r="7575">
      <c r="A7575" s="1" t="n">
        <v>7574</v>
      </c>
      <c r="B7575">
        <f>TEXT(7574, "[$-170000]yyyy-mm-dd")</f>
        <v/>
      </c>
      <c r="C7575">
        <f>TEXT(7574, "[$-060000]yyyy-mm-dd")</f>
        <v/>
      </c>
      <c r="D7575" t="inlineStr">
        <is>
          <t>1339-01-12</t>
        </is>
      </c>
    </row>
    <row r="7576">
      <c r="A7576" s="1" t="n">
        <v>7575</v>
      </c>
      <c r="B7576">
        <f>TEXT(7575, "[$-170000]yyyy-mm-dd")</f>
        <v/>
      </c>
      <c r="C7576">
        <f>TEXT(7575, "[$-060000]yyyy-mm-dd")</f>
        <v/>
      </c>
      <c r="D7576" t="inlineStr">
        <is>
          <t>1339-01-13</t>
        </is>
      </c>
    </row>
    <row r="7577">
      <c r="A7577" s="1" t="n">
        <v>7576</v>
      </c>
      <c r="B7577">
        <f>TEXT(7576, "[$-170000]yyyy-mm-dd")</f>
        <v/>
      </c>
      <c r="C7577">
        <f>TEXT(7576, "[$-060000]yyyy-mm-dd")</f>
        <v/>
      </c>
      <c r="D7577" t="inlineStr">
        <is>
          <t>1339-01-14</t>
        </is>
      </c>
    </row>
    <row r="7578">
      <c r="A7578" s="1" t="n">
        <v>7577</v>
      </c>
      <c r="B7578">
        <f>TEXT(7577, "[$-170000]yyyy-mm-dd")</f>
        <v/>
      </c>
      <c r="C7578">
        <f>TEXT(7577, "[$-060000]yyyy-mm-dd")</f>
        <v/>
      </c>
      <c r="D7578" t="inlineStr">
        <is>
          <t>1339-01-15</t>
        </is>
      </c>
    </row>
    <row r="7579">
      <c r="A7579" s="1" t="n">
        <v>7578</v>
      </c>
      <c r="B7579">
        <f>TEXT(7578, "[$-170000]yyyy-mm-dd")</f>
        <v/>
      </c>
      <c r="C7579">
        <f>TEXT(7578, "[$-060000]yyyy-mm-dd")</f>
        <v/>
      </c>
      <c r="D7579" t="inlineStr">
        <is>
          <t>1339-01-16</t>
        </is>
      </c>
    </row>
    <row r="7580">
      <c r="A7580" s="1" t="n">
        <v>7579</v>
      </c>
      <c r="B7580">
        <f>TEXT(7579, "[$-170000]yyyy-mm-dd")</f>
        <v/>
      </c>
      <c r="C7580">
        <f>TEXT(7579, "[$-060000]yyyy-mm-dd")</f>
        <v/>
      </c>
      <c r="D7580" t="inlineStr">
        <is>
          <t>1339-01-17</t>
        </is>
      </c>
    </row>
    <row r="7581">
      <c r="A7581" s="1" t="n">
        <v>7580</v>
      </c>
      <c r="B7581">
        <f>TEXT(7580, "[$-170000]yyyy-mm-dd")</f>
        <v/>
      </c>
      <c r="C7581">
        <f>TEXT(7580, "[$-060000]yyyy-mm-dd")</f>
        <v/>
      </c>
      <c r="D7581" t="inlineStr">
        <is>
          <t>1339-01-18</t>
        </is>
      </c>
    </row>
    <row r="7582">
      <c r="A7582" s="1" t="n">
        <v>7581</v>
      </c>
      <c r="B7582">
        <f>TEXT(7581, "[$-170000]yyyy-mm-dd")</f>
        <v/>
      </c>
      <c r="C7582">
        <f>TEXT(7581, "[$-060000]yyyy-mm-dd")</f>
        <v/>
      </c>
      <c r="D7582" t="inlineStr">
        <is>
          <t>1339-01-19</t>
        </is>
      </c>
    </row>
    <row r="7583">
      <c r="A7583" s="1" t="n">
        <v>7582</v>
      </c>
      <c r="B7583">
        <f>TEXT(7582, "[$-170000]yyyy-mm-dd")</f>
        <v/>
      </c>
      <c r="C7583">
        <f>TEXT(7582, "[$-060000]yyyy-mm-dd")</f>
        <v/>
      </c>
      <c r="D7583" t="inlineStr">
        <is>
          <t>1339-01-20</t>
        </is>
      </c>
    </row>
    <row r="7584">
      <c r="A7584" s="1" t="n">
        <v>7583</v>
      </c>
      <c r="B7584">
        <f>TEXT(7583, "[$-170000]yyyy-mm-dd")</f>
        <v/>
      </c>
      <c r="C7584">
        <f>TEXT(7583, "[$-060000]yyyy-mm-dd")</f>
        <v/>
      </c>
      <c r="D7584" t="inlineStr">
        <is>
          <t>1339-01-21</t>
        </is>
      </c>
    </row>
    <row r="7585">
      <c r="A7585" s="1" t="n">
        <v>7584</v>
      </c>
      <c r="B7585">
        <f>TEXT(7584, "[$-170000]yyyy-mm-dd")</f>
        <v/>
      </c>
      <c r="C7585">
        <f>TEXT(7584, "[$-060000]yyyy-mm-dd")</f>
        <v/>
      </c>
      <c r="D7585" t="inlineStr">
        <is>
          <t>1339-01-22</t>
        </is>
      </c>
    </row>
    <row r="7586">
      <c r="A7586" s="1" t="n">
        <v>7585</v>
      </c>
      <c r="B7586">
        <f>TEXT(7585, "[$-170000]yyyy-mm-dd")</f>
        <v/>
      </c>
      <c r="C7586">
        <f>TEXT(7585, "[$-060000]yyyy-mm-dd")</f>
        <v/>
      </c>
      <c r="D7586" t="inlineStr">
        <is>
          <t>1339-01-23</t>
        </is>
      </c>
    </row>
    <row r="7587">
      <c r="A7587" s="1" t="n">
        <v>7586</v>
      </c>
      <c r="B7587">
        <f>TEXT(7586, "[$-170000]yyyy-mm-dd")</f>
        <v/>
      </c>
      <c r="C7587">
        <f>TEXT(7586, "[$-060000]yyyy-mm-dd")</f>
        <v/>
      </c>
      <c r="D7587" t="inlineStr">
        <is>
          <t>1339-01-24</t>
        </is>
      </c>
    </row>
    <row r="7588">
      <c r="A7588" s="1" t="n">
        <v>7587</v>
      </c>
      <c r="B7588">
        <f>TEXT(7587, "[$-170000]yyyy-mm-dd")</f>
        <v/>
      </c>
      <c r="C7588">
        <f>TEXT(7587, "[$-060000]yyyy-mm-dd")</f>
        <v/>
      </c>
      <c r="D7588" t="inlineStr">
        <is>
          <t>1339-01-25</t>
        </is>
      </c>
    </row>
    <row r="7589">
      <c r="A7589" s="1" t="n">
        <v>7588</v>
      </c>
      <c r="B7589">
        <f>TEXT(7588, "[$-170000]yyyy-mm-dd")</f>
        <v/>
      </c>
      <c r="C7589">
        <f>TEXT(7588, "[$-060000]yyyy-mm-dd")</f>
        <v/>
      </c>
      <c r="D7589" t="inlineStr">
        <is>
          <t>1339-01-26</t>
        </is>
      </c>
    </row>
    <row r="7590">
      <c r="A7590" s="1" t="n">
        <v>7589</v>
      </c>
      <c r="B7590">
        <f>TEXT(7589, "[$-170000]yyyy-mm-dd")</f>
        <v/>
      </c>
      <c r="C7590">
        <f>TEXT(7589, "[$-060000]yyyy-mm-dd")</f>
        <v/>
      </c>
      <c r="D7590" t="inlineStr">
        <is>
          <t>1339-01-27</t>
        </is>
      </c>
    </row>
    <row r="7591">
      <c r="A7591" s="1" t="n">
        <v>7590</v>
      </c>
      <c r="B7591">
        <f>TEXT(7590, "[$-170000]yyyy-mm-dd")</f>
        <v/>
      </c>
      <c r="C7591">
        <f>TEXT(7590, "[$-060000]yyyy-mm-dd")</f>
        <v/>
      </c>
      <c r="D7591" t="inlineStr">
        <is>
          <t>1339-01-28</t>
        </is>
      </c>
    </row>
    <row r="7592">
      <c r="A7592" s="1" t="n">
        <v>7591</v>
      </c>
      <c r="B7592">
        <f>TEXT(7591, "[$-170000]yyyy-mm-dd")</f>
        <v/>
      </c>
      <c r="C7592">
        <f>TEXT(7591, "[$-060000]yyyy-mm-dd")</f>
        <v/>
      </c>
      <c r="D7592" t="inlineStr">
        <is>
          <t>1339-01-29</t>
        </is>
      </c>
    </row>
    <row r="7593">
      <c r="A7593" s="1" t="n">
        <v>7592</v>
      </c>
      <c r="B7593">
        <f>TEXT(7592, "[$-170000]yyyy-mm-dd")</f>
        <v/>
      </c>
      <c r="C7593">
        <f>TEXT(7592, "[$-060000]yyyy-mm-dd")</f>
        <v/>
      </c>
      <c r="D7593" t="inlineStr">
        <is>
          <t>1339-01-30</t>
        </is>
      </c>
    </row>
    <row r="7594">
      <c r="A7594" s="1" t="n">
        <v>7593</v>
      </c>
      <c r="B7594">
        <f>TEXT(7593, "[$-170000]yyyy-mm-dd")</f>
        <v/>
      </c>
      <c r="C7594">
        <f>TEXT(7593, "[$-060000]yyyy-mm-dd")</f>
        <v/>
      </c>
      <c r="D7594" t="inlineStr">
        <is>
          <t>1339-02-01</t>
        </is>
      </c>
    </row>
    <row r="7595">
      <c r="A7595" s="1" t="n">
        <v>7594</v>
      </c>
      <c r="B7595">
        <f>TEXT(7594, "[$-170000]yyyy-mm-dd")</f>
        <v/>
      </c>
      <c r="C7595">
        <f>TEXT(7594, "[$-060000]yyyy-mm-dd")</f>
        <v/>
      </c>
      <c r="D7595" t="inlineStr">
        <is>
          <t>1339-02-02</t>
        </is>
      </c>
    </row>
    <row r="7596">
      <c r="A7596" s="1" t="n">
        <v>7595</v>
      </c>
      <c r="B7596">
        <f>TEXT(7595, "[$-170000]yyyy-mm-dd")</f>
        <v/>
      </c>
      <c r="C7596">
        <f>TEXT(7595, "[$-060000]yyyy-mm-dd")</f>
        <v/>
      </c>
      <c r="D7596" t="inlineStr">
        <is>
          <t>1339-02-03</t>
        </is>
      </c>
    </row>
    <row r="7597">
      <c r="A7597" s="1" t="n">
        <v>7596</v>
      </c>
      <c r="B7597">
        <f>TEXT(7596, "[$-170000]yyyy-mm-dd")</f>
        <v/>
      </c>
      <c r="C7597">
        <f>TEXT(7596, "[$-060000]yyyy-mm-dd")</f>
        <v/>
      </c>
      <c r="D7597" t="inlineStr">
        <is>
          <t>1339-02-04</t>
        </is>
      </c>
    </row>
    <row r="7598">
      <c r="A7598" s="1" t="n">
        <v>7597</v>
      </c>
      <c r="B7598">
        <f>TEXT(7597, "[$-170000]yyyy-mm-dd")</f>
        <v/>
      </c>
      <c r="C7598">
        <f>TEXT(7597, "[$-060000]yyyy-mm-dd")</f>
        <v/>
      </c>
      <c r="D7598" t="inlineStr">
        <is>
          <t>1339-02-05</t>
        </is>
      </c>
    </row>
    <row r="7599">
      <c r="A7599" s="1" t="n">
        <v>7598</v>
      </c>
      <c r="B7599">
        <f>TEXT(7598, "[$-170000]yyyy-mm-dd")</f>
        <v/>
      </c>
      <c r="C7599">
        <f>TEXT(7598, "[$-060000]yyyy-mm-dd")</f>
        <v/>
      </c>
      <c r="D7599" t="inlineStr">
        <is>
          <t>1339-02-06</t>
        </is>
      </c>
    </row>
    <row r="7600">
      <c r="A7600" s="1" t="n">
        <v>7599</v>
      </c>
      <c r="B7600">
        <f>TEXT(7599, "[$-170000]yyyy-mm-dd")</f>
        <v/>
      </c>
      <c r="C7600">
        <f>TEXT(7599, "[$-060000]yyyy-mm-dd")</f>
        <v/>
      </c>
      <c r="D7600" t="inlineStr">
        <is>
          <t>1339-02-07</t>
        </is>
      </c>
    </row>
    <row r="7601">
      <c r="A7601" s="1" t="n">
        <v>7600</v>
      </c>
      <c r="B7601">
        <f>TEXT(7600, "[$-170000]yyyy-mm-dd")</f>
        <v/>
      </c>
      <c r="C7601">
        <f>TEXT(7600, "[$-060000]yyyy-mm-dd")</f>
        <v/>
      </c>
      <c r="D7601" t="inlineStr">
        <is>
          <t>1339-02-08</t>
        </is>
      </c>
    </row>
    <row r="7602">
      <c r="A7602" s="1" t="n">
        <v>7601</v>
      </c>
      <c r="B7602">
        <f>TEXT(7601, "[$-170000]yyyy-mm-dd")</f>
        <v/>
      </c>
      <c r="C7602">
        <f>TEXT(7601, "[$-060000]yyyy-mm-dd")</f>
        <v/>
      </c>
      <c r="D7602" t="inlineStr">
        <is>
          <t>1339-02-09</t>
        </is>
      </c>
    </row>
    <row r="7603">
      <c r="A7603" s="1" t="n">
        <v>7602</v>
      </c>
      <c r="B7603">
        <f>TEXT(7602, "[$-170000]yyyy-mm-dd")</f>
        <v/>
      </c>
      <c r="C7603">
        <f>TEXT(7602, "[$-060000]yyyy-mm-dd")</f>
        <v/>
      </c>
      <c r="D7603" t="inlineStr">
        <is>
          <t>1339-02-10</t>
        </is>
      </c>
    </row>
    <row r="7604">
      <c r="A7604" s="1" t="n">
        <v>7603</v>
      </c>
      <c r="B7604">
        <f>TEXT(7603, "[$-170000]yyyy-mm-dd")</f>
        <v/>
      </c>
      <c r="C7604">
        <f>TEXT(7603, "[$-060000]yyyy-mm-dd")</f>
        <v/>
      </c>
      <c r="D7604" t="inlineStr">
        <is>
          <t>1339-02-11</t>
        </is>
      </c>
    </row>
    <row r="7605">
      <c r="A7605" s="1" t="n">
        <v>7604</v>
      </c>
      <c r="B7605">
        <f>TEXT(7604, "[$-170000]yyyy-mm-dd")</f>
        <v/>
      </c>
      <c r="C7605">
        <f>TEXT(7604, "[$-060000]yyyy-mm-dd")</f>
        <v/>
      </c>
      <c r="D7605" t="inlineStr">
        <is>
          <t>1339-02-12</t>
        </is>
      </c>
    </row>
    <row r="7606">
      <c r="A7606" s="1" t="n">
        <v>7605</v>
      </c>
      <c r="B7606">
        <f>TEXT(7605, "[$-170000]yyyy-mm-dd")</f>
        <v/>
      </c>
      <c r="C7606">
        <f>TEXT(7605, "[$-060000]yyyy-mm-dd")</f>
        <v/>
      </c>
      <c r="D7606" t="inlineStr">
        <is>
          <t>1339-02-13</t>
        </is>
      </c>
    </row>
    <row r="7607">
      <c r="A7607" s="1" t="n">
        <v>7606</v>
      </c>
      <c r="B7607">
        <f>TEXT(7606, "[$-170000]yyyy-mm-dd")</f>
        <v/>
      </c>
      <c r="C7607">
        <f>TEXT(7606, "[$-060000]yyyy-mm-dd")</f>
        <v/>
      </c>
      <c r="D7607" t="inlineStr">
        <is>
          <t>1339-02-14</t>
        </is>
      </c>
    </row>
    <row r="7608">
      <c r="A7608" s="1" t="n">
        <v>7607</v>
      </c>
      <c r="B7608">
        <f>TEXT(7607, "[$-170000]yyyy-mm-dd")</f>
        <v/>
      </c>
      <c r="C7608">
        <f>TEXT(7607, "[$-060000]yyyy-mm-dd")</f>
        <v/>
      </c>
      <c r="D7608" t="inlineStr">
        <is>
          <t>1339-02-15</t>
        </is>
      </c>
    </row>
    <row r="7609">
      <c r="A7609" s="1" t="n">
        <v>7608</v>
      </c>
      <c r="B7609">
        <f>TEXT(7608, "[$-170000]yyyy-mm-dd")</f>
        <v/>
      </c>
      <c r="C7609">
        <f>TEXT(7608, "[$-060000]yyyy-mm-dd")</f>
        <v/>
      </c>
      <c r="D7609" t="inlineStr">
        <is>
          <t>1339-02-16</t>
        </is>
      </c>
    </row>
    <row r="7610">
      <c r="A7610" s="1" t="n">
        <v>7609</v>
      </c>
      <c r="B7610">
        <f>TEXT(7609, "[$-170000]yyyy-mm-dd")</f>
        <v/>
      </c>
      <c r="C7610">
        <f>TEXT(7609, "[$-060000]yyyy-mm-dd")</f>
        <v/>
      </c>
      <c r="D7610" t="inlineStr">
        <is>
          <t>1339-02-17</t>
        </is>
      </c>
    </row>
    <row r="7611">
      <c r="A7611" s="1" t="n">
        <v>7610</v>
      </c>
      <c r="B7611">
        <f>TEXT(7610, "[$-170000]yyyy-mm-dd")</f>
        <v/>
      </c>
      <c r="C7611">
        <f>TEXT(7610, "[$-060000]yyyy-mm-dd")</f>
        <v/>
      </c>
      <c r="D7611" t="inlineStr">
        <is>
          <t>1339-02-18</t>
        </is>
      </c>
    </row>
    <row r="7612">
      <c r="A7612" s="1" t="n">
        <v>7611</v>
      </c>
      <c r="B7612">
        <f>TEXT(7611, "[$-170000]yyyy-mm-dd")</f>
        <v/>
      </c>
      <c r="C7612">
        <f>TEXT(7611, "[$-060000]yyyy-mm-dd")</f>
        <v/>
      </c>
      <c r="D7612" t="inlineStr">
        <is>
          <t>1339-02-19</t>
        </is>
      </c>
    </row>
    <row r="7613">
      <c r="A7613" s="1" t="n">
        <v>7612</v>
      </c>
      <c r="B7613">
        <f>TEXT(7612, "[$-170000]yyyy-mm-dd")</f>
        <v/>
      </c>
      <c r="C7613">
        <f>TEXT(7612, "[$-060000]yyyy-mm-dd")</f>
        <v/>
      </c>
      <c r="D7613" t="inlineStr">
        <is>
          <t>1339-02-20</t>
        </is>
      </c>
    </row>
    <row r="7614">
      <c r="A7614" s="1" t="n">
        <v>7613</v>
      </c>
      <c r="B7614">
        <f>TEXT(7613, "[$-170000]yyyy-mm-dd")</f>
        <v/>
      </c>
      <c r="C7614">
        <f>TEXT(7613, "[$-060000]yyyy-mm-dd")</f>
        <v/>
      </c>
      <c r="D7614" t="inlineStr">
        <is>
          <t>1339-02-21</t>
        </is>
      </c>
    </row>
    <row r="7615">
      <c r="A7615" s="1" t="n">
        <v>7614</v>
      </c>
      <c r="B7615">
        <f>TEXT(7614, "[$-170000]yyyy-mm-dd")</f>
        <v/>
      </c>
      <c r="C7615">
        <f>TEXT(7614, "[$-060000]yyyy-mm-dd")</f>
        <v/>
      </c>
      <c r="D7615" t="inlineStr">
        <is>
          <t>1339-02-22</t>
        </is>
      </c>
    </row>
    <row r="7616">
      <c r="A7616" s="1" t="n">
        <v>7615</v>
      </c>
      <c r="B7616">
        <f>TEXT(7615, "[$-170000]yyyy-mm-dd")</f>
        <v/>
      </c>
      <c r="C7616">
        <f>TEXT(7615, "[$-060000]yyyy-mm-dd")</f>
        <v/>
      </c>
      <c r="D7616" t="inlineStr">
        <is>
          <t>1339-02-23</t>
        </is>
      </c>
    </row>
    <row r="7617">
      <c r="A7617" s="1" t="n">
        <v>7616</v>
      </c>
      <c r="B7617">
        <f>TEXT(7616, "[$-170000]yyyy-mm-dd")</f>
        <v/>
      </c>
      <c r="C7617">
        <f>TEXT(7616, "[$-060000]yyyy-mm-dd")</f>
        <v/>
      </c>
      <c r="D7617" t="inlineStr">
        <is>
          <t>1339-02-24</t>
        </is>
      </c>
    </row>
    <row r="7618">
      <c r="A7618" s="1" t="n">
        <v>7617</v>
      </c>
      <c r="B7618">
        <f>TEXT(7617, "[$-170000]yyyy-mm-dd")</f>
        <v/>
      </c>
      <c r="C7618">
        <f>TEXT(7617, "[$-060000]yyyy-mm-dd")</f>
        <v/>
      </c>
      <c r="D7618" t="inlineStr">
        <is>
          <t>1339-02-25</t>
        </is>
      </c>
    </row>
    <row r="7619">
      <c r="A7619" s="1" t="n">
        <v>7618</v>
      </c>
      <c r="B7619">
        <f>TEXT(7618, "[$-170000]yyyy-mm-dd")</f>
        <v/>
      </c>
      <c r="C7619">
        <f>TEXT(7618, "[$-060000]yyyy-mm-dd")</f>
        <v/>
      </c>
      <c r="D7619" t="inlineStr">
        <is>
          <t>1339-02-26</t>
        </is>
      </c>
    </row>
    <row r="7620">
      <c r="A7620" s="1" t="n">
        <v>7619</v>
      </c>
      <c r="B7620">
        <f>TEXT(7619, "[$-170000]yyyy-mm-dd")</f>
        <v/>
      </c>
      <c r="C7620">
        <f>TEXT(7619, "[$-060000]yyyy-mm-dd")</f>
        <v/>
      </c>
      <c r="D7620" t="inlineStr">
        <is>
          <t>1339-02-27</t>
        </is>
      </c>
    </row>
    <row r="7621">
      <c r="A7621" s="1" t="n">
        <v>7620</v>
      </c>
      <c r="B7621">
        <f>TEXT(7620, "[$-170000]yyyy-mm-dd")</f>
        <v/>
      </c>
      <c r="C7621">
        <f>TEXT(7620, "[$-060000]yyyy-mm-dd")</f>
        <v/>
      </c>
      <c r="D7621" t="inlineStr">
        <is>
          <t>1339-02-28</t>
        </is>
      </c>
    </row>
    <row r="7622">
      <c r="A7622" s="1" t="n">
        <v>7621</v>
      </c>
      <c r="B7622">
        <f>TEXT(7621, "[$-170000]yyyy-mm-dd")</f>
        <v/>
      </c>
      <c r="C7622">
        <f>TEXT(7621, "[$-060000]yyyy-mm-dd")</f>
        <v/>
      </c>
      <c r="D7622" t="inlineStr">
        <is>
          <t>1339-02-29</t>
        </is>
      </c>
    </row>
    <row r="7623">
      <c r="A7623" s="1" t="n">
        <v>7622</v>
      </c>
      <c r="B7623">
        <f>TEXT(7622, "[$-170000]yyyy-mm-dd")</f>
        <v/>
      </c>
      <c r="C7623">
        <f>TEXT(7622, "[$-060000]yyyy-mm-dd")</f>
        <v/>
      </c>
      <c r="D7623" t="inlineStr">
        <is>
          <t>1339-03-01</t>
        </is>
      </c>
    </row>
    <row r="7624">
      <c r="A7624" s="1" t="n">
        <v>7623</v>
      </c>
      <c r="B7624">
        <f>TEXT(7623, "[$-170000]yyyy-mm-dd")</f>
        <v/>
      </c>
      <c r="C7624">
        <f>TEXT(7623, "[$-060000]yyyy-mm-dd")</f>
        <v/>
      </c>
      <c r="D7624" t="inlineStr">
        <is>
          <t>1339-03-02</t>
        </is>
      </c>
    </row>
    <row r="7625">
      <c r="A7625" s="1" t="n">
        <v>7624</v>
      </c>
      <c r="B7625">
        <f>TEXT(7624, "[$-170000]yyyy-mm-dd")</f>
        <v/>
      </c>
      <c r="C7625">
        <f>TEXT(7624, "[$-060000]yyyy-mm-dd")</f>
        <v/>
      </c>
      <c r="D7625" t="inlineStr">
        <is>
          <t>1339-03-03</t>
        </is>
      </c>
    </row>
    <row r="7626">
      <c r="A7626" s="1" t="n">
        <v>7625</v>
      </c>
      <c r="B7626">
        <f>TEXT(7625, "[$-170000]yyyy-mm-dd")</f>
        <v/>
      </c>
      <c r="C7626">
        <f>TEXT(7625, "[$-060000]yyyy-mm-dd")</f>
        <v/>
      </c>
      <c r="D7626" t="inlineStr">
        <is>
          <t>1339-03-04</t>
        </is>
      </c>
    </row>
    <row r="7627">
      <c r="A7627" s="1" t="n">
        <v>7626</v>
      </c>
      <c r="B7627">
        <f>TEXT(7626, "[$-170000]yyyy-mm-dd")</f>
        <v/>
      </c>
      <c r="C7627">
        <f>TEXT(7626, "[$-060000]yyyy-mm-dd")</f>
        <v/>
      </c>
      <c r="D7627" t="inlineStr">
        <is>
          <t>1339-03-05</t>
        </is>
      </c>
    </row>
    <row r="7628">
      <c r="A7628" s="1" t="n">
        <v>7627</v>
      </c>
      <c r="B7628">
        <f>TEXT(7627, "[$-170000]yyyy-mm-dd")</f>
        <v/>
      </c>
      <c r="C7628">
        <f>TEXT(7627, "[$-060000]yyyy-mm-dd")</f>
        <v/>
      </c>
      <c r="D7628" t="inlineStr">
        <is>
          <t>1339-03-06</t>
        </is>
      </c>
    </row>
    <row r="7629">
      <c r="A7629" s="1" t="n">
        <v>7628</v>
      </c>
      <c r="B7629">
        <f>TEXT(7628, "[$-170000]yyyy-mm-dd")</f>
        <v/>
      </c>
      <c r="C7629">
        <f>TEXT(7628, "[$-060000]yyyy-mm-dd")</f>
        <v/>
      </c>
      <c r="D7629" t="inlineStr">
        <is>
          <t>1339-03-07</t>
        </is>
      </c>
    </row>
    <row r="7630">
      <c r="A7630" s="1" t="n">
        <v>7629</v>
      </c>
      <c r="B7630">
        <f>TEXT(7629, "[$-170000]yyyy-mm-dd")</f>
        <v/>
      </c>
      <c r="C7630">
        <f>TEXT(7629, "[$-060000]yyyy-mm-dd")</f>
        <v/>
      </c>
      <c r="D7630" t="inlineStr">
        <is>
          <t>1339-03-08</t>
        </is>
      </c>
    </row>
    <row r="7631">
      <c r="A7631" s="1" t="n">
        <v>7630</v>
      </c>
      <c r="B7631">
        <f>TEXT(7630, "[$-170000]yyyy-mm-dd")</f>
        <v/>
      </c>
      <c r="C7631">
        <f>TEXT(7630, "[$-060000]yyyy-mm-dd")</f>
        <v/>
      </c>
      <c r="D7631" t="inlineStr">
        <is>
          <t>1339-03-09</t>
        </is>
      </c>
    </row>
    <row r="7632">
      <c r="A7632" s="1" t="n">
        <v>7631</v>
      </c>
      <c r="B7632">
        <f>TEXT(7631, "[$-170000]yyyy-mm-dd")</f>
        <v/>
      </c>
      <c r="C7632">
        <f>TEXT(7631, "[$-060000]yyyy-mm-dd")</f>
        <v/>
      </c>
      <c r="D7632" t="inlineStr">
        <is>
          <t>1339-03-10</t>
        </is>
      </c>
    </row>
    <row r="7633">
      <c r="A7633" s="1" t="n">
        <v>7632</v>
      </c>
      <c r="B7633">
        <f>TEXT(7632, "[$-170000]yyyy-mm-dd")</f>
        <v/>
      </c>
      <c r="C7633">
        <f>TEXT(7632, "[$-060000]yyyy-mm-dd")</f>
        <v/>
      </c>
      <c r="D7633" t="inlineStr">
        <is>
          <t>1339-03-11</t>
        </is>
      </c>
    </row>
    <row r="7634">
      <c r="A7634" s="1" t="n">
        <v>7633</v>
      </c>
      <c r="B7634">
        <f>TEXT(7633, "[$-170000]yyyy-mm-dd")</f>
        <v/>
      </c>
      <c r="C7634">
        <f>TEXT(7633, "[$-060000]yyyy-mm-dd")</f>
        <v/>
      </c>
      <c r="D7634" t="inlineStr">
        <is>
          <t>1339-03-12</t>
        </is>
      </c>
    </row>
    <row r="7635">
      <c r="A7635" s="1" t="n">
        <v>7634</v>
      </c>
      <c r="B7635">
        <f>TEXT(7634, "[$-170000]yyyy-mm-dd")</f>
        <v/>
      </c>
      <c r="C7635">
        <f>TEXT(7634, "[$-060000]yyyy-mm-dd")</f>
        <v/>
      </c>
      <c r="D7635" t="inlineStr">
        <is>
          <t>1339-03-13</t>
        </is>
      </c>
    </row>
    <row r="7636">
      <c r="A7636" s="1" t="n">
        <v>7635</v>
      </c>
      <c r="B7636">
        <f>TEXT(7635, "[$-170000]yyyy-mm-dd")</f>
        <v/>
      </c>
      <c r="C7636">
        <f>TEXT(7635, "[$-060000]yyyy-mm-dd")</f>
        <v/>
      </c>
      <c r="D7636" t="inlineStr">
        <is>
          <t>1339-03-14</t>
        </is>
      </c>
    </row>
    <row r="7637">
      <c r="A7637" s="1" t="n">
        <v>7636</v>
      </c>
      <c r="B7637">
        <f>TEXT(7636, "[$-170000]yyyy-mm-dd")</f>
        <v/>
      </c>
      <c r="C7637">
        <f>TEXT(7636, "[$-060000]yyyy-mm-dd")</f>
        <v/>
      </c>
      <c r="D7637" t="inlineStr">
        <is>
          <t>1339-03-15</t>
        </is>
      </c>
    </row>
    <row r="7638">
      <c r="A7638" s="1" t="n">
        <v>7637</v>
      </c>
      <c r="B7638">
        <f>TEXT(7637, "[$-170000]yyyy-mm-dd")</f>
        <v/>
      </c>
      <c r="C7638">
        <f>TEXT(7637, "[$-060000]yyyy-mm-dd")</f>
        <v/>
      </c>
      <c r="D7638" t="inlineStr">
        <is>
          <t>1339-03-16</t>
        </is>
      </c>
    </row>
    <row r="7639">
      <c r="A7639" s="1" t="n">
        <v>7638</v>
      </c>
      <c r="B7639">
        <f>TEXT(7638, "[$-170000]yyyy-mm-dd")</f>
        <v/>
      </c>
      <c r="C7639">
        <f>TEXT(7638, "[$-060000]yyyy-mm-dd")</f>
        <v/>
      </c>
      <c r="D7639" t="inlineStr">
        <is>
          <t>1339-03-17</t>
        </is>
      </c>
    </row>
    <row r="7640">
      <c r="A7640" s="1" t="n">
        <v>7639</v>
      </c>
      <c r="B7640">
        <f>TEXT(7639, "[$-170000]yyyy-mm-dd")</f>
        <v/>
      </c>
      <c r="C7640">
        <f>TEXT(7639, "[$-060000]yyyy-mm-dd")</f>
        <v/>
      </c>
      <c r="D7640" t="inlineStr">
        <is>
          <t>1339-03-18</t>
        </is>
      </c>
    </row>
    <row r="7641">
      <c r="A7641" s="1" t="n">
        <v>7640</v>
      </c>
      <c r="B7641">
        <f>TEXT(7640, "[$-170000]yyyy-mm-dd")</f>
        <v/>
      </c>
      <c r="C7641">
        <f>TEXT(7640, "[$-060000]yyyy-mm-dd")</f>
        <v/>
      </c>
      <c r="D7641" t="inlineStr">
        <is>
          <t>1339-03-19</t>
        </is>
      </c>
    </row>
    <row r="7642">
      <c r="A7642" s="1" t="n">
        <v>7641</v>
      </c>
      <c r="B7642">
        <f>TEXT(7641, "[$-170000]yyyy-mm-dd")</f>
        <v/>
      </c>
      <c r="C7642">
        <f>TEXT(7641, "[$-060000]yyyy-mm-dd")</f>
        <v/>
      </c>
      <c r="D7642" t="inlineStr">
        <is>
          <t>1339-03-20</t>
        </is>
      </c>
    </row>
    <row r="7643">
      <c r="A7643" s="1" t="n">
        <v>7642</v>
      </c>
      <c r="B7643">
        <f>TEXT(7642, "[$-170000]yyyy-mm-dd")</f>
        <v/>
      </c>
      <c r="C7643">
        <f>TEXT(7642, "[$-060000]yyyy-mm-dd")</f>
        <v/>
      </c>
      <c r="D7643" t="inlineStr">
        <is>
          <t>1339-03-21</t>
        </is>
      </c>
    </row>
    <row r="7644">
      <c r="A7644" s="1" t="n">
        <v>7643</v>
      </c>
      <c r="B7644">
        <f>TEXT(7643, "[$-170000]yyyy-mm-dd")</f>
        <v/>
      </c>
      <c r="C7644">
        <f>TEXT(7643, "[$-060000]yyyy-mm-dd")</f>
        <v/>
      </c>
      <c r="D7644" t="inlineStr">
        <is>
          <t>1339-03-22</t>
        </is>
      </c>
    </row>
    <row r="7645">
      <c r="A7645" s="1" t="n">
        <v>7644</v>
      </c>
      <c r="B7645">
        <f>TEXT(7644, "[$-170000]yyyy-mm-dd")</f>
        <v/>
      </c>
      <c r="C7645">
        <f>TEXT(7644, "[$-060000]yyyy-mm-dd")</f>
        <v/>
      </c>
      <c r="D7645" t="inlineStr">
        <is>
          <t>1339-03-23</t>
        </is>
      </c>
    </row>
    <row r="7646">
      <c r="A7646" s="1" t="n">
        <v>7645</v>
      </c>
      <c r="B7646">
        <f>TEXT(7645, "[$-170000]yyyy-mm-dd")</f>
        <v/>
      </c>
      <c r="C7646">
        <f>TEXT(7645, "[$-060000]yyyy-mm-dd")</f>
        <v/>
      </c>
      <c r="D7646" t="inlineStr">
        <is>
          <t>1339-03-24</t>
        </is>
      </c>
    </row>
    <row r="7647">
      <c r="A7647" s="1" t="n">
        <v>7646</v>
      </c>
      <c r="B7647">
        <f>TEXT(7646, "[$-170000]yyyy-mm-dd")</f>
        <v/>
      </c>
      <c r="C7647">
        <f>TEXT(7646, "[$-060000]yyyy-mm-dd")</f>
        <v/>
      </c>
      <c r="D7647" t="inlineStr">
        <is>
          <t>1339-03-25</t>
        </is>
      </c>
    </row>
    <row r="7648">
      <c r="A7648" s="1" t="n">
        <v>7647</v>
      </c>
      <c r="B7648">
        <f>TEXT(7647, "[$-170000]yyyy-mm-dd")</f>
        <v/>
      </c>
      <c r="C7648">
        <f>TEXT(7647, "[$-060000]yyyy-mm-dd")</f>
        <v/>
      </c>
      <c r="D7648" t="inlineStr">
        <is>
          <t>1339-03-26</t>
        </is>
      </c>
    </row>
    <row r="7649">
      <c r="A7649" s="1" t="n">
        <v>7648</v>
      </c>
      <c r="B7649">
        <f>TEXT(7648, "[$-170000]yyyy-mm-dd")</f>
        <v/>
      </c>
      <c r="C7649">
        <f>TEXT(7648, "[$-060000]yyyy-mm-dd")</f>
        <v/>
      </c>
      <c r="D7649" t="inlineStr">
        <is>
          <t>1339-03-27</t>
        </is>
      </c>
    </row>
    <row r="7650">
      <c r="A7650" s="1" t="n">
        <v>7649</v>
      </c>
      <c r="B7650">
        <f>TEXT(7649, "[$-170000]yyyy-mm-dd")</f>
        <v/>
      </c>
      <c r="C7650">
        <f>TEXT(7649, "[$-060000]yyyy-mm-dd")</f>
        <v/>
      </c>
      <c r="D7650" t="inlineStr">
        <is>
          <t>1339-03-28</t>
        </is>
      </c>
    </row>
    <row r="7651">
      <c r="A7651" s="1" t="n">
        <v>7650</v>
      </c>
      <c r="B7651">
        <f>TEXT(7650, "[$-170000]yyyy-mm-dd")</f>
        <v/>
      </c>
      <c r="C7651">
        <f>TEXT(7650, "[$-060000]yyyy-mm-dd")</f>
        <v/>
      </c>
      <c r="D7651" t="inlineStr">
        <is>
          <t>1339-03-29</t>
        </is>
      </c>
    </row>
    <row r="7652">
      <c r="A7652" s="1" t="n">
        <v>7651</v>
      </c>
      <c r="B7652">
        <f>TEXT(7651, "[$-170000]yyyy-mm-dd")</f>
        <v/>
      </c>
      <c r="C7652">
        <f>TEXT(7651, "[$-060000]yyyy-mm-dd")</f>
        <v/>
      </c>
      <c r="D7652" t="inlineStr">
        <is>
          <t>1339-03-30</t>
        </is>
      </c>
    </row>
    <row r="7653">
      <c r="A7653" s="1" t="n">
        <v>7652</v>
      </c>
      <c r="B7653">
        <f>TEXT(7652, "[$-170000]yyyy-mm-dd")</f>
        <v/>
      </c>
      <c r="C7653">
        <f>TEXT(7652, "[$-060000]yyyy-mm-dd")</f>
        <v/>
      </c>
      <c r="D7653" t="inlineStr">
        <is>
          <t>1339-04-01</t>
        </is>
      </c>
    </row>
    <row r="7654">
      <c r="A7654" s="1" t="n">
        <v>7653</v>
      </c>
      <c r="B7654">
        <f>TEXT(7653, "[$-170000]yyyy-mm-dd")</f>
        <v/>
      </c>
      <c r="C7654">
        <f>TEXT(7653, "[$-060000]yyyy-mm-dd")</f>
        <v/>
      </c>
      <c r="D7654" t="inlineStr">
        <is>
          <t>1339-04-02</t>
        </is>
      </c>
    </row>
    <row r="7655">
      <c r="A7655" s="1" t="n">
        <v>7654</v>
      </c>
      <c r="B7655">
        <f>TEXT(7654, "[$-170000]yyyy-mm-dd")</f>
        <v/>
      </c>
      <c r="C7655">
        <f>TEXT(7654, "[$-060000]yyyy-mm-dd")</f>
        <v/>
      </c>
      <c r="D7655" t="inlineStr">
        <is>
          <t>1339-04-03</t>
        </is>
      </c>
    </row>
    <row r="7656">
      <c r="A7656" s="1" t="n">
        <v>7655</v>
      </c>
      <c r="B7656">
        <f>TEXT(7655, "[$-170000]yyyy-mm-dd")</f>
        <v/>
      </c>
      <c r="C7656">
        <f>TEXT(7655, "[$-060000]yyyy-mm-dd")</f>
        <v/>
      </c>
      <c r="D7656" t="inlineStr">
        <is>
          <t>1339-04-04</t>
        </is>
      </c>
    </row>
    <row r="7657">
      <c r="A7657" s="1" t="n">
        <v>7656</v>
      </c>
      <c r="B7657">
        <f>TEXT(7656, "[$-170000]yyyy-mm-dd")</f>
        <v/>
      </c>
      <c r="C7657">
        <f>TEXT(7656, "[$-060000]yyyy-mm-dd")</f>
        <v/>
      </c>
      <c r="D7657" t="inlineStr">
        <is>
          <t>1339-04-05</t>
        </is>
      </c>
    </row>
    <row r="7658">
      <c r="A7658" s="1" t="n">
        <v>7657</v>
      </c>
      <c r="B7658">
        <f>TEXT(7657, "[$-170000]yyyy-mm-dd")</f>
        <v/>
      </c>
      <c r="C7658">
        <f>TEXT(7657, "[$-060000]yyyy-mm-dd")</f>
        <v/>
      </c>
      <c r="D7658" t="inlineStr">
        <is>
          <t>1339-04-06</t>
        </is>
      </c>
    </row>
    <row r="7659">
      <c r="A7659" s="1" t="n">
        <v>7658</v>
      </c>
      <c r="B7659">
        <f>TEXT(7658, "[$-170000]yyyy-mm-dd")</f>
        <v/>
      </c>
      <c r="C7659">
        <f>TEXT(7658, "[$-060000]yyyy-mm-dd")</f>
        <v/>
      </c>
      <c r="D7659" t="inlineStr">
        <is>
          <t>1339-04-07</t>
        </is>
      </c>
    </row>
    <row r="7660">
      <c r="A7660" s="1" t="n">
        <v>7659</v>
      </c>
      <c r="B7660">
        <f>TEXT(7659, "[$-170000]yyyy-mm-dd")</f>
        <v/>
      </c>
      <c r="C7660">
        <f>TEXT(7659, "[$-060000]yyyy-mm-dd")</f>
        <v/>
      </c>
      <c r="D7660" t="inlineStr">
        <is>
          <t>1339-04-08</t>
        </is>
      </c>
    </row>
    <row r="7661">
      <c r="A7661" s="1" t="n">
        <v>7660</v>
      </c>
      <c r="B7661">
        <f>TEXT(7660, "[$-170000]yyyy-mm-dd")</f>
        <v/>
      </c>
      <c r="C7661">
        <f>TEXT(7660, "[$-060000]yyyy-mm-dd")</f>
        <v/>
      </c>
      <c r="D7661" t="inlineStr">
        <is>
          <t>1339-04-09</t>
        </is>
      </c>
    </row>
    <row r="7662">
      <c r="A7662" s="1" t="n">
        <v>7661</v>
      </c>
      <c r="B7662">
        <f>TEXT(7661, "[$-170000]yyyy-mm-dd")</f>
        <v/>
      </c>
      <c r="C7662">
        <f>TEXT(7661, "[$-060000]yyyy-mm-dd")</f>
        <v/>
      </c>
      <c r="D7662" t="inlineStr">
        <is>
          <t>1339-04-10</t>
        </is>
      </c>
    </row>
    <row r="7663">
      <c r="A7663" s="1" t="n">
        <v>7662</v>
      </c>
      <c r="B7663">
        <f>TEXT(7662, "[$-170000]yyyy-mm-dd")</f>
        <v/>
      </c>
      <c r="C7663">
        <f>TEXT(7662, "[$-060000]yyyy-mm-dd")</f>
        <v/>
      </c>
      <c r="D7663" t="inlineStr">
        <is>
          <t>1339-04-11</t>
        </is>
      </c>
    </row>
    <row r="7664">
      <c r="A7664" s="1" t="n">
        <v>7663</v>
      </c>
      <c r="B7664">
        <f>TEXT(7663, "[$-170000]yyyy-mm-dd")</f>
        <v/>
      </c>
      <c r="C7664">
        <f>TEXT(7663, "[$-060000]yyyy-mm-dd")</f>
        <v/>
      </c>
      <c r="D7664" t="inlineStr">
        <is>
          <t>1339-04-12</t>
        </is>
      </c>
    </row>
    <row r="7665">
      <c r="A7665" s="1" t="n">
        <v>7664</v>
      </c>
      <c r="B7665">
        <f>TEXT(7664, "[$-170000]yyyy-mm-dd")</f>
        <v/>
      </c>
      <c r="C7665">
        <f>TEXT(7664, "[$-060000]yyyy-mm-dd")</f>
        <v/>
      </c>
      <c r="D7665" t="inlineStr">
        <is>
          <t>1339-04-13</t>
        </is>
      </c>
    </row>
    <row r="7666">
      <c r="A7666" s="1" t="n">
        <v>7665</v>
      </c>
      <c r="B7666">
        <f>TEXT(7665, "[$-170000]yyyy-mm-dd")</f>
        <v/>
      </c>
      <c r="C7666">
        <f>TEXT(7665, "[$-060000]yyyy-mm-dd")</f>
        <v/>
      </c>
      <c r="D7666" t="inlineStr">
        <is>
          <t>1339-04-14</t>
        </is>
      </c>
    </row>
    <row r="7667">
      <c r="A7667" s="1" t="n">
        <v>7666</v>
      </c>
      <c r="B7667">
        <f>TEXT(7666, "[$-170000]yyyy-mm-dd")</f>
        <v/>
      </c>
      <c r="C7667">
        <f>TEXT(7666, "[$-060000]yyyy-mm-dd")</f>
        <v/>
      </c>
      <c r="D7667" t="inlineStr">
        <is>
          <t>1339-04-15</t>
        </is>
      </c>
    </row>
    <row r="7668">
      <c r="A7668" s="1" t="n">
        <v>7667</v>
      </c>
      <c r="B7668">
        <f>TEXT(7667, "[$-170000]yyyy-mm-dd")</f>
        <v/>
      </c>
      <c r="C7668">
        <f>TEXT(7667, "[$-060000]yyyy-mm-dd")</f>
        <v/>
      </c>
      <c r="D7668" t="inlineStr">
        <is>
          <t>1339-04-16</t>
        </is>
      </c>
    </row>
    <row r="7669">
      <c r="A7669" s="1" t="n">
        <v>7668</v>
      </c>
      <c r="B7669">
        <f>TEXT(7668, "[$-170000]yyyy-mm-dd")</f>
        <v/>
      </c>
      <c r="C7669">
        <f>TEXT(7668, "[$-060000]yyyy-mm-dd")</f>
        <v/>
      </c>
      <c r="D7669" t="inlineStr">
        <is>
          <t>1339-04-17</t>
        </is>
      </c>
    </row>
    <row r="7670">
      <c r="A7670" s="1" t="n">
        <v>7669</v>
      </c>
      <c r="B7670">
        <f>TEXT(7669, "[$-170000]yyyy-mm-dd")</f>
        <v/>
      </c>
      <c r="C7670">
        <f>TEXT(7669, "[$-060000]yyyy-mm-dd")</f>
        <v/>
      </c>
      <c r="D7670" t="inlineStr">
        <is>
          <t>1339-04-18</t>
        </is>
      </c>
    </row>
    <row r="7671">
      <c r="A7671" s="1" t="n">
        <v>7670</v>
      </c>
      <c r="B7671">
        <f>TEXT(7670, "[$-170000]yyyy-mm-dd")</f>
        <v/>
      </c>
      <c r="C7671">
        <f>TEXT(7670, "[$-060000]yyyy-mm-dd")</f>
        <v/>
      </c>
      <c r="D7671" t="inlineStr">
        <is>
          <t>1339-04-19</t>
        </is>
      </c>
    </row>
    <row r="7672">
      <c r="A7672" s="1" t="n">
        <v>7671</v>
      </c>
      <c r="B7672">
        <f>TEXT(7671, "[$-170000]yyyy-mm-dd")</f>
        <v/>
      </c>
      <c r="C7672">
        <f>TEXT(7671, "[$-060000]yyyy-mm-dd")</f>
        <v/>
      </c>
      <c r="D7672" t="inlineStr">
        <is>
          <t>1339-04-20</t>
        </is>
      </c>
    </row>
    <row r="7673">
      <c r="A7673" s="1" t="n">
        <v>7672</v>
      </c>
      <c r="B7673">
        <f>TEXT(7672, "[$-170000]yyyy-mm-dd")</f>
        <v/>
      </c>
      <c r="C7673">
        <f>TEXT(7672, "[$-060000]yyyy-mm-dd")</f>
        <v/>
      </c>
      <c r="D7673" t="inlineStr">
        <is>
          <t>1339-04-21</t>
        </is>
      </c>
    </row>
    <row r="7674">
      <c r="A7674" s="1" t="n">
        <v>7673</v>
      </c>
      <c r="B7674">
        <f>TEXT(7673, "[$-170000]yyyy-mm-dd")</f>
        <v/>
      </c>
      <c r="C7674">
        <f>TEXT(7673, "[$-060000]yyyy-mm-dd")</f>
        <v/>
      </c>
      <c r="D7674" t="inlineStr">
        <is>
          <t>1339-04-22</t>
        </is>
      </c>
    </row>
    <row r="7675">
      <c r="A7675" s="1" t="n">
        <v>7674</v>
      </c>
      <c r="B7675">
        <f>TEXT(7674, "[$-170000]yyyy-mm-dd")</f>
        <v/>
      </c>
      <c r="C7675">
        <f>TEXT(7674, "[$-060000]yyyy-mm-dd")</f>
        <v/>
      </c>
      <c r="D7675" t="inlineStr">
        <is>
          <t>1339-04-23</t>
        </is>
      </c>
    </row>
    <row r="7676">
      <c r="A7676" s="1" t="n">
        <v>7675</v>
      </c>
      <c r="B7676">
        <f>TEXT(7675, "[$-170000]yyyy-mm-dd")</f>
        <v/>
      </c>
      <c r="C7676">
        <f>TEXT(7675, "[$-060000]yyyy-mm-dd")</f>
        <v/>
      </c>
      <c r="D7676" t="inlineStr">
        <is>
          <t>1339-04-24</t>
        </is>
      </c>
    </row>
    <row r="7677">
      <c r="A7677" s="1" t="n">
        <v>7676</v>
      </c>
      <c r="B7677">
        <f>TEXT(7676, "[$-170000]yyyy-mm-dd")</f>
        <v/>
      </c>
      <c r="C7677">
        <f>TEXT(7676, "[$-060000]yyyy-mm-dd")</f>
        <v/>
      </c>
      <c r="D7677" t="inlineStr">
        <is>
          <t>1339-04-25</t>
        </is>
      </c>
    </row>
    <row r="7678">
      <c r="A7678" s="1" t="n">
        <v>7677</v>
      </c>
      <c r="B7678">
        <f>TEXT(7677, "[$-170000]yyyy-mm-dd")</f>
        <v/>
      </c>
      <c r="C7678">
        <f>TEXT(7677, "[$-060000]yyyy-mm-dd")</f>
        <v/>
      </c>
      <c r="D7678" t="inlineStr">
        <is>
          <t>1339-04-26</t>
        </is>
      </c>
    </row>
    <row r="7679">
      <c r="A7679" s="1" t="n">
        <v>7678</v>
      </c>
      <c r="B7679">
        <f>TEXT(7678, "[$-170000]yyyy-mm-dd")</f>
        <v/>
      </c>
      <c r="C7679">
        <f>TEXT(7678, "[$-060000]yyyy-mm-dd")</f>
        <v/>
      </c>
      <c r="D7679" t="inlineStr">
        <is>
          <t>1339-04-27</t>
        </is>
      </c>
    </row>
    <row r="7680">
      <c r="A7680" s="1" t="n">
        <v>7679</v>
      </c>
      <c r="B7680">
        <f>TEXT(7679, "[$-170000]yyyy-mm-dd")</f>
        <v/>
      </c>
      <c r="C7680">
        <f>TEXT(7679, "[$-060000]yyyy-mm-dd")</f>
        <v/>
      </c>
      <c r="D7680" t="inlineStr">
        <is>
          <t>1339-04-28</t>
        </is>
      </c>
    </row>
    <row r="7681">
      <c r="A7681" s="1" t="n">
        <v>7680</v>
      </c>
      <c r="B7681">
        <f>TEXT(7680, "[$-170000]yyyy-mm-dd")</f>
        <v/>
      </c>
      <c r="C7681">
        <f>TEXT(7680, "[$-060000]yyyy-mm-dd")</f>
        <v/>
      </c>
      <c r="D7681" t="inlineStr">
        <is>
          <t>1339-04-29</t>
        </is>
      </c>
    </row>
    <row r="7682">
      <c r="A7682" s="1" t="n">
        <v>7681</v>
      </c>
      <c r="B7682">
        <f>TEXT(7681, "[$-170000]yyyy-mm-dd")</f>
        <v/>
      </c>
      <c r="C7682">
        <f>TEXT(7681, "[$-060000]yyyy-mm-dd")</f>
        <v/>
      </c>
      <c r="D7682" t="inlineStr">
        <is>
          <t>1339-05-01</t>
        </is>
      </c>
    </row>
    <row r="7683">
      <c r="A7683" s="1" t="n">
        <v>7682</v>
      </c>
      <c r="B7683">
        <f>TEXT(7682, "[$-170000]yyyy-mm-dd")</f>
        <v/>
      </c>
      <c r="C7683">
        <f>TEXT(7682, "[$-060000]yyyy-mm-dd")</f>
        <v/>
      </c>
      <c r="D7683" t="inlineStr">
        <is>
          <t>1339-05-02</t>
        </is>
      </c>
    </row>
    <row r="7684">
      <c r="A7684" s="1" t="n">
        <v>7683</v>
      </c>
      <c r="B7684">
        <f>TEXT(7683, "[$-170000]yyyy-mm-dd")</f>
        <v/>
      </c>
      <c r="C7684">
        <f>TEXT(7683, "[$-060000]yyyy-mm-dd")</f>
        <v/>
      </c>
      <c r="D7684" t="inlineStr">
        <is>
          <t>1339-05-03</t>
        </is>
      </c>
    </row>
    <row r="7685">
      <c r="A7685" s="1" t="n">
        <v>7684</v>
      </c>
      <c r="B7685">
        <f>TEXT(7684, "[$-170000]yyyy-mm-dd")</f>
        <v/>
      </c>
      <c r="C7685">
        <f>TEXT(7684, "[$-060000]yyyy-mm-dd")</f>
        <v/>
      </c>
      <c r="D7685" t="inlineStr">
        <is>
          <t>1339-05-04</t>
        </is>
      </c>
    </row>
    <row r="7686">
      <c r="A7686" s="1" t="n">
        <v>7685</v>
      </c>
      <c r="B7686">
        <f>TEXT(7685, "[$-170000]yyyy-mm-dd")</f>
        <v/>
      </c>
      <c r="C7686">
        <f>TEXT(7685, "[$-060000]yyyy-mm-dd")</f>
        <v/>
      </c>
      <c r="D7686" t="inlineStr">
        <is>
          <t>1339-05-05</t>
        </is>
      </c>
    </row>
    <row r="7687">
      <c r="A7687" s="1" t="n">
        <v>7686</v>
      </c>
      <c r="B7687">
        <f>TEXT(7686, "[$-170000]yyyy-mm-dd")</f>
        <v/>
      </c>
      <c r="C7687">
        <f>TEXT(7686, "[$-060000]yyyy-mm-dd")</f>
        <v/>
      </c>
      <c r="D7687" t="inlineStr">
        <is>
          <t>1339-05-06</t>
        </is>
      </c>
    </row>
    <row r="7688">
      <c r="A7688" s="1" t="n">
        <v>7687</v>
      </c>
      <c r="B7688">
        <f>TEXT(7687, "[$-170000]yyyy-mm-dd")</f>
        <v/>
      </c>
      <c r="C7688">
        <f>TEXT(7687, "[$-060000]yyyy-mm-dd")</f>
        <v/>
      </c>
      <c r="D7688" t="inlineStr">
        <is>
          <t>1339-05-07</t>
        </is>
      </c>
    </row>
    <row r="7689">
      <c r="A7689" s="1" t="n">
        <v>7688</v>
      </c>
      <c r="B7689">
        <f>TEXT(7688, "[$-170000]yyyy-mm-dd")</f>
        <v/>
      </c>
      <c r="C7689">
        <f>TEXT(7688, "[$-060000]yyyy-mm-dd")</f>
        <v/>
      </c>
      <c r="D7689" t="inlineStr">
        <is>
          <t>1339-05-08</t>
        </is>
      </c>
    </row>
    <row r="7690">
      <c r="A7690" s="1" t="n">
        <v>7689</v>
      </c>
      <c r="B7690">
        <f>TEXT(7689, "[$-170000]yyyy-mm-dd")</f>
        <v/>
      </c>
      <c r="C7690">
        <f>TEXT(7689, "[$-060000]yyyy-mm-dd")</f>
        <v/>
      </c>
      <c r="D7690" t="inlineStr">
        <is>
          <t>1339-05-09</t>
        </is>
      </c>
    </row>
    <row r="7691">
      <c r="A7691" s="1" t="n">
        <v>7690</v>
      </c>
      <c r="B7691">
        <f>TEXT(7690, "[$-170000]yyyy-mm-dd")</f>
        <v/>
      </c>
      <c r="C7691">
        <f>TEXT(7690, "[$-060000]yyyy-mm-dd")</f>
        <v/>
      </c>
      <c r="D7691" t="inlineStr">
        <is>
          <t>1339-05-10</t>
        </is>
      </c>
    </row>
    <row r="7692">
      <c r="A7692" s="1" t="n">
        <v>7691</v>
      </c>
      <c r="B7692">
        <f>TEXT(7691, "[$-170000]yyyy-mm-dd")</f>
        <v/>
      </c>
      <c r="C7692">
        <f>TEXT(7691, "[$-060000]yyyy-mm-dd")</f>
        <v/>
      </c>
      <c r="D7692" t="inlineStr">
        <is>
          <t>1339-05-11</t>
        </is>
      </c>
    </row>
    <row r="7693">
      <c r="A7693" s="1" t="n">
        <v>7692</v>
      </c>
      <c r="B7693">
        <f>TEXT(7692, "[$-170000]yyyy-mm-dd")</f>
        <v/>
      </c>
      <c r="C7693">
        <f>TEXT(7692, "[$-060000]yyyy-mm-dd")</f>
        <v/>
      </c>
      <c r="D7693" t="inlineStr">
        <is>
          <t>1339-05-12</t>
        </is>
      </c>
    </row>
    <row r="7694">
      <c r="A7694" s="1" t="n">
        <v>7693</v>
      </c>
      <c r="B7694">
        <f>TEXT(7693, "[$-170000]yyyy-mm-dd")</f>
        <v/>
      </c>
      <c r="C7694">
        <f>TEXT(7693, "[$-060000]yyyy-mm-dd")</f>
        <v/>
      </c>
      <c r="D7694" t="inlineStr">
        <is>
          <t>1339-05-13</t>
        </is>
      </c>
    </row>
    <row r="7695">
      <c r="A7695" s="1" t="n">
        <v>7694</v>
      </c>
      <c r="B7695">
        <f>TEXT(7694, "[$-170000]yyyy-mm-dd")</f>
        <v/>
      </c>
      <c r="C7695">
        <f>TEXT(7694, "[$-060000]yyyy-mm-dd")</f>
        <v/>
      </c>
      <c r="D7695" t="inlineStr">
        <is>
          <t>1339-05-14</t>
        </is>
      </c>
    </row>
    <row r="7696">
      <c r="A7696" s="1" t="n">
        <v>7695</v>
      </c>
      <c r="B7696">
        <f>TEXT(7695, "[$-170000]yyyy-mm-dd")</f>
        <v/>
      </c>
      <c r="C7696">
        <f>TEXT(7695, "[$-060000]yyyy-mm-dd")</f>
        <v/>
      </c>
      <c r="D7696" t="inlineStr">
        <is>
          <t>1339-05-15</t>
        </is>
      </c>
    </row>
    <row r="7697">
      <c r="A7697" s="1" t="n">
        <v>7696</v>
      </c>
      <c r="B7697">
        <f>TEXT(7696, "[$-170000]yyyy-mm-dd")</f>
        <v/>
      </c>
      <c r="C7697">
        <f>TEXT(7696, "[$-060000]yyyy-mm-dd")</f>
        <v/>
      </c>
      <c r="D7697" t="inlineStr">
        <is>
          <t>1339-05-16</t>
        </is>
      </c>
    </row>
    <row r="7698">
      <c r="A7698" s="1" t="n">
        <v>7697</v>
      </c>
      <c r="B7698">
        <f>TEXT(7697, "[$-170000]yyyy-mm-dd")</f>
        <v/>
      </c>
      <c r="C7698">
        <f>TEXT(7697, "[$-060000]yyyy-mm-dd")</f>
        <v/>
      </c>
      <c r="D7698" t="inlineStr">
        <is>
          <t>1339-05-17</t>
        </is>
      </c>
    </row>
    <row r="7699">
      <c r="A7699" s="1" t="n">
        <v>7698</v>
      </c>
      <c r="B7699">
        <f>TEXT(7698, "[$-170000]yyyy-mm-dd")</f>
        <v/>
      </c>
      <c r="C7699">
        <f>TEXT(7698, "[$-060000]yyyy-mm-dd")</f>
        <v/>
      </c>
      <c r="D7699" t="inlineStr">
        <is>
          <t>1339-05-18</t>
        </is>
      </c>
    </row>
    <row r="7700">
      <c r="A7700" s="1" t="n">
        <v>7699</v>
      </c>
      <c r="B7700">
        <f>TEXT(7699, "[$-170000]yyyy-mm-dd")</f>
        <v/>
      </c>
      <c r="C7700">
        <f>TEXT(7699, "[$-060000]yyyy-mm-dd")</f>
        <v/>
      </c>
      <c r="D7700" t="inlineStr">
        <is>
          <t>1339-05-19</t>
        </is>
      </c>
    </row>
    <row r="7701">
      <c r="A7701" s="1" t="n">
        <v>7700</v>
      </c>
      <c r="B7701">
        <f>TEXT(7700, "[$-170000]yyyy-mm-dd")</f>
        <v/>
      </c>
      <c r="C7701">
        <f>TEXT(7700, "[$-060000]yyyy-mm-dd")</f>
        <v/>
      </c>
      <c r="D7701" t="inlineStr">
        <is>
          <t>1339-05-20</t>
        </is>
      </c>
    </row>
    <row r="7702">
      <c r="A7702" s="1" t="n">
        <v>7701</v>
      </c>
      <c r="B7702">
        <f>TEXT(7701, "[$-170000]yyyy-mm-dd")</f>
        <v/>
      </c>
      <c r="C7702">
        <f>TEXT(7701, "[$-060000]yyyy-mm-dd")</f>
        <v/>
      </c>
      <c r="D7702" t="inlineStr">
        <is>
          <t>1339-05-21</t>
        </is>
      </c>
    </row>
    <row r="7703">
      <c r="A7703" s="1" t="n">
        <v>7702</v>
      </c>
      <c r="B7703">
        <f>TEXT(7702, "[$-170000]yyyy-mm-dd")</f>
        <v/>
      </c>
      <c r="C7703">
        <f>TEXT(7702, "[$-060000]yyyy-mm-dd")</f>
        <v/>
      </c>
      <c r="D7703" t="inlineStr">
        <is>
          <t>1339-05-22</t>
        </is>
      </c>
    </row>
    <row r="7704">
      <c r="A7704" s="1" t="n">
        <v>7703</v>
      </c>
      <c r="B7704">
        <f>TEXT(7703, "[$-170000]yyyy-mm-dd")</f>
        <v/>
      </c>
      <c r="C7704">
        <f>TEXT(7703, "[$-060000]yyyy-mm-dd")</f>
        <v/>
      </c>
      <c r="D7704" t="inlineStr">
        <is>
          <t>1339-05-23</t>
        </is>
      </c>
    </row>
    <row r="7705">
      <c r="A7705" s="1" t="n">
        <v>7704</v>
      </c>
      <c r="B7705">
        <f>TEXT(7704, "[$-170000]yyyy-mm-dd")</f>
        <v/>
      </c>
      <c r="C7705">
        <f>TEXT(7704, "[$-060000]yyyy-mm-dd")</f>
        <v/>
      </c>
      <c r="D7705" t="inlineStr">
        <is>
          <t>1339-05-24</t>
        </is>
      </c>
    </row>
    <row r="7706">
      <c r="A7706" s="1" t="n">
        <v>7705</v>
      </c>
      <c r="B7706">
        <f>TEXT(7705, "[$-170000]yyyy-mm-dd")</f>
        <v/>
      </c>
      <c r="C7706">
        <f>TEXT(7705, "[$-060000]yyyy-mm-dd")</f>
        <v/>
      </c>
      <c r="D7706" t="inlineStr">
        <is>
          <t>1339-05-25</t>
        </is>
      </c>
    </row>
    <row r="7707">
      <c r="A7707" s="1" t="n">
        <v>7706</v>
      </c>
      <c r="B7707">
        <f>TEXT(7706, "[$-170000]yyyy-mm-dd")</f>
        <v/>
      </c>
      <c r="C7707">
        <f>TEXT(7706, "[$-060000]yyyy-mm-dd")</f>
        <v/>
      </c>
      <c r="D7707" t="inlineStr">
        <is>
          <t>1339-05-26</t>
        </is>
      </c>
    </row>
    <row r="7708">
      <c r="A7708" s="1" t="n">
        <v>7707</v>
      </c>
      <c r="B7708">
        <f>TEXT(7707, "[$-170000]yyyy-mm-dd")</f>
        <v/>
      </c>
      <c r="C7708">
        <f>TEXT(7707, "[$-060000]yyyy-mm-dd")</f>
        <v/>
      </c>
      <c r="D7708" t="inlineStr">
        <is>
          <t>1339-05-27</t>
        </is>
      </c>
    </row>
    <row r="7709">
      <c r="A7709" s="1" t="n">
        <v>7708</v>
      </c>
      <c r="B7709">
        <f>TEXT(7708, "[$-170000]yyyy-mm-dd")</f>
        <v/>
      </c>
      <c r="C7709">
        <f>TEXT(7708, "[$-060000]yyyy-mm-dd")</f>
        <v/>
      </c>
      <c r="D7709" t="inlineStr">
        <is>
          <t>1339-05-28</t>
        </is>
      </c>
    </row>
    <row r="7710">
      <c r="A7710" s="1" t="n">
        <v>7709</v>
      </c>
      <c r="B7710">
        <f>TEXT(7709, "[$-170000]yyyy-mm-dd")</f>
        <v/>
      </c>
      <c r="C7710">
        <f>TEXT(7709, "[$-060000]yyyy-mm-dd")</f>
        <v/>
      </c>
      <c r="D7710" t="inlineStr">
        <is>
          <t>1339-05-29</t>
        </is>
      </c>
    </row>
    <row r="7711">
      <c r="A7711" s="1" t="n">
        <v>7710</v>
      </c>
      <c r="B7711">
        <f>TEXT(7710, "[$-170000]yyyy-mm-dd")</f>
        <v/>
      </c>
      <c r="C7711">
        <f>TEXT(7710, "[$-060000]yyyy-mm-dd")</f>
        <v/>
      </c>
      <c r="D7711" t="inlineStr">
        <is>
          <t>1339-05-30</t>
        </is>
      </c>
    </row>
    <row r="7712">
      <c r="A7712" s="1" t="n">
        <v>7711</v>
      </c>
      <c r="B7712">
        <f>TEXT(7711, "[$-170000]yyyy-mm-dd")</f>
        <v/>
      </c>
      <c r="C7712">
        <f>TEXT(7711, "[$-060000]yyyy-mm-dd")</f>
        <v/>
      </c>
      <c r="D7712" t="inlineStr">
        <is>
          <t>1339-06-01</t>
        </is>
      </c>
    </row>
    <row r="7713">
      <c r="A7713" s="1" t="n">
        <v>7712</v>
      </c>
      <c r="B7713">
        <f>TEXT(7712, "[$-170000]yyyy-mm-dd")</f>
        <v/>
      </c>
      <c r="C7713">
        <f>TEXT(7712, "[$-060000]yyyy-mm-dd")</f>
        <v/>
      </c>
      <c r="D7713" t="inlineStr">
        <is>
          <t>1339-06-02</t>
        </is>
      </c>
    </row>
    <row r="7714">
      <c r="A7714" s="1" t="n">
        <v>7713</v>
      </c>
      <c r="B7714">
        <f>TEXT(7713, "[$-170000]yyyy-mm-dd")</f>
        <v/>
      </c>
      <c r="C7714">
        <f>TEXT(7713, "[$-060000]yyyy-mm-dd")</f>
        <v/>
      </c>
      <c r="D7714" t="inlineStr">
        <is>
          <t>1339-06-03</t>
        </is>
      </c>
    </row>
    <row r="7715">
      <c r="A7715" s="1" t="n">
        <v>7714</v>
      </c>
      <c r="B7715">
        <f>TEXT(7714, "[$-170000]yyyy-mm-dd")</f>
        <v/>
      </c>
      <c r="C7715">
        <f>TEXT(7714, "[$-060000]yyyy-mm-dd")</f>
        <v/>
      </c>
      <c r="D7715" t="inlineStr">
        <is>
          <t>1339-06-04</t>
        </is>
      </c>
    </row>
    <row r="7716">
      <c r="A7716" s="1" t="n">
        <v>7715</v>
      </c>
      <c r="B7716">
        <f>TEXT(7715, "[$-170000]yyyy-mm-dd")</f>
        <v/>
      </c>
      <c r="C7716">
        <f>TEXT(7715, "[$-060000]yyyy-mm-dd")</f>
        <v/>
      </c>
      <c r="D7716" t="inlineStr">
        <is>
          <t>1339-06-05</t>
        </is>
      </c>
    </row>
    <row r="7717">
      <c r="A7717" s="1" t="n">
        <v>7716</v>
      </c>
      <c r="B7717">
        <f>TEXT(7716, "[$-170000]yyyy-mm-dd")</f>
        <v/>
      </c>
      <c r="C7717">
        <f>TEXT(7716, "[$-060000]yyyy-mm-dd")</f>
        <v/>
      </c>
      <c r="D7717" t="inlineStr">
        <is>
          <t>1339-06-06</t>
        </is>
      </c>
    </row>
    <row r="7718">
      <c r="A7718" s="1" t="n">
        <v>7717</v>
      </c>
      <c r="B7718">
        <f>TEXT(7717, "[$-170000]yyyy-mm-dd")</f>
        <v/>
      </c>
      <c r="C7718">
        <f>TEXT(7717, "[$-060000]yyyy-mm-dd")</f>
        <v/>
      </c>
      <c r="D7718" t="inlineStr">
        <is>
          <t>1339-06-07</t>
        </is>
      </c>
    </row>
    <row r="7719">
      <c r="A7719" s="1" t="n">
        <v>7718</v>
      </c>
      <c r="B7719">
        <f>TEXT(7718, "[$-170000]yyyy-mm-dd")</f>
        <v/>
      </c>
      <c r="C7719">
        <f>TEXT(7718, "[$-060000]yyyy-mm-dd")</f>
        <v/>
      </c>
      <c r="D7719" t="inlineStr">
        <is>
          <t>1339-06-08</t>
        </is>
      </c>
    </row>
    <row r="7720">
      <c r="A7720" s="1" t="n">
        <v>7719</v>
      </c>
      <c r="B7720">
        <f>TEXT(7719, "[$-170000]yyyy-mm-dd")</f>
        <v/>
      </c>
      <c r="C7720">
        <f>TEXT(7719, "[$-060000]yyyy-mm-dd")</f>
        <v/>
      </c>
      <c r="D7720" t="inlineStr">
        <is>
          <t>1339-06-09</t>
        </is>
      </c>
    </row>
    <row r="7721">
      <c r="A7721" s="1" t="n">
        <v>7720</v>
      </c>
      <c r="B7721">
        <f>TEXT(7720, "[$-170000]yyyy-mm-dd")</f>
        <v/>
      </c>
      <c r="C7721">
        <f>TEXT(7720, "[$-060000]yyyy-mm-dd")</f>
        <v/>
      </c>
      <c r="D7721" t="inlineStr">
        <is>
          <t>1339-06-10</t>
        </is>
      </c>
    </row>
    <row r="7722">
      <c r="A7722" s="1" t="n">
        <v>7721</v>
      </c>
      <c r="B7722">
        <f>TEXT(7721, "[$-170000]yyyy-mm-dd")</f>
        <v/>
      </c>
      <c r="C7722">
        <f>TEXT(7721, "[$-060000]yyyy-mm-dd")</f>
        <v/>
      </c>
      <c r="D7722" t="inlineStr">
        <is>
          <t>1339-06-11</t>
        </is>
      </c>
    </row>
    <row r="7723">
      <c r="A7723" s="1" t="n">
        <v>7722</v>
      </c>
      <c r="B7723">
        <f>TEXT(7722, "[$-170000]yyyy-mm-dd")</f>
        <v/>
      </c>
      <c r="C7723">
        <f>TEXT(7722, "[$-060000]yyyy-mm-dd")</f>
        <v/>
      </c>
      <c r="D7723" t="inlineStr">
        <is>
          <t>1339-06-12</t>
        </is>
      </c>
    </row>
    <row r="7724">
      <c r="A7724" s="1" t="n">
        <v>7723</v>
      </c>
      <c r="B7724">
        <f>TEXT(7723, "[$-170000]yyyy-mm-dd")</f>
        <v/>
      </c>
      <c r="C7724">
        <f>TEXT(7723, "[$-060000]yyyy-mm-dd")</f>
        <v/>
      </c>
      <c r="D7724" t="inlineStr">
        <is>
          <t>1339-06-13</t>
        </is>
      </c>
    </row>
    <row r="7725">
      <c r="A7725" s="1" t="n">
        <v>7724</v>
      </c>
      <c r="B7725">
        <f>TEXT(7724, "[$-170000]yyyy-mm-dd")</f>
        <v/>
      </c>
      <c r="C7725">
        <f>TEXT(7724, "[$-060000]yyyy-mm-dd")</f>
        <v/>
      </c>
      <c r="D7725" t="inlineStr">
        <is>
          <t>1339-06-14</t>
        </is>
      </c>
    </row>
    <row r="7726">
      <c r="A7726" s="1" t="n">
        <v>7725</v>
      </c>
      <c r="B7726">
        <f>TEXT(7725, "[$-170000]yyyy-mm-dd")</f>
        <v/>
      </c>
      <c r="C7726">
        <f>TEXT(7725, "[$-060000]yyyy-mm-dd")</f>
        <v/>
      </c>
      <c r="D7726" t="inlineStr">
        <is>
          <t>1339-06-15</t>
        </is>
      </c>
    </row>
    <row r="7727">
      <c r="A7727" s="1" t="n">
        <v>7726</v>
      </c>
      <c r="B7727">
        <f>TEXT(7726, "[$-170000]yyyy-mm-dd")</f>
        <v/>
      </c>
      <c r="C7727">
        <f>TEXT(7726, "[$-060000]yyyy-mm-dd")</f>
        <v/>
      </c>
      <c r="D7727" t="inlineStr">
        <is>
          <t>1339-06-16</t>
        </is>
      </c>
    </row>
    <row r="7728">
      <c r="A7728" s="1" t="n">
        <v>7727</v>
      </c>
      <c r="B7728">
        <f>TEXT(7727, "[$-170000]yyyy-mm-dd")</f>
        <v/>
      </c>
      <c r="C7728">
        <f>TEXT(7727, "[$-060000]yyyy-mm-dd")</f>
        <v/>
      </c>
      <c r="D7728" t="inlineStr">
        <is>
          <t>1339-06-17</t>
        </is>
      </c>
    </row>
    <row r="7729">
      <c r="A7729" s="1" t="n">
        <v>7728</v>
      </c>
      <c r="B7729">
        <f>TEXT(7728, "[$-170000]yyyy-mm-dd")</f>
        <v/>
      </c>
      <c r="C7729">
        <f>TEXT(7728, "[$-060000]yyyy-mm-dd")</f>
        <v/>
      </c>
      <c r="D7729" t="inlineStr">
        <is>
          <t>1339-06-18</t>
        </is>
      </c>
    </row>
    <row r="7730">
      <c r="A7730" s="1" t="n">
        <v>7729</v>
      </c>
      <c r="B7730">
        <f>TEXT(7729, "[$-170000]yyyy-mm-dd")</f>
        <v/>
      </c>
      <c r="C7730">
        <f>TEXT(7729, "[$-060000]yyyy-mm-dd")</f>
        <v/>
      </c>
      <c r="D7730" t="inlineStr">
        <is>
          <t>1339-06-19</t>
        </is>
      </c>
    </row>
    <row r="7731">
      <c r="A7731" s="1" t="n">
        <v>7730</v>
      </c>
      <c r="B7731">
        <f>TEXT(7730, "[$-170000]yyyy-mm-dd")</f>
        <v/>
      </c>
      <c r="C7731">
        <f>TEXT(7730, "[$-060000]yyyy-mm-dd")</f>
        <v/>
      </c>
      <c r="D7731" t="inlineStr">
        <is>
          <t>1339-06-20</t>
        </is>
      </c>
    </row>
    <row r="7732">
      <c r="A7732" s="1" t="n">
        <v>7731</v>
      </c>
      <c r="B7732">
        <f>TEXT(7731, "[$-170000]yyyy-mm-dd")</f>
        <v/>
      </c>
      <c r="C7732">
        <f>TEXT(7731, "[$-060000]yyyy-mm-dd")</f>
        <v/>
      </c>
      <c r="D7732" t="inlineStr">
        <is>
          <t>1339-06-21</t>
        </is>
      </c>
    </row>
    <row r="7733">
      <c r="A7733" s="1" t="n">
        <v>7732</v>
      </c>
      <c r="B7733">
        <f>TEXT(7732, "[$-170000]yyyy-mm-dd")</f>
        <v/>
      </c>
      <c r="C7733">
        <f>TEXT(7732, "[$-060000]yyyy-mm-dd")</f>
        <v/>
      </c>
      <c r="D7733" t="inlineStr">
        <is>
          <t>1339-06-22</t>
        </is>
      </c>
    </row>
    <row r="7734">
      <c r="A7734" s="1" t="n">
        <v>7733</v>
      </c>
      <c r="B7734">
        <f>TEXT(7733, "[$-170000]yyyy-mm-dd")</f>
        <v/>
      </c>
      <c r="C7734">
        <f>TEXT(7733, "[$-060000]yyyy-mm-dd")</f>
        <v/>
      </c>
      <c r="D7734" t="inlineStr">
        <is>
          <t>1339-06-23</t>
        </is>
      </c>
    </row>
    <row r="7735">
      <c r="A7735" s="1" t="n">
        <v>7734</v>
      </c>
      <c r="B7735">
        <f>TEXT(7734, "[$-170000]yyyy-mm-dd")</f>
        <v/>
      </c>
      <c r="C7735">
        <f>TEXT(7734, "[$-060000]yyyy-mm-dd")</f>
        <v/>
      </c>
      <c r="D7735" t="inlineStr">
        <is>
          <t>1339-06-24</t>
        </is>
      </c>
    </row>
    <row r="7736">
      <c r="A7736" s="1" t="n">
        <v>7735</v>
      </c>
      <c r="B7736">
        <f>TEXT(7735, "[$-170000]yyyy-mm-dd")</f>
        <v/>
      </c>
      <c r="C7736">
        <f>TEXT(7735, "[$-060000]yyyy-mm-dd")</f>
        <v/>
      </c>
      <c r="D7736" t="inlineStr">
        <is>
          <t>1339-06-25</t>
        </is>
      </c>
    </row>
    <row r="7737">
      <c r="A7737" s="1" t="n">
        <v>7736</v>
      </c>
      <c r="B7737">
        <f>TEXT(7736, "[$-170000]yyyy-mm-dd")</f>
        <v/>
      </c>
      <c r="C7737">
        <f>TEXT(7736, "[$-060000]yyyy-mm-dd")</f>
        <v/>
      </c>
      <c r="D7737" t="inlineStr">
        <is>
          <t>1339-06-26</t>
        </is>
      </c>
    </row>
    <row r="7738">
      <c r="A7738" s="1" t="n">
        <v>7737</v>
      </c>
      <c r="B7738">
        <f>TEXT(7737, "[$-170000]yyyy-mm-dd")</f>
        <v/>
      </c>
      <c r="C7738">
        <f>TEXT(7737, "[$-060000]yyyy-mm-dd")</f>
        <v/>
      </c>
      <c r="D7738" t="inlineStr">
        <is>
          <t>1339-06-27</t>
        </is>
      </c>
    </row>
    <row r="7739">
      <c r="A7739" s="1" t="n">
        <v>7738</v>
      </c>
      <c r="B7739">
        <f>TEXT(7738, "[$-170000]yyyy-mm-dd")</f>
        <v/>
      </c>
      <c r="C7739">
        <f>TEXT(7738, "[$-060000]yyyy-mm-dd")</f>
        <v/>
      </c>
      <c r="D7739" t="inlineStr">
        <is>
          <t>1339-06-28</t>
        </is>
      </c>
    </row>
    <row r="7740">
      <c r="A7740" s="1" t="n">
        <v>7739</v>
      </c>
      <c r="B7740">
        <f>TEXT(7739, "[$-170000]yyyy-mm-dd")</f>
        <v/>
      </c>
      <c r="C7740">
        <f>TEXT(7739, "[$-060000]yyyy-mm-dd")</f>
        <v/>
      </c>
      <c r="D7740" t="inlineStr">
        <is>
          <t>1339-06-29</t>
        </is>
      </c>
    </row>
    <row r="7741">
      <c r="A7741" s="1" t="n">
        <v>7740</v>
      </c>
      <c r="B7741">
        <f>TEXT(7740, "[$-170000]yyyy-mm-dd")</f>
        <v/>
      </c>
      <c r="C7741">
        <f>TEXT(7740, "[$-060000]yyyy-mm-dd")</f>
        <v/>
      </c>
      <c r="D7741" t="inlineStr">
        <is>
          <t>1339-07-01</t>
        </is>
      </c>
    </row>
    <row r="7742">
      <c r="A7742" s="1" t="n">
        <v>7741</v>
      </c>
      <c r="B7742">
        <f>TEXT(7741, "[$-170000]yyyy-mm-dd")</f>
        <v/>
      </c>
      <c r="C7742">
        <f>TEXT(7741, "[$-060000]yyyy-mm-dd")</f>
        <v/>
      </c>
      <c r="D7742" t="inlineStr">
        <is>
          <t>1339-07-02</t>
        </is>
      </c>
    </row>
    <row r="7743">
      <c r="A7743" s="1" t="n">
        <v>7742</v>
      </c>
      <c r="B7743">
        <f>TEXT(7742, "[$-170000]yyyy-mm-dd")</f>
        <v/>
      </c>
      <c r="C7743">
        <f>TEXT(7742, "[$-060000]yyyy-mm-dd")</f>
        <v/>
      </c>
      <c r="D7743" t="inlineStr">
        <is>
          <t>1339-07-03</t>
        </is>
      </c>
    </row>
    <row r="7744">
      <c r="A7744" s="1" t="n">
        <v>7743</v>
      </c>
      <c r="B7744">
        <f>TEXT(7743, "[$-170000]yyyy-mm-dd")</f>
        <v/>
      </c>
      <c r="C7744">
        <f>TEXT(7743, "[$-060000]yyyy-mm-dd")</f>
        <v/>
      </c>
      <c r="D7744" t="inlineStr">
        <is>
          <t>1339-07-04</t>
        </is>
      </c>
    </row>
    <row r="7745">
      <c r="A7745" s="1" t="n">
        <v>7744</v>
      </c>
      <c r="B7745">
        <f>TEXT(7744, "[$-170000]yyyy-mm-dd")</f>
        <v/>
      </c>
      <c r="C7745">
        <f>TEXT(7744, "[$-060000]yyyy-mm-dd")</f>
        <v/>
      </c>
      <c r="D7745" t="inlineStr">
        <is>
          <t>1339-07-05</t>
        </is>
      </c>
    </row>
    <row r="7746">
      <c r="A7746" s="1" t="n">
        <v>7745</v>
      </c>
      <c r="B7746">
        <f>TEXT(7745, "[$-170000]yyyy-mm-dd")</f>
        <v/>
      </c>
      <c r="C7746">
        <f>TEXT(7745, "[$-060000]yyyy-mm-dd")</f>
        <v/>
      </c>
      <c r="D7746" t="inlineStr">
        <is>
          <t>1339-07-06</t>
        </is>
      </c>
    </row>
    <row r="7747">
      <c r="A7747" s="1" t="n">
        <v>7746</v>
      </c>
      <c r="B7747">
        <f>TEXT(7746, "[$-170000]yyyy-mm-dd")</f>
        <v/>
      </c>
      <c r="C7747">
        <f>TEXT(7746, "[$-060000]yyyy-mm-dd")</f>
        <v/>
      </c>
      <c r="D7747" t="inlineStr">
        <is>
          <t>1339-07-07</t>
        </is>
      </c>
    </row>
    <row r="7748">
      <c r="A7748" s="1" t="n">
        <v>7747</v>
      </c>
      <c r="B7748">
        <f>TEXT(7747, "[$-170000]yyyy-mm-dd")</f>
        <v/>
      </c>
      <c r="C7748">
        <f>TEXT(7747, "[$-060000]yyyy-mm-dd")</f>
        <v/>
      </c>
      <c r="D7748" t="inlineStr">
        <is>
          <t>1339-07-08</t>
        </is>
      </c>
    </row>
    <row r="7749">
      <c r="A7749" s="1" t="n">
        <v>7748</v>
      </c>
      <c r="B7749">
        <f>TEXT(7748, "[$-170000]yyyy-mm-dd")</f>
        <v/>
      </c>
      <c r="C7749">
        <f>TEXT(7748, "[$-060000]yyyy-mm-dd")</f>
        <v/>
      </c>
      <c r="D7749" t="inlineStr">
        <is>
          <t>1339-07-09</t>
        </is>
      </c>
    </row>
    <row r="7750">
      <c r="A7750" s="1" t="n">
        <v>7749</v>
      </c>
      <c r="B7750">
        <f>TEXT(7749, "[$-170000]yyyy-mm-dd")</f>
        <v/>
      </c>
      <c r="C7750">
        <f>TEXT(7749, "[$-060000]yyyy-mm-dd")</f>
        <v/>
      </c>
      <c r="D7750" t="inlineStr">
        <is>
          <t>1339-07-10</t>
        </is>
      </c>
    </row>
    <row r="7751">
      <c r="A7751" s="1" t="n">
        <v>7750</v>
      </c>
      <c r="B7751">
        <f>TEXT(7750, "[$-170000]yyyy-mm-dd")</f>
        <v/>
      </c>
      <c r="C7751">
        <f>TEXT(7750, "[$-060000]yyyy-mm-dd")</f>
        <v/>
      </c>
      <c r="D7751" t="inlineStr">
        <is>
          <t>1339-07-11</t>
        </is>
      </c>
    </row>
    <row r="7752">
      <c r="A7752" s="1" t="n">
        <v>7751</v>
      </c>
      <c r="B7752">
        <f>TEXT(7751, "[$-170000]yyyy-mm-dd")</f>
        <v/>
      </c>
      <c r="C7752">
        <f>TEXT(7751, "[$-060000]yyyy-mm-dd")</f>
        <v/>
      </c>
      <c r="D7752" t="inlineStr">
        <is>
          <t>1339-07-12</t>
        </is>
      </c>
    </row>
    <row r="7753">
      <c r="A7753" s="1" t="n">
        <v>7752</v>
      </c>
      <c r="B7753">
        <f>TEXT(7752, "[$-170000]yyyy-mm-dd")</f>
        <v/>
      </c>
      <c r="C7753">
        <f>TEXT(7752, "[$-060000]yyyy-mm-dd")</f>
        <v/>
      </c>
      <c r="D7753" t="inlineStr">
        <is>
          <t>1339-07-13</t>
        </is>
      </c>
    </row>
    <row r="7754">
      <c r="A7754" s="1" t="n">
        <v>7753</v>
      </c>
      <c r="B7754">
        <f>TEXT(7753, "[$-170000]yyyy-mm-dd")</f>
        <v/>
      </c>
      <c r="C7754">
        <f>TEXT(7753, "[$-060000]yyyy-mm-dd")</f>
        <v/>
      </c>
      <c r="D7754" t="inlineStr">
        <is>
          <t>1339-07-14</t>
        </is>
      </c>
    </row>
    <row r="7755">
      <c r="A7755" s="1" t="n">
        <v>7754</v>
      </c>
      <c r="B7755">
        <f>TEXT(7754, "[$-170000]yyyy-mm-dd")</f>
        <v/>
      </c>
      <c r="C7755">
        <f>TEXT(7754, "[$-060000]yyyy-mm-dd")</f>
        <v/>
      </c>
      <c r="D7755" t="inlineStr">
        <is>
          <t>1339-07-15</t>
        </is>
      </c>
    </row>
    <row r="7756">
      <c r="A7756" s="1" t="n">
        <v>7755</v>
      </c>
      <c r="B7756">
        <f>TEXT(7755, "[$-170000]yyyy-mm-dd")</f>
        <v/>
      </c>
      <c r="C7756">
        <f>TEXT(7755, "[$-060000]yyyy-mm-dd")</f>
        <v/>
      </c>
      <c r="D7756" t="inlineStr">
        <is>
          <t>1339-07-16</t>
        </is>
      </c>
    </row>
    <row r="7757">
      <c r="A7757" s="1" t="n">
        <v>7756</v>
      </c>
      <c r="B7757">
        <f>TEXT(7756, "[$-170000]yyyy-mm-dd")</f>
        <v/>
      </c>
      <c r="C7757">
        <f>TEXT(7756, "[$-060000]yyyy-mm-dd")</f>
        <v/>
      </c>
      <c r="D7757" t="inlineStr">
        <is>
          <t>1339-07-17</t>
        </is>
      </c>
    </row>
    <row r="7758">
      <c r="A7758" s="1" t="n">
        <v>7757</v>
      </c>
      <c r="B7758">
        <f>TEXT(7757, "[$-170000]yyyy-mm-dd")</f>
        <v/>
      </c>
      <c r="C7758">
        <f>TEXT(7757, "[$-060000]yyyy-mm-dd")</f>
        <v/>
      </c>
      <c r="D7758" t="inlineStr">
        <is>
          <t>1339-07-18</t>
        </is>
      </c>
    </row>
    <row r="7759">
      <c r="A7759" s="1" t="n">
        <v>7758</v>
      </c>
      <c r="B7759">
        <f>TEXT(7758, "[$-170000]yyyy-mm-dd")</f>
        <v/>
      </c>
      <c r="C7759">
        <f>TEXT(7758, "[$-060000]yyyy-mm-dd")</f>
        <v/>
      </c>
      <c r="D7759" t="inlineStr">
        <is>
          <t>1339-07-19</t>
        </is>
      </c>
    </row>
    <row r="7760">
      <c r="A7760" s="1" t="n">
        <v>7759</v>
      </c>
      <c r="B7760">
        <f>TEXT(7759, "[$-170000]yyyy-mm-dd")</f>
        <v/>
      </c>
      <c r="C7760">
        <f>TEXT(7759, "[$-060000]yyyy-mm-dd")</f>
        <v/>
      </c>
      <c r="D7760" t="inlineStr">
        <is>
          <t>1339-07-20</t>
        </is>
      </c>
    </row>
    <row r="7761">
      <c r="A7761" s="1" t="n">
        <v>7760</v>
      </c>
      <c r="B7761">
        <f>TEXT(7760, "[$-170000]yyyy-mm-dd")</f>
        <v/>
      </c>
      <c r="C7761">
        <f>TEXT(7760, "[$-060000]yyyy-mm-dd")</f>
        <v/>
      </c>
      <c r="D7761" t="inlineStr">
        <is>
          <t>1339-07-21</t>
        </is>
      </c>
    </row>
    <row r="7762">
      <c r="A7762" s="1" t="n">
        <v>7761</v>
      </c>
      <c r="B7762">
        <f>TEXT(7761, "[$-170000]yyyy-mm-dd")</f>
        <v/>
      </c>
      <c r="C7762">
        <f>TEXT(7761, "[$-060000]yyyy-mm-dd")</f>
        <v/>
      </c>
      <c r="D7762" t="inlineStr">
        <is>
          <t>1339-07-22</t>
        </is>
      </c>
    </row>
    <row r="7763">
      <c r="A7763" s="1" t="n">
        <v>7762</v>
      </c>
      <c r="B7763">
        <f>TEXT(7762, "[$-170000]yyyy-mm-dd")</f>
        <v/>
      </c>
      <c r="C7763">
        <f>TEXT(7762, "[$-060000]yyyy-mm-dd")</f>
        <v/>
      </c>
      <c r="D7763" t="inlineStr">
        <is>
          <t>1339-07-23</t>
        </is>
      </c>
    </row>
    <row r="7764">
      <c r="A7764" s="1" t="n">
        <v>7763</v>
      </c>
      <c r="B7764">
        <f>TEXT(7763, "[$-170000]yyyy-mm-dd")</f>
        <v/>
      </c>
      <c r="C7764">
        <f>TEXT(7763, "[$-060000]yyyy-mm-dd")</f>
        <v/>
      </c>
      <c r="D7764" t="inlineStr">
        <is>
          <t>1339-07-24</t>
        </is>
      </c>
    </row>
    <row r="7765">
      <c r="A7765" s="1" t="n">
        <v>7764</v>
      </c>
      <c r="B7765">
        <f>TEXT(7764, "[$-170000]yyyy-mm-dd")</f>
        <v/>
      </c>
      <c r="C7765">
        <f>TEXT(7764, "[$-060000]yyyy-mm-dd")</f>
        <v/>
      </c>
      <c r="D7765" t="inlineStr">
        <is>
          <t>1339-07-25</t>
        </is>
      </c>
    </row>
    <row r="7766">
      <c r="A7766" s="1" t="n">
        <v>7765</v>
      </c>
      <c r="B7766">
        <f>TEXT(7765, "[$-170000]yyyy-mm-dd")</f>
        <v/>
      </c>
      <c r="C7766">
        <f>TEXT(7765, "[$-060000]yyyy-mm-dd")</f>
        <v/>
      </c>
      <c r="D7766" t="inlineStr">
        <is>
          <t>1339-07-26</t>
        </is>
      </c>
    </row>
    <row r="7767">
      <c r="A7767" s="1" t="n">
        <v>7766</v>
      </c>
      <c r="B7767">
        <f>TEXT(7766, "[$-170000]yyyy-mm-dd")</f>
        <v/>
      </c>
      <c r="C7767">
        <f>TEXT(7766, "[$-060000]yyyy-mm-dd")</f>
        <v/>
      </c>
      <c r="D7767" t="inlineStr">
        <is>
          <t>1339-07-27</t>
        </is>
      </c>
    </row>
    <row r="7768">
      <c r="A7768" s="1" t="n">
        <v>7767</v>
      </c>
      <c r="B7768">
        <f>TEXT(7767, "[$-170000]yyyy-mm-dd")</f>
        <v/>
      </c>
      <c r="C7768">
        <f>TEXT(7767, "[$-060000]yyyy-mm-dd")</f>
        <v/>
      </c>
      <c r="D7768" t="inlineStr">
        <is>
          <t>1339-07-28</t>
        </is>
      </c>
    </row>
    <row r="7769">
      <c r="A7769" s="1" t="n">
        <v>7768</v>
      </c>
      <c r="B7769">
        <f>TEXT(7768, "[$-170000]yyyy-mm-dd")</f>
        <v/>
      </c>
      <c r="C7769">
        <f>TEXT(7768, "[$-060000]yyyy-mm-dd")</f>
        <v/>
      </c>
      <c r="D7769" t="inlineStr">
        <is>
          <t>1339-07-29</t>
        </is>
      </c>
    </row>
    <row r="7770">
      <c r="A7770" s="1" t="n">
        <v>7769</v>
      </c>
      <c r="B7770">
        <f>TEXT(7769, "[$-170000]yyyy-mm-dd")</f>
        <v/>
      </c>
      <c r="C7770">
        <f>TEXT(7769, "[$-060000]yyyy-mm-dd")</f>
        <v/>
      </c>
      <c r="D7770" t="inlineStr">
        <is>
          <t>1339-07-30</t>
        </is>
      </c>
    </row>
    <row r="7771">
      <c r="A7771" s="1" t="n">
        <v>7770</v>
      </c>
      <c r="B7771">
        <f>TEXT(7770, "[$-170000]yyyy-mm-dd")</f>
        <v/>
      </c>
      <c r="C7771">
        <f>TEXT(7770, "[$-060000]yyyy-mm-dd")</f>
        <v/>
      </c>
      <c r="D7771" t="inlineStr">
        <is>
          <t>1339-08-01</t>
        </is>
      </c>
    </row>
    <row r="7772">
      <c r="A7772" s="1" t="n">
        <v>7771</v>
      </c>
      <c r="B7772">
        <f>TEXT(7771, "[$-170000]yyyy-mm-dd")</f>
        <v/>
      </c>
      <c r="C7772">
        <f>TEXT(7771, "[$-060000]yyyy-mm-dd")</f>
        <v/>
      </c>
      <c r="D7772" t="inlineStr">
        <is>
          <t>1339-08-02</t>
        </is>
      </c>
    </row>
    <row r="7773">
      <c r="A7773" s="1" t="n">
        <v>7772</v>
      </c>
      <c r="B7773">
        <f>TEXT(7772, "[$-170000]yyyy-mm-dd")</f>
        <v/>
      </c>
      <c r="C7773">
        <f>TEXT(7772, "[$-060000]yyyy-mm-dd")</f>
        <v/>
      </c>
      <c r="D7773" t="inlineStr">
        <is>
          <t>1339-08-03</t>
        </is>
      </c>
    </row>
    <row r="7774">
      <c r="A7774" s="1" t="n">
        <v>7773</v>
      </c>
      <c r="B7774">
        <f>TEXT(7773, "[$-170000]yyyy-mm-dd")</f>
        <v/>
      </c>
      <c r="C7774">
        <f>TEXT(7773, "[$-060000]yyyy-mm-dd")</f>
        <v/>
      </c>
      <c r="D7774" t="inlineStr">
        <is>
          <t>1339-08-04</t>
        </is>
      </c>
    </row>
    <row r="7775">
      <c r="A7775" s="1" t="n">
        <v>7774</v>
      </c>
      <c r="B7775">
        <f>TEXT(7774, "[$-170000]yyyy-mm-dd")</f>
        <v/>
      </c>
      <c r="C7775">
        <f>TEXT(7774, "[$-060000]yyyy-mm-dd")</f>
        <v/>
      </c>
      <c r="D7775" t="inlineStr">
        <is>
          <t>1339-08-05</t>
        </is>
      </c>
    </row>
    <row r="7776">
      <c r="A7776" s="1" t="n">
        <v>7775</v>
      </c>
      <c r="B7776">
        <f>TEXT(7775, "[$-170000]yyyy-mm-dd")</f>
        <v/>
      </c>
      <c r="C7776">
        <f>TEXT(7775, "[$-060000]yyyy-mm-dd")</f>
        <v/>
      </c>
      <c r="D7776" t="inlineStr">
        <is>
          <t>1339-08-06</t>
        </is>
      </c>
    </row>
    <row r="7777">
      <c r="A7777" s="1" t="n">
        <v>7776</v>
      </c>
      <c r="B7777">
        <f>TEXT(7776, "[$-170000]yyyy-mm-dd")</f>
        <v/>
      </c>
      <c r="C7777">
        <f>TEXT(7776, "[$-060000]yyyy-mm-dd")</f>
        <v/>
      </c>
      <c r="D7777" t="inlineStr">
        <is>
          <t>1339-08-07</t>
        </is>
      </c>
    </row>
    <row r="7778">
      <c r="A7778" s="1" t="n">
        <v>7777</v>
      </c>
      <c r="B7778">
        <f>TEXT(7777, "[$-170000]yyyy-mm-dd")</f>
        <v/>
      </c>
      <c r="C7778">
        <f>TEXT(7777, "[$-060000]yyyy-mm-dd")</f>
        <v/>
      </c>
      <c r="D7778" t="inlineStr">
        <is>
          <t>1339-08-08</t>
        </is>
      </c>
    </row>
    <row r="7779">
      <c r="A7779" s="1" t="n">
        <v>7778</v>
      </c>
      <c r="B7779">
        <f>TEXT(7778, "[$-170000]yyyy-mm-dd")</f>
        <v/>
      </c>
      <c r="C7779">
        <f>TEXT(7778, "[$-060000]yyyy-mm-dd")</f>
        <v/>
      </c>
      <c r="D7779" t="inlineStr">
        <is>
          <t>1339-08-09</t>
        </is>
      </c>
    </row>
    <row r="7780">
      <c r="A7780" s="1" t="n">
        <v>7779</v>
      </c>
      <c r="B7780">
        <f>TEXT(7779, "[$-170000]yyyy-mm-dd")</f>
        <v/>
      </c>
      <c r="C7780">
        <f>TEXT(7779, "[$-060000]yyyy-mm-dd")</f>
        <v/>
      </c>
      <c r="D7780" t="inlineStr">
        <is>
          <t>1339-08-10</t>
        </is>
      </c>
    </row>
    <row r="7781">
      <c r="A7781" s="1" t="n">
        <v>7780</v>
      </c>
      <c r="B7781">
        <f>TEXT(7780, "[$-170000]yyyy-mm-dd")</f>
        <v/>
      </c>
      <c r="C7781">
        <f>TEXT(7780, "[$-060000]yyyy-mm-dd")</f>
        <v/>
      </c>
      <c r="D7781" t="inlineStr">
        <is>
          <t>1339-08-11</t>
        </is>
      </c>
    </row>
    <row r="7782">
      <c r="A7782" s="1" t="n">
        <v>7781</v>
      </c>
      <c r="B7782">
        <f>TEXT(7781, "[$-170000]yyyy-mm-dd")</f>
        <v/>
      </c>
      <c r="C7782">
        <f>TEXT(7781, "[$-060000]yyyy-mm-dd")</f>
        <v/>
      </c>
      <c r="D7782" t="inlineStr">
        <is>
          <t>1339-08-12</t>
        </is>
      </c>
    </row>
    <row r="7783">
      <c r="A7783" s="1" t="n">
        <v>7782</v>
      </c>
      <c r="B7783">
        <f>TEXT(7782, "[$-170000]yyyy-mm-dd")</f>
        <v/>
      </c>
      <c r="C7783">
        <f>TEXT(7782, "[$-060000]yyyy-mm-dd")</f>
        <v/>
      </c>
      <c r="D7783" t="inlineStr">
        <is>
          <t>1339-08-13</t>
        </is>
      </c>
    </row>
    <row r="7784">
      <c r="A7784" s="1" t="n">
        <v>7783</v>
      </c>
      <c r="B7784">
        <f>TEXT(7783, "[$-170000]yyyy-mm-dd")</f>
        <v/>
      </c>
      <c r="C7784">
        <f>TEXT(7783, "[$-060000]yyyy-mm-dd")</f>
        <v/>
      </c>
      <c r="D7784" t="inlineStr">
        <is>
          <t>1339-08-14</t>
        </is>
      </c>
    </row>
    <row r="7785">
      <c r="A7785" s="1" t="n">
        <v>7784</v>
      </c>
      <c r="B7785">
        <f>TEXT(7784, "[$-170000]yyyy-mm-dd")</f>
        <v/>
      </c>
      <c r="C7785">
        <f>TEXT(7784, "[$-060000]yyyy-mm-dd")</f>
        <v/>
      </c>
      <c r="D7785" t="inlineStr">
        <is>
          <t>1339-08-15</t>
        </is>
      </c>
    </row>
    <row r="7786">
      <c r="A7786" s="1" t="n">
        <v>7785</v>
      </c>
      <c r="B7786">
        <f>TEXT(7785, "[$-170000]yyyy-mm-dd")</f>
        <v/>
      </c>
      <c r="C7786">
        <f>TEXT(7785, "[$-060000]yyyy-mm-dd")</f>
        <v/>
      </c>
      <c r="D7786" t="inlineStr">
        <is>
          <t>1339-08-16</t>
        </is>
      </c>
    </row>
    <row r="7787">
      <c r="A7787" s="1" t="n">
        <v>7786</v>
      </c>
      <c r="B7787">
        <f>TEXT(7786, "[$-170000]yyyy-mm-dd")</f>
        <v/>
      </c>
      <c r="C7787">
        <f>TEXT(7786, "[$-060000]yyyy-mm-dd")</f>
        <v/>
      </c>
      <c r="D7787" t="inlineStr">
        <is>
          <t>1339-08-17</t>
        </is>
      </c>
    </row>
    <row r="7788">
      <c r="A7788" s="1" t="n">
        <v>7787</v>
      </c>
      <c r="B7788">
        <f>TEXT(7787, "[$-170000]yyyy-mm-dd")</f>
        <v/>
      </c>
      <c r="C7788">
        <f>TEXT(7787, "[$-060000]yyyy-mm-dd")</f>
        <v/>
      </c>
      <c r="D7788" t="inlineStr">
        <is>
          <t>1339-08-18</t>
        </is>
      </c>
    </row>
    <row r="7789">
      <c r="A7789" s="1" t="n">
        <v>7788</v>
      </c>
      <c r="B7789">
        <f>TEXT(7788, "[$-170000]yyyy-mm-dd")</f>
        <v/>
      </c>
      <c r="C7789">
        <f>TEXT(7788, "[$-060000]yyyy-mm-dd")</f>
        <v/>
      </c>
      <c r="D7789" t="inlineStr">
        <is>
          <t>1339-08-19</t>
        </is>
      </c>
    </row>
    <row r="7790">
      <c r="A7790" s="1" t="n">
        <v>7789</v>
      </c>
      <c r="B7790">
        <f>TEXT(7789, "[$-170000]yyyy-mm-dd")</f>
        <v/>
      </c>
      <c r="C7790">
        <f>TEXT(7789, "[$-060000]yyyy-mm-dd")</f>
        <v/>
      </c>
      <c r="D7790" t="inlineStr">
        <is>
          <t>1339-08-20</t>
        </is>
      </c>
    </row>
    <row r="7791">
      <c r="A7791" s="1" t="n">
        <v>7790</v>
      </c>
      <c r="B7791">
        <f>TEXT(7790, "[$-170000]yyyy-mm-dd")</f>
        <v/>
      </c>
      <c r="C7791">
        <f>TEXT(7790, "[$-060000]yyyy-mm-dd")</f>
        <v/>
      </c>
      <c r="D7791" t="inlineStr">
        <is>
          <t>1339-08-21</t>
        </is>
      </c>
    </row>
    <row r="7792">
      <c r="A7792" s="1" t="n">
        <v>7791</v>
      </c>
      <c r="B7792">
        <f>TEXT(7791, "[$-170000]yyyy-mm-dd")</f>
        <v/>
      </c>
      <c r="C7792">
        <f>TEXT(7791, "[$-060000]yyyy-mm-dd")</f>
        <v/>
      </c>
      <c r="D7792" t="inlineStr">
        <is>
          <t>1339-08-22</t>
        </is>
      </c>
    </row>
    <row r="7793">
      <c r="A7793" s="1" t="n">
        <v>7792</v>
      </c>
      <c r="B7793">
        <f>TEXT(7792, "[$-170000]yyyy-mm-dd")</f>
        <v/>
      </c>
      <c r="C7793">
        <f>TEXT(7792, "[$-060000]yyyy-mm-dd")</f>
        <v/>
      </c>
      <c r="D7793" t="inlineStr">
        <is>
          <t>1339-08-23</t>
        </is>
      </c>
    </row>
    <row r="7794">
      <c r="A7794" s="1" t="n">
        <v>7793</v>
      </c>
      <c r="B7794">
        <f>TEXT(7793, "[$-170000]yyyy-mm-dd")</f>
        <v/>
      </c>
      <c r="C7794">
        <f>TEXT(7793, "[$-060000]yyyy-mm-dd")</f>
        <v/>
      </c>
      <c r="D7794" t="inlineStr">
        <is>
          <t>1339-08-24</t>
        </is>
      </c>
    </row>
    <row r="7795">
      <c r="A7795" s="1" t="n">
        <v>7794</v>
      </c>
      <c r="B7795">
        <f>TEXT(7794, "[$-170000]yyyy-mm-dd")</f>
        <v/>
      </c>
      <c r="C7795">
        <f>TEXT(7794, "[$-060000]yyyy-mm-dd")</f>
        <v/>
      </c>
      <c r="D7795" t="inlineStr">
        <is>
          <t>1339-08-25</t>
        </is>
      </c>
    </row>
    <row r="7796">
      <c r="A7796" s="1" t="n">
        <v>7795</v>
      </c>
      <c r="B7796">
        <f>TEXT(7795, "[$-170000]yyyy-mm-dd")</f>
        <v/>
      </c>
      <c r="C7796">
        <f>TEXT(7795, "[$-060000]yyyy-mm-dd")</f>
        <v/>
      </c>
      <c r="D7796" t="inlineStr">
        <is>
          <t>1339-08-26</t>
        </is>
      </c>
    </row>
    <row r="7797">
      <c r="A7797" s="1" t="n">
        <v>7796</v>
      </c>
      <c r="B7797">
        <f>TEXT(7796, "[$-170000]yyyy-mm-dd")</f>
        <v/>
      </c>
      <c r="C7797">
        <f>TEXT(7796, "[$-060000]yyyy-mm-dd")</f>
        <v/>
      </c>
      <c r="D7797" t="inlineStr">
        <is>
          <t>1339-08-27</t>
        </is>
      </c>
    </row>
    <row r="7798">
      <c r="A7798" s="1" t="n">
        <v>7797</v>
      </c>
      <c r="B7798">
        <f>TEXT(7797, "[$-170000]yyyy-mm-dd")</f>
        <v/>
      </c>
      <c r="C7798">
        <f>TEXT(7797, "[$-060000]yyyy-mm-dd")</f>
        <v/>
      </c>
      <c r="D7798" t="inlineStr">
        <is>
          <t>1339-08-28</t>
        </is>
      </c>
    </row>
    <row r="7799">
      <c r="A7799" s="1" t="n">
        <v>7798</v>
      </c>
      <c r="B7799">
        <f>TEXT(7798, "[$-170000]yyyy-mm-dd")</f>
        <v/>
      </c>
      <c r="C7799">
        <f>TEXT(7798, "[$-060000]yyyy-mm-dd")</f>
        <v/>
      </c>
      <c r="D7799" t="inlineStr">
        <is>
          <t>1339-08-29</t>
        </is>
      </c>
    </row>
    <row r="7800">
      <c r="A7800" s="1" t="n">
        <v>7799</v>
      </c>
      <c r="B7800">
        <f>TEXT(7799, "[$-170000]yyyy-mm-dd")</f>
        <v/>
      </c>
      <c r="C7800">
        <f>TEXT(7799, "[$-060000]yyyy-mm-dd")</f>
        <v/>
      </c>
      <c r="D7800" t="inlineStr">
        <is>
          <t>1339-09-01</t>
        </is>
      </c>
    </row>
    <row r="7801">
      <c r="A7801" s="1" t="n">
        <v>7800</v>
      </c>
      <c r="B7801">
        <f>TEXT(7800, "[$-170000]yyyy-mm-dd")</f>
        <v/>
      </c>
      <c r="C7801">
        <f>TEXT(7800, "[$-060000]yyyy-mm-dd")</f>
        <v/>
      </c>
      <c r="D7801" t="inlineStr">
        <is>
          <t>1339-09-02</t>
        </is>
      </c>
    </row>
    <row r="7802">
      <c r="A7802" s="1" t="n">
        <v>7801</v>
      </c>
      <c r="B7802">
        <f>TEXT(7801, "[$-170000]yyyy-mm-dd")</f>
        <v/>
      </c>
      <c r="C7802">
        <f>TEXT(7801, "[$-060000]yyyy-mm-dd")</f>
        <v/>
      </c>
      <c r="D7802" t="inlineStr">
        <is>
          <t>1339-09-03</t>
        </is>
      </c>
    </row>
    <row r="7803">
      <c r="A7803" s="1" t="n">
        <v>7802</v>
      </c>
      <c r="B7803">
        <f>TEXT(7802, "[$-170000]yyyy-mm-dd")</f>
        <v/>
      </c>
      <c r="C7803">
        <f>TEXT(7802, "[$-060000]yyyy-mm-dd")</f>
        <v/>
      </c>
      <c r="D7803" t="inlineStr">
        <is>
          <t>1339-09-04</t>
        </is>
      </c>
    </row>
    <row r="7804">
      <c r="A7804" s="1" t="n">
        <v>7803</v>
      </c>
      <c r="B7804">
        <f>TEXT(7803, "[$-170000]yyyy-mm-dd")</f>
        <v/>
      </c>
      <c r="C7804">
        <f>TEXT(7803, "[$-060000]yyyy-mm-dd")</f>
        <v/>
      </c>
      <c r="D7804" t="inlineStr">
        <is>
          <t>1339-09-05</t>
        </is>
      </c>
    </row>
    <row r="7805">
      <c r="A7805" s="1" t="n">
        <v>7804</v>
      </c>
      <c r="B7805">
        <f>TEXT(7804, "[$-170000]yyyy-mm-dd")</f>
        <v/>
      </c>
      <c r="C7805">
        <f>TEXT(7804, "[$-060000]yyyy-mm-dd")</f>
        <v/>
      </c>
      <c r="D7805" t="inlineStr">
        <is>
          <t>1339-09-06</t>
        </is>
      </c>
    </row>
    <row r="7806">
      <c r="A7806" s="1" t="n">
        <v>7805</v>
      </c>
      <c r="B7806">
        <f>TEXT(7805, "[$-170000]yyyy-mm-dd")</f>
        <v/>
      </c>
      <c r="C7806">
        <f>TEXT(7805, "[$-060000]yyyy-mm-dd")</f>
        <v/>
      </c>
      <c r="D7806" t="inlineStr">
        <is>
          <t>1339-09-07</t>
        </is>
      </c>
    </row>
    <row r="7807">
      <c r="A7807" s="1" t="n">
        <v>7806</v>
      </c>
      <c r="B7807">
        <f>TEXT(7806, "[$-170000]yyyy-mm-dd")</f>
        <v/>
      </c>
      <c r="C7807">
        <f>TEXT(7806, "[$-060000]yyyy-mm-dd")</f>
        <v/>
      </c>
      <c r="D7807" t="inlineStr">
        <is>
          <t>1339-09-08</t>
        </is>
      </c>
    </row>
    <row r="7808">
      <c r="A7808" s="1" t="n">
        <v>7807</v>
      </c>
      <c r="B7808">
        <f>TEXT(7807, "[$-170000]yyyy-mm-dd")</f>
        <v/>
      </c>
      <c r="C7808">
        <f>TEXT(7807, "[$-060000]yyyy-mm-dd")</f>
        <v/>
      </c>
      <c r="D7808" t="inlineStr">
        <is>
          <t>1339-09-09</t>
        </is>
      </c>
    </row>
    <row r="7809">
      <c r="A7809" s="1" t="n">
        <v>7808</v>
      </c>
      <c r="B7809">
        <f>TEXT(7808, "[$-170000]yyyy-mm-dd")</f>
        <v/>
      </c>
      <c r="C7809">
        <f>TEXT(7808, "[$-060000]yyyy-mm-dd")</f>
        <v/>
      </c>
      <c r="D7809" t="inlineStr">
        <is>
          <t>1339-09-10</t>
        </is>
      </c>
    </row>
    <row r="7810">
      <c r="A7810" s="1" t="n">
        <v>7809</v>
      </c>
      <c r="B7810">
        <f>TEXT(7809, "[$-170000]yyyy-mm-dd")</f>
        <v/>
      </c>
      <c r="C7810">
        <f>TEXT(7809, "[$-060000]yyyy-mm-dd")</f>
        <v/>
      </c>
      <c r="D7810" t="inlineStr">
        <is>
          <t>1339-09-11</t>
        </is>
      </c>
    </row>
    <row r="7811">
      <c r="A7811" s="1" t="n">
        <v>7810</v>
      </c>
      <c r="B7811">
        <f>TEXT(7810, "[$-170000]yyyy-mm-dd")</f>
        <v/>
      </c>
      <c r="C7811">
        <f>TEXT(7810, "[$-060000]yyyy-mm-dd")</f>
        <v/>
      </c>
      <c r="D7811" t="inlineStr">
        <is>
          <t>1339-09-12</t>
        </is>
      </c>
    </row>
    <row r="7812">
      <c r="A7812" s="1" t="n">
        <v>7811</v>
      </c>
      <c r="B7812">
        <f>TEXT(7811, "[$-170000]yyyy-mm-dd")</f>
        <v/>
      </c>
      <c r="C7812">
        <f>TEXT(7811, "[$-060000]yyyy-mm-dd")</f>
        <v/>
      </c>
      <c r="D7812" t="inlineStr">
        <is>
          <t>1339-09-13</t>
        </is>
      </c>
    </row>
    <row r="7813">
      <c r="A7813" s="1" t="n">
        <v>7812</v>
      </c>
      <c r="B7813">
        <f>TEXT(7812, "[$-170000]yyyy-mm-dd")</f>
        <v/>
      </c>
      <c r="C7813">
        <f>TEXT(7812, "[$-060000]yyyy-mm-dd")</f>
        <v/>
      </c>
      <c r="D7813" t="inlineStr">
        <is>
          <t>1339-09-14</t>
        </is>
      </c>
    </row>
    <row r="7814">
      <c r="A7814" s="1" t="n">
        <v>7813</v>
      </c>
      <c r="B7814">
        <f>TEXT(7813, "[$-170000]yyyy-mm-dd")</f>
        <v/>
      </c>
      <c r="C7814">
        <f>TEXT(7813, "[$-060000]yyyy-mm-dd")</f>
        <v/>
      </c>
      <c r="D7814" t="inlineStr">
        <is>
          <t>1339-09-15</t>
        </is>
      </c>
    </row>
    <row r="7815">
      <c r="A7815" s="1" t="n">
        <v>7814</v>
      </c>
      <c r="B7815">
        <f>TEXT(7814, "[$-170000]yyyy-mm-dd")</f>
        <v/>
      </c>
      <c r="C7815">
        <f>TEXT(7814, "[$-060000]yyyy-mm-dd")</f>
        <v/>
      </c>
      <c r="D7815" t="inlineStr">
        <is>
          <t>1339-09-16</t>
        </is>
      </c>
    </row>
    <row r="7816">
      <c r="A7816" s="1" t="n">
        <v>7815</v>
      </c>
      <c r="B7816">
        <f>TEXT(7815, "[$-170000]yyyy-mm-dd")</f>
        <v/>
      </c>
      <c r="C7816">
        <f>TEXT(7815, "[$-060000]yyyy-mm-dd")</f>
        <v/>
      </c>
      <c r="D7816" t="inlineStr">
        <is>
          <t>1339-09-17</t>
        </is>
      </c>
    </row>
    <row r="7817">
      <c r="A7817" s="1" t="n">
        <v>7816</v>
      </c>
      <c r="B7817">
        <f>TEXT(7816, "[$-170000]yyyy-mm-dd")</f>
        <v/>
      </c>
      <c r="C7817">
        <f>TEXT(7816, "[$-060000]yyyy-mm-dd")</f>
        <v/>
      </c>
      <c r="D7817" t="inlineStr">
        <is>
          <t>1339-09-18</t>
        </is>
      </c>
    </row>
    <row r="7818">
      <c r="A7818" s="1" t="n">
        <v>7817</v>
      </c>
      <c r="B7818">
        <f>TEXT(7817, "[$-170000]yyyy-mm-dd")</f>
        <v/>
      </c>
      <c r="C7818">
        <f>TEXT(7817, "[$-060000]yyyy-mm-dd")</f>
        <v/>
      </c>
      <c r="D7818" t="inlineStr">
        <is>
          <t>1339-09-19</t>
        </is>
      </c>
    </row>
    <row r="7819">
      <c r="A7819" s="1" t="n">
        <v>7818</v>
      </c>
      <c r="B7819">
        <f>TEXT(7818, "[$-170000]yyyy-mm-dd")</f>
        <v/>
      </c>
      <c r="C7819">
        <f>TEXT(7818, "[$-060000]yyyy-mm-dd")</f>
        <v/>
      </c>
      <c r="D7819" t="inlineStr">
        <is>
          <t>1339-09-20</t>
        </is>
      </c>
    </row>
    <row r="7820">
      <c r="A7820" s="1" t="n">
        <v>7819</v>
      </c>
      <c r="B7820">
        <f>TEXT(7819, "[$-170000]yyyy-mm-dd")</f>
        <v/>
      </c>
      <c r="C7820">
        <f>TEXT(7819, "[$-060000]yyyy-mm-dd")</f>
        <v/>
      </c>
      <c r="D7820" t="inlineStr">
        <is>
          <t>1339-09-21</t>
        </is>
      </c>
    </row>
    <row r="7821">
      <c r="A7821" s="1" t="n">
        <v>7820</v>
      </c>
      <c r="B7821">
        <f>TEXT(7820, "[$-170000]yyyy-mm-dd")</f>
        <v/>
      </c>
      <c r="C7821">
        <f>TEXT(7820, "[$-060000]yyyy-mm-dd")</f>
        <v/>
      </c>
      <c r="D7821" t="inlineStr">
        <is>
          <t>1339-09-22</t>
        </is>
      </c>
    </row>
    <row r="7822">
      <c r="A7822" s="1" t="n">
        <v>7821</v>
      </c>
      <c r="B7822">
        <f>TEXT(7821, "[$-170000]yyyy-mm-dd")</f>
        <v/>
      </c>
      <c r="C7822">
        <f>TEXT(7821, "[$-060000]yyyy-mm-dd")</f>
        <v/>
      </c>
      <c r="D7822" t="inlineStr">
        <is>
          <t>1339-09-23</t>
        </is>
      </c>
    </row>
    <row r="7823">
      <c r="A7823" s="1" t="n">
        <v>7822</v>
      </c>
      <c r="B7823">
        <f>TEXT(7822, "[$-170000]yyyy-mm-dd")</f>
        <v/>
      </c>
      <c r="C7823">
        <f>TEXT(7822, "[$-060000]yyyy-mm-dd")</f>
        <v/>
      </c>
      <c r="D7823" t="inlineStr">
        <is>
          <t>1339-09-24</t>
        </is>
      </c>
    </row>
    <row r="7824">
      <c r="A7824" s="1" t="n">
        <v>7823</v>
      </c>
      <c r="B7824">
        <f>TEXT(7823, "[$-170000]yyyy-mm-dd")</f>
        <v/>
      </c>
      <c r="C7824">
        <f>TEXT(7823, "[$-060000]yyyy-mm-dd")</f>
        <v/>
      </c>
      <c r="D7824" t="inlineStr">
        <is>
          <t>1339-09-25</t>
        </is>
      </c>
    </row>
    <row r="7825">
      <c r="A7825" s="1" t="n">
        <v>7824</v>
      </c>
      <c r="B7825">
        <f>TEXT(7824, "[$-170000]yyyy-mm-dd")</f>
        <v/>
      </c>
      <c r="C7825">
        <f>TEXT(7824, "[$-060000]yyyy-mm-dd")</f>
        <v/>
      </c>
      <c r="D7825" t="inlineStr">
        <is>
          <t>1339-09-26</t>
        </is>
      </c>
    </row>
    <row r="7826">
      <c r="A7826" s="1" t="n">
        <v>7825</v>
      </c>
      <c r="B7826">
        <f>TEXT(7825, "[$-170000]yyyy-mm-dd")</f>
        <v/>
      </c>
      <c r="C7826">
        <f>TEXT(7825, "[$-060000]yyyy-mm-dd")</f>
        <v/>
      </c>
      <c r="D7826" t="inlineStr">
        <is>
          <t>1339-09-27</t>
        </is>
      </c>
    </row>
    <row r="7827">
      <c r="A7827" s="1" t="n">
        <v>7826</v>
      </c>
      <c r="B7827">
        <f>TEXT(7826, "[$-170000]yyyy-mm-dd")</f>
        <v/>
      </c>
      <c r="C7827">
        <f>TEXT(7826, "[$-060000]yyyy-mm-dd")</f>
        <v/>
      </c>
      <c r="D7827" t="inlineStr">
        <is>
          <t>1339-09-28</t>
        </is>
      </c>
    </row>
    <row r="7828">
      <c r="A7828" s="1" t="n">
        <v>7827</v>
      </c>
      <c r="B7828">
        <f>TEXT(7827, "[$-170000]yyyy-mm-dd")</f>
        <v/>
      </c>
      <c r="C7828">
        <f>TEXT(7827, "[$-060000]yyyy-mm-dd")</f>
        <v/>
      </c>
      <c r="D7828" t="inlineStr">
        <is>
          <t>1339-09-29</t>
        </is>
      </c>
    </row>
    <row r="7829">
      <c r="A7829" s="1" t="n">
        <v>7828</v>
      </c>
      <c r="B7829">
        <f>TEXT(7828, "[$-170000]yyyy-mm-dd")</f>
        <v/>
      </c>
      <c r="C7829">
        <f>TEXT(7828, "[$-060000]yyyy-mm-dd")</f>
        <v/>
      </c>
      <c r="D7829" t="inlineStr">
        <is>
          <t>1339-09-30</t>
        </is>
      </c>
    </row>
    <row r="7830">
      <c r="A7830" s="1" t="n">
        <v>7829</v>
      </c>
      <c r="B7830">
        <f>TEXT(7829, "[$-170000]yyyy-mm-dd")</f>
        <v/>
      </c>
      <c r="C7830">
        <f>TEXT(7829, "[$-060000]yyyy-mm-dd")</f>
        <v/>
      </c>
      <c r="D7830" t="inlineStr">
        <is>
          <t>1339-10-01</t>
        </is>
      </c>
    </row>
    <row r="7831">
      <c r="A7831" s="1" t="n">
        <v>7830</v>
      </c>
      <c r="B7831">
        <f>TEXT(7830, "[$-170000]yyyy-mm-dd")</f>
        <v/>
      </c>
      <c r="C7831">
        <f>TEXT(7830, "[$-060000]yyyy-mm-dd")</f>
        <v/>
      </c>
      <c r="D7831" t="inlineStr">
        <is>
          <t>1339-10-02</t>
        </is>
      </c>
    </row>
    <row r="7832">
      <c r="A7832" s="1" t="n">
        <v>7831</v>
      </c>
      <c r="B7832">
        <f>TEXT(7831, "[$-170000]yyyy-mm-dd")</f>
        <v/>
      </c>
      <c r="C7832">
        <f>TEXT(7831, "[$-060000]yyyy-mm-dd")</f>
        <v/>
      </c>
      <c r="D7832" t="inlineStr">
        <is>
          <t>1339-10-03</t>
        </is>
      </c>
    </row>
    <row r="7833">
      <c r="A7833" s="1" t="n">
        <v>7832</v>
      </c>
      <c r="B7833">
        <f>TEXT(7832, "[$-170000]yyyy-mm-dd")</f>
        <v/>
      </c>
      <c r="C7833">
        <f>TEXT(7832, "[$-060000]yyyy-mm-dd")</f>
        <v/>
      </c>
      <c r="D7833" t="inlineStr">
        <is>
          <t>1339-10-04</t>
        </is>
      </c>
    </row>
    <row r="7834">
      <c r="A7834" s="1" t="n">
        <v>7833</v>
      </c>
      <c r="B7834">
        <f>TEXT(7833, "[$-170000]yyyy-mm-dd")</f>
        <v/>
      </c>
      <c r="C7834">
        <f>TEXT(7833, "[$-060000]yyyy-mm-dd")</f>
        <v/>
      </c>
      <c r="D7834" t="inlineStr">
        <is>
          <t>1339-10-05</t>
        </is>
      </c>
    </row>
    <row r="7835">
      <c r="A7835" s="1" t="n">
        <v>7834</v>
      </c>
      <c r="B7835">
        <f>TEXT(7834, "[$-170000]yyyy-mm-dd")</f>
        <v/>
      </c>
      <c r="C7835">
        <f>TEXT(7834, "[$-060000]yyyy-mm-dd")</f>
        <v/>
      </c>
      <c r="D7835" t="inlineStr">
        <is>
          <t>1339-10-06</t>
        </is>
      </c>
    </row>
    <row r="7836">
      <c r="A7836" s="1" t="n">
        <v>7835</v>
      </c>
      <c r="B7836">
        <f>TEXT(7835, "[$-170000]yyyy-mm-dd")</f>
        <v/>
      </c>
      <c r="C7836">
        <f>TEXT(7835, "[$-060000]yyyy-mm-dd")</f>
        <v/>
      </c>
      <c r="D7836" t="inlineStr">
        <is>
          <t>1339-10-07</t>
        </is>
      </c>
    </row>
    <row r="7837">
      <c r="A7837" s="1" t="n">
        <v>7836</v>
      </c>
      <c r="B7837">
        <f>TEXT(7836, "[$-170000]yyyy-mm-dd")</f>
        <v/>
      </c>
      <c r="C7837">
        <f>TEXT(7836, "[$-060000]yyyy-mm-dd")</f>
        <v/>
      </c>
      <c r="D7837" t="inlineStr">
        <is>
          <t>1339-10-08</t>
        </is>
      </c>
    </row>
    <row r="7838">
      <c r="A7838" s="1" t="n">
        <v>7837</v>
      </c>
      <c r="B7838">
        <f>TEXT(7837, "[$-170000]yyyy-mm-dd")</f>
        <v/>
      </c>
      <c r="C7838">
        <f>TEXT(7837, "[$-060000]yyyy-mm-dd")</f>
        <v/>
      </c>
      <c r="D7838" t="inlineStr">
        <is>
          <t>1339-10-09</t>
        </is>
      </c>
    </row>
    <row r="7839">
      <c r="A7839" s="1" t="n">
        <v>7838</v>
      </c>
      <c r="B7839">
        <f>TEXT(7838, "[$-170000]yyyy-mm-dd")</f>
        <v/>
      </c>
      <c r="C7839">
        <f>TEXT(7838, "[$-060000]yyyy-mm-dd")</f>
        <v/>
      </c>
      <c r="D7839" t="inlineStr">
        <is>
          <t>1339-10-10</t>
        </is>
      </c>
    </row>
    <row r="7840">
      <c r="A7840" s="1" t="n">
        <v>7839</v>
      </c>
      <c r="B7840">
        <f>TEXT(7839, "[$-170000]yyyy-mm-dd")</f>
        <v/>
      </c>
      <c r="C7840">
        <f>TEXT(7839, "[$-060000]yyyy-mm-dd")</f>
        <v/>
      </c>
      <c r="D7840" t="inlineStr">
        <is>
          <t>1339-10-11</t>
        </is>
      </c>
    </row>
    <row r="7841">
      <c r="A7841" s="1" t="n">
        <v>7840</v>
      </c>
      <c r="B7841">
        <f>TEXT(7840, "[$-170000]yyyy-mm-dd")</f>
        <v/>
      </c>
      <c r="C7841">
        <f>TEXT(7840, "[$-060000]yyyy-mm-dd")</f>
        <v/>
      </c>
      <c r="D7841" t="inlineStr">
        <is>
          <t>1339-10-12</t>
        </is>
      </c>
    </row>
    <row r="7842">
      <c r="A7842" s="1" t="n">
        <v>7841</v>
      </c>
      <c r="B7842">
        <f>TEXT(7841, "[$-170000]yyyy-mm-dd")</f>
        <v/>
      </c>
      <c r="C7842">
        <f>TEXT(7841, "[$-060000]yyyy-mm-dd")</f>
        <v/>
      </c>
      <c r="D7842" t="inlineStr">
        <is>
          <t>1339-10-13</t>
        </is>
      </c>
    </row>
    <row r="7843">
      <c r="A7843" s="1" t="n">
        <v>7842</v>
      </c>
      <c r="B7843">
        <f>TEXT(7842, "[$-170000]yyyy-mm-dd")</f>
        <v/>
      </c>
      <c r="C7843">
        <f>TEXT(7842, "[$-060000]yyyy-mm-dd")</f>
        <v/>
      </c>
      <c r="D7843" t="inlineStr">
        <is>
          <t>1339-10-14</t>
        </is>
      </c>
    </row>
    <row r="7844">
      <c r="A7844" s="1" t="n">
        <v>7843</v>
      </c>
      <c r="B7844">
        <f>TEXT(7843, "[$-170000]yyyy-mm-dd")</f>
        <v/>
      </c>
      <c r="C7844">
        <f>TEXT(7843, "[$-060000]yyyy-mm-dd")</f>
        <v/>
      </c>
      <c r="D7844" t="inlineStr">
        <is>
          <t>1339-10-15</t>
        </is>
      </c>
    </row>
    <row r="7845">
      <c r="A7845" s="1" t="n">
        <v>7844</v>
      </c>
      <c r="B7845">
        <f>TEXT(7844, "[$-170000]yyyy-mm-dd")</f>
        <v/>
      </c>
      <c r="C7845">
        <f>TEXT(7844, "[$-060000]yyyy-mm-dd")</f>
        <v/>
      </c>
      <c r="D7845" t="inlineStr">
        <is>
          <t>1339-10-16</t>
        </is>
      </c>
    </row>
    <row r="7846">
      <c r="A7846" s="1" t="n">
        <v>7845</v>
      </c>
      <c r="B7846">
        <f>TEXT(7845, "[$-170000]yyyy-mm-dd")</f>
        <v/>
      </c>
      <c r="C7846">
        <f>TEXT(7845, "[$-060000]yyyy-mm-dd")</f>
        <v/>
      </c>
      <c r="D7846" t="inlineStr">
        <is>
          <t>1339-10-17</t>
        </is>
      </c>
    </row>
    <row r="7847">
      <c r="A7847" s="1" t="n">
        <v>7846</v>
      </c>
      <c r="B7847">
        <f>TEXT(7846, "[$-170000]yyyy-mm-dd")</f>
        <v/>
      </c>
      <c r="C7847">
        <f>TEXT(7846, "[$-060000]yyyy-mm-dd")</f>
        <v/>
      </c>
      <c r="D7847" t="inlineStr">
        <is>
          <t>1339-10-18</t>
        </is>
      </c>
    </row>
    <row r="7848">
      <c r="A7848" s="1" t="n">
        <v>7847</v>
      </c>
      <c r="B7848">
        <f>TEXT(7847, "[$-170000]yyyy-mm-dd")</f>
        <v/>
      </c>
      <c r="C7848">
        <f>TEXT(7847, "[$-060000]yyyy-mm-dd")</f>
        <v/>
      </c>
      <c r="D7848" t="inlineStr">
        <is>
          <t>1339-10-19</t>
        </is>
      </c>
    </row>
    <row r="7849">
      <c r="A7849" s="1" t="n">
        <v>7848</v>
      </c>
      <c r="B7849">
        <f>TEXT(7848, "[$-170000]yyyy-mm-dd")</f>
        <v/>
      </c>
      <c r="C7849">
        <f>TEXT(7848, "[$-060000]yyyy-mm-dd")</f>
        <v/>
      </c>
      <c r="D7849" t="inlineStr">
        <is>
          <t>1339-10-20</t>
        </is>
      </c>
    </row>
    <row r="7850">
      <c r="A7850" s="1" t="n">
        <v>7849</v>
      </c>
      <c r="B7850">
        <f>TEXT(7849, "[$-170000]yyyy-mm-dd")</f>
        <v/>
      </c>
      <c r="C7850">
        <f>TEXT(7849, "[$-060000]yyyy-mm-dd")</f>
        <v/>
      </c>
      <c r="D7850" t="inlineStr">
        <is>
          <t>1339-10-21</t>
        </is>
      </c>
    </row>
    <row r="7851">
      <c r="A7851" s="1" t="n">
        <v>7850</v>
      </c>
      <c r="B7851">
        <f>TEXT(7850, "[$-170000]yyyy-mm-dd")</f>
        <v/>
      </c>
      <c r="C7851">
        <f>TEXT(7850, "[$-060000]yyyy-mm-dd")</f>
        <v/>
      </c>
      <c r="D7851" t="inlineStr">
        <is>
          <t>1339-10-22</t>
        </is>
      </c>
    </row>
    <row r="7852">
      <c r="A7852" s="1" t="n">
        <v>7851</v>
      </c>
      <c r="B7852">
        <f>TEXT(7851, "[$-170000]yyyy-mm-dd")</f>
        <v/>
      </c>
      <c r="C7852">
        <f>TEXT(7851, "[$-060000]yyyy-mm-dd")</f>
        <v/>
      </c>
      <c r="D7852" t="inlineStr">
        <is>
          <t>1339-10-23</t>
        </is>
      </c>
    </row>
    <row r="7853">
      <c r="A7853" s="1" t="n">
        <v>7852</v>
      </c>
      <c r="B7853">
        <f>TEXT(7852, "[$-170000]yyyy-mm-dd")</f>
        <v/>
      </c>
      <c r="C7853">
        <f>TEXT(7852, "[$-060000]yyyy-mm-dd")</f>
        <v/>
      </c>
      <c r="D7853" t="inlineStr">
        <is>
          <t>1339-10-24</t>
        </is>
      </c>
    </row>
    <row r="7854">
      <c r="A7854" s="1" t="n">
        <v>7853</v>
      </c>
      <c r="B7854">
        <f>TEXT(7853, "[$-170000]yyyy-mm-dd")</f>
        <v/>
      </c>
      <c r="C7854">
        <f>TEXT(7853, "[$-060000]yyyy-mm-dd")</f>
        <v/>
      </c>
      <c r="D7854" t="inlineStr">
        <is>
          <t>1339-10-25</t>
        </is>
      </c>
    </row>
    <row r="7855">
      <c r="A7855" s="1" t="n">
        <v>7854</v>
      </c>
      <c r="B7855">
        <f>TEXT(7854, "[$-170000]yyyy-mm-dd")</f>
        <v/>
      </c>
      <c r="C7855">
        <f>TEXT(7854, "[$-060000]yyyy-mm-dd")</f>
        <v/>
      </c>
      <c r="D7855" t="inlineStr">
        <is>
          <t>1339-10-26</t>
        </is>
      </c>
    </row>
    <row r="7856">
      <c r="A7856" s="1" t="n">
        <v>7855</v>
      </c>
      <c r="B7856">
        <f>TEXT(7855, "[$-170000]yyyy-mm-dd")</f>
        <v/>
      </c>
      <c r="C7856">
        <f>TEXT(7855, "[$-060000]yyyy-mm-dd")</f>
        <v/>
      </c>
      <c r="D7856" t="inlineStr">
        <is>
          <t>1339-10-27</t>
        </is>
      </c>
    </row>
    <row r="7857">
      <c r="A7857" s="1" t="n">
        <v>7856</v>
      </c>
      <c r="B7857">
        <f>TEXT(7856, "[$-170000]yyyy-mm-dd")</f>
        <v/>
      </c>
      <c r="C7857">
        <f>TEXT(7856, "[$-060000]yyyy-mm-dd")</f>
        <v/>
      </c>
      <c r="D7857" t="inlineStr">
        <is>
          <t>1339-10-28</t>
        </is>
      </c>
    </row>
    <row r="7858">
      <c r="A7858" s="1" t="n">
        <v>7857</v>
      </c>
      <c r="B7858">
        <f>TEXT(7857, "[$-170000]yyyy-mm-dd")</f>
        <v/>
      </c>
      <c r="C7858">
        <f>TEXT(7857, "[$-060000]yyyy-mm-dd")</f>
        <v/>
      </c>
      <c r="D7858" t="inlineStr">
        <is>
          <t>1339-10-29</t>
        </is>
      </c>
    </row>
    <row r="7859">
      <c r="A7859" s="1" t="n">
        <v>7858</v>
      </c>
      <c r="B7859">
        <f>TEXT(7858, "[$-170000]yyyy-mm-dd")</f>
        <v/>
      </c>
      <c r="C7859">
        <f>TEXT(7858, "[$-060000]yyyy-mm-dd")</f>
        <v/>
      </c>
      <c r="D7859" t="inlineStr">
        <is>
          <t>1339-11-01</t>
        </is>
      </c>
    </row>
    <row r="7860">
      <c r="A7860" s="1" t="n">
        <v>7859</v>
      </c>
      <c r="B7860">
        <f>TEXT(7859, "[$-170000]yyyy-mm-dd")</f>
        <v/>
      </c>
      <c r="C7860">
        <f>TEXT(7859, "[$-060000]yyyy-mm-dd")</f>
        <v/>
      </c>
      <c r="D7860" t="inlineStr">
        <is>
          <t>1339-11-02</t>
        </is>
      </c>
    </row>
    <row r="7861">
      <c r="A7861" s="1" t="n">
        <v>7860</v>
      </c>
      <c r="B7861">
        <f>TEXT(7860, "[$-170000]yyyy-mm-dd")</f>
        <v/>
      </c>
      <c r="C7861">
        <f>TEXT(7860, "[$-060000]yyyy-mm-dd")</f>
        <v/>
      </c>
      <c r="D7861" t="inlineStr">
        <is>
          <t>1339-11-03</t>
        </is>
      </c>
    </row>
    <row r="7862">
      <c r="A7862" s="1" t="n">
        <v>7861</v>
      </c>
      <c r="B7862">
        <f>TEXT(7861, "[$-170000]yyyy-mm-dd")</f>
        <v/>
      </c>
      <c r="C7862">
        <f>TEXT(7861, "[$-060000]yyyy-mm-dd")</f>
        <v/>
      </c>
      <c r="D7862" t="inlineStr">
        <is>
          <t>1339-11-04</t>
        </is>
      </c>
    </row>
    <row r="7863">
      <c r="A7863" s="1" t="n">
        <v>7862</v>
      </c>
      <c r="B7863">
        <f>TEXT(7862, "[$-170000]yyyy-mm-dd")</f>
        <v/>
      </c>
      <c r="C7863">
        <f>TEXT(7862, "[$-060000]yyyy-mm-dd")</f>
        <v/>
      </c>
      <c r="D7863" t="inlineStr">
        <is>
          <t>1339-11-05</t>
        </is>
      </c>
    </row>
    <row r="7864">
      <c r="A7864" s="1" t="n">
        <v>7863</v>
      </c>
      <c r="B7864">
        <f>TEXT(7863, "[$-170000]yyyy-mm-dd")</f>
        <v/>
      </c>
      <c r="C7864">
        <f>TEXT(7863, "[$-060000]yyyy-mm-dd")</f>
        <v/>
      </c>
      <c r="D7864" t="inlineStr">
        <is>
          <t>1339-11-06</t>
        </is>
      </c>
    </row>
    <row r="7865">
      <c r="A7865" s="1" t="n">
        <v>7864</v>
      </c>
      <c r="B7865">
        <f>TEXT(7864, "[$-170000]yyyy-mm-dd")</f>
        <v/>
      </c>
      <c r="C7865">
        <f>TEXT(7864, "[$-060000]yyyy-mm-dd")</f>
        <v/>
      </c>
      <c r="D7865" t="inlineStr">
        <is>
          <t>1339-11-07</t>
        </is>
      </c>
    </row>
    <row r="7866">
      <c r="A7866" s="1" t="n">
        <v>7865</v>
      </c>
      <c r="B7866">
        <f>TEXT(7865, "[$-170000]yyyy-mm-dd")</f>
        <v/>
      </c>
      <c r="C7866">
        <f>TEXT(7865, "[$-060000]yyyy-mm-dd")</f>
        <v/>
      </c>
      <c r="D7866" t="inlineStr">
        <is>
          <t>1339-11-08</t>
        </is>
      </c>
    </row>
    <row r="7867">
      <c r="A7867" s="1" t="n">
        <v>7866</v>
      </c>
      <c r="B7867">
        <f>TEXT(7866, "[$-170000]yyyy-mm-dd")</f>
        <v/>
      </c>
      <c r="C7867">
        <f>TEXT(7866, "[$-060000]yyyy-mm-dd")</f>
        <v/>
      </c>
      <c r="D7867" t="inlineStr">
        <is>
          <t>1339-11-09</t>
        </is>
      </c>
    </row>
    <row r="7868">
      <c r="A7868" s="1" t="n">
        <v>7867</v>
      </c>
      <c r="B7868">
        <f>TEXT(7867, "[$-170000]yyyy-mm-dd")</f>
        <v/>
      </c>
      <c r="C7868">
        <f>TEXT(7867, "[$-060000]yyyy-mm-dd")</f>
        <v/>
      </c>
      <c r="D7868" t="inlineStr">
        <is>
          <t>1339-11-10</t>
        </is>
      </c>
    </row>
    <row r="7869">
      <c r="A7869" s="1" t="n">
        <v>7868</v>
      </c>
      <c r="B7869">
        <f>TEXT(7868, "[$-170000]yyyy-mm-dd")</f>
        <v/>
      </c>
      <c r="C7869">
        <f>TEXT(7868, "[$-060000]yyyy-mm-dd")</f>
        <v/>
      </c>
      <c r="D7869" t="inlineStr">
        <is>
          <t>1339-11-11</t>
        </is>
      </c>
    </row>
    <row r="7870">
      <c r="A7870" s="1" t="n">
        <v>7869</v>
      </c>
      <c r="B7870">
        <f>TEXT(7869, "[$-170000]yyyy-mm-dd")</f>
        <v/>
      </c>
      <c r="C7870">
        <f>TEXT(7869, "[$-060000]yyyy-mm-dd")</f>
        <v/>
      </c>
      <c r="D7870" t="inlineStr">
        <is>
          <t>1339-11-12</t>
        </is>
      </c>
    </row>
    <row r="7871">
      <c r="A7871" s="1" t="n">
        <v>7870</v>
      </c>
      <c r="B7871">
        <f>TEXT(7870, "[$-170000]yyyy-mm-dd")</f>
        <v/>
      </c>
      <c r="C7871">
        <f>TEXT(7870, "[$-060000]yyyy-mm-dd")</f>
        <v/>
      </c>
      <c r="D7871" t="inlineStr">
        <is>
          <t>1339-11-13</t>
        </is>
      </c>
    </row>
    <row r="7872">
      <c r="A7872" s="1" t="n">
        <v>7871</v>
      </c>
      <c r="B7872">
        <f>TEXT(7871, "[$-170000]yyyy-mm-dd")</f>
        <v/>
      </c>
      <c r="C7872">
        <f>TEXT(7871, "[$-060000]yyyy-mm-dd")</f>
        <v/>
      </c>
      <c r="D7872" t="inlineStr">
        <is>
          <t>1339-11-14</t>
        </is>
      </c>
    </row>
    <row r="7873">
      <c r="A7873" s="1" t="n">
        <v>7872</v>
      </c>
      <c r="B7873">
        <f>TEXT(7872, "[$-170000]yyyy-mm-dd")</f>
        <v/>
      </c>
      <c r="C7873">
        <f>TEXT(7872, "[$-060000]yyyy-mm-dd")</f>
        <v/>
      </c>
      <c r="D7873" t="inlineStr">
        <is>
          <t>1339-11-15</t>
        </is>
      </c>
    </row>
    <row r="7874">
      <c r="A7874" s="1" t="n">
        <v>7873</v>
      </c>
      <c r="B7874">
        <f>TEXT(7873, "[$-170000]yyyy-mm-dd")</f>
        <v/>
      </c>
      <c r="C7874">
        <f>TEXT(7873, "[$-060000]yyyy-mm-dd")</f>
        <v/>
      </c>
      <c r="D7874" t="inlineStr">
        <is>
          <t>1339-11-16</t>
        </is>
      </c>
    </row>
    <row r="7875">
      <c r="A7875" s="1" t="n">
        <v>7874</v>
      </c>
      <c r="B7875">
        <f>TEXT(7874, "[$-170000]yyyy-mm-dd")</f>
        <v/>
      </c>
      <c r="C7875">
        <f>TEXT(7874, "[$-060000]yyyy-mm-dd")</f>
        <v/>
      </c>
      <c r="D7875" t="inlineStr">
        <is>
          <t>1339-11-17</t>
        </is>
      </c>
    </row>
    <row r="7876">
      <c r="A7876" s="1" t="n">
        <v>7875</v>
      </c>
      <c r="B7876">
        <f>TEXT(7875, "[$-170000]yyyy-mm-dd")</f>
        <v/>
      </c>
      <c r="C7876">
        <f>TEXT(7875, "[$-060000]yyyy-mm-dd")</f>
        <v/>
      </c>
      <c r="D7876" t="inlineStr">
        <is>
          <t>1339-11-18</t>
        </is>
      </c>
    </row>
    <row r="7877">
      <c r="A7877" s="1" t="n">
        <v>7876</v>
      </c>
      <c r="B7877">
        <f>TEXT(7876, "[$-170000]yyyy-mm-dd")</f>
        <v/>
      </c>
      <c r="C7877">
        <f>TEXT(7876, "[$-060000]yyyy-mm-dd")</f>
        <v/>
      </c>
      <c r="D7877" t="inlineStr">
        <is>
          <t>1339-11-19</t>
        </is>
      </c>
    </row>
    <row r="7878">
      <c r="A7878" s="1" t="n">
        <v>7877</v>
      </c>
      <c r="B7878">
        <f>TEXT(7877, "[$-170000]yyyy-mm-dd")</f>
        <v/>
      </c>
      <c r="C7878">
        <f>TEXT(7877, "[$-060000]yyyy-mm-dd")</f>
        <v/>
      </c>
      <c r="D7878" t="inlineStr">
        <is>
          <t>1339-11-20</t>
        </is>
      </c>
    </row>
    <row r="7879">
      <c r="A7879" s="1" t="n">
        <v>7878</v>
      </c>
      <c r="B7879">
        <f>TEXT(7878, "[$-170000]yyyy-mm-dd")</f>
        <v/>
      </c>
      <c r="C7879">
        <f>TEXT(7878, "[$-060000]yyyy-mm-dd")</f>
        <v/>
      </c>
      <c r="D7879" t="inlineStr">
        <is>
          <t>1339-11-21</t>
        </is>
      </c>
    </row>
    <row r="7880">
      <c r="A7880" s="1" t="n">
        <v>7879</v>
      </c>
      <c r="B7880">
        <f>TEXT(7879, "[$-170000]yyyy-mm-dd")</f>
        <v/>
      </c>
      <c r="C7880">
        <f>TEXT(7879, "[$-060000]yyyy-mm-dd")</f>
        <v/>
      </c>
      <c r="D7880" t="inlineStr">
        <is>
          <t>1339-11-22</t>
        </is>
      </c>
    </row>
    <row r="7881">
      <c r="A7881" s="1" t="n">
        <v>7880</v>
      </c>
      <c r="B7881">
        <f>TEXT(7880, "[$-170000]yyyy-mm-dd")</f>
        <v/>
      </c>
      <c r="C7881">
        <f>TEXT(7880, "[$-060000]yyyy-mm-dd")</f>
        <v/>
      </c>
      <c r="D7881" t="inlineStr">
        <is>
          <t>1339-11-23</t>
        </is>
      </c>
    </row>
    <row r="7882">
      <c r="A7882" s="1" t="n">
        <v>7881</v>
      </c>
      <c r="B7882">
        <f>TEXT(7881, "[$-170000]yyyy-mm-dd")</f>
        <v/>
      </c>
      <c r="C7882">
        <f>TEXT(7881, "[$-060000]yyyy-mm-dd")</f>
        <v/>
      </c>
      <c r="D7882" t="inlineStr">
        <is>
          <t>1339-11-24</t>
        </is>
      </c>
    </row>
    <row r="7883">
      <c r="A7883" s="1" t="n">
        <v>7882</v>
      </c>
      <c r="B7883">
        <f>TEXT(7882, "[$-170000]yyyy-mm-dd")</f>
        <v/>
      </c>
      <c r="C7883">
        <f>TEXT(7882, "[$-060000]yyyy-mm-dd")</f>
        <v/>
      </c>
      <c r="D7883" t="inlineStr">
        <is>
          <t>1339-11-25</t>
        </is>
      </c>
    </row>
    <row r="7884">
      <c r="A7884" s="1" t="n">
        <v>7883</v>
      </c>
      <c r="B7884">
        <f>TEXT(7883, "[$-170000]yyyy-mm-dd")</f>
        <v/>
      </c>
      <c r="C7884">
        <f>TEXT(7883, "[$-060000]yyyy-mm-dd")</f>
        <v/>
      </c>
      <c r="D7884" t="inlineStr">
        <is>
          <t>1339-11-26</t>
        </is>
      </c>
    </row>
    <row r="7885">
      <c r="A7885" s="1" t="n">
        <v>7884</v>
      </c>
      <c r="B7885">
        <f>TEXT(7884, "[$-170000]yyyy-mm-dd")</f>
        <v/>
      </c>
      <c r="C7885">
        <f>TEXT(7884, "[$-060000]yyyy-mm-dd")</f>
        <v/>
      </c>
      <c r="D7885" t="inlineStr">
        <is>
          <t>1339-11-27</t>
        </is>
      </c>
    </row>
    <row r="7886">
      <c r="A7886" s="1" t="n">
        <v>7885</v>
      </c>
      <c r="B7886">
        <f>TEXT(7885, "[$-170000]yyyy-mm-dd")</f>
        <v/>
      </c>
      <c r="C7886">
        <f>TEXT(7885, "[$-060000]yyyy-mm-dd")</f>
        <v/>
      </c>
      <c r="D7886" t="inlineStr">
        <is>
          <t>1339-11-28</t>
        </is>
      </c>
    </row>
    <row r="7887">
      <c r="A7887" s="1" t="n">
        <v>7886</v>
      </c>
      <c r="B7887">
        <f>TEXT(7886, "[$-170000]yyyy-mm-dd")</f>
        <v/>
      </c>
      <c r="C7887">
        <f>TEXT(7886, "[$-060000]yyyy-mm-dd")</f>
        <v/>
      </c>
      <c r="D7887" t="inlineStr">
        <is>
          <t>1339-11-29</t>
        </is>
      </c>
    </row>
    <row r="7888">
      <c r="A7888" s="1" t="n">
        <v>7887</v>
      </c>
      <c r="B7888">
        <f>TEXT(7887, "[$-170000]yyyy-mm-dd")</f>
        <v/>
      </c>
      <c r="C7888">
        <f>TEXT(7887, "[$-060000]yyyy-mm-dd")</f>
        <v/>
      </c>
      <c r="D7888" t="inlineStr">
        <is>
          <t>1339-11-30</t>
        </is>
      </c>
    </row>
    <row r="7889">
      <c r="A7889" s="1" t="n">
        <v>7888</v>
      </c>
      <c r="B7889">
        <f>TEXT(7888, "[$-170000]yyyy-mm-dd")</f>
        <v/>
      </c>
      <c r="C7889">
        <f>TEXT(7888, "[$-060000]yyyy-mm-dd")</f>
        <v/>
      </c>
      <c r="D7889" t="inlineStr">
        <is>
          <t>1339-12-01</t>
        </is>
      </c>
    </row>
    <row r="7890">
      <c r="A7890" s="1" t="n">
        <v>7889</v>
      </c>
      <c r="B7890">
        <f>TEXT(7889, "[$-170000]yyyy-mm-dd")</f>
        <v/>
      </c>
      <c r="C7890">
        <f>TEXT(7889, "[$-060000]yyyy-mm-dd")</f>
        <v/>
      </c>
      <c r="D7890" t="inlineStr">
        <is>
          <t>1339-12-02</t>
        </is>
      </c>
    </row>
    <row r="7891">
      <c r="A7891" s="1" t="n">
        <v>7890</v>
      </c>
      <c r="B7891">
        <f>TEXT(7890, "[$-170000]yyyy-mm-dd")</f>
        <v/>
      </c>
      <c r="C7891">
        <f>TEXT(7890, "[$-060000]yyyy-mm-dd")</f>
        <v/>
      </c>
      <c r="D7891" t="inlineStr">
        <is>
          <t>1339-12-03</t>
        </is>
      </c>
    </row>
    <row r="7892">
      <c r="A7892" s="1" t="n">
        <v>7891</v>
      </c>
      <c r="B7892">
        <f>TEXT(7891, "[$-170000]yyyy-mm-dd")</f>
        <v/>
      </c>
      <c r="C7892">
        <f>TEXT(7891, "[$-060000]yyyy-mm-dd")</f>
        <v/>
      </c>
      <c r="D7892" t="inlineStr">
        <is>
          <t>1339-12-04</t>
        </is>
      </c>
    </row>
    <row r="7893">
      <c r="A7893" s="1" t="n">
        <v>7892</v>
      </c>
      <c r="B7893">
        <f>TEXT(7892, "[$-170000]yyyy-mm-dd")</f>
        <v/>
      </c>
      <c r="C7893">
        <f>TEXT(7892, "[$-060000]yyyy-mm-dd")</f>
        <v/>
      </c>
      <c r="D7893" t="inlineStr">
        <is>
          <t>1339-12-05</t>
        </is>
      </c>
    </row>
    <row r="7894">
      <c r="A7894" s="1" t="n">
        <v>7893</v>
      </c>
      <c r="B7894">
        <f>TEXT(7893, "[$-170000]yyyy-mm-dd")</f>
        <v/>
      </c>
      <c r="C7894">
        <f>TEXT(7893, "[$-060000]yyyy-mm-dd")</f>
        <v/>
      </c>
      <c r="D7894" t="inlineStr">
        <is>
          <t>1339-12-06</t>
        </is>
      </c>
    </row>
    <row r="7895">
      <c r="A7895" s="1" t="n">
        <v>7894</v>
      </c>
      <c r="B7895">
        <f>TEXT(7894, "[$-170000]yyyy-mm-dd")</f>
        <v/>
      </c>
      <c r="C7895">
        <f>TEXT(7894, "[$-060000]yyyy-mm-dd")</f>
        <v/>
      </c>
      <c r="D7895" t="inlineStr">
        <is>
          <t>1339-12-07</t>
        </is>
      </c>
    </row>
    <row r="7896">
      <c r="A7896" s="1" t="n">
        <v>7895</v>
      </c>
      <c r="B7896">
        <f>TEXT(7895, "[$-170000]yyyy-mm-dd")</f>
        <v/>
      </c>
      <c r="C7896">
        <f>TEXT(7895, "[$-060000]yyyy-mm-dd")</f>
        <v/>
      </c>
      <c r="D7896" t="inlineStr">
        <is>
          <t>1339-12-08</t>
        </is>
      </c>
    </row>
    <row r="7897">
      <c r="A7897" s="1" t="n">
        <v>7896</v>
      </c>
      <c r="B7897">
        <f>TEXT(7896, "[$-170000]yyyy-mm-dd")</f>
        <v/>
      </c>
      <c r="C7897">
        <f>TEXT(7896, "[$-060000]yyyy-mm-dd")</f>
        <v/>
      </c>
      <c r="D7897" t="inlineStr">
        <is>
          <t>1339-12-09</t>
        </is>
      </c>
    </row>
    <row r="7898">
      <c r="A7898" s="1" t="n">
        <v>7897</v>
      </c>
      <c r="B7898">
        <f>TEXT(7897, "[$-170000]yyyy-mm-dd")</f>
        <v/>
      </c>
      <c r="C7898">
        <f>TEXT(7897, "[$-060000]yyyy-mm-dd")</f>
        <v/>
      </c>
      <c r="D7898" t="inlineStr">
        <is>
          <t>1339-12-10</t>
        </is>
      </c>
    </row>
    <row r="7899">
      <c r="A7899" s="1" t="n">
        <v>7898</v>
      </c>
      <c r="B7899">
        <f>TEXT(7898, "[$-170000]yyyy-mm-dd")</f>
        <v/>
      </c>
      <c r="C7899">
        <f>TEXT(7898, "[$-060000]yyyy-mm-dd")</f>
        <v/>
      </c>
      <c r="D7899" t="inlineStr">
        <is>
          <t>1339-12-11</t>
        </is>
      </c>
    </row>
    <row r="7900">
      <c r="A7900" s="1" t="n">
        <v>7899</v>
      </c>
      <c r="B7900">
        <f>TEXT(7899, "[$-170000]yyyy-mm-dd")</f>
        <v/>
      </c>
      <c r="C7900">
        <f>TEXT(7899, "[$-060000]yyyy-mm-dd")</f>
        <v/>
      </c>
      <c r="D7900" t="inlineStr">
        <is>
          <t>1339-12-12</t>
        </is>
      </c>
    </row>
    <row r="7901">
      <c r="A7901" s="1" t="n">
        <v>7900</v>
      </c>
      <c r="B7901">
        <f>TEXT(7900, "[$-170000]yyyy-mm-dd")</f>
        <v/>
      </c>
      <c r="C7901">
        <f>TEXT(7900, "[$-060000]yyyy-mm-dd")</f>
        <v/>
      </c>
      <c r="D7901" t="inlineStr">
        <is>
          <t>1339-12-13</t>
        </is>
      </c>
    </row>
    <row r="7902">
      <c r="A7902" s="1" t="n">
        <v>7901</v>
      </c>
      <c r="B7902">
        <f>TEXT(7901, "[$-170000]yyyy-mm-dd")</f>
        <v/>
      </c>
      <c r="C7902">
        <f>TEXT(7901, "[$-060000]yyyy-mm-dd")</f>
        <v/>
      </c>
      <c r="D7902" t="inlineStr">
        <is>
          <t>1339-12-14</t>
        </is>
      </c>
    </row>
    <row r="7903">
      <c r="A7903" s="1" t="n">
        <v>7902</v>
      </c>
      <c r="B7903">
        <f>TEXT(7902, "[$-170000]yyyy-mm-dd")</f>
        <v/>
      </c>
      <c r="C7903">
        <f>TEXT(7902, "[$-060000]yyyy-mm-dd")</f>
        <v/>
      </c>
      <c r="D7903" t="inlineStr">
        <is>
          <t>1339-12-15</t>
        </is>
      </c>
    </row>
    <row r="7904">
      <c r="A7904" s="1" t="n">
        <v>7903</v>
      </c>
      <c r="B7904">
        <f>TEXT(7903, "[$-170000]yyyy-mm-dd")</f>
        <v/>
      </c>
      <c r="C7904">
        <f>TEXT(7903, "[$-060000]yyyy-mm-dd")</f>
        <v/>
      </c>
      <c r="D7904" t="inlineStr">
        <is>
          <t>1339-12-16</t>
        </is>
      </c>
    </row>
    <row r="7905">
      <c r="A7905" s="1" t="n">
        <v>7904</v>
      </c>
      <c r="B7905">
        <f>TEXT(7904, "[$-170000]yyyy-mm-dd")</f>
        <v/>
      </c>
      <c r="C7905">
        <f>TEXT(7904, "[$-060000]yyyy-mm-dd")</f>
        <v/>
      </c>
      <c r="D7905" t="inlineStr">
        <is>
          <t>1339-12-17</t>
        </is>
      </c>
    </row>
    <row r="7906">
      <c r="A7906" s="1" t="n">
        <v>7905</v>
      </c>
      <c r="B7906">
        <f>TEXT(7905, "[$-170000]yyyy-mm-dd")</f>
        <v/>
      </c>
      <c r="C7906">
        <f>TEXT(7905, "[$-060000]yyyy-mm-dd")</f>
        <v/>
      </c>
      <c r="D7906" t="inlineStr">
        <is>
          <t>1339-12-18</t>
        </is>
      </c>
    </row>
    <row r="7907">
      <c r="A7907" s="1" t="n">
        <v>7906</v>
      </c>
      <c r="B7907">
        <f>TEXT(7906, "[$-170000]yyyy-mm-dd")</f>
        <v/>
      </c>
      <c r="C7907">
        <f>TEXT(7906, "[$-060000]yyyy-mm-dd")</f>
        <v/>
      </c>
      <c r="D7907" t="inlineStr">
        <is>
          <t>1339-12-19</t>
        </is>
      </c>
    </row>
    <row r="7908">
      <c r="A7908" s="1" t="n">
        <v>7907</v>
      </c>
      <c r="B7908">
        <f>TEXT(7907, "[$-170000]yyyy-mm-dd")</f>
        <v/>
      </c>
      <c r="C7908">
        <f>TEXT(7907, "[$-060000]yyyy-mm-dd")</f>
        <v/>
      </c>
      <c r="D7908" t="inlineStr">
        <is>
          <t>1339-12-20</t>
        </is>
      </c>
    </row>
    <row r="7909">
      <c r="A7909" s="1" t="n">
        <v>7908</v>
      </c>
      <c r="B7909">
        <f>TEXT(7908, "[$-170000]yyyy-mm-dd")</f>
        <v/>
      </c>
      <c r="C7909">
        <f>TEXT(7908, "[$-060000]yyyy-mm-dd")</f>
        <v/>
      </c>
      <c r="D7909" t="inlineStr">
        <is>
          <t>1339-12-21</t>
        </is>
      </c>
    </row>
    <row r="7910">
      <c r="A7910" s="1" t="n">
        <v>7909</v>
      </c>
      <c r="B7910">
        <f>TEXT(7909, "[$-170000]yyyy-mm-dd")</f>
        <v/>
      </c>
      <c r="C7910">
        <f>TEXT(7909, "[$-060000]yyyy-mm-dd")</f>
        <v/>
      </c>
      <c r="D7910" t="inlineStr">
        <is>
          <t>1339-12-22</t>
        </is>
      </c>
    </row>
    <row r="7911">
      <c r="A7911" s="1" t="n">
        <v>7910</v>
      </c>
      <c r="B7911">
        <f>TEXT(7910, "[$-170000]yyyy-mm-dd")</f>
        <v/>
      </c>
      <c r="C7911">
        <f>TEXT(7910, "[$-060000]yyyy-mm-dd")</f>
        <v/>
      </c>
      <c r="D7911" t="inlineStr">
        <is>
          <t>1339-12-23</t>
        </is>
      </c>
    </row>
    <row r="7912">
      <c r="A7912" s="1" t="n">
        <v>7911</v>
      </c>
      <c r="B7912">
        <f>TEXT(7911, "[$-170000]yyyy-mm-dd")</f>
        <v/>
      </c>
      <c r="C7912">
        <f>TEXT(7911, "[$-060000]yyyy-mm-dd")</f>
        <v/>
      </c>
      <c r="D7912" t="inlineStr">
        <is>
          <t>1339-12-24</t>
        </is>
      </c>
    </row>
    <row r="7913">
      <c r="A7913" s="1" t="n">
        <v>7912</v>
      </c>
      <c r="B7913">
        <f>TEXT(7912, "[$-170000]yyyy-mm-dd")</f>
        <v/>
      </c>
      <c r="C7913">
        <f>TEXT(7912, "[$-060000]yyyy-mm-dd")</f>
        <v/>
      </c>
      <c r="D7913" t="inlineStr">
        <is>
          <t>1339-12-25</t>
        </is>
      </c>
    </row>
    <row r="7914">
      <c r="A7914" s="1" t="n">
        <v>7913</v>
      </c>
      <c r="B7914">
        <f>TEXT(7913, "[$-170000]yyyy-mm-dd")</f>
        <v/>
      </c>
      <c r="C7914">
        <f>TEXT(7913, "[$-060000]yyyy-mm-dd")</f>
        <v/>
      </c>
      <c r="D7914" t="inlineStr">
        <is>
          <t>1339-12-26</t>
        </is>
      </c>
    </row>
    <row r="7915">
      <c r="A7915" s="1" t="n">
        <v>7914</v>
      </c>
      <c r="B7915">
        <f>TEXT(7914, "[$-170000]yyyy-mm-dd")</f>
        <v/>
      </c>
      <c r="C7915">
        <f>TEXT(7914, "[$-060000]yyyy-mm-dd")</f>
        <v/>
      </c>
      <c r="D7915" t="inlineStr">
        <is>
          <t>1339-12-27</t>
        </is>
      </c>
    </row>
    <row r="7916">
      <c r="A7916" s="1" t="n">
        <v>7915</v>
      </c>
      <c r="B7916">
        <f>TEXT(7915, "[$-170000]yyyy-mm-dd")</f>
        <v/>
      </c>
      <c r="C7916">
        <f>TEXT(7915, "[$-060000]yyyy-mm-dd")</f>
        <v/>
      </c>
      <c r="D7916" t="inlineStr">
        <is>
          <t>1339-12-28</t>
        </is>
      </c>
    </row>
    <row r="7917">
      <c r="A7917" s="1" t="n">
        <v>7916</v>
      </c>
      <c r="B7917">
        <f>TEXT(7916, "[$-170000]yyyy-mm-dd")</f>
        <v/>
      </c>
      <c r="C7917">
        <f>TEXT(7916, "[$-060000]yyyy-mm-dd")</f>
        <v/>
      </c>
      <c r="D7917" t="inlineStr">
        <is>
          <t>1339-12-29</t>
        </is>
      </c>
    </row>
    <row r="7918">
      <c r="A7918" s="1" t="n">
        <v>7917</v>
      </c>
      <c r="B7918">
        <f>TEXT(7917, "[$-170000]yyyy-mm-dd")</f>
        <v/>
      </c>
      <c r="C7918">
        <f>TEXT(7917, "[$-060000]yyyy-mm-dd")</f>
        <v/>
      </c>
      <c r="D7918" t="inlineStr">
        <is>
          <t>1340-01-01</t>
        </is>
      </c>
    </row>
    <row r="7919">
      <c r="A7919" s="1" t="n">
        <v>7918</v>
      </c>
      <c r="B7919">
        <f>TEXT(7918, "[$-170000]yyyy-mm-dd")</f>
        <v/>
      </c>
      <c r="C7919">
        <f>TEXT(7918, "[$-060000]yyyy-mm-dd")</f>
        <v/>
      </c>
      <c r="D7919" t="inlineStr">
        <is>
          <t>1340-01-02</t>
        </is>
      </c>
    </row>
    <row r="7920">
      <c r="A7920" s="1" t="n">
        <v>7919</v>
      </c>
      <c r="B7920">
        <f>TEXT(7919, "[$-170000]yyyy-mm-dd")</f>
        <v/>
      </c>
      <c r="C7920">
        <f>TEXT(7919, "[$-060000]yyyy-mm-dd")</f>
        <v/>
      </c>
      <c r="D7920" t="inlineStr">
        <is>
          <t>1340-01-03</t>
        </is>
      </c>
    </row>
    <row r="7921">
      <c r="A7921" s="1" t="n">
        <v>7920</v>
      </c>
      <c r="B7921">
        <f>TEXT(7920, "[$-170000]yyyy-mm-dd")</f>
        <v/>
      </c>
      <c r="C7921">
        <f>TEXT(7920, "[$-060000]yyyy-mm-dd")</f>
        <v/>
      </c>
      <c r="D7921" t="inlineStr">
        <is>
          <t>1340-01-04</t>
        </is>
      </c>
    </row>
    <row r="7922">
      <c r="A7922" s="1" t="n">
        <v>7921</v>
      </c>
      <c r="B7922">
        <f>TEXT(7921, "[$-170000]yyyy-mm-dd")</f>
        <v/>
      </c>
      <c r="C7922">
        <f>TEXT(7921, "[$-060000]yyyy-mm-dd")</f>
        <v/>
      </c>
      <c r="D7922" t="inlineStr">
        <is>
          <t>1340-01-05</t>
        </is>
      </c>
    </row>
    <row r="7923">
      <c r="A7923" s="1" t="n">
        <v>7922</v>
      </c>
      <c r="B7923">
        <f>TEXT(7922, "[$-170000]yyyy-mm-dd")</f>
        <v/>
      </c>
      <c r="C7923">
        <f>TEXT(7922, "[$-060000]yyyy-mm-dd")</f>
        <v/>
      </c>
      <c r="D7923" t="inlineStr">
        <is>
          <t>1340-01-06</t>
        </is>
      </c>
    </row>
    <row r="7924">
      <c r="A7924" s="1" t="n">
        <v>7923</v>
      </c>
      <c r="B7924">
        <f>TEXT(7923, "[$-170000]yyyy-mm-dd")</f>
        <v/>
      </c>
      <c r="C7924">
        <f>TEXT(7923, "[$-060000]yyyy-mm-dd")</f>
        <v/>
      </c>
      <c r="D7924" t="inlineStr">
        <is>
          <t>1340-01-07</t>
        </is>
      </c>
    </row>
    <row r="7925">
      <c r="A7925" s="1" t="n">
        <v>7924</v>
      </c>
      <c r="B7925">
        <f>TEXT(7924, "[$-170000]yyyy-mm-dd")</f>
        <v/>
      </c>
      <c r="C7925">
        <f>TEXT(7924, "[$-060000]yyyy-mm-dd")</f>
        <v/>
      </c>
      <c r="D7925" t="inlineStr">
        <is>
          <t>1340-01-08</t>
        </is>
      </c>
    </row>
    <row r="7926">
      <c r="A7926" s="1" t="n">
        <v>7925</v>
      </c>
      <c r="B7926">
        <f>TEXT(7925, "[$-170000]yyyy-mm-dd")</f>
        <v/>
      </c>
      <c r="C7926">
        <f>TEXT(7925, "[$-060000]yyyy-mm-dd")</f>
        <v/>
      </c>
      <c r="D7926" t="inlineStr">
        <is>
          <t>1340-01-09</t>
        </is>
      </c>
    </row>
    <row r="7927">
      <c r="A7927" s="1" t="n">
        <v>7926</v>
      </c>
      <c r="B7927">
        <f>TEXT(7926, "[$-170000]yyyy-mm-dd")</f>
        <v/>
      </c>
      <c r="C7927">
        <f>TEXT(7926, "[$-060000]yyyy-mm-dd")</f>
        <v/>
      </c>
      <c r="D7927" t="inlineStr">
        <is>
          <t>1340-01-10</t>
        </is>
      </c>
    </row>
    <row r="7928">
      <c r="A7928" s="1" t="n">
        <v>7927</v>
      </c>
      <c r="B7928">
        <f>TEXT(7927, "[$-170000]yyyy-mm-dd")</f>
        <v/>
      </c>
      <c r="C7928">
        <f>TEXT(7927, "[$-060000]yyyy-mm-dd")</f>
        <v/>
      </c>
      <c r="D7928" t="inlineStr">
        <is>
          <t>1340-01-11</t>
        </is>
      </c>
    </row>
    <row r="7929">
      <c r="A7929" s="1" t="n">
        <v>7928</v>
      </c>
      <c r="B7929">
        <f>TEXT(7928, "[$-170000]yyyy-mm-dd")</f>
        <v/>
      </c>
      <c r="C7929">
        <f>TEXT(7928, "[$-060000]yyyy-mm-dd")</f>
        <v/>
      </c>
      <c r="D7929" t="inlineStr">
        <is>
          <t>1340-01-12</t>
        </is>
      </c>
    </row>
    <row r="7930">
      <c r="A7930" s="1" t="n">
        <v>7929</v>
      </c>
      <c r="B7930">
        <f>TEXT(7929, "[$-170000]yyyy-mm-dd")</f>
        <v/>
      </c>
      <c r="C7930">
        <f>TEXT(7929, "[$-060000]yyyy-mm-dd")</f>
        <v/>
      </c>
      <c r="D7930" t="inlineStr">
        <is>
          <t>1340-01-13</t>
        </is>
      </c>
    </row>
    <row r="7931">
      <c r="A7931" s="1" t="n">
        <v>7930</v>
      </c>
      <c r="B7931">
        <f>TEXT(7930, "[$-170000]yyyy-mm-dd")</f>
        <v/>
      </c>
      <c r="C7931">
        <f>TEXT(7930, "[$-060000]yyyy-mm-dd")</f>
        <v/>
      </c>
      <c r="D7931" t="inlineStr">
        <is>
          <t>1340-01-14</t>
        </is>
      </c>
    </row>
    <row r="7932">
      <c r="A7932" s="1" t="n">
        <v>7931</v>
      </c>
      <c r="B7932">
        <f>TEXT(7931, "[$-170000]yyyy-mm-dd")</f>
        <v/>
      </c>
      <c r="C7932">
        <f>TEXT(7931, "[$-060000]yyyy-mm-dd")</f>
        <v/>
      </c>
      <c r="D7932" t="inlineStr">
        <is>
          <t>1340-01-15</t>
        </is>
      </c>
    </row>
    <row r="7933">
      <c r="A7933" s="1" t="n">
        <v>7932</v>
      </c>
      <c r="B7933">
        <f>TEXT(7932, "[$-170000]yyyy-mm-dd")</f>
        <v/>
      </c>
      <c r="C7933">
        <f>TEXT(7932, "[$-060000]yyyy-mm-dd")</f>
        <v/>
      </c>
      <c r="D7933" t="inlineStr">
        <is>
          <t>1340-01-16</t>
        </is>
      </c>
    </row>
    <row r="7934">
      <c r="A7934" s="1" t="n">
        <v>7933</v>
      </c>
      <c r="B7934">
        <f>TEXT(7933, "[$-170000]yyyy-mm-dd")</f>
        <v/>
      </c>
      <c r="C7934">
        <f>TEXT(7933, "[$-060000]yyyy-mm-dd")</f>
        <v/>
      </c>
      <c r="D7934" t="inlineStr">
        <is>
          <t>1340-01-17</t>
        </is>
      </c>
    </row>
    <row r="7935">
      <c r="A7935" s="1" t="n">
        <v>7934</v>
      </c>
      <c r="B7935">
        <f>TEXT(7934, "[$-170000]yyyy-mm-dd")</f>
        <v/>
      </c>
      <c r="C7935">
        <f>TEXT(7934, "[$-060000]yyyy-mm-dd")</f>
        <v/>
      </c>
      <c r="D7935" t="inlineStr">
        <is>
          <t>1340-01-18</t>
        </is>
      </c>
    </row>
    <row r="7936">
      <c r="A7936" s="1" t="n">
        <v>7935</v>
      </c>
      <c r="B7936">
        <f>TEXT(7935, "[$-170000]yyyy-mm-dd")</f>
        <v/>
      </c>
      <c r="C7936">
        <f>TEXT(7935, "[$-060000]yyyy-mm-dd")</f>
        <v/>
      </c>
      <c r="D7936" t="inlineStr">
        <is>
          <t>1340-01-19</t>
        </is>
      </c>
    </row>
    <row r="7937">
      <c r="A7937" s="1" t="n">
        <v>7936</v>
      </c>
      <c r="B7937">
        <f>TEXT(7936, "[$-170000]yyyy-mm-dd")</f>
        <v/>
      </c>
      <c r="C7937">
        <f>TEXT(7936, "[$-060000]yyyy-mm-dd")</f>
        <v/>
      </c>
      <c r="D7937" t="inlineStr">
        <is>
          <t>1340-01-20</t>
        </is>
      </c>
    </row>
    <row r="7938">
      <c r="A7938" s="1" t="n">
        <v>7937</v>
      </c>
      <c r="B7938">
        <f>TEXT(7937, "[$-170000]yyyy-mm-dd")</f>
        <v/>
      </c>
      <c r="C7938">
        <f>TEXT(7937, "[$-060000]yyyy-mm-dd")</f>
        <v/>
      </c>
      <c r="D7938" t="inlineStr">
        <is>
          <t>1340-01-21</t>
        </is>
      </c>
    </row>
    <row r="7939">
      <c r="A7939" s="1" t="n">
        <v>7938</v>
      </c>
      <c r="B7939">
        <f>TEXT(7938, "[$-170000]yyyy-mm-dd")</f>
        <v/>
      </c>
      <c r="C7939">
        <f>TEXT(7938, "[$-060000]yyyy-mm-dd")</f>
        <v/>
      </c>
      <c r="D7939" t="inlineStr">
        <is>
          <t>1340-01-22</t>
        </is>
      </c>
    </row>
    <row r="7940">
      <c r="A7940" s="1" t="n">
        <v>7939</v>
      </c>
      <c r="B7940">
        <f>TEXT(7939, "[$-170000]yyyy-mm-dd")</f>
        <v/>
      </c>
      <c r="C7940">
        <f>TEXT(7939, "[$-060000]yyyy-mm-dd")</f>
        <v/>
      </c>
      <c r="D7940" t="inlineStr">
        <is>
          <t>1340-01-23</t>
        </is>
      </c>
    </row>
    <row r="7941">
      <c r="A7941" s="1" t="n">
        <v>7940</v>
      </c>
      <c r="B7941">
        <f>TEXT(7940, "[$-170000]yyyy-mm-dd")</f>
        <v/>
      </c>
      <c r="C7941">
        <f>TEXT(7940, "[$-060000]yyyy-mm-dd")</f>
        <v/>
      </c>
      <c r="D7941" t="inlineStr">
        <is>
          <t>1340-01-24</t>
        </is>
      </c>
    </row>
    <row r="7942">
      <c r="A7942" s="1" t="n">
        <v>7941</v>
      </c>
      <c r="B7942">
        <f>TEXT(7941, "[$-170000]yyyy-mm-dd")</f>
        <v/>
      </c>
      <c r="C7942">
        <f>TEXT(7941, "[$-060000]yyyy-mm-dd")</f>
        <v/>
      </c>
      <c r="D7942" t="inlineStr">
        <is>
          <t>1340-01-25</t>
        </is>
      </c>
    </row>
    <row r="7943">
      <c r="A7943" s="1" t="n">
        <v>7942</v>
      </c>
      <c r="B7943">
        <f>TEXT(7942, "[$-170000]yyyy-mm-dd")</f>
        <v/>
      </c>
      <c r="C7943">
        <f>TEXT(7942, "[$-060000]yyyy-mm-dd")</f>
        <v/>
      </c>
      <c r="D7943" t="inlineStr">
        <is>
          <t>1340-01-26</t>
        </is>
      </c>
    </row>
    <row r="7944">
      <c r="A7944" s="1" t="n">
        <v>7943</v>
      </c>
      <c r="B7944">
        <f>TEXT(7943, "[$-170000]yyyy-mm-dd")</f>
        <v/>
      </c>
      <c r="C7944">
        <f>TEXT(7943, "[$-060000]yyyy-mm-dd")</f>
        <v/>
      </c>
      <c r="D7944" t="inlineStr">
        <is>
          <t>1340-01-27</t>
        </is>
      </c>
    </row>
    <row r="7945">
      <c r="A7945" s="1" t="n">
        <v>7944</v>
      </c>
      <c r="B7945">
        <f>TEXT(7944, "[$-170000]yyyy-mm-dd")</f>
        <v/>
      </c>
      <c r="C7945">
        <f>TEXT(7944, "[$-060000]yyyy-mm-dd")</f>
        <v/>
      </c>
      <c r="D7945" t="inlineStr">
        <is>
          <t>1340-01-28</t>
        </is>
      </c>
    </row>
    <row r="7946">
      <c r="A7946" s="1" t="n">
        <v>7945</v>
      </c>
      <c r="B7946">
        <f>TEXT(7945, "[$-170000]yyyy-mm-dd")</f>
        <v/>
      </c>
      <c r="C7946">
        <f>TEXT(7945, "[$-060000]yyyy-mm-dd")</f>
        <v/>
      </c>
      <c r="D7946" t="inlineStr">
        <is>
          <t>1340-01-29</t>
        </is>
      </c>
    </row>
    <row r="7947">
      <c r="A7947" s="1" t="n">
        <v>7946</v>
      </c>
      <c r="B7947">
        <f>TEXT(7946, "[$-170000]yyyy-mm-dd")</f>
        <v/>
      </c>
      <c r="C7947">
        <f>TEXT(7946, "[$-060000]yyyy-mm-dd")</f>
        <v/>
      </c>
      <c r="D7947" t="inlineStr">
        <is>
          <t>1340-01-30</t>
        </is>
      </c>
    </row>
    <row r="7948">
      <c r="A7948" s="1" t="n">
        <v>7947</v>
      </c>
      <c r="B7948">
        <f>TEXT(7947, "[$-170000]yyyy-mm-dd")</f>
        <v/>
      </c>
      <c r="C7948">
        <f>TEXT(7947, "[$-060000]yyyy-mm-dd")</f>
        <v/>
      </c>
      <c r="D7948" t="inlineStr">
        <is>
          <t>1340-02-01</t>
        </is>
      </c>
    </row>
    <row r="7949">
      <c r="A7949" s="1" t="n">
        <v>7948</v>
      </c>
      <c r="B7949">
        <f>TEXT(7948, "[$-170000]yyyy-mm-dd")</f>
        <v/>
      </c>
      <c r="C7949">
        <f>TEXT(7948, "[$-060000]yyyy-mm-dd")</f>
        <v/>
      </c>
      <c r="D7949" t="inlineStr">
        <is>
          <t>1340-02-02</t>
        </is>
      </c>
    </row>
    <row r="7950">
      <c r="A7950" s="1" t="n">
        <v>7949</v>
      </c>
      <c r="B7950">
        <f>TEXT(7949, "[$-170000]yyyy-mm-dd")</f>
        <v/>
      </c>
      <c r="C7950">
        <f>TEXT(7949, "[$-060000]yyyy-mm-dd")</f>
        <v/>
      </c>
      <c r="D7950" t="inlineStr">
        <is>
          <t>1340-02-03</t>
        </is>
      </c>
    </row>
    <row r="7951">
      <c r="A7951" s="1" t="n">
        <v>7950</v>
      </c>
      <c r="B7951">
        <f>TEXT(7950, "[$-170000]yyyy-mm-dd")</f>
        <v/>
      </c>
      <c r="C7951">
        <f>TEXT(7950, "[$-060000]yyyy-mm-dd")</f>
        <v/>
      </c>
      <c r="D7951" t="inlineStr">
        <is>
          <t>1340-02-04</t>
        </is>
      </c>
    </row>
    <row r="7952">
      <c r="A7952" s="1" t="n">
        <v>7951</v>
      </c>
      <c r="B7952">
        <f>TEXT(7951, "[$-170000]yyyy-mm-dd")</f>
        <v/>
      </c>
      <c r="C7952">
        <f>TEXT(7951, "[$-060000]yyyy-mm-dd")</f>
        <v/>
      </c>
      <c r="D7952" t="inlineStr">
        <is>
          <t>1340-02-05</t>
        </is>
      </c>
    </row>
    <row r="7953">
      <c r="A7953" s="1" t="n">
        <v>7952</v>
      </c>
      <c r="B7953">
        <f>TEXT(7952, "[$-170000]yyyy-mm-dd")</f>
        <v/>
      </c>
      <c r="C7953">
        <f>TEXT(7952, "[$-060000]yyyy-mm-dd")</f>
        <v/>
      </c>
      <c r="D7953" t="inlineStr">
        <is>
          <t>1340-02-06</t>
        </is>
      </c>
    </row>
    <row r="7954">
      <c r="A7954" s="1" t="n">
        <v>7953</v>
      </c>
      <c r="B7954">
        <f>TEXT(7953, "[$-170000]yyyy-mm-dd")</f>
        <v/>
      </c>
      <c r="C7954">
        <f>TEXT(7953, "[$-060000]yyyy-mm-dd")</f>
        <v/>
      </c>
      <c r="D7954" t="inlineStr">
        <is>
          <t>1340-02-07</t>
        </is>
      </c>
    </row>
    <row r="7955">
      <c r="A7955" s="1" t="n">
        <v>7954</v>
      </c>
      <c r="B7955">
        <f>TEXT(7954, "[$-170000]yyyy-mm-dd")</f>
        <v/>
      </c>
      <c r="C7955">
        <f>TEXT(7954, "[$-060000]yyyy-mm-dd")</f>
        <v/>
      </c>
      <c r="D7955" t="inlineStr">
        <is>
          <t>1340-02-08</t>
        </is>
      </c>
    </row>
    <row r="7956">
      <c r="A7956" s="1" t="n">
        <v>7955</v>
      </c>
      <c r="B7956">
        <f>TEXT(7955, "[$-170000]yyyy-mm-dd")</f>
        <v/>
      </c>
      <c r="C7956">
        <f>TEXT(7955, "[$-060000]yyyy-mm-dd")</f>
        <v/>
      </c>
      <c r="D7956" t="inlineStr">
        <is>
          <t>1340-02-09</t>
        </is>
      </c>
    </row>
    <row r="7957">
      <c r="A7957" s="1" t="n">
        <v>7956</v>
      </c>
      <c r="B7957">
        <f>TEXT(7956, "[$-170000]yyyy-mm-dd")</f>
        <v/>
      </c>
      <c r="C7957">
        <f>TEXT(7956, "[$-060000]yyyy-mm-dd")</f>
        <v/>
      </c>
      <c r="D7957" t="inlineStr">
        <is>
          <t>1340-02-10</t>
        </is>
      </c>
    </row>
    <row r="7958">
      <c r="A7958" s="1" t="n">
        <v>7957</v>
      </c>
      <c r="B7958">
        <f>TEXT(7957, "[$-170000]yyyy-mm-dd")</f>
        <v/>
      </c>
      <c r="C7958">
        <f>TEXT(7957, "[$-060000]yyyy-mm-dd")</f>
        <v/>
      </c>
      <c r="D7958" t="inlineStr">
        <is>
          <t>1340-02-11</t>
        </is>
      </c>
    </row>
    <row r="7959">
      <c r="A7959" s="1" t="n">
        <v>7958</v>
      </c>
      <c r="B7959">
        <f>TEXT(7958, "[$-170000]yyyy-mm-dd")</f>
        <v/>
      </c>
      <c r="C7959">
        <f>TEXT(7958, "[$-060000]yyyy-mm-dd")</f>
        <v/>
      </c>
      <c r="D7959" t="inlineStr">
        <is>
          <t>1340-02-12</t>
        </is>
      </c>
    </row>
    <row r="7960">
      <c r="A7960" s="1" t="n">
        <v>7959</v>
      </c>
      <c r="B7960">
        <f>TEXT(7959, "[$-170000]yyyy-mm-dd")</f>
        <v/>
      </c>
      <c r="C7960">
        <f>TEXT(7959, "[$-060000]yyyy-mm-dd")</f>
        <v/>
      </c>
      <c r="D7960" t="inlineStr">
        <is>
          <t>1340-02-13</t>
        </is>
      </c>
    </row>
    <row r="7961">
      <c r="A7961" s="1" t="n">
        <v>7960</v>
      </c>
      <c r="B7961">
        <f>TEXT(7960, "[$-170000]yyyy-mm-dd")</f>
        <v/>
      </c>
      <c r="C7961">
        <f>TEXT(7960, "[$-060000]yyyy-mm-dd")</f>
        <v/>
      </c>
      <c r="D7961" t="inlineStr">
        <is>
          <t>1340-02-14</t>
        </is>
      </c>
    </row>
    <row r="7962">
      <c r="A7962" s="1" t="n">
        <v>7961</v>
      </c>
      <c r="B7962">
        <f>TEXT(7961, "[$-170000]yyyy-mm-dd")</f>
        <v/>
      </c>
      <c r="C7962">
        <f>TEXT(7961, "[$-060000]yyyy-mm-dd")</f>
        <v/>
      </c>
      <c r="D7962" t="inlineStr">
        <is>
          <t>1340-02-15</t>
        </is>
      </c>
    </row>
    <row r="7963">
      <c r="A7963" s="1" t="n">
        <v>7962</v>
      </c>
      <c r="B7963">
        <f>TEXT(7962, "[$-170000]yyyy-mm-dd")</f>
        <v/>
      </c>
      <c r="C7963">
        <f>TEXT(7962, "[$-060000]yyyy-mm-dd")</f>
        <v/>
      </c>
      <c r="D7963" t="inlineStr">
        <is>
          <t>1340-02-16</t>
        </is>
      </c>
    </row>
    <row r="7964">
      <c r="A7964" s="1" t="n">
        <v>7963</v>
      </c>
      <c r="B7964">
        <f>TEXT(7963, "[$-170000]yyyy-mm-dd")</f>
        <v/>
      </c>
      <c r="C7964">
        <f>TEXT(7963, "[$-060000]yyyy-mm-dd")</f>
        <v/>
      </c>
      <c r="D7964" t="inlineStr">
        <is>
          <t>1340-02-17</t>
        </is>
      </c>
    </row>
    <row r="7965">
      <c r="A7965" s="1" t="n">
        <v>7964</v>
      </c>
      <c r="B7965">
        <f>TEXT(7964, "[$-170000]yyyy-mm-dd")</f>
        <v/>
      </c>
      <c r="C7965">
        <f>TEXT(7964, "[$-060000]yyyy-mm-dd")</f>
        <v/>
      </c>
      <c r="D7965" t="inlineStr">
        <is>
          <t>1340-02-18</t>
        </is>
      </c>
    </row>
    <row r="7966">
      <c r="A7966" s="1" t="n">
        <v>7965</v>
      </c>
      <c r="B7966">
        <f>TEXT(7965, "[$-170000]yyyy-mm-dd")</f>
        <v/>
      </c>
      <c r="C7966">
        <f>TEXT(7965, "[$-060000]yyyy-mm-dd")</f>
        <v/>
      </c>
      <c r="D7966" t="inlineStr">
        <is>
          <t>1340-02-19</t>
        </is>
      </c>
    </row>
    <row r="7967">
      <c r="A7967" s="1" t="n">
        <v>7966</v>
      </c>
      <c r="B7967">
        <f>TEXT(7966, "[$-170000]yyyy-mm-dd")</f>
        <v/>
      </c>
      <c r="C7967">
        <f>TEXT(7966, "[$-060000]yyyy-mm-dd")</f>
        <v/>
      </c>
      <c r="D7967" t="inlineStr">
        <is>
          <t>1340-02-20</t>
        </is>
      </c>
    </row>
    <row r="7968">
      <c r="A7968" s="1" t="n">
        <v>7967</v>
      </c>
      <c r="B7968">
        <f>TEXT(7967, "[$-170000]yyyy-mm-dd")</f>
        <v/>
      </c>
      <c r="C7968">
        <f>TEXT(7967, "[$-060000]yyyy-mm-dd")</f>
        <v/>
      </c>
      <c r="D7968" t="inlineStr">
        <is>
          <t>1340-02-21</t>
        </is>
      </c>
    </row>
    <row r="7969">
      <c r="A7969" s="1" t="n">
        <v>7968</v>
      </c>
      <c r="B7969">
        <f>TEXT(7968, "[$-170000]yyyy-mm-dd")</f>
        <v/>
      </c>
      <c r="C7969">
        <f>TEXT(7968, "[$-060000]yyyy-mm-dd")</f>
        <v/>
      </c>
      <c r="D7969" t="inlineStr">
        <is>
          <t>1340-02-22</t>
        </is>
      </c>
    </row>
    <row r="7970">
      <c r="A7970" s="1" t="n">
        <v>7969</v>
      </c>
      <c r="B7970">
        <f>TEXT(7969, "[$-170000]yyyy-mm-dd")</f>
        <v/>
      </c>
      <c r="C7970">
        <f>TEXT(7969, "[$-060000]yyyy-mm-dd")</f>
        <v/>
      </c>
      <c r="D7970" t="inlineStr">
        <is>
          <t>1340-02-23</t>
        </is>
      </c>
    </row>
    <row r="7971">
      <c r="A7971" s="1" t="n">
        <v>7970</v>
      </c>
      <c r="B7971">
        <f>TEXT(7970, "[$-170000]yyyy-mm-dd")</f>
        <v/>
      </c>
      <c r="C7971">
        <f>TEXT(7970, "[$-060000]yyyy-mm-dd")</f>
        <v/>
      </c>
      <c r="D7971" t="inlineStr">
        <is>
          <t>1340-02-24</t>
        </is>
      </c>
    </row>
    <row r="7972">
      <c r="A7972" s="1" t="n">
        <v>7971</v>
      </c>
      <c r="B7972">
        <f>TEXT(7971, "[$-170000]yyyy-mm-dd")</f>
        <v/>
      </c>
      <c r="C7972">
        <f>TEXT(7971, "[$-060000]yyyy-mm-dd")</f>
        <v/>
      </c>
      <c r="D7972" t="inlineStr">
        <is>
          <t>1340-02-25</t>
        </is>
      </c>
    </row>
    <row r="7973">
      <c r="A7973" s="1" t="n">
        <v>7972</v>
      </c>
      <c r="B7973">
        <f>TEXT(7972, "[$-170000]yyyy-mm-dd")</f>
        <v/>
      </c>
      <c r="C7973">
        <f>TEXT(7972, "[$-060000]yyyy-mm-dd")</f>
        <v/>
      </c>
      <c r="D7973" t="inlineStr">
        <is>
          <t>1340-02-26</t>
        </is>
      </c>
    </row>
    <row r="7974">
      <c r="A7974" s="1" t="n">
        <v>7973</v>
      </c>
      <c r="B7974">
        <f>TEXT(7973, "[$-170000]yyyy-mm-dd")</f>
        <v/>
      </c>
      <c r="C7974">
        <f>TEXT(7973, "[$-060000]yyyy-mm-dd")</f>
        <v/>
      </c>
      <c r="D7974" t="inlineStr">
        <is>
          <t>1340-02-27</t>
        </is>
      </c>
    </row>
    <row r="7975">
      <c r="A7975" s="1" t="n">
        <v>7974</v>
      </c>
      <c r="B7975">
        <f>TEXT(7974, "[$-170000]yyyy-mm-dd")</f>
        <v/>
      </c>
      <c r="C7975">
        <f>TEXT(7974, "[$-060000]yyyy-mm-dd")</f>
        <v/>
      </c>
      <c r="D7975" t="inlineStr">
        <is>
          <t>1340-02-28</t>
        </is>
      </c>
    </row>
    <row r="7976">
      <c r="A7976" s="1" t="n">
        <v>7975</v>
      </c>
      <c r="B7976">
        <f>TEXT(7975, "[$-170000]yyyy-mm-dd")</f>
        <v/>
      </c>
      <c r="C7976">
        <f>TEXT(7975, "[$-060000]yyyy-mm-dd")</f>
        <v/>
      </c>
      <c r="D7976" t="inlineStr">
        <is>
          <t>1340-02-29</t>
        </is>
      </c>
    </row>
    <row r="7977">
      <c r="A7977" s="1" t="n">
        <v>7976</v>
      </c>
      <c r="B7977">
        <f>TEXT(7976, "[$-170000]yyyy-mm-dd")</f>
        <v/>
      </c>
      <c r="C7977">
        <f>TEXT(7976, "[$-060000]yyyy-mm-dd")</f>
        <v/>
      </c>
      <c r="D7977" t="inlineStr">
        <is>
          <t>1340-03-01</t>
        </is>
      </c>
    </row>
    <row r="7978">
      <c r="A7978" s="1" t="n">
        <v>7977</v>
      </c>
      <c r="B7978">
        <f>TEXT(7977, "[$-170000]yyyy-mm-dd")</f>
        <v/>
      </c>
      <c r="C7978">
        <f>TEXT(7977, "[$-060000]yyyy-mm-dd")</f>
        <v/>
      </c>
      <c r="D7978" t="inlineStr">
        <is>
          <t>1340-03-02</t>
        </is>
      </c>
    </row>
    <row r="7979">
      <c r="A7979" s="1" t="n">
        <v>7978</v>
      </c>
      <c r="B7979">
        <f>TEXT(7978, "[$-170000]yyyy-mm-dd")</f>
        <v/>
      </c>
      <c r="C7979">
        <f>TEXT(7978, "[$-060000]yyyy-mm-dd")</f>
        <v/>
      </c>
      <c r="D7979" t="inlineStr">
        <is>
          <t>1340-03-03</t>
        </is>
      </c>
    </row>
    <row r="7980">
      <c r="A7980" s="1" t="n">
        <v>7979</v>
      </c>
      <c r="B7980">
        <f>TEXT(7979, "[$-170000]yyyy-mm-dd")</f>
        <v/>
      </c>
      <c r="C7980">
        <f>TEXT(7979, "[$-060000]yyyy-mm-dd")</f>
        <v/>
      </c>
      <c r="D7980" t="inlineStr">
        <is>
          <t>1340-03-04</t>
        </is>
      </c>
    </row>
    <row r="7981">
      <c r="A7981" s="1" t="n">
        <v>7980</v>
      </c>
      <c r="B7981">
        <f>TEXT(7980, "[$-170000]yyyy-mm-dd")</f>
        <v/>
      </c>
      <c r="C7981">
        <f>TEXT(7980, "[$-060000]yyyy-mm-dd")</f>
        <v/>
      </c>
      <c r="D7981" t="inlineStr">
        <is>
          <t>1340-03-05</t>
        </is>
      </c>
    </row>
    <row r="7982">
      <c r="A7982" s="1" t="n">
        <v>7981</v>
      </c>
      <c r="B7982">
        <f>TEXT(7981, "[$-170000]yyyy-mm-dd")</f>
        <v/>
      </c>
      <c r="C7982">
        <f>TEXT(7981, "[$-060000]yyyy-mm-dd")</f>
        <v/>
      </c>
      <c r="D7982" t="inlineStr">
        <is>
          <t>1340-03-06</t>
        </is>
      </c>
    </row>
    <row r="7983">
      <c r="A7983" s="1" t="n">
        <v>7982</v>
      </c>
      <c r="B7983">
        <f>TEXT(7982, "[$-170000]yyyy-mm-dd")</f>
        <v/>
      </c>
      <c r="C7983">
        <f>TEXT(7982, "[$-060000]yyyy-mm-dd")</f>
        <v/>
      </c>
      <c r="D7983" t="inlineStr">
        <is>
          <t>1340-03-07</t>
        </is>
      </c>
    </row>
    <row r="7984">
      <c r="A7984" s="1" t="n">
        <v>7983</v>
      </c>
      <c r="B7984">
        <f>TEXT(7983, "[$-170000]yyyy-mm-dd")</f>
        <v/>
      </c>
      <c r="C7984">
        <f>TEXT(7983, "[$-060000]yyyy-mm-dd")</f>
        <v/>
      </c>
      <c r="D7984" t="inlineStr">
        <is>
          <t>1340-03-08</t>
        </is>
      </c>
    </row>
    <row r="7985">
      <c r="A7985" s="1" t="n">
        <v>7984</v>
      </c>
      <c r="B7985">
        <f>TEXT(7984, "[$-170000]yyyy-mm-dd")</f>
        <v/>
      </c>
      <c r="C7985">
        <f>TEXT(7984, "[$-060000]yyyy-mm-dd")</f>
        <v/>
      </c>
      <c r="D7985" t="inlineStr">
        <is>
          <t>1340-03-09</t>
        </is>
      </c>
    </row>
    <row r="7986">
      <c r="A7986" s="1" t="n">
        <v>7985</v>
      </c>
      <c r="B7986">
        <f>TEXT(7985, "[$-170000]yyyy-mm-dd")</f>
        <v/>
      </c>
      <c r="C7986">
        <f>TEXT(7985, "[$-060000]yyyy-mm-dd")</f>
        <v/>
      </c>
      <c r="D7986" t="inlineStr">
        <is>
          <t>1340-03-10</t>
        </is>
      </c>
    </row>
    <row r="7987">
      <c r="A7987" s="1" t="n">
        <v>7986</v>
      </c>
      <c r="B7987">
        <f>TEXT(7986, "[$-170000]yyyy-mm-dd")</f>
        <v/>
      </c>
      <c r="C7987">
        <f>TEXT(7986, "[$-060000]yyyy-mm-dd")</f>
        <v/>
      </c>
      <c r="D7987" t="inlineStr">
        <is>
          <t>1340-03-11</t>
        </is>
      </c>
    </row>
    <row r="7988">
      <c r="A7988" s="1" t="n">
        <v>7987</v>
      </c>
      <c r="B7988">
        <f>TEXT(7987, "[$-170000]yyyy-mm-dd")</f>
        <v/>
      </c>
      <c r="C7988">
        <f>TEXT(7987, "[$-060000]yyyy-mm-dd")</f>
        <v/>
      </c>
      <c r="D7988" t="inlineStr">
        <is>
          <t>1340-03-12</t>
        </is>
      </c>
    </row>
    <row r="7989">
      <c r="A7989" s="1" t="n">
        <v>7988</v>
      </c>
      <c r="B7989">
        <f>TEXT(7988, "[$-170000]yyyy-mm-dd")</f>
        <v/>
      </c>
      <c r="C7989">
        <f>TEXT(7988, "[$-060000]yyyy-mm-dd")</f>
        <v/>
      </c>
      <c r="D7989" t="inlineStr">
        <is>
          <t>1340-03-13</t>
        </is>
      </c>
    </row>
    <row r="7990">
      <c r="A7990" s="1" t="n">
        <v>7989</v>
      </c>
      <c r="B7990">
        <f>TEXT(7989, "[$-170000]yyyy-mm-dd")</f>
        <v/>
      </c>
      <c r="C7990">
        <f>TEXT(7989, "[$-060000]yyyy-mm-dd")</f>
        <v/>
      </c>
      <c r="D7990" t="inlineStr">
        <is>
          <t>1340-03-14</t>
        </is>
      </c>
    </row>
    <row r="7991">
      <c r="A7991" s="1" t="n">
        <v>7990</v>
      </c>
      <c r="B7991">
        <f>TEXT(7990, "[$-170000]yyyy-mm-dd")</f>
        <v/>
      </c>
      <c r="C7991">
        <f>TEXT(7990, "[$-060000]yyyy-mm-dd")</f>
        <v/>
      </c>
      <c r="D7991" t="inlineStr">
        <is>
          <t>1340-03-15</t>
        </is>
      </c>
    </row>
    <row r="7992">
      <c r="A7992" s="1" t="n">
        <v>7991</v>
      </c>
      <c r="B7992">
        <f>TEXT(7991, "[$-170000]yyyy-mm-dd")</f>
        <v/>
      </c>
      <c r="C7992">
        <f>TEXT(7991, "[$-060000]yyyy-mm-dd")</f>
        <v/>
      </c>
      <c r="D7992" t="inlineStr">
        <is>
          <t>1340-03-16</t>
        </is>
      </c>
    </row>
    <row r="7993">
      <c r="A7993" s="1" t="n">
        <v>7992</v>
      </c>
      <c r="B7993">
        <f>TEXT(7992, "[$-170000]yyyy-mm-dd")</f>
        <v/>
      </c>
      <c r="C7993">
        <f>TEXT(7992, "[$-060000]yyyy-mm-dd")</f>
        <v/>
      </c>
      <c r="D7993" t="inlineStr">
        <is>
          <t>1340-03-17</t>
        </is>
      </c>
    </row>
    <row r="7994">
      <c r="A7994" s="1" t="n">
        <v>7993</v>
      </c>
      <c r="B7994">
        <f>TEXT(7993, "[$-170000]yyyy-mm-dd")</f>
        <v/>
      </c>
      <c r="C7994">
        <f>TEXT(7993, "[$-060000]yyyy-mm-dd")</f>
        <v/>
      </c>
      <c r="D7994" t="inlineStr">
        <is>
          <t>1340-03-18</t>
        </is>
      </c>
    </row>
    <row r="7995">
      <c r="A7995" s="1" t="n">
        <v>7994</v>
      </c>
      <c r="B7995">
        <f>TEXT(7994, "[$-170000]yyyy-mm-dd")</f>
        <v/>
      </c>
      <c r="C7995">
        <f>TEXT(7994, "[$-060000]yyyy-mm-dd")</f>
        <v/>
      </c>
      <c r="D7995" t="inlineStr">
        <is>
          <t>1340-03-19</t>
        </is>
      </c>
    </row>
    <row r="7996">
      <c r="A7996" s="1" t="n">
        <v>7995</v>
      </c>
      <c r="B7996">
        <f>TEXT(7995, "[$-170000]yyyy-mm-dd")</f>
        <v/>
      </c>
      <c r="C7996">
        <f>TEXT(7995, "[$-060000]yyyy-mm-dd")</f>
        <v/>
      </c>
      <c r="D7996" t="inlineStr">
        <is>
          <t>1340-03-20</t>
        </is>
      </c>
    </row>
    <row r="7997">
      <c r="A7997" s="1" t="n">
        <v>7996</v>
      </c>
      <c r="B7997">
        <f>TEXT(7996, "[$-170000]yyyy-mm-dd")</f>
        <v/>
      </c>
      <c r="C7997">
        <f>TEXT(7996, "[$-060000]yyyy-mm-dd")</f>
        <v/>
      </c>
      <c r="D7997" t="inlineStr">
        <is>
          <t>1340-03-21</t>
        </is>
      </c>
    </row>
    <row r="7998">
      <c r="A7998" s="1" t="n">
        <v>7997</v>
      </c>
      <c r="B7998">
        <f>TEXT(7997, "[$-170000]yyyy-mm-dd")</f>
        <v/>
      </c>
      <c r="C7998">
        <f>TEXT(7997, "[$-060000]yyyy-mm-dd")</f>
        <v/>
      </c>
      <c r="D7998" t="inlineStr">
        <is>
          <t>1340-03-22</t>
        </is>
      </c>
    </row>
    <row r="7999">
      <c r="A7999" s="1" t="n">
        <v>7998</v>
      </c>
      <c r="B7999">
        <f>TEXT(7998, "[$-170000]yyyy-mm-dd")</f>
        <v/>
      </c>
      <c r="C7999">
        <f>TEXT(7998, "[$-060000]yyyy-mm-dd")</f>
        <v/>
      </c>
      <c r="D7999" t="inlineStr">
        <is>
          <t>1340-03-23</t>
        </is>
      </c>
    </row>
    <row r="8000">
      <c r="A8000" s="1" t="n">
        <v>7999</v>
      </c>
      <c r="B8000">
        <f>TEXT(7999, "[$-170000]yyyy-mm-dd")</f>
        <v/>
      </c>
      <c r="C8000">
        <f>TEXT(7999, "[$-060000]yyyy-mm-dd")</f>
        <v/>
      </c>
      <c r="D8000" t="inlineStr">
        <is>
          <t>1340-03-24</t>
        </is>
      </c>
    </row>
    <row r="8001">
      <c r="A8001" s="1" t="n">
        <v>8000</v>
      </c>
      <c r="B8001">
        <f>TEXT(8000, "[$-170000]yyyy-mm-dd")</f>
        <v/>
      </c>
      <c r="C8001">
        <f>TEXT(8000, "[$-060000]yyyy-mm-dd")</f>
        <v/>
      </c>
      <c r="D8001" t="inlineStr">
        <is>
          <t>1340-03-25</t>
        </is>
      </c>
    </row>
    <row r="8002">
      <c r="A8002" s="1" t="n">
        <v>8001</v>
      </c>
      <c r="B8002">
        <f>TEXT(8001, "[$-170000]yyyy-mm-dd")</f>
        <v/>
      </c>
      <c r="C8002">
        <f>TEXT(8001, "[$-060000]yyyy-mm-dd")</f>
        <v/>
      </c>
      <c r="D8002" t="inlineStr">
        <is>
          <t>1340-03-26</t>
        </is>
      </c>
    </row>
    <row r="8003">
      <c r="A8003" s="1" t="n">
        <v>8002</v>
      </c>
      <c r="B8003">
        <f>TEXT(8002, "[$-170000]yyyy-mm-dd")</f>
        <v/>
      </c>
      <c r="C8003">
        <f>TEXT(8002, "[$-060000]yyyy-mm-dd")</f>
        <v/>
      </c>
      <c r="D8003" t="inlineStr">
        <is>
          <t>1340-03-27</t>
        </is>
      </c>
    </row>
    <row r="8004">
      <c r="A8004" s="1" t="n">
        <v>8003</v>
      </c>
      <c r="B8004">
        <f>TEXT(8003, "[$-170000]yyyy-mm-dd")</f>
        <v/>
      </c>
      <c r="C8004">
        <f>TEXT(8003, "[$-060000]yyyy-mm-dd")</f>
        <v/>
      </c>
      <c r="D8004" t="inlineStr">
        <is>
          <t>1340-03-28</t>
        </is>
      </c>
    </row>
    <row r="8005">
      <c r="A8005" s="1" t="n">
        <v>8004</v>
      </c>
      <c r="B8005">
        <f>TEXT(8004, "[$-170000]yyyy-mm-dd")</f>
        <v/>
      </c>
      <c r="C8005">
        <f>TEXT(8004, "[$-060000]yyyy-mm-dd")</f>
        <v/>
      </c>
      <c r="D8005" t="inlineStr">
        <is>
          <t>1340-03-29</t>
        </is>
      </c>
    </row>
    <row r="8006">
      <c r="A8006" s="1" t="n">
        <v>8005</v>
      </c>
      <c r="B8006">
        <f>TEXT(8005, "[$-170000]yyyy-mm-dd")</f>
        <v/>
      </c>
      <c r="C8006">
        <f>TEXT(8005, "[$-060000]yyyy-mm-dd")</f>
        <v/>
      </c>
      <c r="D8006" t="inlineStr">
        <is>
          <t>1340-03-30</t>
        </is>
      </c>
    </row>
    <row r="8007">
      <c r="A8007" s="1" t="n">
        <v>8006</v>
      </c>
      <c r="B8007">
        <f>TEXT(8006, "[$-170000]yyyy-mm-dd")</f>
        <v/>
      </c>
      <c r="C8007">
        <f>TEXT(8006, "[$-060000]yyyy-mm-dd")</f>
        <v/>
      </c>
      <c r="D8007" t="inlineStr">
        <is>
          <t>1340-04-01</t>
        </is>
      </c>
    </row>
    <row r="8008">
      <c r="A8008" s="1" t="n">
        <v>8007</v>
      </c>
      <c r="B8008">
        <f>TEXT(8007, "[$-170000]yyyy-mm-dd")</f>
        <v/>
      </c>
      <c r="C8008">
        <f>TEXT(8007, "[$-060000]yyyy-mm-dd")</f>
        <v/>
      </c>
      <c r="D8008" t="inlineStr">
        <is>
          <t>1340-04-02</t>
        </is>
      </c>
    </row>
    <row r="8009">
      <c r="A8009" s="1" t="n">
        <v>8008</v>
      </c>
      <c r="B8009">
        <f>TEXT(8008, "[$-170000]yyyy-mm-dd")</f>
        <v/>
      </c>
      <c r="C8009">
        <f>TEXT(8008, "[$-060000]yyyy-mm-dd")</f>
        <v/>
      </c>
      <c r="D8009" t="inlineStr">
        <is>
          <t>1340-04-03</t>
        </is>
      </c>
    </row>
    <row r="8010">
      <c r="A8010" s="1" t="n">
        <v>8009</v>
      </c>
      <c r="B8010">
        <f>TEXT(8009, "[$-170000]yyyy-mm-dd")</f>
        <v/>
      </c>
      <c r="C8010">
        <f>TEXT(8009, "[$-060000]yyyy-mm-dd")</f>
        <v/>
      </c>
      <c r="D8010" t="inlineStr">
        <is>
          <t>1340-04-04</t>
        </is>
      </c>
    </row>
    <row r="8011">
      <c r="A8011" s="1" t="n">
        <v>8010</v>
      </c>
      <c r="B8011">
        <f>TEXT(8010, "[$-170000]yyyy-mm-dd")</f>
        <v/>
      </c>
      <c r="C8011">
        <f>TEXT(8010, "[$-060000]yyyy-mm-dd")</f>
        <v/>
      </c>
      <c r="D8011" t="inlineStr">
        <is>
          <t>1340-04-05</t>
        </is>
      </c>
    </row>
    <row r="8012">
      <c r="A8012" s="1" t="n">
        <v>8011</v>
      </c>
      <c r="B8012">
        <f>TEXT(8011, "[$-170000]yyyy-mm-dd")</f>
        <v/>
      </c>
      <c r="C8012">
        <f>TEXT(8011, "[$-060000]yyyy-mm-dd")</f>
        <v/>
      </c>
      <c r="D8012" t="inlineStr">
        <is>
          <t>1340-04-06</t>
        </is>
      </c>
    </row>
    <row r="8013">
      <c r="A8013" s="1" t="n">
        <v>8012</v>
      </c>
      <c r="B8013">
        <f>TEXT(8012, "[$-170000]yyyy-mm-dd")</f>
        <v/>
      </c>
      <c r="C8013">
        <f>TEXT(8012, "[$-060000]yyyy-mm-dd")</f>
        <v/>
      </c>
      <c r="D8013" t="inlineStr">
        <is>
          <t>1340-04-07</t>
        </is>
      </c>
    </row>
    <row r="8014">
      <c r="A8014" s="1" t="n">
        <v>8013</v>
      </c>
      <c r="B8014">
        <f>TEXT(8013, "[$-170000]yyyy-mm-dd")</f>
        <v/>
      </c>
      <c r="C8014">
        <f>TEXT(8013, "[$-060000]yyyy-mm-dd")</f>
        <v/>
      </c>
      <c r="D8014" t="inlineStr">
        <is>
          <t>1340-04-08</t>
        </is>
      </c>
    </row>
    <row r="8015">
      <c r="A8015" s="1" t="n">
        <v>8014</v>
      </c>
      <c r="B8015">
        <f>TEXT(8014, "[$-170000]yyyy-mm-dd")</f>
        <v/>
      </c>
      <c r="C8015">
        <f>TEXT(8014, "[$-060000]yyyy-mm-dd")</f>
        <v/>
      </c>
      <c r="D8015" t="inlineStr">
        <is>
          <t>1340-04-09</t>
        </is>
      </c>
    </row>
    <row r="8016">
      <c r="A8016" s="1" t="n">
        <v>8015</v>
      </c>
      <c r="B8016">
        <f>TEXT(8015, "[$-170000]yyyy-mm-dd")</f>
        <v/>
      </c>
      <c r="C8016">
        <f>TEXT(8015, "[$-060000]yyyy-mm-dd")</f>
        <v/>
      </c>
      <c r="D8016" t="inlineStr">
        <is>
          <t>1340-04-10</t>
        </is>
      </c>
    </row>
    <row r="8017">
      <c r="A8017" s="1" t="n">
        <v>8016</v>
      </c>
      <c r="B8017">
        <f>TEXT(8016, "[$-170000]yyyy-mm-dd")</f>
        <v/>
      </c>
      <c r="C8017">
        <f>TEXT(8016, "[$-060000]yyyy-mm-dd")</f>
        <v/>
      </c>
      <c r="D8017" t="inlineStr">
        <is>
          <t>1340-04-11</t>
        </is>
      </c>
    </row>
    <row r="8018">
      <c r="A8018" s="1" t="n">
        <v>8017</v>
      </c>
      <c r="B8018">
        <f>TEXT(8017, "[$-170000]yyyy-mm-dd")</f>
        <v/>
      </c>
      <c r="C8018">
        <f>TEXT(8017, "[$-060000]yyyy-mm-dd")</f>
        <v/>
      </c>
      <c r="D8018" t="inlineStr">
        <is>
          <t>1340-04-12</t>
        </is>
      </c>
    </row>
    <row r="8019">
      <c r="A8019" s="1" t="n">
        <v>8018</v>
      </c>
      <c r="B8019">
        <f>TEXT(8018, "[$-170000]yyyy-mm-dd")</f>
        <v/>
      </c>
      <c r="C8019">
        <f>TEXT(8018, "[$-060000]yyyy-mm-dd")</f>
        <v/>
      </c>
      <c r="D8019" t="inlineStr">
        <is>
          <t>1340-04-13</t>
        </is>
      </c>
    </row>
    <row r="8020">
      <c r="A8020" s="1" t="n">
        <v>8019</v>
      </c>
      <c r="B8020">
        <f>TEXT(8019, "[$-170000]yyyy-mm-dd")</f>
        <v/>
      </c>
      <c r="C8020">
        <f>TEXT(8019, "[$-060000]yyyy-mm-dd")</f>
        <v/>
      </c>
      <c r="D8020" t="inlineStr">
        <is>
          <t>1340-04-14</t>
        </is>
      </c>
    </row>
    <row r="8021">
      <c r="A8021" s="1" t="n">
        <v>8020</v>
      </c>
      <c r="B8021">
        <f>TEXT(8020, "[$-170000]yyyy-mm-dd")</f>
        <v/>
      </c>
      <c r="C8021">
        <f>TEXT(8020, "[$-060000]yyyy-mm-dd")</f>
        <v/>
      </c>
      <c r="D8021" t="inlineStr">
        <is>
          <t>1340-04-15</t>
        </is>
      </c>
    </row>
    <row r="8022">
      <c r="A8022" s="1" t="n">
        <v>8021</v>
      </c>
      <c r="B8022">
        <f>TEXT(8021, "[$-170000]yyyy-mm-dd")</f>
        <v/>
      </c>
      <c r="C8022">
        <f>TEXT(8021, "[$-060000]yyyy-mm-dd")</f>
        <v/>
      </c>
      <c r="D8022" t="inlineStr">
        <is>
          <t>1340-04-16</t>
        </is>
      </c>
    </row>
    <row r="8023">
      <c r="A8023" s="1" t="n">
        <v>8022</v>
      </c>
      <c r="B8023">
        <f>TEXT(8022, "[$-170000]yyyy-mm-dd")</f>
        <v/>
      </c>
      <c r="C8023">
        <f>TEXT(8022, "[$-060000]yyyy-mm-dd")</f>
        <v/>
      </c>
      <c r="D8023" t="inlineStr">
        <is>
          <t>1340-04-17</t>
        </is>
      </c>
    </row>
    <row r="8024">
      <c r="A8024" s="1" t="n">
        <v>8023</v>
      </c>
      <c r="B8024">
        <f>TEXT(8023, "[$-170000]yyyy-mm-dd")</f>
        <v/>
      </c>
      <c r="C8024">
        <f>TEXT(8023, "[$-060000]yyyy-mm-dd")</f>
        <v/>
      </c>
      <c r="D8024" t="inlineStr">
        <is>
          <t>1340-04-18</t>
        </is>
      </c>
    </row>
    <row r="8025">
      <c r="A8025" s="1" t="n">
        <v>8024</v>
      </c>
      <c r="B8025">
        <f>TEXT(8024, "[$-170000]yyyy-mm-dd")</f>
        <v/>
      </c>
      <c r="C8025">
        <f>TEXT(8024, "[$-060000]yyyy-mm-dd")</f>
        <v/>
      </c>
      <c r="D8025" t="inlineStr">
        <is>
          <t>1340-04-19</t>
        </is>
      </c>
    </row>
    <row r="8026">
      <c r="A8026" s="1" t="n">
        <v>8025</v>
      </c>
      <c r="B8026">
        <f>TEXT(8025, "[$-170000]yyyy-mm-dd")</f>
        <v/>
      </c>
      <c r="C8026">
        <f>TEXT(8025, "[$-060000]yyyy-mm-dd")</f>
        <v/>
      </c>
      <c r="D8026" t="inlineStr">
        <is>
          <t>1340-04-20</t>
        </is>
      </c>
    </row>
    <row r="8027">
      <c r="A8027" s="1" t="n">
        <v>8026</v>
      </c>
      <c r="B8027">
        <f>TEXT(8026, "[$-170000]yyyy-mm-dd")</f>
        <v/>
      </c>
      <c r="C8027">
        <f>TEXT(8026, "[$-060000]yyyy-mm-dd")</f>
        <v/>
      </c>
      <c r="D8027" t="inlineStr">
        <is>
          <t>1340-04-21</t>
        </is>
      </c>
    </row>
    <row r="8028">
      <c r="A8028" s="1" t="n">
        <v>8027</v>
      </c>
      <c r="B8028">
        <f>TEXT(8027, "[$-170000]yyyy-mm-dd")</f>
        <v/>
      </c>
      <c r="C8028">
        <f>TEXT(8027, "[$-060000]yyyy-mm-dd")</f>
        <v/>
      </c>
      <c r="D8028" t="inlineStr">
        <is>
          <t>1340-04-22</t>
        </is>
      </c>
    </row>
    <row r="8029">
      <c r="A8029" s="1" t="n">
        <v>8028</v>
      </c>
      <c r="B8029">
        <f>TEXT(8028, "[$-170000]yyyy-mm-dd")</f>
        <v/>
      </c>
      <c r="C8029">
        <f>TEXT(8028, "[$-060000]yyyy-mm-dd")</f>
        <v/>
      </c>
      <c r="D8029" t="inlineStr">
        <is>
          <t>1340-04-23</t>
        </is>
      </c>
    </row>
    <row r="8030">
      <c r="A8030" s="1" t="n">
        <v>8029</v>
      </c>
      <c r="B8030">
        <f>TEXT(8029, "[$-170000]yyyy-mm-dd")</f>
        <v/>
      </c>
      <c r="C8030">
        <f>TEXT(8029, "[$-060000]yyyy-mm-dd")</f>
        <v/>
      </c>
      <c r="D8030" t="inlineStr">
        <is>
          <t>1340-04-24</t>
        </is>
      </c>
    </row>
    <row r="8031">
      <c r="A8031" s="1" t="n">
        <v>8030</v>
      </c>
      <c r="B8031">
        <f>TEXT(8030, "[$-170000]yyyy-mm-dd")</f>
        <v/>
      </c>
      <c r="C8031">
        <f>TEXT(8030, "[$-060000]yyyy-mm-dd")</f>
        <v/>
      </c>
      <c r="D8031" t="inlineStr">
        <is>
          <t>1340-04-25</t>
        </is>
      </c>
    </row>
    <row r="8032">
      <c r="A8032" s="1" t="n">
        <v>8031</v>
      </c>
      <c r="B8032">
        <f>TEXT(8031, "[$-170000]yyyy-mm-dd")</f>
        <v/>
      </c>
      <c r="C8032">
        <f>TEXT(8031, "[$-060000]yyyy-mm-dd")</f>
        <v/>
      </c>
      <c r="D8032" t="inlineStr">
        <is>
          <t>1340-04-26</t>
        </is>
      </c>
    </row>
    <row r="8033">
      <c r="A8033" s="1" t="n">
        <v>8032</v>
      </c>
      <c r="B8033">
        <f>TEXT(8032, "[$-170000]yyyy-mm-dd")</f>
        <v/>
      </c>
      <c r="C8033">
        <f>TEXT(8032, "[$-060000]yyyy-mm-dd")</f>
        <v/>
      </c>
      <c r="D8033" t="inlineStr">
        <is>
          <t>1340-04-27</t>
        </is>
      </c>
    </row>
    <row r="8034">
      <c r="A8034" s="1" t="n">
        <v>8033</v>
      </c>
      <c r="B8034">
        <f>TEXT(8033, "[$-170000]yyyy-mm-dd")</f>
        <v/>
      </c>
      <c r="C8034">
        <f>TEXT(8033, "[$-060000]yyyy-mm-dd")</f>
        <v/>
      </c>
      <c r="D8034" t="inlineStr">
        <is>
          <t>1340-04-28</t>
        </is>
      </c>
    </row>
    <row r="8035">
      <c r="A8035" s="1" t="n">
        <v>8034</v>
      </c>
      <c r="B8035">
        <f>TEXT(8034, "[$-170000]yyyy-mm-dd")</f>
        <v/>
      </c>
      <c r="C8035">
        <f>TEXT(8034, "[$-060000]yyyy-mm-dd")</f>
        <v/>
      </c>
      <c r="D8035" t="inlineStr">
        <is>
          <t>1340-04-29</t>
        </is>
      </c>
    </row>
    <row r="8036">
      <c r="A8036" s="1" t="n">
        <v>8035</v>
      </c>
      <c r="B8036">
        <f>TEXT(8035, "[$-170000]yyyy-mm-dd")</f>
        <v/>
      </c>
      <c r="C8036">
        <f>TEXT(8035, "[$-060000]yyyy-mm-dd")</f>
        <v/>
      </c>
      <c r="D8036" t="inlineStr">
        <is>
          <t>1340-05-01</t>
        </is>
      </c>
    </row>
    <row r="8037">
      <c r="A8037" s="1" t="n">
        <v>8036</v>
      </c>
      <c r="B8037">
        <f>TEXT(8036, "[$-170000]yyyy-mm-dd")</f>
        <v/>
      </c>
      <c r="C8037">
        <f>TEXT(8036, "[$-060000]yyyy-mm-dd")</f>
        <v/>
      </c>
      <c r="D8037" t="inlineStr">
        <is>
          <t>1340-05-02</t>
        </is>
      </c>
    </row>
    <row r="8038">
      <c r="A8038" s="1" t="n">
        <v>8037</v>
      </c>
      <c r="B8038">
        <f>TEXT(8037, "[$-170000]yyyy-mm-dd")</f>
        <v/>
      </c>
      <c r="C8038">
        <f>TEXT(8037, "[$-060000]yyyy-mm-dd")</f>
        <v/>
      </c>
      <c r="D8038" t="inlineStr">
        <is>
          <t>1340-05-03</t>
        </is>
      </c>
    </row>
    <row r="8039">
      <c r="A8039" s="1" t="n">
        <v>8038</v>
      </c>
      <c r="B8039">
        <f>TEXT(8038, "[$-170000]yyyy-mm-dd")</f>
        <v/>
      </c>
      <c r="C8039">
        <f>TEXT(8038, "[$-060000]yyyy-mm-dd")</f>
        <v/>
      </c>
      <c r="D8039" t="inlineStr">
        <is>
          <t>1340-05-04</t>
        </is>
      </c>
    </row>
    <row r="8040">
      <c r="A8040" s="1" t="n">
        <v>8039</v>
      </c>
      <c r="B8040">
        <f>TEXT(8039, "[$-170000]yyyy-mm-dd")</f>
        <v/>
      </c>
      <c r="C8040">
        <f>TEXT(8039, "[$-060000]yyyy-mm-dd")</f>
        <v/>
      </c>
      <c r="D8040" t="inlineStr">
        <is>
          <t>1340-05-05</t>
        </is>
      </c>
    </row>
    <row r="8041">
      <c r="A8041" s="1" t="n">
        <v>8040</v>
      </c>
      <c r="B8041">
        <f>TEXT(8040, "[$-170000]yyyy-mm-dd")</f>
        <v/>
      </c>
      <c r="C8041">
        <f>TEXT(8040, "[$-060000]yyyy-mm-dd")</f>
        <v/>
      </c>
      <c r="D8041" t="inlineStr">
        <is>
          <t>1340-05-06</t>
        </is>
      </c>
    </row>
    <row r="8042">
      <c r="A8042" s="1" t="n">
        <v>8041</v>
      </c>
      <c r="B8042">
        <f>TEXT(8041, "[$-170000]yyyy-mm-dd")</f>
        <v/>
      </c>
      <c r="C8042">
        <f>TEXT(8041, "[$-060000]yyyy-mm-dd")</f>
        <v/>
      </c>
      <c r="D8042" t="inlineStr">
        <is>
          <t>1340-05-07</t>
        </is>
      </c>
    </row>
    <row r="8043">
      <c r="A8043" s="1" t="n">
        <v>8042</v>
      </c>
      <c r="B8043">
        <f>TEXT(8042, "[$-170000]yyyy-mm-dd")</f>
        <v/>
      </c>
      <c r="C8043">
        <f>TEXT(8042, "[$-060000]yyyy-mm-dd")</f>
        <v/>
      </c>
      <c r="D8043" t="inlineStr">
        <is>
          <t>1340-05-08</t>
        </is>
      </c>
    </row>
    <row r="8044">
      <c r="A8044" s="1" t="n">
        <v>8043</v>
      </c>
      <c r="B8044">
        <f>TEXT(8043, "[$-170000]yyyy-mm-dd")</f>
        <v/>
      </c>
      <c r="C8044">
        <f>TEXT(8043, "[$-060000]yyyy-mm-dd")</f>
        <v/>
      </c>
      <c r="D8044" t="inlineStr">
        <is>
          <t>1340-05-09</t>
        </is>
      </c>
    </row>
    <row r="8045">
      <c r="A8045" s="1" t="n">
        <v>8044</v>
      </c>
      <c r="B8045">
        <f>TEXT(8044, "[$-170000]yyyy-mm-dd")</f>
        <v/>
      </c>
      <c r="C8045">
        <f>TEXT(8044, "[$-060000]yyyy-mm-dd")</f>
        <v/>
      </c>
      <c r="D8045" t="inlineStr">
        <is>
          <t>1340-05-10</t>
        </is>
      </c>
    </row>
    <row r="8046">
      <c r="A8046" s="1" t="n">
        <v>8045</v>
      </c>
      <c r="B8046">
        <f>TEXT(8045, "[$-170000]yyyy-mm-dd")</f>
        <v/>
      </c>
      <c r="C8046">
        <f>TEXT(8045, "[$-060000]yyyy-mm-dd")</f>
        <v/>
      </c>
      <c r="D8046" t="inlineStr">
        <is>
          <t>1340-05-11</t>
        </is>
      </c>
    </row>
    <row r="8047">
      <c r="A8047" s="1" t="n">
        <v>8046</v>
      </c>
      <c r="B8047">
        <f>TEXT(8046, "[$-170000]yyyy-mm-dd")</f>
        <v/>
      </c>
      <c r="C8047">
        <f>TEXT(8046, "[$-060000]yyyy-mm-dd")</f>
        <v/>
      </c>
      <c r="D8047" t="inlineStr">
        <is>
          <t>1340-05-12</t>
        </is>
      </c>
    </row>
    <row r="8048">
      <c r="A8048" s="1" t="n">
        <v>8047</v>
      </c>
      <c r="B8048">
        <f>TEXT(8047, "[$-170000]yyyy-mm-dd")</f>
        <v/>
      </c>
      <c r="C8048">
        <f>TEXT(8047, "[$-060000]yyyy-mm-dd")</f>
        <v/>
      </c>
      <c r="D8048" t="inlineStr">
        <is>
          <t>1340-05-13</t>
        </is>
      </c>
    </row>
    <row r="8049">
      <c r="A8049" s="1" t="n">
        <v>8048</v>
      </c>
      <c r="B8049">
        <f>TEXT(8048, "[$-170000]yyyy-mm-dd")</f>
        <v/>
      </c>
      <c r="C8049">
        <f>TEXT(8048, "[$-060000]yyyy-mm-dd")</f>
        <v/>
      </c>
      <c r="D8049" t="inlineStr">
        <is>
          <t>1340-05-14</t>
        </is>
      </c>
    </row>
    <row r="8050">
      <c r="A8050" s="1" t="n">
        <v>8049</v>
      </c>
      <c r="B8050">
        <f>TEXT(8049, "[$-170000]yyyy-mm-dd")</f>
        <v/>
      </c>
      <c r="C8050">
        <f>TEXT(8049, "[$-060000]yyyy-mm-dd")</f>
        <v/>
      </c>
      <c r="D8050" t="inlineStr">
        <is>
          <t>1340-05-15</t>
        </is>
      </c>
    </row>
    <row r="8051">
      <c r="A8051" s="1" t="n">
        <v>8050</v>
      </c>
      <c r="B8051">
        <f>TEXT(8050, "[$-170000]yyyy-mm-dd")</f>
        <v/>
      </c>
      <c r="C8051">
        <f>TEXT(8050, "[$-060000]yyyy-mm-dd")</f>
        <v/>
      </c>
      <c r="D8051" t="inlineStr">
        <is>
          <t>1340-05-16</t>
        </is>
      </c>
    </row>
    <row r="8052">
      <c r="A8052" s="1" t="n">
        <v>8051</v>
      </c>
      <c r="B8052">
        <f>TEXT(8051, "[$-170000]yyyy-mm-dd")</f>
        <v/>
      </c>
      <c r="C8052">
        <f>TEXT(8051, "[$-060000]yyyy-mm-dd")</f>
        <v/>
      </c>
      <c r="D8052" t="inlineStr">
        <is>
          <t>1340-05-17</t>
        </is>
      </c>
    </row>
    <row r="8053">
      <c r="A8053" s="1" t="n">
        <v>8052</v>
      </c>
      <c r="B8053">
        <f>TEXT(8052, "[$-170000]yyyy-mm-dd")</f>
        <v/>
      </c>
      <c r="C8053">
        <f>TEXT(8052, "[$-060000]yyyy-mm-dd")</f>
        <v/>
      </c>
      <c r="D8053" t="inlineStr">
        <is>
          <t>1340-05-18</t>
        </is>
      </c>
    </row>
    <row r="8054">
      <c r="A8054" s="1" t="n">
        <v>8053</v>
      </c>
      <c r="B8054">
        <f>TEXT(8053, "[$-170000]yyyy-mm-dd")</f>
        <v/>
      </c>
      <c r="C8054">
        <f>TEXT(8053, "[$-060000]yyyy-mm-dd")</f>
        <v/>
      </c>
      <c r="D8054" t="inlineStr">
        <is>
          <t>1340-05-19</t>
        </is>
      </c>
    </row>
    <row r="8055">
      <c r="A8055" s="1" t="n">
        <v>8054</v>
      </c>
      <c r="B8055">
        <f>TEXT(8054, "[$-170000]yyyy-mm-dd")</f>
        <v/>
      </c>
      <c r="C8055">
        <f>TEXT(8054, "[$-060000]yyyy-mm-dd")</f>
        <v/>
      </c>
      <c r="D8055" t="inlineStr">
        <is>
          <t>1340-05-20</t>
        </is>
      </c>
    </row>
    <row r="8056">
      <c r="A8056" s="1" t="n">
        <v>8055</v>
      </c>
      <c r="B8056">
        <f>TEXT(8055, "[$-170000]yyyy-mm-dd")</f>
        <v/>
      </c>
      <c r="C8056">
        <f>TEXT(8055, "[$-060000]yyyy-mm-dd")</f>
        <v/>
      </c>
      <c r="D8056" t="inlineStr">
        <is>
          <t>1340-05-21</t>
        </is>
      </c>
    </row>
    <row r="8057">
      <c r="A8057" s="1" t="n">
        <v>8056</v>
      </c>
      <c r="B8057">
        <f>TEXT(8056, "[$-170000]yyyy-mm-dd")</f>
        <v/>
      </c>
      <c r="C8057">
        <f>TEXT(8056, "[$-060000]yyyy-mm-dd")</f>
        <v/>
      </c>
      <c r="D8057" t="inlineStr">
        <is>
          <t>1340-05-22</t>
        </is>
      </c>
    </row>
    <row r="8058">
      <c r="A8058" s="1" t="n">
        <v>8057</v>
      </c>
      <c r="B8058">
        <f>TEXT(8057, "[$-170000]yyyy-mm-dd")</f>
        <v/>
      </c>
      <c r="C8058">
        <f>TEXT(8057, "[$-060000]yyyy-mm-dd")</f>
        <v/>
      </c>
      <c r="D8058" t="inlineStr">
        <is>
          <t>1340-05-23</t>
        </is>
      </c>
    </row>
    <row r="8059">
      <c r="A8059" s="1" t="n">
        <v>8058</v>
      </c>
      <c r="B8059">
        <f>TEXT(8058, "[$-170000]yyyy-mm-dd")</f>
        <v/>
      </c>
      <c r="C8059">
        <f>TEXT(8058, "[$-060000]yyyy-mm-dd")</f>
        <v/>
      </c>
      <c r="D8059" t="inlineStr">
        <is>
          <t>1340-05-24</t>
        </is>
      </c>
    </row>
    <row r="8060">
      <c r="A8060" s="1" t="n">
        <v>8059</v>
      </c>
      <c r="B8060">
        <f>TEXT(8059, "[$-170000]yyyy-mm-dd")</f>
        <v/>
      </c>
      <c r="C8060">
        <f>TEXT(8059, "[$-060000]yyyy-mm-dd")</f>
        <v/>
      </c>
      <c r="D8060" t="inlineStr">
        <is>
          <t>1340-05-25</t>
        </is>
      </c>
    </row>
    <row r="8061">
      <c r="A8061" s="1" t="n">
        <v>8060</v>
      </c>
      <c r="B8061">
        <f>TEXT(8060, "[$-170000]yyyy-mm-dd")</f>
        <v/>
      </c>
      <c r="C8061">
        <f>TEXT(8060, "[$-060000]yyyy-mm-dd")</f>
        <v/>
      </c>
      <c r="D8061" t="inlineStr">
        <is>
          <t>1340-05-26</t>
        </is>
      </c>
    </row>
    <row r="8062">
      <c r="A8062" s="1" t="n">
        <v>8061</v>
      </c>
      <c r="B8062">
        <f>TEXT(8061, "[$-170000]yyyy-mm-dd")</f>
        <v/>
      </c>
      <c r="C8062">
        <f>TEXT(8061, "[$-060000]yyyy-mm-dd")</f>
        <v/>
      </c>
      <c r="D8062" t="inlineStr">
        <is>
          <t>1340-05-27</t>
        </is>
      </c>
    </row>
    <row r="8063">
      <c r="A8063" s="1" t="n">
        <v>8062</v>
      </c>
      <c r="B8063">
        <f>TEXT(8062, "[$-170000]yyyy-mm-dd")</f>
        <v/>
      </c>
      <c r="C8063">
        <f>TEXT(8062, "[$-060000]yyyy-mm-dd")</f>
        <v/>
      </c>
      <c r="D8063" t="inlineStr">
        <is>
          <t>1340-05-28</t>
        </is>
      </c>
    </row>
    <row r="8064">
      <c r="A8064" s="1" t="n">
        <v>8063</v>
      </c>
      <c r="B8064">
        <f>TEXT(8063, "[$-170000]yyyy-mm-dd")</f>
        <v/>
      </c>
      <c r="C8064">
        <f>TEXT(8063, "[$-060000]yyyy-mm-dd")</f>
        <v/>
      </c>
      <c r="D8064" t="inlineStr">
        <is>
          <t>1340-05-29</t>
        </is>
      </c>
    </row>
    <row r="8065">
      <c r="A8065" s="1" t="n">
        <v>8064</v>
      </c>
      <c r="B8065">
        <f>TEXT(8064, "[$-170000]yyyy-mm-dd")</f>
        <v/>
      </c>
      <c r="C8065">
        <f>TEXT(8064, "[$-060000]yyyy-mm-dd")</f>
        <v/>
      </c>
      <c r="D8065" t="inlineStr">
        <is>
          <t>1340-05-30</t>
        </is>
      </c>
    </row>
    <row r="8066">
      <c r="A8066" s="1" t="n">
        <v>8065</v>
      </c>
      <c r="B8066">
        <f>TEXT(8065, "[$-170000]yyyy-mm-dd")</f>
        <v/>
      </c>
      <c r="C8066">
        <f>TEXT(8065, "[$-060000]yyyy-mm-dd")</f>
        <v/>
      </c>
      <c r="D8066" t="inlineStr">
        <is>
          <t>1340-06-01</t>
        </is>
      </c>
    </row>
    <row r="8067">
      <c r="A8067" s="1" t="n">
        <v>8066</v>
      </c>
      <c r="B8067">
        <f>TEXT(8066, "[$-170000]yyyy-mm-dd")</f>
        <v/>
      </c>
      <c r="C8067">
        <f>TEXT(8066, "[$-060000]yyyy-mm-dd")</f>
        <v/>
      </c>
      <c r="D8067" t="inlineStr">
        <is>
          <t>1340-06-02</t>
        </is>
      </c>
    </row>
    <row r="8068">
      <c r="A8068" s="1" t="n">
        <v>8067</v>
      </c>
      <c r="B8068">
        <f>TEXT(8067, "[$-170000]yyyy-mm-dd")</f>
        <v/>
      </c>
      <c r="C8068">
        <f>TEXT(8067, "[$-060000]yyyy-mm-dd")</f>
        <v/>
      </c>
      <c r="D8068" t="inlineStr">
        <is>
          <t>1340-06-03</t>
        </is>
      </c>
    </row>
    <row r="8069">
      <c r="A8069" s="1" t="n">
        <v>8068</v>
      </c>
      <c r="B8069">
        <f>TEXT(8068, "[$-170000]yyyy-mm-dd")</f>
        <v/>
      </c>
      <c r="C8069">
        <f>TEXT(8068, "[$-060000]yyyy-mm-dd")</f>
        <v/>
      </c>
      <c r="D8069" t="inlineStr">
        <is>
          <t>1340-06-04</t>
        </is>
      </c>
    </row>
    <row r="8070">
      <c r="A8070" s="1" t="n">
        <v>8069</v>
      </c>
      <c r="B8070">
        <f>TEXT(8069, "[$-170000]yyyy-mm-dd")</f>
        <v/>
      </c>
      <c r="C8070">
        <f>TEXT(8069, "[$-060000]yyyy-mm-dd")</f>
        <v/>
      </c>
      <c r="D8070" t="inlineStr">
        <is>
          <t>1340-06-05</t>
        </is>
      </c>
    </row>
    <row r="8071">
      <c r="A8071" s="1" t="n">
        <v>8070</v>
      </c>
      <c r="B8071">
        <f>TEXT(8070, "[$-170000]yyyy-mm-dd")</f>
        <v/>
      </c>
      <c r="C8071">
        <f>TEXT(8070, "[$-060000]yyyy-mm-dd")</f>
        <v/>
      </c>
      <c r="D8071" t="inlineStr">
        <is>
          <t>1340-06-06</t>
        </is>
      </c>
    </row>
    <row r="8072">
      <c r="A8072" s="1" t="n">
        <v>8071</v>
      </c>
      <c r="B8072">
        <f>TEXT(8071, "[$-170000]yyyy-mm-dd")</f>
        <v/>
      </c>
      <c r="C8072">
        <f>TEXT(8071, "[$-060000]yyyy-mm-dd")</f>
        <v/>
      </c>
      <c r="D8072" t="inlineStr">
        <is>
          <t>1340-06-07</t>
        </is>
      </c>
    </row>
    <row r="8073">
      <c r="A8073" s="1" t="n">
        <v>8072</v>
      </c>
      <c r="B8073">
        <f>TEXT(8072, "[$-170000]yyyy-mm-dd")</f>
        <v/>
      </c>
      <c r="C8073">
        <f>TEXT(8072, "[$-060000]yyyy-mm-dd")</f>
        <v/>
      </c>
      <c r="D8073" t="inlineStr">
        <is>
          <t>1340-06-08</t>
        </is>
      </c>
    </row>
    <row r="8074">
      <c r="A8074" s="1" t="n">
        <v>8073</v>
      </c>
      <c r="B8074">
        <f>TEXT(8073, "[$-170000]yyyy-mm-dd")</f>
        <v/>
      </c>
      <c r="C8074">
        <f>TEXT(8073, "[$-060000]yyyy-mm-dd")</f>
        <v/>
      </c>
      <c r="D8074" t="inlineStr">
        <is>
          <t>1340-06-09</t>
        </is>
      </c>
    </row>
    <row r="8075">
      <c r="A8075" s="1" t="n">
        <v>8074</v>
      </c>
      <c r="B8075">
        <f>TEXT(8074, "[$-170000]yyyy-mm-dd")</f>
        <v/>
      </c>
      <c r="C8075">
        <f>TEXT(8074, "[$-060000]yyyy-mm-dd")</f>
        <v/>
      </c>
      <c r="D8075" t="inlineStr">
        <is>
          <t>1340-06-10</t>
        </is>
      </c>
    </row>
    <row r="8076">
      <c r="A8076" s="1" t="n">
        <v>8075</v>
      </c>
      <c r="B8076">
        <f>TEXT(8075, "[$-170000]yyyy-mm-dd")</f>
        <v/>
      </c>
      <c r="C8076">
        <f>TEXT(8075, "[$-060000]yyyy-mm-dd")</f>
        <v/>
      </c>
      <c r="D8076" t="inlineStr">
        <is>
          <t>1340-06-11</t>
        </is>
      </c>
    </row>
    <row r="8077">
      <c r="A8077" s="1" t="n">
        <v>8076</v>
      </c>
      <c r="B8077">
        <f>TEXT(8076, "[$-170000]yyyy-mm-dd")</f>
        <v/>
      </c>
      <c r="C8077">
        <f>TEXT(8076, "[$-060000]yyyy-mm-dd")</f>
        <v/>
      </c>
      <c r="D8077" t="inlineStr">
        <is>
          <t>1340-06-12</t>
        </is>
      </c>
    </row>
    <row r="8078">
      <c r="A8078" s="1" t="n">
        <v>8077</v>
      </c>
      <c r="B8078">
        <f>TEXT(8077, "[$-170000]yyyy-mm-dd")</f>
        <v/>
      </c>
      <c r="C8078">
        <f>TEXT(8077, "[$-060000]yyyy-mm-dd")</f>
        <v/>
      </c>
      <c r="D8078" t="inlineStr">
        <is>
          <t>1340-06-13</t>
        </is>
      </c>
    </row>
    <row r="8079">
      <c r="A8079" s="1" t="n">
        <v>8078</v>
      </c>
      <c r="B8079">
        <f>TEXT(8078, "[$-170000]yyyy-mm-dd")</f>
        <v/>
      </c>
      <c r="C8079">
        <f>TEXT(8078, "[$-060000]yyyy-mm-dd")</f>
        <v/>
      </c>
      <c r="D8079" t="inlineStr">
        <is>
          <t>1340-06-14</t>
        </is>
      </c>
    </row>
    <row r="8080">
      <c r="A8080" s="1" t="n">
        <v>8079</v>
      </c>
      <c r="B8080">
        <f>TEXT(8079, "[$-170000]yyyy-mm-dd")</f>
        <v/>
      </c>
      <c r="C8080">
        <f>TEXT(8079, "[$-060000]yyyy-mm-dd")</f>
        <v/>
      </c>
      <c r="D8080" t="inlineStr">
        <is>
          <t>1340-06-15</t>
        </is>
      </c>
    </row>
    <row r="8081">
      <c r="A8081" s="1" t="n">
        <v>8080</v>
      </c>
      <c r="B8081">
        <f>TEXT(8080, "[$-170000]yyyy-mm-dd")</f>
        <v/>
      </c>
      <c r="C8081">
        <f>TEXT(8080, "[$-060000]yyyy-mm-dd")</f>
        <v/>
      </c>
      <c r="D8081" t="inlineStr">
        <is>
          <t>1340-06-16</t>
        </is>
      </c>
    </row>
    <row r="8082">
      <c r="A8082" s="1" t="n">
        <v>8081</v>
      </c>
      <c r="B8082">
        <f>TEXT(8081, "[$-170000]yyyy-mm-dd")</f>
        <v/>
      </c>
      <c r="C8082">
        <f>TEXT(8081, "[$-060000]yyyy-mm-dd")</f>
        <v/>
      </c>
      <c r="D8082" t="inlineStr">
        <is>
          <t>1340-06-17</t>
        </is>
      </c>
    </row>
    <row r="8083">
      <c r="A8083" s="1" t="n">
        <v>8082</v>
      </c>
      <c r="B8083">
        <f>TEXT(8082, "[$-170000]yyyy-mm-dd")</f>
        <v/>
      </c>
      <c r="C8083">
        <f>TEXT(8082, "[$-060000]yyyy-mm-dd")</f>
        <v/>
      </c>
      <c r="D8083" t="inlineStr">
        <is>
          <t>1340-06-18</t>
        </is>
      </c>
    </row>
    <row r="8084">
      <c r="A8084" s="1" t="n">
        <v>8083</v>
      </c>
      <c r="B8084">
        <f>TEXT(8083, "[$-170000]yyyy-mm-dd")</f>
        <v/>
      </c>
      <c r="C8084">
        <f>TEXT(8083, "[$-060000]yyyy-mm-dd")</f>
        <v/>
      </c>
      <c r="D8084" t="inlineStr">
        <is>
          <t>1340-06-19</t>
        </is>
      </c>
    </row>
    <row r="8085">
      <c r="A8085" s="1" t="n">
        <v>8084</v>
      </c>
      <c r="B8085">
        <f>TEXT(8084, "[$-170000]yyyy-mm-dd")</f>
        <v/>
      </c>
      <c r="C8085">
        <f>TEXT(8084, "[$-060000]yyyy-mm-dd")</f>
        <v/>
      </c>
      <c r="D8085" t="inlineStr">
        <is>
          <t>1340-06-20</t>
        </is>
      </c>
    </row>
    <row r="8086">
      <c r="A8086" s="1" t="n">
        <v>8085</v>
      </c>
      <c r="B8086">
        <f>TEXT(8085, "[$-170000]yyyy-mm-dd")</f>
        <v/>
      </c>
      <c r="C8086">
        <f>TEXT(8085, "[$-060000]yyyy-mm-dd")</f>
        <v/>
      </c>
      <c r="D8086" t="inlineStr">
        <is>
          <t>1340-06-21</t>
        </is>
      </c>
    </row>
    <row r="8087">
      <c r="A8087" s="1" t="n">
        <v>8086</v>
      </c>
      <c r="B8087">
        <f>TEXT(8086, "[$-170000]yyyy-mm-dd")</f>
        <v/>
      </c>
      <c r="C8087">
        <f>TEXT(8086, "[$-060000]yyyy-mm-dd")</f>
        <v/>
      </c>
      <c r="D8087" t="inlineStr">
        <is>
          <t>1340-06-22</t>
        </is>
      </c>
    </row>
    <row r="8088">
      <c r="A8088" s="1" t="n">
        <v>8087</v>
      </c>
      <c r="B8088">
        <f>TEXT(8087, "[$-170000]yyyy-mm-dd")</f>
        <v/>
      </c>
      <c r="C8088">
        <f>TEXT(8087, "[$-060000]yyyy-mm-dd")</f>
        <v/>
      </c>
      <c r="D8088" t="inlineStr">
        <is>
          <t>1340-06-23</t>
        </is>
      </c>
    </row>
    <row r="8089">
      <c r="A8089" s="1" t="n">
        <v>8088</v>
      </c>
      <c r="B8089">
        <f>TEXT(8088, "[$-170000]yyyy-mm-dd")</f>
        <v/>
      </c>
      <c r="C8089">
        <f>TEXT(8088, "[$-060000]yyyy-mm-dd")</f>
        <v/>
      </c>
      <c r="D8089" t="inlineStr">
        <is>
          <t>1340-06-24</t>
        </is>
      </c>
    </row>
    <row r="8090">
      <c r="A8090" s="1" t="n">
        <v>8089</v>
      </c>
      <c r="B8090">
        <f>TEXT(8089, "[$-170000]yyyy-mm-dd")</f>
        <v/>
      </c>
      <c r="C8090">
        <f>TEXT(8089, "[$-060000]yyyy-mm-dd")</f>
        <v/>
      </c>
      <c r="D8090" t="inlineStr">
        <is>
          <t>1340-06-25</t>
        </is>
      </c>
    </row>
    <row r="8091">
      <c r="A8091" s="1" t="n">
        <v>8090</v>
      </c>
      <c r="B8091">
        <f>TEXT(8090, "[$-170000]yyyy-mm-dd")</f>
        <v/>
      </c>
      <c r="C8091">
        <f>TEXT(8090, "[$-060000]yyyy-mm-dd")</f>
        <v/>
      </c>
      <c r="D8091" t="inlineStr">
        <is>
          <t>1340-06-26</t>
        </is>
      </c>
    </row>
    <row r="8092">
      <c r="A8092" s="1" t="n">
        <v>8091</v>
      </c>
      <c r="B8092">
        <f>TEXT(8091, "[$-170000]yyyy-mm-dd")</f>
        <v/>
      </c>
      <c r="C8092">
        <f>TEXT(8091, "[$-060000]yyyy-mm-dd")</f>
        <v/>
      </c>
      <c r="D8092" t="inlineStr">
        <is>
          <t>1340-06-27</t>
        </is>
      </c>
    </row>
    <row r="8093">
      <c r="A8093" s="1" t="n">
        <v>8092</v>
      </c>
      <c r="B8093">
        <f>TEXT(8092, "[$-170000]yyyy-mm-dd")</f>
        <v/>
      </c>
      <c r="C8093">
        <f>TEXT(8092, "[$-060000]yyyy-mm-dd")</f>
        <v/>
      </c>
      <c r="D8093" t="inlineStr">
        <is>
          <t>1340-06-28</t>
        </is>
      </c>
    </row>
    <row r="8094">
      <c r="A8094" s="1" t="n">
        <v>8093</v>
      </c>
      <c r="B8094">
        <f>TEXT(8093, "[$-170000]yyyy-mm-dd")</f>
        <v/>
      </c>
      <c r="C8094">
        <f>TEXT(8093, "[$-060000]yyyy-mm-dd")</f>
        <v/>
      </c>
      <c r="D8094" t="inlineStr">
        <is>
          <t>1340-06-29</t>
        </is>
      </c>
    </row>
    <row r="8095">
      <c r="A8095" s="1" t="n">
        <v>8094</v>
      </c>
      <c r="B8095">
        <f>TEXT(8094, "[$-170000]yyyy-mm-dd")</f>
        <v/>
      </c>
      <c r="C8095">
        <f>TEXT(8094, "[$-060000]yyyy-mm-dd")</f>
        <v/>
      </c>
      <c r="D8095" t="inlineStr">
        <is>
          <t>1340-07-01</t>
        </is>
      </c>
    </row>
    <row r="8096">
      <c r="A8096" s="1" t="n">
        <v>8095</v>
      </c>
      <c r="B8096">
        <f>TEXT(8095, "[$-170000]yyyy-mm-dd")</f>
        <v/>
      </c>
      <c r="C8096">
        <f>TEXT(8095, "[$-060000]yyyy-mm-dd")</f>
        <v/>
      </c>
      <c r="D8096" t="inlineStr">
        <is>
          <t>1340-07-02</t>
        </is>
      </c>
    </row>
    <row r="8097">
      <c r="A8097" s="1" t="n">
        <v>8096</v>
      </c>
      <c r="B8097">
        <f>TEXT(8096, "[$-170000]yyyy-mm-dd")</f>
        <v/>
      </c>
      <c r="C8097">
        <f>TEXT(8096, "[$-060000]yyyy-mm-dd")</f>
        <v/>
      </c>
      <c r="D8097" t="inlineStr">
        <is>
          <t>1340-07-03</t>
        </is>
      </c>
    </row>
    <row r="8098">
      <c r="A8098" s="1" t="n">
        <v>8097</v>
      </c>
      <c r="B8098">
        <f>TEXT(8097, "[$-170000]yyyy-mm-dd")</f>
        <v/>
      </c>
      <c r="C8098">
        <f>TEXT(8097, "[$-060000]yyyy-mm-dd")</f>
        <v/>
      </c>
      <c r="D8098" t="inlineStr">
        <is>
          <t>1340-07-04</t>
        </is>
      </c>
    </row>
    <row r="8099">
      <c r="A8099" s="1" t="n">
        <v>8098</v>
      </c>
      <c r="B8099">
        <f>TEXT(8098, "[$-170000]yyyy-mm-dd")</f>
        <v/>
      </c>
      <c r="C8099">
        <f>TEXT(8098, "[$-060000]yyyy-mm-dd")</f>
        <v/>
      </c>
      <c r="D8099" t="inlineStr">
        <is>
          <t>1340-07-05</t>
        </is>
      </c>
    </row>
    <row r="8100">
      <c r="A8100" s="1" t="n">
        <v>8099</v>
      </c>
      <c r="B8100">
        <f>TEXT(8099, "[$-170000]yyyy-mm-dd")</f>
        <v/>
      </c>
      <c r="C8100">
        <f>TEXT(8099, "[$-060000]yyyy-mm-dd")</f>
        <v/>
      </c>
      <c r="D8100" t="inlineStr">
        <is>
          <t>1340-07-06</t>
        </is>
      </c>
    </row>
    <row r="8101">
      <c r="A8101" s="1" t="n">
        <v>8100</v>
      </c>
      <c r="B8101">
        <f>TEXT(8100, "[$-170000]yyyy-mm-dd")</f>
        <v/>
      </c>
      <c r="C8101">
        <f>TEXT(8100, "[$-060000]yyyy-mm-dd")</f>
        <v/>
      </c>
      <c r="D8101" t="inlineStr">
        <is>
          <t>1340-07-07</t>
        </is>
      </c>
    </row>
    <row r="8102">
      <c r="A8102" s="1" t="n">
        <v>8101</v>
      </c>
      <c r="B8102">
        <f>TEXT(8101, "[$-170000]yyyy-mm-dd")</f>
        <v/>
      </c>
      <c r="C8102">
        <f>TEXT(8101, "[$-060000]yyyy-mm-dd")</f>
        <v/>
      </c>
      <c r="D8102" t="inlineStr">
        <is>
          <t>1340-07-08</t>
        </is>
      </c>
    </row>
    <row r="8103">
      <c r="A8103" s="1" t="n">
        <v>8102</v>
      </c>
      <c r="B8103">
        <f>TEXT(8102, "[$-170000]yyyy-mm-dd")</f>
        <v/>
      </c>
      <c r="C8103">
        <f>TEXT(8102, "[$-060000]yyyy-mm-dd")</f>
        <v/>
      </c>
      <c r="D8103" t="inlineStr">
        <is>
          <t>1340-07-09</t>
        </is>
      </c>
    </row>
    <row r="8104">
      <c r="A8104" s="1" t="n">
        <v>8103</v>
      </c>
      <c r="B8104">
        <f>TEXT(8103, "[$-170000]yyyy-mm-dd")</f>
        <v/>
      </c>
      <c r="C8104">
        <f>TEXT(8103, "[$-060000]yyyy-mm-dd")</f>
        <v/>
      </c>
      <c r="D8104" t="inlineStr">
        <is>
          <t>1340-07-10</t>
        </is>
      </c>
    </row>
    <row r="8105">
      <c r="A8105" s="1" t="n">
        <v>8104</v>
      </c>
      <c r="B8105">
        <f>TEXT(8104, "[$-170000]yyyy-mm-dd")</f>
        <v/>
      </c>
      <c r="C8105">
        <f>TEXT(8104, "[$-060000]yyyy-mm-dd")</f>
        <v/>
      </c>
      <c r="D8105" t="inlineStr">
        <is>
          <t>1340-07-11</t>
        </is>
      </c>
    </row>
    <row r="8106">
      <c r="A8106" s="1" t="n">
        <v>8105</v>
      </c>
      <c r="B8106">
        <f>TEXT(8105, "[$-170000]yyyy-mm-dd")</f>
        <v/>
      </c>
      <c r="C8106">
        <f>TEXT(8105, "[$-060000]yyyy-mm-dd")</f>
        <v/>
      </c>
      <c r="D8106" t="inlineStr">
        <is>
          <t>1340-07-12</t>
        </is>
      </c>
    </row>
    <row r="8107">
      <c r="A8107" s="1" t="n">
        <v>8106</v>
      </c>
      <c r="B8107">
        <f>TEXT(8106, "[$-170000]yyyy-mm-dd")</f>
        <v/>
      </c>
      <c r="C8107">
        <f>TEXT(8106, "[$-060000]yyyy-mm-dd")</f>
        <v/>
      </c>
      <c r="D8107" t="inlineStr">
        <is>
          <t>1340-07-13</t>
        </is>
      </c>
    </row>
    <row r="8108">
      <c r="A8108" s="1" t="n">
        <v>8107</v>
      </c>
      <c r="B8108">
        <f>TEXT(8107, "[$-170000]yyyy-mm-dd")</f>
        <v/>
      </c>
      <c r="C8108">
        <f>TEXT(8107, "[$-060000]yyyy-mm-dd")</f>
        <v/>
      </c>
      <c r="D8108" t="inlineStr">
        <is>
          <t>1340-07-14</t>
        </is>
      </c>
    </row>
    <row r="8109">
      <c r="A8109" s="1" t="n">
        <v>8108</v>
      </c>
      <c r="B8109">
        <f>TEXT(8108, "[$-170000]yyyy-mm-dd")</f>
        <v/>
      </c>
      <c r="C8109">
        <f>TEXT(8108, "[$-060000]yyyy-mm-dd")</f>
        <v/>
      </c>
      <c r="D8109" t="inlineStr">
        <is>
          <t>1340-07-15</t>
        </is>
      </c>
    </row>
    <row r="8110">
      <c r="A8110" s="1" t="n">
        <v>8109</v>
      </c>
      <c r="B8110">
        <f>TEXT(8109, "[$-170000]yyyy-mm-dd")</f>
        <v/>
      </c>
      <c r="C8110">
        <f>TEXT(8109, "[$-060000]yyyy-mm-dd")</f>
        <v/>
      </c>
      <c r="D8110" t="inlineStr">
        <is>
          <t>1340-07-16</t>
        </is>
      </c>
    </row>
    <row r="8111">
      <c r="A8111" s="1" t="n">
        <v>8110</v>
      </c>
      <c r="B8111">
        <f>TEXT(8110, "[$-170000]yyyy-mm-dd")</f>
        <v/>
      </c>
      <c r="C8111">
        <f>TEXT(8110, "[$-060000]yyyy-mm-dd")</f>
        <v/>
      </c>
      <c r="D8111" t="inlineStr">
        <is>
          <t>1340-07-17</t>
        </is>
      </c>
    </row>
    <row r="8112">
      <c r="A8112" s="1" t="n">
        <v>8111</v>
      </c>
      <c r="B8112">
        <f>TEXT(8111, "[$-170000]yyyy-mm-dd")</f>
        <v/>
      </c>
      <c r="C8112">
        <f>TEXT(8111, "[$-060000]yyyy-mm-dd")</f>
        <v/>
      </c>
      <c r="D8112" t="inlineStr">
        <is>
          <t>1340-07-18</t>
        </is>
      </c>
    </row>
    <row r="8113">
      <c r="A8113" s="1" t="n">
        <v>8112</v>
      </c>
      <c r="B8113">
        <f>TEXT(8112, "[$-170000]yyyy-mm-dd")</f>
        <v/>
      </c>
      <c r="C8113">
        <f>TEXT(8112, "[$-060000]yyyy-mm-dd")</f>
        <v/>
      </c>
      <c r="D8113" t="inlineStr">
        <is>
          <t>1340-07-19</t>
        </is>
      </c>
    </row>
    <row r="8114">
      <c r="A8114" s="1" t="n">
        <v>8113</v>
      </c>
      <c r="B8114">
        <f>TEXT(8113, "[$-170000]yyyy-mm-dd")</f>
        <v/>
      </c>
      <c r="C8114">
        <f>TEXT(8113, "[$-060000]yyyy-mm-dd")</f>
        <v/>
      </c>
      <c r="D8114" t="inlineStr">
        <is>
          <t>1340-07-20</t>
        </is>
      </c>
    </row>
    <row r="8115">
      <c r="A8115" s="1" t="n">
        <v>8114</v>
      </c>
      <c r="B8115">
        <f>TEXT(8114, "[$-170000]yyyy-mm-dd")</f>
        <v/>
      </c>
      <c r="C8115">
        <f>TEXT(8114, "[$-060000]yyyy-mm-dd")</f>
        <v/>
      </c>
      <c r="D8115" t="inlineStr">
        <is>
          <t>1340-07-21</t>
        </is>
      </c>
    </row>
    <row r="8116">
      <c r="A8116" s="1" t="n">
        <v>8115</v>
      </c>
      <c r="B8116">
        <f>TEXT(8115, "[$-170000]yyyy-mm-dd")</f>
        <v/>
      </c>
      <c r="C8116">
        <f>TEXT(8115, "[$-060000]yyyy-mm-dd")</f>
        <v/>
      </c>
      <c r="D8116" t="inlineStr">
        <is>
          <t>1340-07-22</t>
        </is>
      </c>
    </row>
    <row r="8117">
      <c r="A8117" s="1" t="n">
        <v>8116</v>
      </c>
      <c r="B8117">
        <f>TEXT(8116, "[$-170000]yyyy-mm-dd")</f>
        <v/>
      </c>
      <c r="C8117">
        <f>TEXT(8116, "[$-060000]yyyy-mm-dd")</f>
        <v/>
      </c>
      <c r="D8117" t="inlineStr">
        <is>
          <t>1340-07-23</t>
        </is>
      </c>
    </row>
    <row r="8118">
      <c r="A8118" s="1" t="n">
        <v>8117</v>
      </c>
      <c r="B8118">
        <f>TEXT(8117, "[$-170000]yyyy-mm-dd")</f>
        <v/>
      </c>
      <c r="C8118">
        <f>TEXT(8117, "[$-060000]yyyy-mm-dd")</f>
        <v/>
      </c>
      <c r="D8118" t="inlineStr">
        <is>
          <t>1340-07-24</t>
        </is>
      </c>
    </row>
    <row r="8119">
      <c r="A8119" s="1" t="n">
        <v>8118</v>
      </c>
      <c r="B8119">
        <f>TEXT(8118, "[$-170000]yyyy-mm-dd")</f>
        <v/>
      </c>
      <c r="C8119">
        <f>TEXT(8118, "[$-060000]yyyy-mm-dd")</f>
        <v/>
      </c>
      <c r="D8119" t="inlineStr">
        <is>
          <t>1340-07-25</t>
        </is>
      </c>
    </row>
    <row r="8120">
      <c r="A8120" s="1" t="n">
        <v>8119</v>
      </c>
      <c r="B8120">
        <f>TEXT(8119, "[$-170000]yyyy-mm-dd")</f>
        <v/>
      </c>
      <c r="C8120">
        <f>TEXT(8119, "[$-060000]yyyy-mm-dd")</f>
        <v/>
      </c>
      <c r="D8120" t="inlineStr">
        <is>
          <t>1340-07-26</t>
        </is>
      </c>
    </row>
    <row r="8121">
      <c r="A8121" s="1" t="n">
        <v>8120</v>
      </c>
      <c r="B8121">
        <f>TEXT(8120, "[$-170000]yyyy-mm-dd")</f>
        <v/>
      </c>
      <c r="C8121">
        <f>TEXT(8120, "[$-060000]yyyy-mm-dd")</f>
        <v/>
      </c>
      <c r="D8121" t="inlineStr">
        <is>
          <t>1340-07-27</t>
        </is>
      </c>
    </row>
    <row r="8122">
      <c r="A8122" s="1" t="n">
        <v>8121</v>
      </c>
      <c r="B8122">
        <f>TEXT(8121, "[$-170000]yyyy-mm-dd")</f>
        <v/>
      </c>
      <c r="C8122">
        <f>TEXT(8121, "[$-060000]yyyy-mm-dd")</f>
        <v/>
      </c>
      <c r="D8122" t="inlineStr">
        <is>
          <t>1340-07-28</t>
        </is>
      </c>
    </row>
    <row r="8123">
      <c r="A8123" s="1" t="n">
        <v>8122</v>
      </c>
      <c r="B8123">
        <f>TEXT(8122, "[$-170000]yyyy-mm-dd")</f>
        <v/>
      </c>
      <c r="C8123">
        <f>TEXT(8122, "[$-060000]yyyy-mm-dd")</f>
        <v/>
      </c>
      <c r="D8123" t="inlineStr">
        <is>
          <t>1340-07-29</t>
        </is>
      </c>
    </row>
    <row r="8124">
      <c r="A8124" s="1" t="n">
        <v>8123</v>
      </c>
      <c r="B8124">
        <f>TEXT(8123, "[$-170000]yyyy-mm-dd")</f>
        <v/>
      </c>
      <c r="C8124">
        <f>TEXT(8123, "[$-060000]yyyy-mm-dd")</f>
        <v/>
      </c>
      <c r="D8124" t="inlineStr">
        <is>
          <t>1340-07-30</t>
        </is>
      </c>
    </row>
    <row r="8125">
      <c r="A8125" s="1" t="n">
        <v>8124</v>
      </c>
      <c r="B8125">
        <f>TEXT(8124, "[$-170000]yyyy-mm-dd")</f>
        <v/>
      </c>
      <c r="C8125">
        <f>TEXT(8124, "[$-060000]yyyy-mm-dd")</f>
        <v/>
      </c>
      <c r="D8125" t="inlineStr">
        <is>
          <t>1340-08-01</t>
        </is>
      </c>
    </row>
    <row r="8126">
      <c r="A8126" s="1" t="n">
        <v>8125</v>
      </c>
      <c r="B8126">
        <f>TEXT(8125, "[$-170000]yyyy-mm-dd")</f>
        <v/>
      </c>
      <c r="C8126">
        <f>TEXT(8125, "[$-060000]yyyy-mm-dd")</f>
        <v/>
      </c>
      <c r="D8126" t="inlineStr">
        <is>
          <t>1340-08-02</t>
        </is>
      </c>
    </row>
    <row r="8127">
      <c r="A8127" s="1" t="n">
        <v>8126</v>
      </c>
      <c r="B8127">
        <f>TEXT(8126, "[$-170000]yyyy-mm-dd")</f>
        <v/>
      </c>
      <c r="C8127">
        <f>TEXT(8126, "[$-060000]yyyy-mm-dd")</f>
        <v/>
      </c>
      <c r="D8127" t="inlineStr">
        <is>
          <t>1340-08-03</t>
        </is>
      </c>
    </row>
    <row r="8128">
      <c r="A8128" s="1" t="n">
        <v>8127</v>
      </c>
      <c r="B8128">
        <f>TEXT(8127, "[$-170000]yyyy-mm-dd")</f>
        <v/>
      </c>
      <c r="C8128">
        <f>TEXT(8127, "[$-060000]yyyy-mm-dd")</f>
        <v/>
      </c>
      <c r="D8128" t="inlineStr">
        <is>
          <t>1340-08-04</t>
        </is>
      </c>
    </row>
    <row r="8129">
      <c r="A8129" s="1" t="n">
        <v>8128</v>
      </c>
      <c r="B8129">
        <f>TEXT(8128, "[$-170000]yyyy-mm-dd")</f>
        <v/>
      </c>
      <c r="C8129">
        <f>TEXT(8128, "[$-060000]yyyy-mm-dd")</f>
        <v/>
      </c>
      <c r="D8129" t="inlineStr">
        <is>
          <t>1340-08-05</t>
        </is>
      </c>
    </row>
    <row r="8130">
      <c r="A8130" s="1" t="n">
        <v>8129</v>
      </c>
      <c r="B8130">
        <f>TEXT(8129, "[$-170000]yyyy-mm-dd")</f>
        <v/>
      </c>
      <c r="C8130">
        <f>TEXT(8129, "[$-060000]yyyy-mm-dd")</f>
        <v/>
      </c>
      <c r="D8130" t="inlineStr">
        <is>
          <t>1340-08-06</t>
        </is>
      </c>
    </row>
    <row r="8131">
      <c r="A8131" s="1" t="n">
        <v>8130</v>
      </c>
      <c r="B8131">
        <f>TEXT(8130, "[$-170000]yyyy-mm-dd")</f>
        <v/>
      </c>
      <c r="C8131">
        <f>TEXT(8130, "[$-060000]yyyy-mm-dd")</f>
        <v/>
      </c>
      <c r="D8131" t="inlineStr">
        <is>
          <t>1340-08-07</t>
        </is>
      </c>
    </row>
    <row r="8132">
      <c r="A8132" s="1" t="n">
        <v>8131</v>
      </c>
      <c r="B8132">
        <f>TEXT(8131, "[$-170000]yyyy-mm-dd")</f>
        <v/>
      </c>
      <c r="C8132">
        <f>TEXT(8131, "[$-060000]yyyy-mm-dd")</f>
        <v/>
      </c>
      <c r="D8132" t="inlineStr">
        <is>
          <t>1340-08-08</t>
        </is>
      </c>
    </row>
    <row r="8133">
      <c r="A8133" s="1" t="n">
        <v>8132</v>
      </c>
      <c r="B8133">
        <f>TEXT(8132, "[$-170000]yyyy-mm-dd")</f>
        <v/>
      </c>
      <c r="C8133">
        <f>TEXT(8132, "[$-060000]yyyy-mm-dd")</f>
        <v/>
      </c>
      <c r="D8133" t="inlineStr">
        <is>
          <t>1340-08-09</t>
        </is>
      </c>
    </row>
    <row r="8134">
      <c r="A8134" s="1" t="n">
        <v>8133</v>
      </c>
      <c r="B8134">
        <f>TEXT(8133, "[$-170000]yyyy-mm-dd")</f>
        <v/>
      </c>
      <c r="C8134">
        <f>TEXT(8133, "[$-060000]yyyy-mm-dd")</f>
        <v/>
      </c>
      <c r="D8134" t="inlineStr">
        <is>
          <t>1340-08-10</t>
        </is>
      </c>
    </row>
    <row r="8135">
      <c r="A8135" s="1" t="n">
        <v>8134</v>
      </c>
      <c r="B8135">
        <f>TEXT(8134, "[$-170000]yyyy-mm-dd")</f>
        <v/>
      </c>
      <c r="C8135">
        <f>TEXT(8134, "[$-060000]yyyy-mm-dd")</f>
        <v/>
      </c>
      <c r="D8135" t="inlineStr">
        <is>
          <t>1340-08-11</t>
        </is>
      </c>
    </row>
    <row r="8136">
      <c r="A8136" s="1" t="n">
        <v>8135</v>
      </c>
      <c r="B8136">
        <f>TEXT(8135, "[$-170000]yyyy-mm-dd")</f>
        <v/>
      </c>
      <c r="C8136">
        <f>TEXT(8135, "[$-060000]yyyy-mm-dd")</f>
        <v/>
      </c>
      <c r="D8136" t="inlineStr">
        <is>
          <t>1340-08-12</t>
        </is>
      </c>
    </row>
    <row r="8137">
      <c r="A8137" s="1" t="n">
        <v>8136</v>
      </c>
      <c r="B8137">
        <f>TEXT(8136, "[$-170000]yyyy-mm-dd")</f>
        <v/>
      </c>
      <c r="C8137">
        <f>TEXT(8136, "[$-060000]yyyy-mm-dd")</f>
        <v/>
      </c>
      <c r="D8137" t="inlineStr">
        <is>
          <t>1340-08-13</t>
        </is>
      </c>
    </row>
    <row r="8138">
      <c r="A8138" s="1" t="n">
        <v>8137</v>
      </c>
      <c r="B8138">
        <f>TEXT(8137, "[$-170000]yyyy-mm-dd")</f>
        <v/>
      </c>
      <c r="C8138">
        <f>TEXT(8137, "[$-060000]yyyy-mm-dd")</f>
        <v/>
      </c>
      <c r="D8138" t="inlineStr">
        <is>
          <t>1340-08-14</t>
        </is>
      </c>
    </row>
    <row r="8139">
      <c r="A8139" s="1" t="n">
        <v>8138</v>
      </c>
      <c r="B8139">
        <f>TEXT(8138, "[$-170000]yyyy-mm-dd")</f>
        <v/>
      </c>
      <c r="C8139">
        <f>TEXT(8138, "[$-060000]yyyy-mm-dd")</f>
        <v/>
      </c>
      <c r="D8139" t="inlineStr">
        <is>
          <t>1340-08-15</t>
        </is>
      </c>
    </row>
    <row r="8140">
      <c r="A8140" s="1" t="n">
        <v>8139</v>
      </c>
      <c r="B8140">
        <f>TEXT(8139, "[$-170000]yyyy-mm-dd")</f>
        <v/>
      </c>
      <c r="C8140">
        <f>TEXT(8139, "[$-060000]yyyy-mm-dd")</f>
        <v/>
      </c>
      <c r="D8140" t="inlineStr">
        <is>
          <t>1340-08-16</t>
        </is>
      </c>
    </row>
    <row r="8141">
      <c r="A8141" s="1" t="n">
        <v>8140</v>
      </c>
      <c r="B8141">
        <f>TEXT(8140, "[$-170000]yyyy-mm-dd")</f>
        <v/>
      </c>
      <c r="C8141">
        <f>TEXT(8140, "[$-060000]yyyy-mm-dd")</f>
        <v/>
      </c>
      <c r="D8141" t="inlineStr">
        <is>
          <t>1340-08-17</t>
        </is>
      </c>
    </row>
    <row r="8142">
      <c r="A8142" s="1" t="n">
        <v>8141</v>
      </c>
      <c r="B8142">
        <f>TEXT(8141, "[$-170000]yyyy-mm-dd")</f>
        <v/>
      </c>
      <c r="C8142">
        <f>TEXT(8141, "[$-060000]yyyy-mm-dd")</f>
        <v/>
      </c>
      <c r="D8142" t="inlineStr">
        <is>
          <t>1340-08-18</t>
        </is>
      </c>
    </row>
    <row r="8143">
      <c r="A8143" s="1" t="n">
        <v>8142</v>
      </c>
      <c r="B8143">
        <f>TEXT(8142, "[$-170000]yyyy-mm-dd")</f>
        <v/>
      </c>
      <c r="C8143">
        <f>TEXT(8142, "[$-060000]yyyy-mm-dd")</f>
        <v/>
      </c>
      <c r="D8143" t="inlineStr">
        <is>
          <t>1340-08-19</t>
        </is>
      </c>
    </row>
    <row r="8144">
      <c r="A8144" s="1" t="n">
        <v>8143</v>
      </c>
      <c r="B8144">
        <f>TEXT(8143, "[$-170000]yyyy-mm-dd")</f>
        <v/>
      </c>
      <c r="C8144">
        <f>TEXT(8143, "[$-060000]yyyy-mm-dd")</f>
        <v/>
      </c>
      <c r="D8144" t="inlineStr">
        <is>
          <t>1340-08-20</t>
        </is>
      </c>
    </row>
    <row r="8145">
      <c r="A8145" s="1" t="n">
        <v>8144</v>
      </c>
      <c r="B8145">
        <f>TEXT(8144, "[$-170000]yyyy-mm-dd")</f>
        <v/>
      </c>
      <c r="C8145">
        <f>TEXT(8144, "[$-060000]yyyy-mm-dd")</f>
        <v/>
      </c>
      <c r="D8145" t="inlineStr">
        <is>
          <t>1340-08-21</t>
        </is>
      </c>
    </row>
    <row r="8146">
      <c r="A8146" s="1" t="n">
        <v>8145</v>
      </c>
      <c r="B8146">
        <f>TEXT(8145, "[$-170000]yyyy-mm-dd")</f>
        <v/>
      </c>
      <c r="C8146">
        <f>TEXT(8145, "[$-060000]yyyy-mm-dd")</f>
        <v/>
      </c>
      <c r="D8146" t="inlineStr">
        <is>
          <t>1340-08-22</t>
        </is>
      </c>
    </row>
    <row r="8147">
      <c r="A8147" s="1" t="n">
        <v>8146</v>
      </c>
      <c r="B8147">
        <f>TEXT(8146, "[$-170000]yyyy-mm-dd")</f>
        <v/>
      </c>
      <c r="C8147">
        <f>TEXT(8146, "[$-060000]yyyy-mm-dd")</f>
        <v/>
      </c>
      <c r="D8147" t="inlineStr">
        <is>
          <t>1340-08-23</t>
        </is>
      </c>
    </row>
    <row r="8148">
      <c r="A8148" s="1" t="n">
        <v>8147</v>
      </c>
      <c r="B8148">
        <f>TEXT(8147, "[$-170000]yyyy-mm-dd")</f>
        <v/>
      </c>
      <c r="C8148">
        <f>TEXT(8147, "[$-060000]yyyy-mm-dd")</f>
        <v/>
      </c>
      <c r="D8148" t="inlineStr">
        <is>
          <t>1340-08-24</t>
        </is>
      </c>
    </row>
    <row r="8149">
      <c r="A8149" s="1" t="n">
        <v>8148</v>
      </c>
      <c r="B8149">
        <f>TEXT(8148, "[$-170000]yyyy-mm-dd")</f>
        <v/>
      </c>
      <c r="C8149">
        <f>TEXT(8148, "[$-060000]yyyy-mm-dd")</f>
        <v/>
      </c>
      <c r="D8149" t="inlineStr">
        <is>
          <t>1340-08-25</t>
        </is>
      </c>
    </row>
    <row r="8150">
      <c r="A8150" s="1" t="n">
        <v>8149</v>
      </c>
      <c r="B8150">
        <f>TEXT(8149, "[$-170000]yyyy-mm-dd")</f>
        <v/>
      </c>
      <c r="C8150">
        <f>TEXT(8149, "[$-060000]yyyy-mm-dd")</f>
        <v/>
      </c>
      <c r="D8150" t="inlineStr">
        <is>
          <t>1340-08-26</t>
        </is>
      </c>
    </row>
    <row r="8151">
      <c r="A8151" s="1" t="n">
        <v>8150</v>
      </c>
      <c r="B8151">
        <f>TEXT(8150, "[$-170000]yyyy-mm-dd")</f>
        <v/>
      </c>
      <c r="C8151">
        <f>TEXT(8150, "[$-060000]yyyy-mm-dd")</f>
        <v/>
      </c>
      <c r="D8151" t="inlineStr">
        <is>
          <t>1340-08-27</t>
        </is>
      </c>
    </row>
    <row r="8152">
      <c r="A8152" s="1" t="n">
        <v>8151</v>
      </c>
      <c r="B8152">
        <f>TEXT(8151, "[$-170000]yyyy-mm-dd")</f>
        <v/>
      </c>
      <c r="C8152">
        <f>TEXT(8151, "[$-060000]yyyy-mm-dd")</f>
        <v/>
      </c>
      <c r="D8152" t="inlineStr">
        <is>
          <t>1340-08-28</t>
        </is>
      </c>
    </row>
    <row r="8153">
      <c r="A8153" s="1" t="n">
        <v>8152</v>
      </c>
      <c r="B8153">
        <f>TEXT(8152, "[$-170000]yyyy-mm-dd")</f>
        <v/>
      </c>
      <c r="C8153">
        <f>TEXT(8152, "[$-060000]yyyy-mm-dd")</f>
        <v/>
      </c>
      <c r="D8153" t="inlineStr">
        <is>
          <t>1340-08-29</t>
        </is>
      </c>
    </row>
    <row r="8154">
      <c r="A8154" s="1" t="n">
        <v>8153</v>
      </c>
      <c r="B8154">
        <f>TEXT(8153, "[$-170000]yyyy-mm-dd")</f>
        <v/>
      </c>
      <c r="C8154">
        <f>TEXT(8153, "[$-060000]yyyy-mm-dd")</f>
        <v/>
      </c>
      <c r="D8154" t="inlineStr">
        <is>
          <t>1340-09-01</t>
        </is>
      </c>
    </row>
    <row r="8155">
      <c r="A8155" s="1" t="n">
        <v>8154</v>
      </c>
      <c r="B8155">
        <f>TEXT(8154, "[$-170000]yyyy-mm-dd")</f>
        <v/>
      </c>
      <c r="C8155">
        <f>TEXT(8154, "[$-060000]yyyy-mm-dd")</f>
        <v/>
      </c>
      <c r="D8155" t="inlineStr">
        <is>
          <t>1340-09-02</t>
        </is>
      </c>
    </row>
    <row r="8156">
      <c r="A8156" s="1" t="n">
        <v>8155</v>
      </c>
      <c r="B8156">
        <f>TEXT(8155, "[$-170000]yyyy-mm-dd")</f>
        <v/>
      </c>
      <c r="C8156">
        <f>TEXT(8155, "[$-060000]yyyy-mm-dd")</f>
        <v/>
      </c>
      <c r="D8156" t="inlineStr">
        <is>
          <t>1340-09-03</t>
        </is>
      </c>
    </row>
    <row r="8157">
      <c r="A8157" s="1" t="n">
        <v>8156</v>
      </c>
      <c r="B8157">
        <f>TEXT(8156, "[$-170000]yyyy-mm-dd")</f>
        <v/>
      </c>
      <c r="C8157">
        <f>TEXT(8156, "[$-060000]yyyy-mm-dd")</f>
        <v/>
      </c>
      <c r="D8157" t="inlineStr">
        <is>
          <t>1340-09-04</t>
        </is>
      </c>
    </row>
    <row r="8158">
      <c r="A8158" s="1" t="n">
        <v>8157</v>
      </c>
      <c r="B8158">
        <f>TEXT(8157, "[$-170000]yyyy-mm-dd")</f>
        <v/>
      </c>
      <c r="C8158">
        <f>TEXT(8157, "[$-060000]yyyy-mm-dd")</f>
        <v/>
      </c>
      <c r="D8158" t="inlineStr">
        <is>
          <t>1340-09-05</t>
        </is>
      </c>
    </row>
    <row r="8159">
      <c r="A8159" s="1" t="n">
        <v>8158</v>
      </c>
      <c r="B8159">
        <f>TEXT(8158, "[$-170000]yyyy-mm-dd")</f>
        <v/>
      </c>
      <c r="C8159">
        <f>TEXT(8158, "[$-060000]yyyy-mm-dd")</f>
        <v/>
      </c>
      <c r="D8159" t="inlineStr">
        <is>
          <t>1340-09-06</t>
        </is>
      </c>
    </row>
    <row r="8160">
      <c r="A8160" s="1" t="n">
        <v>8159</v>
      </c>
      <c r="B8160">
        <f>TEXT(8159, "[$-170000]yyyy-mm-dd")</f>
        <v/>
      </c>
      <c r="C8160">
        <f>TEXT(8159, "[$-060000]yyyy-mm-dd")</f>
        <v/>
      </c>
      <c r="D8160" t="inlineStr">
        <is>
          <t>1340-09-07</t>
        </is>
      </c>
    </row>
    <row r="8161">
      <c r="A8161" s="1" t="n">
        <v>8160</v>
      </c>
      <c r="B8161">
        <f>TEXT(8160, "[$-170000]yyyy-mm-dd")</f>
        <v/>
      </c>
      <c r="C8161">
        <f>TEXT(8160, "[$-060000]yyyy-mm-dd")</f>
        <v/>
      </c>
      <c r="D8161" t="inlineStr">
        <is>
          <t>1340-09-08</t>
        </is>
      </c>
    </row>
    <row r="8162">
      <c r="A8162" s="1" t="n">
        <v>8161</v>
      </c>
      <c r="B8162">
        <f>TEXT(8161, "[$-170000]yyyy-mm-dd")</f>
        <v/>
      </c>
      <c r="C8162">
        <f>TEXT(8161, "[$-060000]yyyy-mm-dd")</f>
        <v/>
      </c>
      <c r="D8162" t="inlineStr">
        <is>
          <t>1340-09-09</t>
        </is>
      </c>
    </row>
    <row r="8163">
      <c r="A8163" s="1" t="n">
        <v>8162</v>
      </c>
      <c r="B8163">
        <f>TEXT(8162, "[$-170000]yyyy-mm-dd")</f>
        <v/>
      </c>
      <c r="C8163">
        <f>TEXT(8162, "[$-060000]yyyy-mm-dd")</f>
        <v/>
      </c>
      <c r="D8163" t="inlineStr">
        <is>
          <t>1340-09-10</t>
        </is>
      </c>
    </row>
    <row r="8164">
      <c r="A8164" s="1" t="n">
        <v>8163</v>
      </c>
      <c r="B8164">
        <f>TEXT(8163, "[$-170000]yyyy-mm-dd")</f>
        <v/>
      </c>
      <c r="C8164">
        <f>TEXT(8163, "[$-060000]yyyy-mm-dd")</f>
        <v/>
      </c>
      <c r="D8164" t="inlineStr">
        <is>
          <t>1340-09-11</t>
        </is>
      </c>
    </row>
    <row r="8165">
      <c r="A8165" s="1" t="n">
        <v>8164</v>
      </c>
      <c r="B8165">
        <f>TEXT(8164, "[$-170000]yyyy-mm-dd")</f>
        <v/>
      </c>
      <c r="C8165">
        <f>TEXT(8164, "[$-060000]yyyy-mm-dd")</f>
        <v/>
      </c>
      <c r="D8165" t="inlineStr">
        <is>
          <t>1340-09-12</t>
        </is>
      </c>
    </row>
    <row r="8166">
      <c r="A8166" s="1" t="n">
        <v>8165</v>
      </c>
      <c r="B8166">
        <f>TEXT(8165, "[$-170000]yyyy-mm-dd")</f>
        <v/>
      </c>
      <c r="C8166">
        <f>TEXT(8165, "[$-060000]yyyy-mm-dd")</f>
        <v/>
      </c>
      <c r="D8166" t="inlineStr">
        <is>
          <t>1340-09-13</t>
        </is>
      </c>
    </row>
    <row r="8167">
      <c r="A8167" s="1" t="n">
        <v>8166</v>
      </c>
      <c r="B8167">
        <f>TEXT(8166, "[$-170000]yyyy-mm-dd")</f>
        <v/>
      </c>
      <c r="C8167">
        <f>TEXT(8166, "[$-060000]yyyy-mm-dd")</f>
        <v/>
      </c>
      <c r="D8167" t="inlineStr">
        <is>
          <t>1340-09-14</t>
        </is>
      </c>
    </row>
    <row r="8168">
      <c r="A8168" s="1" t="n">
        <v>8167</v>
      </c>
      <c r="B8168">
        <f>TEXT(8167, "[$-170000]yyyy-mm-dd")</f>
        <v/>
      </c>
      <c r="C8168">
        <f>TEXT(8167, "[$-060000]yyyy-mm-dd")</f>
        <v/>
      </c>
      <c r="D8168" t="inlineStr">
        <is>
          <t>1340-09-15</t>
        </is>
      </c>
    </row>
    <row r="8169">
      <c r="A8169" s="1" t="n">
        <v>8168</v>
      </c>
      <c r="B8169">
        <f>TEXT(8168, "[$-170000]yyyy-mm-dd")</f>
        <v/>
      </c>
      <c r="C8169">
        <f>TEXT(8168, "[$-060000]yyyy-mm-dd")</f>
        <v/>
      </c>
      <c r="D8169" t="inlineStr">
        <is>
          <t>1340-09-16</t>
        </is>
      </c>
    </row>
    <row r="8170">
      <c r="A8170" s="1" t="n">
        <v>8169</v>
      </c>
      <c r="B8170">
        <f>TEXT(8169, "[$-170000]yyyy-mm-dd")</f>
        <v/>
      </c>
      <c r="C8170">
        <f>TEXT(8169, "[$-060000]yyyy-mm-dd")</f>
        <v/>
      </c>
      <c r="D8170" t="inlineStr">
        <is>
          <t>1340-09-17</t>
        </is>
      </c>
    </row>
    <row r="8171">
      <c r="A8171" s="1" t="n">
        <v>8170</v>
      </c>
      <c r="B8171">
        <f>TEXT(8170, "[$-170000]yyyy-mm-dd")</f>
        <v/>
      </c>
      <c r="C8171">
        <f>TEXT(8170, "[$-060000]yyyy-mm-dd")</f>
        <v/>
      </c>
      <c r="D8171" t="inlineStr">
        <is>
          <t>1340-09-18</t>
        </is>
      </c>
    </row>
    <row r="8172">
      <c r="A8172" s="1" t="n">
        <v>8171</v>
      </c>
      <c r="B8172">
        <f>TEXT(8171, "[$-170000]yyyy-mm-dd")</f>
        <v/>
      </c>
      <c r="C8172">
        <f>TEXT(8171, "[$-060000]yyyy-mm-dd")</f>
        <v/>
      </c>
      <c r="D8172" t="inlineStr">
        <is>
          <t>1340-09-19</t>
        </is>
      </c>
    </row>
    <row r="8173">
      <c r="A8173" s="1" t="n">
        <v>8172</v>
      </c>
      <c r="B8173">
        <f>TEXT(8172, "[$-170000]yyyy-mm-dd")</f>
        <v/>
      </c>
      <c r="C8173">
        <f>TEXT(8172, "[$-060000]yyyy-mm-dd")</f>
        <v/>
      </c>
      <c r="D8173" t="inlineStr">
        <is>
          <t>1340-09-20</t>
        </is>
      </c>
    </row>
    <row r="8174">
      <c r="A8174" s="1" t="n">
        <v>8173</v>
      </c>
      <c r="B8174">
        <f>TEXT(8173, "[$-170000]yyyy-mm-dd")</f>
        <v/>
      </c>
      <c r="C8174">
        <f>TEXT(8173, "[$-060000]yyyy-mm-dd")</f>
        <v/>
      </c>
      <c r="D8174" t="inlineStr">
        <is>
          <t>1340-09-21</t>
        </is>
      </c>
    </row>
    <row r="8175">
      <c r="A8175" s="1" t="n">
        <v>8174</v>
      </c>
      <c r="B8175">
        <f>TEXT(8174, "[$-170000]yyyy-mm-dd")</f>
        <v/>
      </c>
      <c r="C8175">
        <f>TEXT(8174, "[$-060000]yyyy-mm-dd")</f>
        <v/>
      </c>
      <c r="D8175" t="inlineStr">
        <is>
          <t>1340-09-22</t>
        </is>
      </c>
    </row>
    <row r="8176">
      <c r="A8176" s="1" t="n">
        <v>8175</v>
      </c>
      <c r="B8176">
        <f>TEXT(8175, "[$-170000]yyyy-mm-dd")</f>
        <v/>
      </c>
      <c r="C8176">
        <f>TEXT(8175, "[$-060000]yyyy-mm-dd")</f>
        <v/>
      </c>
      <c r="D8176" t="inlineStr">
        <is>
          <t>1340-09-23</t>
        </is>
      </c>
    </row>
    <row r="8177">
      <c r="A8177" s="1" t="n">
        <v>8176</v>
      </c>
      <c r="B8177">
        <f>TEXT(8176, "[$-170000]yyyy-mm-dd")</f>
        <v/>
      </c>
      <c r="C8177">
        <f>TEXT(8176, "[$-060000]yyyy-mm-dd")</f>
        <v/>
      </c>
      <c r="D8177" t="inlineStr">
        <is>
          <t>1340-09-24</t>
        </is>
      </c>
    </row>
    <row r="8178">
      <c r="A8178" s="1" t="n">
        <v>8177</v>
      </c>
      <c r="B8178">
        <f>TEXT(8177, "[$-170000]yyyy-mm-dd")</f>
        <v/>
      </c>
      <c r="C8178">
        <f>TEXT(8177, "[$-060000]yyyy-mm-dd")</f>
        <v/>
      </c>
      <c r="D8178" t="inlineStr">
        <is>
          <t>1340-09-25</t>
        </is>
      </c>
    </row>
    <row r="8179">
      <c r="A8179" s="1" t="n">
        <v>8178</v>
      </c>
      <c r="B8179">
        <f>TEXT(8178, "[$-170000]yyyy-mm-dd")</f>
        <v/>
      </c>
      <c r="C8179">
        <f>TEXT(8178, "[$-060000]yyyy-mm-dd")</f>
        <v/>
      </c>
      <c r="D8179" t="inlineStr">
        <is>
          <t>1340-09-26</t>
        </is>
      </c>
    </row>
    <row r="8180">
      <c r="A8180" s="1" t="n">
        <v>8179</v>
      </c>
      <c r="B8180">
        <f>TEXT(8179, "[$-170000]yyyy-mm-dd")</f>
        <v/>
      </c>
      <c r="C8180">
        <f>TEXT(8179, "[$-060000]yyyy-mm-dd")</f>
        <v/>
      </c>
      <c r="D8180" t="inlineStr">
        <is>
          <t>1340-09-27</t>
        </is>
      </c>
    </row>
    <row r="8181">
      <c r="A8181" s="1" t="n">
        <v>8180</v>
      </c>
      <c r="B8181">
        <f>TEXT(8180, "[$-170000]yyyy-mm-dd")</f>
        <v/>
      </c>
      <c r="C8181">
        <f>TEXT(8180, "[$-060000]yyyy-mm-dd")</f>
        <v/>
      </c>
      <c r="D8181" t="inlineStr">
        <is>
          <t>1340-09-28</t>
        </is>
      </c>
    </row>
    <row r="8182">
      <c r="A8182" s="1" t="n">
        <v>8181</v>
      </c>
      <c r="B8182">
        <f>TEXT(8181, "[$-170000]yyyy-mm-dd")</f>
        <v/>
      </c>
      <c r="C8182">
        <f>TEXT(8181, "[$-060000]yyyy-mm-dd")</f>
        <v/>
      </c>
      <c r="D8182" t="inlineStr">
        <is>
          <t>1340-09-29</t>
        </is>
      </c>
    </row>
    <row r="8183">
      <c r="A8183" s="1" t="n">
        <v>8182</v>
      </c>
      <c r="B8183">
        <f>TEXT(8182, "[$-170000]yyyy-mm-dd")</f>
        <v/>
      </c>
      <c r="C8183">
        <f>TEXT(8182, "[$-060000]yyyy-mm-dd")</f>
        <v/>
      </c>
      <c r="D8183" t="inlineStr">
        <is>
          <t>1340-09-30</t>
        </is>
      </c>
    </row>
    <row r="8184">
      <c r="A8184" s="1" t="n">
        <v>8183</v>
      </c>
      <c r="B8184">
        <f>TEXT(8183, "[$-170000]yyyy-mm-dd")</f>
        <v/>
      </c>
      <c r="C8184">
        <f>TEXT(8183, "[$-060000]yyyy-mm-dd")</f>
        <v/>
      </c>
      <c r="D8184" t="inlineStr">
        <is>
          <t>1340-10-01</t>
        </is>
      </c>
    </row>
    <row r="8185">
      <c r="A8185" s="1" t="n">
        <v>8184</v>
      </c>
      <c r="B8185">
        <f>TEXT(8184, "[$-170000]yyyy-mm-dd")</f>
        <v/>
      </c>
      <c r="C8185">
        <f>TEXT(8184, "[$-060000]yyyy-mm-dd")</f>
        <v/>
      </c>
      <c r="D8185" t="inlineStr">
        <is>
          <t>1340-10-02</t>
        </is>
      </c>
    </row>
    <row r="8186">
      <c r="A8186" s="1" t="n">
        <v>8185</v>
      </c>
      <c r="B8186">
        <f>TEXT(8185, "[$-170000]yyyy-mm-dd")</f>
        <v/>
      </c>
      <c r="C8186">
        <f>TEXT(8185, "[$-060000]yyyy-mm-dd")</f>
        <v/>
      </c>
      <c r="D8186" t="inlineStr">
        <is>
          <t>1340-10-03</t>
        </is>
      </c>
    </row>
    <row r="8187">
      <c r="A8187" s="1" t="n">
        <v>8186</v>
      </c>
      <c r="B8187">
        <f>TEXT(8186, "[$-170000]yyyy-mm-dd")</f>
        <v/>
      </c>
      <c r="C8187">
        <f>TEXT(8186, "[$-060000]yyyy-mm-dd")</f>
        <v/>
      </c>
      <c r="D8187" t="inlineStr">
        <is>
          <t>1340-10-04</t>
        </is>
      </c>
    </row>
    <row r="8188">
      <c r="A8188" s="1" t="n">
        <v>8187</v>
      </c>
      <c r="B8188">
        <f>TEXT(8187, "[$-170000]yyyy-mm-dd")</f>
        <v/>
      </c>
      <c r="C8188">
        <f>TEXT(8187, "[$-060000]yyyy-mm-dd")</f>
        <v/>
      </c>
      <c r="D8188" t="inlineStr">
        <is>
          <t>1340-10-05</t>
        </is>
      </c>
    </row>
    <row r="8189">
      <c r="A8189" s="1" t="n">
        <v>8188</v>
      </c>
      <c r="B8189">
        <f>TEXT(8188, "[$-170000]yyyy-mm-dd")</f>
        <v/>
      </c>
      <c r="C8189">
        <f>TEXT(8188, "[$-060000]yyyy-mm-dd")</f>
        <v/>
      </c>
      <c r="D8189" t="inlineStr">
        <is>
          <t>1340-10-06</t>
        </is>
      </c>
    </row>
    <row r="8190">
      <c r="A8190" s="1" t="n">
        <v>8189</v>
      </c>
      <c r="B8190">
        <f>TEXT(8189, "[$-170000]yyyy-mm-dd")</f>
        <v/>
      </c>
      <c r="C8190">
        <f>TEXT(8189, "[$-060000]yyyy-mm-dd")</f>
        <v/>
      </c>
      <c r="D8190" t="inlineStr">
        <is>
          <t>1340-10-07</t>
        </is>
      </c>
    </row>
    <row r="8191">
      <c r="A8191" s="1" t="n">
        <v>8190</v>
      </c>
      <c r="B8191">
        <f>TEXT(8190, "[$-170000]yyyy-mm-dd")</f>
        <v/>
      </c>
      <c r="C8191">
        <f>TEXT(8190, "[$-060000]yyyy-mm-dd")</f>
        <v/>
      </c>
      <c r="D8191" t="inlineStr">
        <is>
          <t>1340-10-08</t>
        </is>
      </c>
    </row>
    <row r="8192">
      <c r="A8192" s="1" t="n">
        <v>8191</v>
      </c>
      <c r="B8192">
        <f>TEXT(8191, "[$-170000]yyyy-mm-dd")</f>
        <v/>
      </c>
      <c r="C8192">
        <f>TEXT(8191, "[$-060000]yyyy-mm-dd")</f>
        <v/>
      </c>
      <c r="D8192" t="inlineStr">
        <is>
          <t>1340-10-09</t>
        </is>
      </c>
    </row>
    <row r="8193">
      <c r="A8193" s="1" t="n">
        <v>8192</v>
      </c>
      <c r="B8193">
        <f>TEXT(8192, "[$-170000]yyyy-mm-dd")</f>
        <v/>
      </c>
      <c r="C8193">
        <f>TEXT(8192, "[$-060000]yyyy-mm-dd")</f>
        <v/>
      </c>
      <c r="D8193" t="inlineStr">
        <is>
          <t>1340-10-10</t>
        </is>
      </c>
    </row>
    <row r="8194">
      <c r="A8194" s="1" t="n">
        <v>8193</v>
      </c>
      <c r="B8194">
        <f>TEXT(8193, "[$-170000]yyyy-mm-dd")</f>
        <v/>
      </c>
      <c r="C8194">
        <f>TEXT(8193, "[$-060000]yyyy-mm-dd")</f>
        <v/>
      </c>
      <c r="D8194" t="inlineStr">
        <is>
          <t>1340-10-11</t>
        </is>
      </c>
    </row>
    <row r="8195">
      <c r="A8195" s="1" t="n">
        <v>8194</v>
      </c>
      <c r="B8195">
        <f>TEXT(8194, "[$-170000]yyyy-mm-dd")</f>
        <v/>
      </c>
      <c r="C8195">
        <f>TEXT(8194, "[$-060000]yyyy-mm-dd")</f>
        <v/>
      </c>
      <c r="D8195" t="inlineStr">
        <is>
          <t>1340-10-12</t>
        </is>
      </c>
    </row>
    <row r="8196">
      <c r="A8196" s="1" t="n">
        <v>8195</v>
      </c>
      <c r="B8196">
        <f>TEXT(8195, "[$-170000]yyyy-mm-dd")</f>
        <v/>
      </c>
      <c r="C8196">
        <f>TEXT(8195, "[$-060000]yyyy-mm-dd")</f>
        <v/>
      </c>
      <c r="D8196" t="inlineStr">
        <is>
          <t>1340-10-13</t>
        </is>
      </c>
    </row>
    <row r="8197">
      <c r="A8197" s="1" t="n">
        <v>8196</v>
      </c>
      <c r="B8197">
        <f>TEXT(8196, "[$-170000]yyyy-mm-dd")</f>
        <v/>
      </c>
      <c r="C8197">
        <f>TEXT(8196, "[$-060000]yyyy-mm-dd")</f>
        <v/>
      </c>
      <c r="D8197" t="inlineStr">
        <is>
          <t>1340-10-14</t>
        </is>
      </c>
    </row>
    <row r="8198">
      <c r="A8198" s="1" t="n">
        <v>8197</v>
      </c>
      <c r="B8198">
        <f>TEXT(8197, "[$-170000]yyyy-mm-dd")</f>
        <v/>
      </c>
      <c r="C8198">
        <f>TEXT(8197, "[$-060000]yyyy-mm-dd")</f>
        <v/>
      </c>
      <c r="D8198" t="inlineStr">
        <is>
          <t>1340-10-15</t>
        </is>
      </c>
    </row>
    <row r="8199">
      <c r="A8199" s="1" t="n">
        <v>8198</v>
      </c>
      <c r="B8199">
        <f>TEXT(8198, "[$-170000]yyyy-mm-dd")</f>
        <v/>
      </c>
      <c r="C8199">
        <f>TEXT(8198, "[$-060000]yyyy-mm-dd")</f>
        <v/>
      </c>
      <c r="D8199" t="inlineStr">
        <is>
          <t>1340-10-16</t>
        </is>
      </c>
    </row>
    <row r="8200">
      <c r="A8200" s="1" t="n">
        <v>8199</v>
      </c>
      <c r="B8200">
        <f>TEXT(8199, "[$-170000]yyyy-mm-dd")</f>
        <v/>
      </c>
      <c r="C8200">
        <f>TEXT(8199, "[$-060000]yyyy-mm-dd")</f>
        <v/>
      </c>
      <c r="D8200" t="inlineStr">
        <is>
          <t>1340-10-17</t>
        </is>
      </c>
    </row>
    <row r="8201">
      <c r="A8201" s="1" t="n">
        <v>8200</v>
      </c>
      <c r="B8201">
        <f>TEXT(8200, "[$-170000]yyyy-mm-dd")</f>
        <v/>
      </c>
      <c r="C8201">
        <f>TEXT(8200, "[$-060000]yyyy-mm-dd")</f>
        <v/>
      </c>
      <c r="D8201" t="inlineStr">
        <is>
          <t>1340-10-18</t>
        </is>
      </c>
    </row>
    <row r="8202">
      <c r="A8202" s="1" t="n">
        <v>8201</v>
      </c>
      <c r="B8202">
        <f>TEXT(8201, "[$-170000]yyyy-mm-dd")</f>
        <v/>
      </c>
      <c r="C8202">
        <f>TEXT(8201, "[$-060000]yyyy-mm-dd")</f>
        <v/>
      </c>
      <c r="D8202" t="inlineStr">
        <is>
          <t>1340-10-19</t>
        </is>
      </c>
    </row>
    <row r="8203">
      <c r="A8203" s="1" t="n">
        <v>8202</v>
      </c>
      <c r="B8203">
        <f>TEXT(8202, "[$-170000]yyyy-mm-dd")</f>
        <v/>
      </c>
      <c r="C8203">
        <f>TEXT(8202, "[$-060000]yyyy-mm-dd")</f>
        <v/>
      </c>
      <c r="D8203" t="inlineStr">
        <is>
          <t>1340-10-20</t>
        </is>
      </c>
    </row>
    <row r="8204">
      <c r="A8204" s="1" t="n">
        <v>8203</v>
      </c>
      <c r="B8204">
        <f>TEXT(8203, "[$-170000]yyyy-mm-dd")</f>
        <v/>
      </c>
      <c r="C8204">
        <f>TEXT(8203, "[$-060000]yyyy-mm-dd")</f>
        <v/>
      </c>
      <c r="D8204" t="inlineStr">
        <is>
          <t>1340-10-21</t>
        </is>
      </c>
    </row>
    <row r="8205">
      <c r="A8205" s="1" t="n">
        <v>8204</v>
      </c>
      <c r="B8205">
        <f>TEXT(8204, "[$-170000]yyyy-mm-dd")</f>
        <v/>
      </c>
      <c r="C8205">
        <f>TEXT(8204, "[$-060000]yyyy-mm-dd")</f>
        <v/>
      </c>
      <c r="D8205" t="inlineStr">
        <is>
          <t>1340-10-22</t>
        </is>
      </c>
    </row>
    <row r="8206">
      <c r="A8206" s="1" t="n">
        <v>8205</v>
      </c>
      <c r="B8206">
        <f>TEXT(8205, "[$-170000]yyyy-mm-dd")</f>
        <v/>
      </c>
      <c r="C8206">
        <f>TEXT(8205, "[$-060000]yyyy-mm-dd")</f>
        <v/>
      </c>
      <c r="D8206" t="inlineStr">
        <is>
          <t>1340-10-23</t>
        </is>
      </c>
    </row>
    <row r="8207">
      <c r="A8207" s="1" t="n">
        <v>8206</v>
      </c>
      <c r="B8207">
        <f>TEXT(8206, "[$-170000]yyyy-mm-dd")</f>
        <v/>
      </c>
      <c r="C8207">
        <f>TEXT(8206, "[$-060000]yyyy-mm-dd")</f>
        <v/>
      </c>
      <c r="D8207" t="inlineStr">
        <is>
          <t>1340-10-24</t>
        </is>
      </c>
    </row>
    <row r="8208">
      <c r="A8208" s="1" t="n">
        <v>8207</v>
      </c>
      <c r="B8208">
        <f>TEXT(8207, "[$-170000]yyyy-mm-dd")</f>
        <v/>
      </c>
      <c r="C8208">
        <f>TEXT(8207, "[$-060000]yyyy-mm-dd")</f>
        <v/>
      </c>
      <c r="D8208" t="inlineStr">
        <is>
          <t>1340-10-25</t>
        </is>
      </c>
    </row>
    <row r="8209">
      <c r="A8209" s="1" t="n">
        <v>8208</v>
      </c>
      <c r="B8209">
        <f>TEXT(8208, "[$-170000]yyyy-mm-dd")</f>
        <v/>
      </c>
      <c r="C8209">
        <f>TEXT(8208, "[$-060000]yyyy-mm-dd")</f>
        <v/>
      </c>
      <c r="D8209" t="inlineStr">
        <is>
          <t>1340-10-26</t>
        </is>
      </c>
    </row>
    <row r="8210">
      <c r="A8210" s="1" t="n">
        <v>8209</v>
      </c>
      <c r="B8210">
        <f>TEXT(8209, "[$-170000]yyyy-mm-dd")</f>
        <v/>
      </c>
      <c r="C8210">
        <f>TEXT(8209, "[$-060000]yyyy-mm-dd")</f>
        <v/>
      </c>
      <c r="D8210" t="inlineStr">
        <is>
          <t>1340-10-27</t>
        </is>
      </c>
    </row>
    <row r="8211">
      <c r="A8211" s="1" t="n">
        <v>8210</v>
      </c>
      <c r="B8211">
        <f>TEXT(8210, "[$-170000]yyyy-mm-dd")</f>
        <v/>
      </c>
      <c r="C8211">
        <f>TEXT(8210, "[$-060000]yyyy-mm-dd")</f>
        <v/>
      </c>
      <c r="D8211" t="inlineStr">
        <is>
          <t>1340-10-28</t>
        </is>
      </c>
    </row>
    <row r="8212">
      <c r="A8212" s="1" t="n">
        <v>8211</v>
      </c>
      <c r="B8212">
        <f>TEXT(8211, "[$-170000]yyyy-mm-dd")</f>
        <v/>
      </c>
      <c r="C8212">
        <f>TEXT(8211, "[$-060000]yyyy-mm-dd")</f>
        <v/>
      </c>
      <c r="D8212" t="inlineStr">
        <is>
          <t>1340-10-29</t>
        </is>
      </c>
    </row>
    <row r="8213">
      <c r="A8213" s="1" t="n">
        <v>8212</v>
      </c>
      <c r="B8213">
        <f>TEXT(8212, "[$-170000]yyyy-mm-dd")</f>
        <v/>
      </c>
      <c r="C8213">
        <f>TEXT(8212, "[$-060000]yyyy-mm-dd")</f>
        <v/>
      </c>
      <c r="D8213" t="inlineStr">
        <is>
          <t>1340-11-01</t>
        </is>
      </c>
    </row>
    <row r="8214">
      <c r="A8214" s="1" t="n">
        <v>8213</v>
      </c>
      <c r="B8214">
        <f>TEXT(8213, "[$-170000]yyyy-mm-dd")</f>
        <v/>
      </c>
      <c r="C8214">
        <f>TEXT(8213, "[$-060000]yyyy-mm-dd")</f>
        <v/>
      </c>
      <c r="D8214" t="inlineStr">
        <is>
          <t>1340-11-02</t>
        </is>
      </c>
    </row>
    <row r="8215">
      <c r="A8215" s="1" t="n">
        <v>8214</v>
      </c>
      <c r="B8215">
        <f>TEXT(8214, "[$-170000]yyyy-mm-dd")</f>
        <v/>
      </c>
      <c r="C8215">
        <f>TEXT(8214, "[$-060000]yyyy-mm-dd")</f>
        <v/>
      </c>
      <c r="D8215" t="inlineStr">
        <is>
          <t>1340-11-03</t>
        </is>
      </c>
    </row>
    <row r="8216">
      <c r="A8216" s="1" t="n">
        <v>8215</v>
      </c>
      <c r="B8216">
        <f>TEXT(8215, "[$-170000]yyyy-mm-dd")</f>
        <v/>
      </c>
      <c r="C8216">
        <f>TEXT(8215, "[$-060000]yyyy-mm-dd")</f>
        <v/>
      </c>
      <c r="D8216" t="inlineStr">
        <is>
          <t>1340-11-04</t>
        </is>
      </c>
    </row>
    <row r="8217">
      <c r="A8217" s="1" t="n">
        <v>8216</v>
      </c>
      <c r="B8217">
        <f>TEXT(8216, "[$-170000]yyyy-mm-dd")</f>
        <v/>
      </c>
      <c r="C8217">
        <f>TEXT(8216, "[$-060000]yyyy-mm-dd")</f>
        <v/>
      </c>
      <c r="D8217" t="inlineStr">
        <is>
          <t>1340-11-05</t>
        </is>
      </c>
    </row>
    <row r="8218">
      <c r="A8218" s="1" t="n">
        <v>8217</v>
      </c>
      <c r="B8218">
        <f>TEXT(8217, "[$-170000]yyyy-mm-dd")</f>
        <v/>
      </c>
      <c r="C8218">
        <f>TEXT(8217, "[$-060000]yyyy-mm-dd")</f>
        <v/>
      </c>
      <c r="D8218" t="inlineStr">
        <is>
          <t>1340-11-06</t>
        </is>
      </c>
    </row>
    <row r="8219">
      <c r="A8219" s="1" t="n">
        <v>8218</v>
      </c>
      <c r="B8219">
        <f>TEXT(8218, "[$-170000]yyyy-mm-dd")</f>
        <v/>
      </c>
      <c r="C8219">
        <f>TEXT(8218, "[$-060000]yyyy-mm-dd")</f>
        <v/>
      </c>
      <c r="D8219" t="inlineStr">
        <is>
          <t>1340-11-07</t>
        </is>
      </c>
    </row>
    <row r="8220">
      <c r="A8220" s="1" t="n">
        <v>8219</v>
      </c>
      <c r="B8220">
        <f>TEXT(8219, "[$-170000]yyyy-mm-dd")</f>
        <v/>
      </c>
      <c r="C8220">
        <f>TEXT(8219, "[$-060000]yyyy-mm-dd")</f>
        <v/>
      </c>
      <c r="D8220" t="inlineStr">
        <is>
          <t>1340-11-08</t>
        </is>
      </c>
    </row>
    <row r="8221">
      <c r="A8221" s="1" t="n">
        <v>8220</v>
      </c>
      <c r="B8221">
        <f>TEXT(8220, "[$-170000]yyyy-mm-dd")</f>
        <v/>
      </c>
      <c r="C8221">
        <f>TEXT(8220, "[$-060000]yyyy-mm-dd")</f>
        <v/>
      </c>
      <c r="D8221" t="inlineStr">
        <is>
          <t>1340-11-09</t>
        </is>
      </c>
    </row>
    <row r="8222">
      <c r="A8222" s="1" t="n">
        <v>8221</v>
      </c>
      <c r="B8222">
        <f>TEXT(8221, "[$-170000]yyyy-mm-dd")</f>
        <v/>
      </c>
      <c r="C8222">
        <f>TEXT(8221, "[$-060000]yyyy-mm-dd")</f>
        <v/>
      </c>
      <c r="D8222" t="inlineStr">
        <is>
          <t>1340-11-10</t>
        </is>
      </c>
    </row>
    <row r="8223">
      <c r="A8223" s="1" t="n">
        <v>8222</v>
      </c>
      <c r="B8223">
        <f>TEXT(8222, "[$-170000]yyyy-mm-dd")</f>
        <v/>
      </c>
      <c r="C8223">
        <f>TEXT(8222, "[$-060000]yyyy-mm-dd")</f>
        <v/>
      </c>
      <c r="D8223" t="inlineStr">
        <is>
          <t>1340-11-11</t>
        </is>
      </c>
    </row>
    <row r="8224">
      <c r="A8224" s="1" t="n">
        <v>8223</v>
      </c>
      <c r="B8224">
        <f>TEXT(8223, "[$-170000]yyyy-mm-dd")</f>
        <v/>
      </c>
      <c r="C8224">
        <f>TEXT(8223, "[$-060000]yyyy-mm-dd")</f>
        <v/>
      </c>
      <c r="D8224" t="inlineStr">
        <is>
          <t>1340-11-12</t>
        </is>
      </c>
    </row>
    <row r="8225">
      <c r="A8225" s="1" t="n">
        <v>8224</v>
      </c>
      <c r="B8225">
        <f>TEXT(8224, "[$-170000]yyyy-mm-dd")</f>
        <v/>
      </c>
      <c r="C8225">
        <f>TEXT(8224, "[$-060000]yyyy-mm-dd")</f>
        <v/>
      </c>
      <c r="D8225" t="inlineStr">
        <is>
          <t>1340-11-13</t>
        </is>
      </c>
    </row>
    <row r="8226">
      <c r="A8226" s="1" t="n">
        <v>8225</v>
      </c>
      <c r="B8226">
        <f>TEXT(8225, "[$-170000]yyyy-mm-dd")</f>
        <v/>
      </c>
      <c r="C8226">
        <f>TEXT(8225, "[$-060000]yyyy-mm-dd")</f>
        <v/>
      </c>
      <c r="D8226" t="inlineStr">
        <is>
          <t>1340-11-14</t>
        </is>
      </c>
    </row>
    <row r="8227">
      <c r="A8227" s="1" t="n">
        <v>8226</v>
      </c>
      <c r="B8227">
        <f>TEXT(8226, "[$-170000]yyyy-mm-dd")</f>
        <v/>
      </c>
      <c r="C8227">
        <f>TEXT(8226, "[$-060000]yyyy-mm-dd")</f>
        <v/>
      </c>
      <c r="D8227" t="inlineStr">
        <is>
          <t>1340-11-15</t>
        </is>
      </c>
    </row>
    <row r="8228">
      <c r="A8228" s="1" t="n">
        <v>8227</v>
      </c>
      <c r="B8228">
        <f>TEXT(8227, "[$-170000]yyyy-mm-dd")</f>
        <v/>
      </c>
      <c r="C8228">
        <f>TEXT(8227, "[$-060000]yyyy-mm-dd")</f>
        <v/>
      </c>
      <c r="D8228" t="inlineStr">
        <is>
          <t>1340-11-16</t>
        </is>
      </c>
    </row>
    <row r="8229">
      <c r="A8229" s="1" t="n">
        <v>8228</v>
      </c>
      <c r="B8229">
        <f>TEXT(8228, "[$-170000]yyyy-mm-dd")</f>
        <v/>
      </c>
      <c r="C8229">
        <f>TEXT(8228, "[$-060000]yyyy-mm-dd")</f>
        <v/>
      </c>
      <c r="D8229" t="inlineStr">
        <is>
          <t>1340-11-17</t>
        </is>
      </c>
    </row>
    <row r="8230">
      <c r="A8230" s="1" t="n">
        <v>8229</v>
      </c>
      <c r="B8230">
        <f>TEXT(8229, "[$-170000]yyyy-mm-dd")</f>
        <v/>
      </c>
      <c r="C8230">
        <f>TEXT(8229, "[$-060000]yyyy-mm-dd")</f>
        <v/>
      </c>
      <c r="D8230" t="inlineStr">
        <is>
          <t>1340-11-18</t>
        </is>
      </c>
    </row>
    <row r="8231">
      <c r="A8231" s="1" t="n">
        <v>8230</v>
      </c>
      <c r="B8231">
        <f>TEXT(8230, "[$-170000]yyyy-mm-dd")</f>
        <v/>
      </c>
      <c r="C8231">
        <f>TEXT(8230, "[$-060000]yyyy-mm-dd")</f>
        <v/>
      </c>
      <c r="D8231" t="inlineStr">
        <is>
          <t>1340-11-19</t>
        </is>
      </c>
    </row>
    <row r="8232">
      <c r="A8232" s="1" t="n">
        <v>8231</v>
      </c>
      <c r="B8232">
        <f>TEXT(8231, "[$-170000]yyyy-mm-dd")</f>
        <v/>
      </c>
      <c r="C8232">
        <f>TEXT(8231, "[$-060000]yyyy-mm-dd")</f>
        <v/>
      </c>
      <c r="D8232" t="inlineStr">
        <is>
          <t>1340-11-20</t>
        </is>
      </c>
    </row>
    <row r="8233">
      <c r="A8233" s="1" t="n">
        <v>8232</v>
      </c>
      <c r="B8233">
        <f>TEXT(8232, "[$-170000]yyyy-mm-dd")</f>
        <v/>
      </c>
      <c r="C8233">
        <f>TEXT(8232, "[$-060000]yyyy-mm-dd")</f>
        <v/>
      </c>
      <c r="D8233" t="inlineStr">
        <is>
          <t>1340-11-21</t>
        </is>
      </c>
    </row>
    <row r="8234">
      <c r="A8234" s="1" t="n">
        <v>8233</v>
      </c>
      <c r="B8234">
        <f>TEXT(8233, "[$-170000]yyyy-mm-dd")</f>
        <v/>
      </c>
      <c r="C8234">
        <f>TEXT(8233, "[$-060000]yyyy-mm-dd")</f>
        <v/>
      </c>
      <c r="D8234" t="inlineStr">
        <is>
          <t>1340-11-22</t>
        </is>
      </c>
    </row>
    <row r="8235">
      <c r="A8235" s="1" t="n">
        <v>8234</v>
      </c>
      <c r="B8235">
        <f>TEXT(8234, "[$-170000]yyyy-mm-dd")</f>
        <v/>
      </c>
      <c r="C8235">
        <f>TEXT(8234, "[$-060000]yyyy-mm-dd")</f>
        <v/>
      </c>
      <c r="D8235" t="inlineStr">
        <is>
          <t>1340-11-23</t>
        </is>
      </c>
    </row>
    <row r="8236">
      <c r="A8236" s="1" t="n">
        <v>8235</v>
      </c>
      <c r="B8236">
        <f>TEXT(8235, "[$-170000]yyyy-mm-dd")</f>
        <v/>
      </c>
      <c r="C8236">
        <f>TEXT(8235, "[$-060000]yyyy-mm-dd")</f>
        <v/>
      </c>
      <c r="D8236" t="inlineStr">
        <is>
          <t>1340-11-24</t>
        </is>
      </c>
    </row>
    <row r="8237">
      <c r="A8237" s="1" t="n">
        <v>8236</v>
      </c>
      <c r="B8237">
        <f>TEXT(8236, "[$-170000]yyyy-mm-dd")</f>
        <v/>
      </c>
      <c r="C8237">
        <f>TEXT(8236, "[$-060000]yyyy-mm-dd")</f>
        <v/>
      </c>
      <c r="D8237" t="inlineStr">
        <is>
          <t>1340-11-25</t>
        </is>
      </c>
    </row>
    <row r="8238">
      <c r="A8238" s="1" t="n">
        <v>8237</v>
      </c>
      <c r="B8238">
        <f>TEXT(8237, "[$-170000]yyyy-mm-dd")</f>
        <v/>
      </c>
      <c r="C8238">
        <f>TEXT(8237, "[$-060000]yyyy-mm-dd")</f>
        <v/>
      </c>
      <c r="D8238" t="inlineStr">
        <is>
          <t>1340-11-26</t>
        </is>
      </c>
    </row>
    <row r="8239">
      <c r="A8239" s="1" t="n">
        <v>8238</v>
      </c>
      <c r="B8239">
        <f>TEXT(8238, "[$-170000]yyyy-mm-dd")</f>
        <v/>
      </c>
      <c r="C8239">
        <f>TEXT(8238, "[$-060000]yyyy-mm-dd")</f>
        <v/>
      </c>
      <c r="D8239" t="inlineStr">
        <is>
          <t>1340-11-27</t>
        </is>
      </c>
    </row>
    <row r="8240">
      <c r="A8240" s="1" t="n">
        <v>8239</v>
      </c>
      <c r="B8240">
        <f>TEXT(8239, "[$-170000]yyyy-mm-dd")</f>
        <v/>
      </c>
      <c r="C8240">
        <f>TEXT(8239, "[$-060000]yyyy-mm-dd")</f>
        <v/>
      </c>
      <c r="D8240" t="inlineStr">
        <is>
          <t>1340-11-28</t>
        </is>
      </c>
    </row>
    <row r="8241">
      <c r="A8241" s="1" t="n">
        <v>8240</v>
      </c>
      <c r="B8241">
        <f>TEXT(8240, "[$-170000]yyyy-mm-dd")</f>
        <v/>
      </c>
      <c r="C8241">
        <f>TEXT(8240, "[$-060000]yyyy-mm-dd")</f>
        <v/>
      </c>
      <c r="D8241" t="inlineStr">
        <is>
          <t>1340-11-29</t>
        </is>
      </c>
    </row>
    <row r="8242">
      <c r="A8242" s="1" t="n">
        <v>8241</v>
      </c>
      <c r="B8242">
        <f>TEXT(8241, "[$-170000]yyyy-mm-dd")</f>
        <v/>
      </c>
      <c r="C8242">
        <f>TEXT(8241, "[$-060000]yyyy-mm-dd")</f>
        <v/>
      </c>
      <c r="D8242" t="inlineStr">
        <is>
          <t>1340-11-30</t>
        </is>
      </c>
    </row>
    <row r="8243">
      <c r="A8243" s="1" t="n">
        <v>8242</v>
      </c>
      <c r="B8243">
        <f>TEXT(8242, "[$-170000]yyyy-mm-dd")</f>
        <v/>
      </c>
      <c r="C8243">
        <f>TEXT(8242, "[$-060000]yyyy-mm-dd")</f>
        <v/>
      </c>
      <c r="D8243" t="inlineStr">
        <is>
          <t>1340-12-01</t>
        </is>
      </c>
    </row>
    <row r="8244">
      <c r="A8244" s="1" t="n">
        <v>8243</v>
      </c>
      <c r="B8244">
        <f>TEXT(8243, "[$-170000]yyyy-mm-dd")</f>
        <v/>
      </c>
      <c r="C8244">
        <f>TEXT(8243, "[$-060000]yyyy-mm-dd")</f>
        <v/>
      </c>
      <c r="D8244" t="inlineStr">
        <is>
          <t>1340-12-02</t>
        </is>
      </c>
    </row>
    <row r="8245">
      <c r="A8245" s="1" t="n">
        <v>8244</v>
      </c>
      <c r="B8245">
        <f>TEXT(8244, "[$-170000]yyyy-mm-dd")</f>
        <v/>
      </c>
      <c r="C8245">
        <f>TEXT(8244, "[$-060000]yyyy-mm-dd")</f>
        <v/>
      </c>
      <c r="D8245" t="inlineStr">
        <is>
          <t>1340-12-03</t>
        </is>
      </c>
    </row>
    <row r="8246">
      <c r="A8246" s="1" t="n">
        <v>8245</v>
      </c>
      <c r="B8246">
        <f>TEXT(8245, "[$-170000]yyyy-mm-dd")</f>
        <v/>
      </c>
      <c r="C8246">
        <f>TEXT(8245, "[$-060000]yyyy-mm-dd")</f>
        <v/>
      </c>
      <c r="D8246" t="inlineStr">
        <is>
          <t>1340-12-04</t>
        </is>
      </c>
    </row>
    <row r="8247">
      <c r="A8247" s="1" t="n">
        <v>8246</v>
      </c>
      <c r="B8247">
        <f>TEXT(8246, "[$-170000]yyyy-mm-dd")</f>
        <v/>
      </c>
      <c r="C8247">
        <f>TEXT(8246, "[$-060000]yyyy-mm-dd")</f>
        <v/>
      </c>
      <c r="D8247" t="inlineStr">
        <is>
          <t>1340-12-05</t>
        </is>
      </c>
    </row>
    <row r="8248">
      <c r="A8248" s="1" t="n">
        <v>8247</v>
      </c>
      <c r="B8248">
        <f>TEXT(8247, "[$-170000]yyyy-mm-dd")</f>
        <v/>
      </c>
      <c r="C8248">
        <f>TEXT(8247, "[$-060000]yyyy-mm-dd")</f>
        <v/>
      </c>
      <c r="D8248" t="inlineStr">
        <is>
          <t>1340-12-06</t>
        </is>
      </c>
    </row>
    <row r="8249">
      <c r="A8249" s="1" t="n">
        <v>8248</v>
      </c>
      <c r="B8249">
        <f>TEXT(8248, "[$-170000]yyyy-mm-dd")</f>
        <v/>
      </c>
      <c r="C8249">
        <f>TEXT(8248, "[$-060000]yyyy-mm-dd")</f>
        <v/>
      </c>
      <c r="D8249" t="inlineStr">
        <is>
          <t>1340-12-07</t>
        </is>
      </c>
    </row>
    <row r="8250">
      <c r="A8250" s="1" t="n">
        <v>8249</v>
      </c>
      <c r="B8250">
        <f>TEXT(8249, "[$-170000]yyyy-mm-dd")</f>
        <v/>
      </c>
      <c r="C8250">
        <f>TEXT(8249, "[$-060000]yyyy-mm-dd")</f>
        <v/>
      </c>
      <c r="D8250" t="inlineStr">
        <is>
          <t>1340-12-08</t>
        </is>
      </c>
    </row>
    <row r="8251">
      <c r="A8251" s="1" t="n">
        <v>8250</v>
      </c>
      <c r="B8251">
        <f>TEXT(8250, "[$-170000]yyyy-mm-dd")</f>
        <v/>
      </c>
      <c r="C8251">
        <f>TEXT(8250, "[$-060000]yyyy-mm-dd")</f>
        <v/>
      </c>
      <c r="D8251" t="inlineStr">
        <is>
          <t>1340-12-09</t>
        </is>
      </c>
    </row>
    <row r="8252">
      <c r="A8252" s="1" t="n">
        <v>8251</v>
      </c>
      <c r="B8252">
        <f>TEXT(8251, "[$-170000]yyyy-mm-dd")</f>
        <v/>
      </c>
      <c r="C8252">
        <f>TEXT(8251, "[$-060000]yyyy-mm-dd")</f>
        <v/>
      </c>
      <c r="D8252" t="inlineStr">
        <is>
          <t>1340-12-10</t>
        </is>
      </c>
    </row>
    <row r="8253">
      <c r="A8253" s="1" t="n">
        <v>8252</v>
      </c>
      <c r="B8253">
        <f>TEXT(8252, "[$-170000]yyyy-mm-dd")</f>
        <v/>
      </c>
      <c r="C8253">
        <f>TEXT(8252, "[$-060000]yyyy-mm-dd")</f>
        <v/>
      </c>
      <c r="D8253" t="inlineStr">
        <is>
          <t>1340-12-11</t>
        </is>
      </c>
    </row>
    <row r="8254">
      <c r="A8254" s="1" t="n">
        <v>8253</v>
      </c>
      <c r="B8254">
        <f>TEXT(8253, "[$-170000]yyyy-mm-dd")</f>
        <v/>
      </c>
      <c r="C8254">
        <f>TEXT(8253, "[$-060000]yyyy-mm-dd")</f>
        <v/>
      </c>
      <c r="D8254" t="inlineStr">
        <is>
          <t>1340-12-12</t>
        </is>
      </c>
    </row>
    <row r="8255">
      <c r="A8255" s="1" t="n">
        <v>8254</v>
      </c>
      <c r="B8255">
        <f>TEXT(8254, "[$-170000]yyyy-mm-dd")</f>
        <v/>
      </c>
      <c r="C8255">
        <f>TEXT(8254, "[$-060000]yyyy-mm-dd")</f>
        <v/>
      </c>
      <c r="D8255" t="inlineStr">
        <is>
          <t>1340-12-13</t>
        </is>
      </c>
    </row>
    <row r="8256">
      <c r="A8256" s="1" t="n">
        <v>8255</v>
      </c>
      <c r="B8256">
        <f>TEXT(8255, "[$-170000]yyyy-mm-dd")</f>
        <v/>
      </c>
      <c r="C8256">
        <f>TEXT(8255, "[$-060000]yyyy-mm-dd")</f>
        <v/>
      </c>
      <c r="D8256" t="inlineStr">
        <is>
          <t>1340-12-14</t>
        </is>
      </c>
    </row>
    <row r="8257">
      <c r="A8257" s="1" t="n">
        <v>8256</v>
      </c>
      <c r="B8257">
        <f>TEXT(8256, "[$-170000]yyyy-mm-dd")</f>
        <v/>
      </c>
      <c r="C8257">
        <f>TEXT(8256, "[$-060000]yyyy-mm-dd")</f>
        <v/>
      </c>
      <c r="D8257" t="inlineStr">
        <is>
          <t>1340-12-15</t>
        </is>
      </c>
    </row>
    <row r="8258">
      <c r="A8258" s="1" t="n">
        <v>8257</v>
      </c>
      <c r="B8258">
        <f>TEXT(8257, "[$-170000]yyyy-mm-dd")</f>
        <v/>
      </c>
      <c r="C8258">
        <f>TEXT(8257, "[$-060000]yyyy-mm-dd")</f>
        <v/>
      </c>
      <c r="D8258" t="inlineStr">
        <is>
          <t>1340-12-16</t>
        </is>
      </c>
    </row>
    <row r="8259">
      <c r="A8259" s="1" t="n">
        <v>8258</v>
      </c>
      <c r="B8259">
        <f>TEXT(8258, "[$-170000]yyyy-mm-dd")</f>
        <v/>
      </c>
      <c r="C8259">
        <f>TEXT(8258, "[$-060000]yyyy-mm-dd")</f>
        <v/>
      </c>
      <c r="D8259" t="inlineStr">
        <is>
          <t>1340-12-17</t>
        </is>
      </c>
    </row>
    <row r="8260">
      <c r="A8260" s="1" t="n">
        <v>8259</v>
      </c>
      <c r="B8260">
        <f>TEXT(8259, "[$-170000]yyyy-mm-dd")</f>
        <v/>
      </c>
      <c r="C8260">
        <f>TEXT(8259, "[$-060000]yyyy-mm-dd")</f>
        <v/>
      </c>
      <c r="D8260" t="inlineStr">
        <is>
          <t>1340-12-18</t>
        </is>
      </c>
    </row>
    <row r="8261">
      <c r="A8261" s="1" t="n">
        <v>8260</v>
      </c>
      <c r="B8261">
        <f>TEXT(8260, "[$-170000]yyyy-mm-dd")</f>
        <v/>
      </c>
      <c r="C8261">
        <f>TEXT(8260, "[$-060000]yyyy-mm-dd")</f>
        <v/>
      </c>
      <c r="D8261" t="inlineStr">
        <is>
          <t>1340-12-19</t>
        </is>
      </c>
    </row>
    <row r="8262">
      <c r="A8262" s="1" t="n">
        <v>8261</v>
      </c>
      <c r="B8262">
        <f>TEXT(8261, "[$-170000]yyyy-mm-dd")</f>
        <v/>
      </c>
      <c r="C8262">
        <f>TEXT(8261, "[$-060000]yyyy-mm-dd")</f>
        <v/>
      </c>
      <c r="D8262" t="inlineStr">
        <is>
          <t>1340-12-20</t>
        </is>
      </c>
    </row>
    <row r="8263">
      <c r="A8263" s="1" t="n">
        <v>8262</v>
      </c>
      <c r="B8263">
        <f>TEXT(8262, "[$-170000]yyyy-mm-dd")</f>
        <v/>
      </c>
      <c r="C8263">
        <f>TEXT(8262, "[$-060000]yyyy-mm-dd")</f>
        <v/>
      </c>
      <c r="D8263" t="inlineStr">
        <is>
          <t>1340-12-21</t>
        </is>
      </c>
    </row>
    <row r="8264">
      <c r="A8264" s="1" t="n">
        <v>8263</v>
      </c>
      <c r="B8264">
        <f>TEXT(8263, "[$-170000]yyyy-mm-dd")</f>
        <v/>
      </c>
      <c r="C8264">
        <f>TEXT(8263, "[$-060000]yyyy-mm-dd")</f>
        <v/>
      </c>
      <c r="D8264" t="inlineStr">
        <is>
          <t>1340-12-22</t>
        </is>
      </c>
    </row>
    <row r="8265">
      <c r="A8265" s="1" t="n">
        <v>8264</v>
      </c>
      <c r="B8265">
        <f>TEXT(8264, "[$-170000]yyyy-mm-dd")</f>
        <v/>
      </c>
      <c r="C8265">
        <f>TEXT(8264, "[$-060000]yyyy-mm-dd")</f>
        <v/>
      </c>
      <c r="D8265" t="inlineStr">
        <is>
          <t>1340-12-23</t>
        </is>
      </c>
    </row>
    <row r="8266">
      <c r="A8266" s="1" t="n">
        <v>8265</v>
      </c>
      <c r="B8266">
        <f>TEXT(8265, "[$-170000]yyyy-mm-dd")</f>
        <v/>
      </c>
      <c r="C8266">
        <f>TEXT(8265, "[$-060000]yyyy-mm-dd")</f>
        <v/>
      </c>
      <c r="D8266" t="inlineStr">
        <is>
          <t>1340-12-24</t>
        </is>
      </c>
    </row>
    <row r="8267">
      <c r="A8267" s="1" t="n">
        <v>8266</v>
      </c>
      <c r="B8267">
        <f>TEXT(8266, "[$-170000]yyyy-mm-dd")</f>
        <v/>
      </c>
      <c r="C8267">
        <f>TEXT(8266, "[$-060000]yyyy-mm-dd")</f>
        <v/>
      </c>
      <c r="D8267" t="inlineStr">
        <is>
          <t>1340-12-25</t>
        </is>
      </c>
    </row>
    <row r="8268">
      <c r="A8268" s="1" t="n">
        <v>8267</v>
      </c>
      <c r="B8268">
        <f>TEXT(8267, "[$-170000]yyyy-mm-dd")</f>
        <v/>
      </c>
      <c r="C8268">
        <f>TEXT(8267, "[$-060000]yyyy-mm-dd")</f>
        <v/>
      </c>
      <c r="D8268" t="inlineStr">
        <is>
          <t>1340-12-26</t>
        </is>
      </c>
    </row>
    <row r="8269">
      <c r="A8269" s="1" t="n">
        <v>8268</v>
      </c>
      <c r="B8269">
        <f>TEXT(8268, "[$-170000]yyyy-mm-dd")</f>
        <v/>
      </c>
      <c r="C8269">
        <f>TEXT(8268, "[$-060000]yyyy-mm-dd")</f>
        <v/>
      </c>
      <c r="D8269" t="inlineStr">
        <is>
          <t>1340-12-27</t>
        </is>
      </c>
    </row>
    <row r="8270">
      <c r="A8270" s="1" t="n">
        <v>8269</v>
      </c>
      <c r="B8270">
        <f>TEXT(8269, "[$-170000]yyyy-mm-dd")</f>
        <v/>
      </c>
      <c r="C8270">
        <f>TEXT(8269, "[$-060000]yyyy-mm-dd")</f>
        <v/>
      </c>
      <c r="D8270" t="inlineStr">
        <is>
          <t>1340-12-28</t>
        </is>
      </c>
    </row>
    <row r="8271">
      <c r="A8271" s="1" t="n">
        <v>8270</v>
      </c>
      <c r="B8271">
        <f>TEXT(8270, "[$-170000]yyyy-mm-dd")</f>
        <v/>
      </c>
      <c r="C8271">
        <f>TEXT(8270, "[$-060000]yyyy-mm-dd")</f>
        <v/>
      </c>
      <c r="D8271" t="inlineStr">
        <is>
          <t>1340-12-29</t>
        </is>
      </c>
    </row>
    <row r="8272">
      <c r="A8272" s="1" t="n">
        <v>8271</v>
      </c>
      <c r="B8272">
        <f>TEXT(8271, "[$-170000]yyyy-mm-dd")</f>
        <v/>
      </c>
      <c r="C8272">
        <f>TEXT(8271, "[$-060000]yyyy-mm-dd")</f>
        <v/>
      </c>
      <c r="D8272" t="inlineStr">
        <is>
          <t>1341-01-01</t>
        </is>
      </c>
    </row>
    <row r="8273">
      <c r="A8273" s="1" t="n">
        <v>8272</v>
      </c>
      <c r="B8273">
        <f>TEXT(8272, "[$-170000]yyyy-mm-dd")</f>
        <v/>
      </c>
      <c r="C8273">
        <f>TEXT(8272, "[$-060000]yyyy-mm-dd")</f>
        <v/>
      </c>
      <c r="D8273" t="inlineStr">
        <is>
          <t>1341-01-02</t>
        </is>
      </c>
    </row>
    <row r="8274">
      <c r="A8274" s="1" t="n">
        <v>8273</v>
      </c>
      <c r="B8274">
        <f>TEXT(8273, "[$-170000]yyyy-mm-dd")</f>
        <v/>
      </c>
      <c r="C8274">
        <f>TEXT(8273, "[$-060000]yyyy-mm-dd")</f>
        <v/>
      </c>
      <c r="D8274" t="inlineStr">
        <is>
          <t>1341-01-03</t>
        </is>
      </c>
    </row>
    <row r="8275">
      <c r="A8275" s="1" t="n">
        <v>8274</v>
      </c>
      <c r="B8275">
        <f>TEXT(8274, "[$-170000]yyyy-mm-dd")</f>
        <v/>
      </c>
      <c r="C8275">
        <f>TEXT(8274, "[$-060000]yyyy-mm-dd")</f>
        <v/>
      </c>
      <c r="D8275" t="inlineStr">
        <is>
          <t>1341-01-04</t>
        </is>
      </c>
    </row>
    <row r="8276">
      <c r="A8276" s="1" t="n">
        <v>8275</v>
      </c>
      <c r="B8276">
        <f>TEXT(8275, "[$-170000]yyyy-mm-dd")</f>
        <v/>
      </c>
      <c r="C8276">
        <f>TEXT(8275, "[$-060000]yyyy-mm-dd")</f>
        <v/>
      </c>
      <c r="D8276" t="inlineStr">
        <is>
          <t>1341-01-05</t>
        </is>
      </c>
    </row>
    <row r="8277">
      <c r="A8277" s="1" t="n">
        <v>8276</v>
      </c>
      <c r="B8277">
        <f>TEXT(8276, "[$-170000]yyyy-mm-dd")</f>
        <v/>
      </c>
      <c r="C8277">
        <f>TEXT(8276, "[$-060000]yyyy-mm-dd")</f>
        <v/>
      </c>
      <c r="D8277" t="inlineStr">
        <is>
          <t>1341-01-06</t>
        </is>
      </c>
    </row>
    <row r="8278">
      <c r="A8278" s="1" t="n">
        <v>8277</v>
      </c>
      <c r="B8278">
        <f>TEXT(8277, "[$-170000]yyyy-mm-dd")</f>
        <v/>
      </c>
      <c r="C8278">
        <f>TEXT(8277, "[$-060000]yyyy-mm-dd")</f>
        <v/>
      </c>
      <c r="D8278" t="inlineStr">
        <is>
          <t>1341-01-07</t>
        </is>
      </c>
    </row>
    <row r="8279">
      <c r="A8279" s="1" t="n">
        <v>8278</v>
      </c>
      <c r="B8279">
        <f>TEXT(8278, "[$-170000]yyyy-mm-dd")</f>
        <v/>
      </c>
      <c r="C8279">
        <f>TEXT(8278, "[$-060000]yyyy-mm-dd")</f>
        <v/>
      </c>
      <c r="D8279" t="inlineStr">
        <is>
          <t>1341-01-08</t>
        </is>
      </c>
    </row>
    <row r="8280">
      <c r="A8280" s="1" t="n">
        <v>8279</v>
      </c>
      <c r="B8280">
        <f>TEXT(8279, "[$-170000]yyyy-mm-dd")</f>
        <v/>
      </c>
      <c r="C8280">
        <f>TEXT(8279, "[$-060000]yyyy-mm-dd")</f>
        <v/>
      </c>
      <c r="D8280" t="inlineStr">
        <is>
          <t>1341-01-09</t>
        </is>
      </c>
    </row>
    <row r="8281">
      <c r="A8281" s="1" t="n">
        <v>8280</v>
      </c>
      <c r="B8281">
        <f>TEXT(8280, "[$-170000]yyyy-mm-dd")</f>
        <v/>
      </c>
      <c r="C8281">
        <f>TEXT(8280, "[$-060000]yyyy-mm-dd")</f>
        <v/>
      </c>
      <c r="D8281" t="inlineStr">
        <is>
          <t>1341-01-10</t>
        </is>
      </c>
    </row>
    <row r="8282">
      <c r="A8282" s="1" t="n">
        <v>8281</v>
      </c>
      <c r="B8282">
        <f>TEXT(8281, "[$-170000]yyyy-mm-dd")</f>
        <v/>
      </c>
      <c r="C8282">
        <f>TEXT(8281, "[$-060000]yyyy-mm-dd")</f>
        <v/>
      </c>
      <c r="D8282" t="inlineStr">
        <is>
          <t>1341-01-11</t>
        </is>
      </c>
    </row>
    <row r="8283">
      <c r="A8283" s="1" t="n">
        <v>8282</v>
      </c>
      <c r="B8283">
        <f>TEXT(8282, "[$-170000]yyyy-mm-dd")</f>
        <v/>
      </c>
      <c r="C8283">
        <f>TEXT(8282, "[$-060000]yyyy-mm-dd")</f>
        <v/>
      </c>
      <c r="D8283" t="inlineStr">
        <is>
          <t>1341-01-12</t>
        </is>
      </c>
    </row>
    <row r="8284">
      <c r="A8284" s="1" t="n">
        <v>8283</v>
      </c>
      <c r="B8284">
        <f>TEXT(8283, "[$-170000]yyyy-mm-dd")</f>
        <v/>
      </c>
      <c r="C8284">
        <f>TEXT(8283, "[$-060000]yyyy-mm-dd")</f>
        <v/>
      </c>
      <c r="D8284" t="inlineStr">
        <is>
          <t>1341-01-13</t>
        </is>
      </c>
    </row>
    <row r="8285">
      <c r="A8285" s="1" t="n">
        <v>8284</v>
      </c>
      <c r="B8285">
        <f>TEXT(8284, "[$-170000]yyyy-mm-dd")</f>
        <v/>
      </c>
      <c r="C8285">
        <f>TEXT(8284, "[$-060000]yyyy-mm-dd")</f>
        <v/>
      </c>
      <c r="D8285" t="inlineStr">
        <is>
          <t>1341-01-14</t>
        </is>
      </c>
    </row>
    <row r="8286">
      <c r="A8286" s="1" t="n">
        <v>8285</v>
      </c>
      <c r="B8286">
        <f>TEXT(8285, "[$-170000]yyyy-mm-dd")</f>
        <v/>
      </c>
      <c r="C8286">
        <f>TEXT(8285, "[$-060000]yyyy-mm-dd")</f>
        <v/>
      </c>
      <c r="D8286" t="inlineStr">
        <is>
          <t>1341-01-15</t>
        </is>
      </c>
    </row>
    <row r="8287">
      <c r="A8287" s="1" t="n">
        <v>8286</v>
      </c>
      <c r="B8287">
        <f>TEXT(8286, "[$-170000]yyyy-mm-dd")</f>
        <v/>
      </c>
      <c r="C8287">
        <f>TEXT(8286, "[$-060000]yyyy-mm-dd")</f>
        <v/>
      </c>
      <c r="D8287" t="inlineStr">
        <is>
          <t>1341-01-16</t>
        </is>
      </c>
    </row>
    <row r="8288">
      <c r="A8288" s="1" t="n">
        <v>8287</v>
      </c>
      <c r="B8288">
        <f>TEXT(8287, "[$-170000]yyyy-mm-dd")</f>
        <v/>
      </c>
      <c r="C8288">
        <f>TEXT(8287, "[$-060000]yyyy-mm-dd")</f>
        <v/>
      </c>
      <c r="D8288" t="inlineStr">
        <is>
          <t>1341-01-17</t>
        </is>
      </c>
    </row>
    <row r="8289">
      <c r="A8289" s="1" t="n">
        <v>8288</v>
      </c>
      <c r="B8289">
        <f>TEXT(8288, "[$-170000]yyyy-mm-dd")</f>
        <v/>
      </c>
      <c r="C8289">
        <f>TEXT(8288, "[$-060000]yyyy-mm-dd")</f>
        <v/>
      </c>
      <c r="D8289" t="inlineStr">
        <is>
          <t>1341-01-18</t>
        </is>
      </c>
    </row>
    <row r="8290">
      <c r="A8290" s="1" t="n">
        <v>8289</v>
      </c>
      <c r="B8290">
        <f>TEXT(8289, "[$-170000]yyyy-mm-dd")</f>
        <v/>
      </c>
      <c r="C8290">
        <f>TEXT(8289, "[$-060000]yyyy-mm-dd")</f>
        <v/>
      </c>
      <c r="D8290" t="inlineStr">
        <is>
          <t>1341-01-19</t>
        </is>
      </c>
    </row>
    <row r="8291">
      <c r="A8291" s="1" t="n">
        <v>8290</v>
      </c>
      <c r="B8291">
        <f>TEXT(8290, "[$-170000]yyyy-mm-dd")</f>
        <v/>
      </c>
      <c r="C8291">
        <f>TEXT(8290, "[$-060000]yyyy-mm-dd")</f>
        <v/>
      </c>
      <c r="D8291" t="inlineStr">
        <is>
          <t>1341-01-20</t>
        </is>
      </c>
    </row>
    <row r="8292">
      <c r="A8292" s="1" t="n">
        <v>8291</v>
      </c>
      <c r="B8292">
        <f>TEXT(8291, "[$-170000]yyyy-mm-dd")</f>
        <v/>
      </c>
      <c r="C8292">
        <f>TEXT(8291, "[$-060000]yyyy-mm-dd")</f>
        <v/>
      </c>
      <c r="D8292" t="inlineStr">
        <is>
          <t>1341-01-21</t>
        </is>
      </c>
    </row>
    <row r="8293">
      <c r="A8293" s="1" t="n">
        <v>8292</v>
      </c>
      <c r="B8293">
        <f>TEXT(8292, "[$-170000]yyyy-mm-dd")</f>
        <v/>
      </c>
      <c r="C8293">
        <f>TEXT(8292, "[$-060000]yyyy-mm-dd")</f>
        <v/>
      </c>
      <c r="D8293" t="inlineStr">
        <is>
          <t>1341-01-22</t>
        </is>
      </c>
    </row>
    <row r="8294">
      <c r="A8294" s="1" t="n">
        <v>8293</v>
      </c>
      <c r="B8294">
        <f>TEXT(8293, "[$-170000]yyyy-mm-dd")</f>
        <v/>
      </c>
      <c r="C8294">
        <f>TEXT(8293, "[$-060000]yyyy-mm-dd")</f>
        <v/>
      </c>
      <c r="D8294" t="inlineStr">
        <is>
          <t>1341-01-23</t>
        </is>
      </c>
    </row>
    <row r="8295">
      <c r="A8295" s="1" t="n">
        <v>8294</v>
      </c>
      <c r="B8295">
        <f>TEXT(8294, "[$-170000]yyyy-mm-dd")</f>
        <v/>
      </c>
      <c r="C8295">
        <f>TEXT(8294, "[$-060000]yyyy-mm-dd")</f>
        <v/>
      </c>
      <c r="D8295" t="inlineStr">
        <is>
          <t>1341-01-24</t>
        </is>
      </c>
    </row>
    <row r="8296">
      <c r="A8296" s="1" t="n">
        <v>8295</v>
      </c>
      <c r="B8296">
        <f>TEXT(8295, "[$-170000]yyyy-mm-dd")</f>
        <v/>
      </c>
      <c r="C8296">
        <f>TEXT(8295, "[$-060000]yyyy-mm-dd")</f>
        <v/>
      </c>
      <c r="D8296" t="inlineStr">
        <is>
          <t>1341-01-25</t>
        </is>
      </c>
    </row>
    <row r="8297">
      <c r="A8297" s="1" t="n">
        <v>8296</v>
      </c>
      <c r="B8297">
        <f>TEXT(8296, "[$-170000]yyyy-mm-dd")</f>
        <v/>
      </c>
      <c r="C8297">
        <f>TEXT(8296, "[$-060000]yyyy-mm-dd")</f>
        <v/>
      </c>
      <c r="D8297" t="inlineStr">
        <is>
          <t>1341-01-26</t>
        </is>
      </c>
    </row>
    <row r="8298">
      <c r="A8298" s="1" t="n">
        <v>8297</v>
      </c>
      <c r="B8298">
        <f>TEXT(8297, "[$-170000]yyyy-mm-dd")</f>
        <v/>
      </c>
      <c r="C8298">
        <f>TEXT(8297, "[$-060000]yyyy-mm-dd")</f>
        <v/>
      </c>
      <c r="D8298" t="inlineStr">
        <is>
          <t>1341-01-27</t>
        </is>
      </c>
    </row>
    <row r="8299">
      <c r="A8299" s="1" t="n">
        <v>8298</v>
      </c>
      <c r="B8299">
        <f>TEXT(8298, "[$-170000]yyyy-mm-dd")</f>
        <v/>
      </c>
      <c r="C8299">
        <f>TEXT(8298, "[$-060000]yyyy-mm-dd")</f>
        <v/>
      </c>
      <c r="D8299" t="inlineStr">
        <is>
          <t>1341-01-28</t>
        </is>
      </c>
    </row>
    <row r="8300">
      <c r="A8300" s="1" t="n">
        <v>8299</v>
      </c>
      <c r="B8300">
        <f>TEXT(8299, "[$-170000]yyyy-mm-dd")</f>
        <v/>
      </c>
      <c r="C8300">
        <f>TEXT(8299, "[$-060000]yyyy-mm-dd")</f>
        <v/>
      </c>
      <c r="D8300" t="inlineStr">
        <is>
          <t>1341-01-29</t>
        </is>
      </c>
    </row>
    <row r="8301">
      <c r="A8301" s="1" t="n">
        <v>8300</v>
      </c>
      <c r="B8301">
        <f>TEXT(8300, "[$-170000]yyyy-mm-dd")</f>
        <v/>
      </c>
      <c r="C8301">
        <f>TEXT(8300, "[$-060000]yyyy-mm-dd")</f>
        <v/>
      </c>
      <c r="D8301" t="inlineStr">
        <is>
          <t>1341-01-30</t>
        </is>
      </c>
    </row>
    <row r="8302">
      <c r="A8302" s="1" t="n">
        <v>8301</v>
      </c>
      <c r="B8302">
        <f>TEXT(8301, "[$-170000]yyyy-mm-dd")</f>
        <v/>
      </c>
      <c r="C8302">
        <f>TEXT(8301, "[$-060000]yyyy-mm-dd")</f>
        <v/>
      </c>
      <c r="D8302" t="inlineStr">
        <is>
          <t>1341-02-01</t>
        </is>
      </c>
    </row>
    <row r="8303">
      <c r="A8303" s="1" t="n">
        <v>8302</v>
      </c>
      <c r="B8303">
        <f>TEXT(8302, "[$-170000]yyyy-mm-dd")</f>
        <v/>
      </c>
      <c r="C8303">
        <f>TEXT(8302, "[$-060000]yyyy-mm-dd")</f>
        <v/>
      </c>
      <c r="D8303" t="inlineStr">
        <is>
          <t>1341-02-02</t>
        </is>
      </c>
    </row>
    <row r="8304">
      <c r="A8304" s="1" t="n">
        <v>8303</v>
      </c>
      <c r="B8304">
        <f>TEXT(8303, "[$-170000]yyyy-mm-dd")</f>
        <v/>
      </c>
      <c r="C8304">
        <f>TEXT(8303, "[$-060000]yyyy-mm-dd")</f>
        <v/>
      </c>
      <c r="D8304" t="inlineStr">
        <is>
          <t>1341-02-03</t>
        </is>
      </c>
    </row>
    <row r="8305">
      <c r="A8305" s="1" t="n">
        <v>8304</v>
      </c>
      <c r="B8305">
        <f>TEXT(8304, "[$-170000]yyyy-mm-dd")</f>
        <v/>
      </c>
      <c r="C8305">
        <f>TEXT(8304, "[$-060000]yyyy-mm-dd")</f>
        <v/>
      </c>
      <c r="D8305" t="inlineStr">
        <is>
          <t>1341-02-04</t>
        </is>
      </c>
    </row>
    <row r="8306">
      <c r="A8306" s="1" t="n">
        <v>8305</v>
      </c>
      <c r="B8306">
        <f>TEXT(8305, "[$-170000]yyyy-mm-dd")</f>
        <v/>
      </c>
      <c r="C8306">
        <f>TEXT(8305, "[$-060000]yyyy-mm-dd")</f>
        <v/>
      </c>
      <c r="D8306" t="inlineStr">
        <is>
          <t>1341-02-05</t>
        </is>
      </c>
    </row>
    <row r="8307">
      <c r="A8307" s="1" t="n">
        <v>8306</v>
      </c>
      <c r="B8307">
        <f>TEXT(8306, "[$-170000]yyyy-mm-dd")</f>
        <v/>
      </c>
      <c r="C8307">
        <f>TEXT(8306, "[$-060000]yyyy-mm-dd")</f>
        <v/>
      </c>
      <c r="D8307" t="inlineStr">
        <is>
          <t>1341-02-06</t>
        </is>
      </c>
    </row>
    <row r="8308">
      <c r="A8308" s="1" t="n">
        <v>8307</v>
      </c>
      <c r="B8308">
        <f>TEXT(8307, "[$-170000]yyyy-mm-dd")</f>
        <v/>
      </c>
      <c r="C8308">
        <f>TEXT(8307, "[$-060000]yyyy-mm-dd")</f>
        <v/>
      </c>
      <c r="D8308" t="inlineStr">
        <is>
          <t>1341-02-07</t>
        </is>
      </c>
    </row>
    <row r="8309">
      <c r="A8309" s="1" t="n">
        <v>8308</v>
      </c>
      <c r="B8309">
        <f>TEXT(8308, "[$-170000]yyyy-mm-dd")</f>
        <v/>
      </c>
      <c r="C8309">
        <f>TEXT(8308, "[$-060000]yyyy-mm-dd")</f>
        <v/>
      </c>
      <c r="D8309" t="inlineStr">
        <is>
          <t>1341-02-08</t>
        </is>
      </c>
    </row>
    <row r="8310">
      <c r="A8310" s="1" t="n">
        <v>8309</v>
      </c>
      <c r="B8310">
        <f>TEXT(8309, "[$-170000]yyyy-mm-dd")</f>
        <v/>
      </c>
      <c r="C8310">
        <f>TEXT(8309, "[$-060000]yyyy-mm-dd")</f>
        <v/>
      </c>
      <c r="D8310" t="inlineStr">
        <is>
          <t>1341-02-09</t>
        </is>
      </c>
    </row>
    <row r="8311">
      <c r="A8311" s="1" t="n">
        <v>8310</v>
      </c>
      <c r="B8311">
        <f>TEXT(8310, "[$-170000]yyyy-mm-dd")</f>
        <v/>
      </c>
      <c r="C8311">
        <f>TEXT(8310, "[$-060000]yyyy-mm-dd")</f>
        <v/>
      </c>
      <c r="D8311" t="inlineStr">
        <is>
          <t>1341-02-10</t>
        </is>
      </c>
    </row>
    <row r="8312">
      <c r="A8312" s="1" t="n">
        <v>8311</v>
      </c>
      <c r="B8312">
        <f>TEXT(8311, "[$-170000]yyyy-mm-dd")</f>
        <v/>
      </c>
      <c r="C8312">
        <f>TEXT(8311, "[$-060000]yyyy-mm-dd")</f>
        <v/>
      </c>
      <c r="D8312" t="inlineStr">
        <is>
          <t>1341-02-11</t>
        </is>
      </c>
    </row>
    <row r="8313">
      <c r="A8313" s="1" t="n">
        <v>8312</v>
      </c>
      <c r="B8313">
        <f>TEXT(8312, "[$-170000]yyyy-mm-dd")</f>
        <v/>
      </c>
      <c r="C8313">
        <f>TEXT(8312, "[$-060000]yyyy-mm-dd")</f>
        <v/>
      </c>
      <c r="D8313" t="inlineStr">
        <is>
          <t>1341-02-12</t>
        </is>
      </c>
    </row>
    <row r="8314">
      <c r="A8314" s="1" t="n">
        <v>8313</v>
      </c>
      <c r="B8314">
        <f>TEXT(8313, "[$-170000]yyyy-mm-dd")</f>
        <v/>
      </c>
      <c r="C8314">
        <f>TEXT(8313, "[$-060000]yyyy-mm-dd")</f>
        <v/>
      </c>
      <c r="D8314" t="inlineStr">
        <is>
          <t>1341-02-13</t>
        </is>
      </c>
    </row>
    <row r="8315">
      <c r="A8315" s="1" t="n">
        <v>8314</v>
      </c>
      <c r="B8315">
        <f>TEXT(8314, "[$-170000]yyyy-mm-dd")</f>
        <v/>
      </c>
      <c r="C8315">
        <f>TEXT(8314, "[$-060000]yyyy-mm-dd")</f>
        <v/>
      </c>
      <c r="D8315" t="inlineStr">
        <is>
          <t>1341-02-14</t>
        </is>
      </c>
    </row>
    <row r="8316">
      <c r="A8316" s="1" t="n">
        <v>8315</v>
      </c>
      <c r="B8316">
        <f>TEXT(8315, "[$-170000]yyyy-mm-dd")</f>
        <v/>
      </c>
      <c r="C8316">
        <f>TEXT(8315, "[$-060000]yyyy-mm-dd")</f>
        <v/>
      </c>
      <c r="D8316" t="inlineStr">
        <is>
          <t>1341-02-15</t>
        </is>
      </c>
    </row>
    <row r="8317">
      <c r="A8317" s="1" t="n">
        <v>8316</v>
      </c>
      <c r="B8317">
        <f>TEXT(8316, "[$-170000]yyyy-mm-dd")</f>
        <v/>
      </c>
      <c r="C8317">
        <f>TEXT(8316, "[$-060000]yyyy-mm-dd")</f>
        <v/>
      </c>
      <c r="D8317" t="inlineStr">
        <is>
          <t>1341-02-16</t>
        </is>
      </c>
    </row>
    <row r="8318">
      <c r="A8318" s="1" t="n">
        <v>8317</v>
      </c>
      <c r="B8318">
        <f>TEXT(8317, "[$-170000]yyyy-mm-dd")</f>
        <v/>
      </c>
      <c r="C8318">
        <f>TEXT(8317, "[$-060000]yyyy-mm-dd")</f>
        <v/>
      </c>
      <c r="D8318" t="inlineStr">
        <is>
          <t>1341-02-17</t>
        </is>
      </c>
    </row>
    <row r="8319">
      <c r="A8319" s="1" t="n">
        <v>8318</v>
      </c>
      <c r="B8319">
        <f>TEXT(8318, "[$-170000]yyyy-mm-dd")</f>
        <v/>
      </c>
      <c r="C8319">
        <f>TEXT(8318, "[$-060000]yyyy-mm-dd")</f>
        <v/>
      </c>
      <c r="D8319" t="inlineStr">
        <is>
          <t>1341-02-18</t>
        </is>
      </c>
    </row>
    <row r="8320">
      <c r="A8320" s="1" t="n">
        <v>8319</v>
      </c>
      <c r="B8320">
        <f>TEXT(8319, "[$-170000]yyyy-mm-dd")</f>
        <v/>
      </c>
      <c r="C8320">
        <f>TEXT(8319, "[$-060000]yyyy-mm-dd")</f>
        <v/>
      </c>
      <c r="D8320" t="inlineStr">
        <is>
          <t>1341-02-19</t>
        </is>
      </c>
    </row>
    <row r="8321">
      <c r="A8321" s="1" t="n">
        <v>8320</v>
      </c>
      <c r="B8321">
        <f>TEXT(8320, "[$-170000]yyyy-mm-dd")</f>
        <v/>
      </c>
      <c r="C8321">
        <f>TEXT(8320, "[$-060000]yyyy-mm-dd")</f>
        <v/>
      </c>
      <c r="D8321" t="inlineStr">
        <is>
          <t>1341-02-20</t>
        </is>
      </c>
    </row>
    <row r="8322">
      <c r="A8322" s="1" t="n">
        <v>8321</v>
      </c>
      <c r="B8322">
        <f>TEXT(8321, "[$-170000]yyyy-mm-dd")</f>
        <v/>
      </c>
      <c r="C8322">
        <f>TEXT(8321, "[$-060000]yyyy-mm-dd")</f>
        <v/>
      </c>
      <c r="D8322" t="inlineStr">
        <is>
          <t>1341-02-21</t>
        </is>
      </c>
    </row>
    <row r="8323">
      <c r="A8323" s="1" t="n">
        <v>8322</v>
      </c>
      <c r="B8323">
        <f>TEXT(8322, "[$-170000]yyyy-mm-dd")</f>
        <v/>
      </c>
      <c r="C8323">
        <f>TEXT(8322, "[$-060000]yyyy-mm-dd")</f>
        <v/>
      </c>
      <c r="D8323" t="inlineStr">
        <is>
          <t>1341-02-22</t>
        </is>
      </c>
    </row>
    <row r="8324">
      <c r="A8324" s="1" t="n">
        <v>8323</v>
      </c>
      <c r="B8324">
        <f>TEXT(8323, "[$-170000]yyyy-mm-dd")</f>
        <v/>
      </c>
      <c r="C8324">
        <f>TEXT(8323, "[$-060000]yyyy-mm-dd")</f>
        <v/>
      </c>
      <c r="D8324" t="inlineStr">
        <is>
          <t>1341-02-23</t>
        </is>
      </c>
    </row>
    <row r="8325">
      <c r="A8325" s="1" t="n">
        <v>8324</v>
      </c>
      <c r="B8325">
        <f>TEXT(8324, "[$-170000]yyyy-mm-dd")</f>
        <v/>
      </c>
      <c r="C8325">
        <f>TEXT(8324, "[$-060000]yyyy-mm-dd")</f>
        <v/>
      </c>
      <c r="D8325" t="inlineStr">
        <is>
          <t>1341-02-24</t>
        </is>
      </c>
    </row>
    <row r="8326">
      <c r="A8326" s="1" t="n">
        <v>8325</v>
      </c>
      <c r="B8326">
        <f>TEXT(8325, "[$-170000]yyyy-mm-dd")</f>
        <v/>
      </c>
      <c r="C8326">
        <f>TEXT(8325, "[$-060000]yyyy-mm-dd")</f>
        <v/>
      </c>
      <c r="D8326" t="inlineStr">
        <is>
          <t>1341-02-25</t>
        </is>
      </c>
    </row>
    <row r="8327">
      <c r="A8327" s="1" t="n">
        <v>8326</v>
      </c>
      <c r="B8327">
        <f>TEXT(8326, "[$-170000]yyyy-mm-dd")</f>
        <v/>
      </c>
      <c r="C8327">
        <f>TEXT(8326, "[$-060000]yyyy-mm-dd")</f>
        <v/>
      </c>
      <c r="D8327" t="inlineStr">
        <is>
          <t>1341-02-26</t>
        </is>
      </c>
    </row>
    <row r="8328">
      <c r="A8328" s="1" t="n">
        <v>8327</v>
      </c>
      <c r="B8328">
        <f>TEXT(8327, "[$-170000]yyyy-mm-dd")</f>
        <v/>
      </c>
      <c r="C8328">
        <f>TEXT(8327, "[$-060000]yyyy-mm-dd")</f>
        <v/>
      </c>
      <c r="D8328" t="inlineStr">
        <is>
          <t>1341-02-27</t>
        </is>
      </c>
    </row>
    <row r="8329">
      <c r="A8329" s="1" t="n">
        <v>8328</v>
      </c>
      <c r="B8329">
        <f>TEXT(8328, "[$-170000]yyyy-mm-dd")</f>
        <v/>
      </c>
      <c r="C8329">
        <f>TEXT(8328, "[$-060000]yyyy-mm-dd")</f>
        <v/>
      </c>
      <c r="D8329" t="inlineStr">
        <is>
          <t>1341-02-28</t>
        </is>
      </c>
    </row>
    <row r="8330">
      <c r="A8330" s="1" t="n">
        <v>8329</v>
      </c>
      <c r="B8330">
        <f>TEXT(8329, "[$-170000]yyyy-mm-dd")</f>
        <v/>
      </c>
      <c r="C8330">
        <f>TEXT(8329, "[$-060000]yyyy-mm-dd")</f>
        <v/>
      </c>
      <c r="D8330" t="inlineStr">
        <is>
          <t>1341-02-29</t>
        </is>
      </c>
    </row>
    <row r="8331">
      <c r="A8331" s="1" t="n">
        <v>8330</v>
      </c>
      <c r="B8331">
        <f>TEXT(8330, "[$-170000]yyyy-mm-dd")</f>
        <v/>
      </c>
      <c r="C8331">
        <f>TEXT(8330, "[$-060000]yyyy-mm-dd")</f>
        <v/>
      </c>
      <c r="D8331" t="inlineStr">
        <is>
          <t>1341-03-01</t>
        </is>
      </c>
    </row>
    <row r="8332">
      <c r="A8332" s="1" t="n">
        <v>8331</v>
      </c>
      <c r="B8332">
        <f>TEXT(8331, "[$-170000]yyyy-mm-dd")</f>
        <v/>
      </c>
      <c r="C8332">
        <f>TEXT(8331, "[$-060000]yyyy-mm-dd")</f>
        <v/>
      </c>
      <c r="D8332" t="inlineStr">
        <is>
          <t>1341-03-02</t>
        </is>
      </c>
    </row>
    <row r="8333">
      <c r="A8333" s="1" t="n">
        <v>8332</v>
      </c>
      <c r="B8333">
        <f>TEXT(8332, "[$-170000]yyyy-mm-dd")</f>
        <v/>
      </c>
      <c r="C8333">
        <f>TEXT(8332, "[$-060000]yyyy-mm-dd")</f>
        <v/>
      </c>
      <c r="D8333" t="inlineStr">
        <is>
          <t>1341-03-03</t>
        </is>
      </c>
    </row>
    <row r="8334">
      <c r="A8334" s="1" t="n">
        <v>8333</v>
      </c>
      <c r="B8334">
        <f>TEXT(8333, "[$-170000]yyyy-mm-dd")</f>
        <v/>
      </c>
      <c r="C8334">
        <f>TEXT(8333, "[$-060000]yyyy-mm-dd")</f>
        <v/>
      </c>
      <c r="D8334" t="inlineStr">
        <is>
          <t>1341-03-04</t>
        </is>
      </c>
    </row>
    <row r="8335">
      <c r="A8335" s="1" t="n">
        <v>8334</v>
      </c>
      <c r="B8335">
        <f>TEXT(8334, "[$-170000]yyyy-mm-dd")</f>
        <v/>
      </c>
      <c r="C8335">
        <f>TEXT(8334, "[$-060000]yyyy-mm-dd")</f>
        <v/>
      </c>
      <c r="D8335" t="inlineStr">
        <is>
          <t>1341-03-05</t>
        </is>
      </c>
    </row>
    <row r="8336">
      <c r="A8336" s="1" t="n">
        <v>8335</v>
      </c>
      <c r="B8336">
        <f>TEXT(8335, "[$-170000]yyyy-mm-dd")</f>
        <v/>
      </c>
      <c r="C8336">
        <f>TEXT(8335, "[$-060000]yyyy-mm-dd")</f>
        <v/>
      </c>
      <c r="D8336" t="inlineStr">
        <is>
          <t>1341-03-06</t>
        </is>
      </c>
    </row>
    <row r="8337">
      <c r="A8337" s="1" t="n">
        <v>8336</v>
      </c>
      <c r="B8337">
        <f>TEXT(8336, "[$-170000]yyyy-mm-dd")</f>
        <v/>
      </c>
      <c r="C8337">
        <f>TEXT(8336, "[$-060000]yyyy-mm-dd")</f>
        <v/>
      </c>
      <c r="D8337" t="inlineStr">
        <is>
          <t>1341-03-07</t>
        </is>
      </c>
    </row>
    <row r="8338">
      <c r="A8338" s="1" t="n">
        <v>8337</v>
      </c>
      <c r="B8338">
        <f>TEXT(8337, "[$-170000]yyyy-mm-dd")</f>
        <v/>
      </c>
      <c r="C8338">
        <f>TEXT(8337, "[$-060000]yyyy-mm-dd")</f>
        <v/>
      </c>
      <c r="D8338" t="inlineStr">
        <is>
          <t>1341-03-08</t>
        </is>
      </c>
    </row>
    <row r="8339">
      <c r="A8339" s="1" t="n">
        <v>8338</v>
      </c>
      <c r="B8339">
        <f>TEXT(8338, "[$-170000]yyyy-mm-dd")</f>
        <v/>
      </c>
      <c r="C8339">
        <f>TEXT(8338, "[$-060000]yyyy-mm-dd")</f>
        <v/>
      </c>
      <c r="D8339" t="inlineStr">
        <is>
          <t>1341-03-09</t>
        </is>
      </c>
    </row>
    <row r="8340">
      <c r="A8340" s="1" t="n">
        <v>8339</v>
      </c>
      <c r="B8340">
        <f>TEXT(8339, "[$-170000]yyyy-mm-dd")</f>
        <v/>
      </c>
      <c r="C8340">
        <f>TEXT(8339, "[$-060000]yyyy-mm-dd")</f>
        <v/>
      </c>
      <c r="D8340" t="inlineStr">
        <is>
          <t>1341-03-10</t>
        </is>
      </c>
    </row>
    <row r="8341">
      <c r="A8341" s="1" t="n">
        <v>8340</v>
      </c>
      <c r="B8341">
        <f>TEXT(8340, "[$-170000]yyyy-mm-dd")</f>
        <v/>
      </c>
      <c r="C8341">
        <f>TEXT(8340, "[$-060000]yyyy-mm-dd")</f>
        <v/>
      </c>
      <c r="D8341" t="inlineStr">
        <is>
          <t>1341-03-11</t>
        </is>
      </c>
    </row>
    <row r="8342">
      <c r="A8342" s="1" t="n">
        <v>8341</v>
      </c>
      <c r="B8342">
        <f>TEXT(8341, "[$-170000]yyyy-mm-dd")</f>
        <v/>
      </c>
      <c r="C8342">
        <f>TEXT(8341, "[$-060000]yyyy-mm-dd")</f>
        <v/>
      </c>
      <c r="D8342" t="inlineStr">
        <is>
          <t>1341-03-12</t>
        </is>
      </c>
    </row>
    <row r="8343">
      <c r="A8343" s="1" t="n">
        <v>8342</v>
      </c>
      <c r="B8343">
        <f>TEXT(8342, "[$-170000]yyyy-mm-dd")</f>
        <v/>
      </c>
      <c r="C8343">
        <f>TEXT(8342, "[$-060000]yyyy-mm-dd")</f>
        <v/>
      </c>
      <c r="D8343" t="inlineStr">
        <is>
          <t>1341-03-13</t>
        </is>
      </c>
    </row>
    <row r="8344">
      <c r="A8344" s="1" t="n">
        <v>8343</v>
      </c>
      <c r="B8344">
        <f>TEXT(8343, "[$-170000]yyyy-mm-dd")</f>
        <v/>
      </c>
      <c r="C8344">
        <f>TEXT(8343, "[$-060000]yyyy-mm-dd")</f>
        <v/>
      </c>
      <c r="D8344" t="inlineStr">
        <is>
          <t>1341-03-14</t>
        </is>
      </c>
    </row>
    <row r="8345">
      <c r="A8345" s="1" t="n">
        <v>8344</v>
      </c>
      <c r="B8345">
        <f>TEXT(8344, "[$-170000]yyyy-mm-dd")</f>
        <v/>
      </c>
      <c r="C8345">
        <f>TEXT(8344, "[$-060000]yyyy-mm-dd")</f>
        <v/>
      </c>
      <c r="D8345" t="inlineStr">
        <is>
          <t>1341-03-15</t>
        </is>
      </c>
    </row>
    <row r="8346">
      <c r="A8346" s="1" t="n">
        <v>8345</v>
      </c>
      <c r="B8346">
        <f>TEXT(8345, "[$-170000]yyyy-mm-dd")</f>
        <v/>
      </c>
      <c r="C8346">
        <f>TEXT(8345, "[$-060000]yyyy-mm-dd")</f>
        <v/>
      </c>
      <c r="D8346" t="inlineStr">
        <is>
          <t>1341-03-16</t>
        </is>
      </c>
    </row>
    <row r="8347">
      <c r="A8347" s="1" t="n">
        <v>8346</v>
      </c>
      <c r="B8347">
        <f>TEXT(8346, "[$-170000]yyyy-mm-dd")</f>
        <v/>
      </c>
      <c r="C8347">
        <f>TEXT(8346, "[$-060000]yyyy-mm-dd")</f>
        <v/>
      </c>
      <c r="D8347" t="inlineStr">
        <is>
          <t>1341-03-17</t>
        </is>
      </c>
    </row>
    <row r="8348">
      <c r="A8348" s="1" t="n">
        <v>8347</v>
      </c>
      <c r="B8348">
        <f>TEXT(8347, "[$-170000]yyyy-mm-dd")</f>
        <v/>
      </c>
      <c r="C8348">
        <f>TEXT(8347, "[$-060000]yyyy-mm-dd")</f>
        <v/>
      </c>
      <c r="D8348" t="inlineStr">
        <is>
          <t>1341-03-18</t>
        </is>
      </c>
    </row>
    <row r="8349">
      <c r="A8349" s="1" t="n">
        <v>8348</v>
      </c>
      <c r="B8349">
        <f>TEXT(8348, "[$-170000]yyyy-mm-dd")</f>
        <v/>
      </c>
      <c r="C8349">
        <f>TEXT(8348, "[$-060000]yyyy-mm-dd")</f>
        <v/>
      </c>
      <c r="D8349" t="inlineStr">
        <is>
          <t>1341-03-19</t>
        </is>
      </c>
    </row>
    <row r="8350">
      <c r="A8350" s="1" t="n">
        <v>8349</v>
      </c>
      <c r="B8350">
        <f>TEXT(8349, "[$-170000]yyyy-mm-dd")</f>
        <v/>
      </c>
      <c r="C8350">
        <f>TEXT(8349, "[$-060000]yyyy-mm-dd")</f>
        <v/>
      </c>
      <c r="D8350" t="inlineStr">
        <is>
          <t>1341-03-20</t>
        </is>
      </c>
    </row>
    <row r="8351">
      <c r="A8351" s="1" t="n">
        <v>8350</v>
      </c>
      <c r="B8351">
        <f>TEXT(8350, "[$-170000]yyyy-mm-dd")</f>
        <v/>
      </c>
      <c r="C8351">
        <f>TEXT(8350, "[$-060000]yyyy-mm-dd")</f>
        <v/>
      </c>
      <c r="D8351" t="inlineStr">
        <is>
          <t>1341-03-21</t>
        </is>
      </c>
    </row>
    <row r="8352">
      <c r="A8352" s="1" t="n">
        <v>8351</v>
      </c>
      <c r="B8352">
        <f>TEXT(8351, "[$-170000]yyyy-mm-dd")</f>
        <v/>
      </c>
      <c r="C8352">
        <f>TEXT(8351, "[$-060000]yyyy-mm-dd")</f>
        <v/>
      </c>
      <c r="D8352" t="inlineStr">
        <is>
          <t>1341-03-22</t>
        </is>
      </c>
    </row>
    <row r="8353">
      <c r="A8353" s="1" t="n">
        <v>8352</v>
      </c>
      <c r="B8353">
        <f>TEXT(8352, "[$-170000]yyyy-mm-dd")</f>
        <v/>
      </c>
      <c r="C8353">
        <f>TEXT(8352, "[$-060000]yyyy-mm-dd")</f>
        <v/>
      </c>
      <c r="D8353" t="inlineStr">
        <is>
          <t>1341-03-23</t>
        </is>
      </c>
    </row>
    <row r="8354">
      <c r="A8354" s="1" t="n">
        <v>8353</v>
      </c>
      <c r="B8354">
        <f>TEXT(8353, "[$-170000]yyyy-mm-dd")</f>
        <v/>
      </c>
      <c r="C8354">
        <f>TEXT(8353, "[$-060000]yyyy-mm-dd")</f>
        <v/>
      </c>
      <c r="D8354" t="inlineStr">
        <is>
          <t>1341-03-24</t>
        </is>
      </c>
    </row>
    <row r="8355">
      <c r="A8355" s="1" t="n">
        <v>8354</v>
      </c>
      <c r="B8355">
        <f>TEXT(8354, "[$-170000]yyyy-mm-dd")</f>
        <v/>
      </c>
      <c r="C8355">
        <f>TEXT(8354, "[$-060000]yyyy-mm-dd")</f>
        <v/>
      </c>
      <c r="D8355" t="inlineStr">
        <is>
          <t>1341-03-25</t>
        </is>
      </c>
    </row>
    <row r="8356">
      <c r="A8356" s="1" t="n">
        <v>8355</v>
      </c>
      <c r="B8356">
        <f>TEXT(8355, "[$-170000]yyyy-mm-dd")</f>
        <v/>
      </c>
      <c r="C8356">
        <f>TEXT(8355, "[$-060000]yyyy-mm-dd")</f>
        <v/>
      </c>
      <c r="D8356" t="inlineStr">
        <is>
          <t>1341-03-26</t>
        </is>
      </c>
    </row>
    <row r="8357">
      <c r="A8357" s="1" t="n">
        <v>8356</v>
      </c>
      <c r="B8357">
        <f>TEXT(8356, "[$-170000]yyyy-mm-dd")</f>
        <v/>
      </c>
      <c r="C8357">
        <f>TEXT(8356, "[$-060000]yyyy-mm-dd")</f>
        <v/>
      </c>
      <c r="D8357" t="inlineStr">
        <is>
          <t>1341-03-27</t>
        </is>
      </c>
    </row>
    <row r="8358">
      <c r="A8358" s="1" t="n">
        <v>8357</v>
      </c>
      <c r="B8358">
        <f>TEXT(8357, "[$-170000]yyyy-mm-dd")</f>
        <v/>
      </c>
      <c r="C8358">
        <f>TEXT(8357, "[$-060000]yyyy-mm-dd")</f>
        <v/>
      </c>
      <c r="D8358" t="inlineStr">
        <is>
          <t>1341-03-28</t>
        </is>
      </c>
    </row>
    <row r="8359">
      <c r="A8359" s="1" t="n">
        <v>8358</v>
      </c>
      <c r="B8359">
        <f>TEXT(8358, "[$-170000]yyyy-mm-dd")</f>
        <v/>
      </c>
      <c r="C8359">
        <f>TEXT(8358, "[$-060000]yyyy-mm-dd")</f>
        <v/>
      </c>
      <c r="D8359" t="inlineStr">
        <is>
          <t>1341-03-29</t>
        </is>
      </c>
    </row>
    <row r="8360">
      <c r="A8360" s="1" t="n">
        <v>8359</v>
      </c>
      <c r="B8360">
        <f>TEXT(8359, "[$-170000]yyyy-mm-dd")</f>
        <v/>
      </c>
      <c r="C8360">
        <f>TEXT(8359, "[$-060000]yyyy-mm-dd")</f>
        <v/>
      </c>
      <c r="D8360" t="inlineStr">
        <is>
          <t>1341-03-30</t>
        </is>
      </c>
    </row>
    <row r="8361">
      <c r="A8361" s="1" t="n">
        <v>8360</v>
      </c>
      <c r="B8361">
        <f>TEXT(8360, "[$-170000]yyyy-mm-dd")</f>
        <v/>
      </c>
      <c r="C8361">
        <f>TEXT(8360, "[$-060000]yyyy-mm-dd")</f>
        <v/>
      </c>
      <c r="D8361" t="inlineStr">
        <is>
          <t>1341-04-01</t>
        </is>
      </c>
    </row>
    <row r="8362">
      <c r="A8362" s="1" t="n">
        <v>8361</v>
      </c>
      <c r="B8362">
        <f>TEXT(8361, "[$-170000]yyyy-mm-dd")</f>
        <v/>
      </c>
      <c r="C8362">
        <f>TEXT(8361, "[$-060000]yyyy-mm-dd")</f>
        <v/>
      </c>
      <c r="D8362" t="inlineStr">
        <is>
          <t>1341-04-02</t>
        </is>
      </c>
    </row>
    <row r="8363">
      <c r="A8363" s="1" t="n">
        <v>8362</v>
      </c>
      <c r="B8363">
        <f>TEXT(8362, "[$-170000]yyyy-mm-dd")</f>
        <v/>
      </c>
      <c r="C8363">
        <f>TEXT(8362, "[$-060000]yyyy-mm-dd")</f>
        <v/>
      </c>
      <c r="D8363" t="inlineStr">
        <is>
          <t>1341-04-03</t>
        </is>
      </c>
    </row>
    <row r="8364">
      <c r="A8364" s="1" t="n">
        <v>8363</v>
      </c>
      <c r="B8364">
        <f>TEXT(8363, "[$-170000]yyyy-mm-dd")</f>
        <v/>
      </c>
      <c r="C8364">
        <f>TEXT(8363, "[$-060000]yyyy-mm-dd")</f>
        <v/>
      </c>
      <c r="D8364" t="inlineStr">
        <is>
          <t>1341-04-04</t>
        </is>
      </c>
    </row>
    <row r="8365">
      <c r="A8365" s="1" t="n">
        <v>8364</v>
      </c>
      <c r="B8365">
        <f>TEXT(8364, "[$-170000]yyyy-mm-dd")</f>
        <v/>
      </c>
      <c r="C8365">
        <f>TEXT(8364, "[$-060000]yyyy-mm-dd")</f>
        <v/>
      </c>
      <c r="D8365" t="inlineStr">
        <is>
          <t>1341-04-05</t>
        </is>
      </c>
    </row>
    <row r="8366">
      <c r="A8366" s="1" t="n">
        <v>8365</v>
      </c>
      <c r="B8366">
        <f>TEXT(8365, "[$-170000]yyyy-mm-dd")</f>
        <v/>
      </c>
      <c r="C8366">
        <f>TEXT(8365, "[$-060000]yyyy-mm-dd")</f>
        <v/>
      </c>
      <c r="D8366" t="inlineStr">
        <is>
          <t>1341-04-06</t>
        </is>
      </c>
    </row>
    <row r="8367">
      <c r="A8367" s="1" t="n">
        <v>8366</v>
      </c>
      <c r="B8367">
        <f>TEXT(8366, "[$-170000]yyyy-mm-dd")</f>
        <v/>
      </c>
      <c r="C8367">
        <f>TEXT(8366, "[$-060000]yyyy-mm-dd")</f>
        <v/>
      </c>
      <c r="D8367" t="inlineStr">
        <is>
          <t>1341-04-07</t>
        </is>
      </c>
    </row>
    <row r="8368">
      <c r="A8368" s="1" t="n">
        <v>8367</v>
      </c>
      <c r="B8368">
        <f>TEXT(8367, "[$-170000]yyyy-mm-dd")</f>
        <v/>
      </c>
      <c r="C8368">
        <f>TEXT(8367, "[$-060000]yyyy-mm-dd")</f>
        <v/>
      </c>
      <c r="D8368" t="inlineStr">
        <is>
          <t>1341-04-08</t>
        </is>
      </c>
    </row>
    <row r="8369">
      <c r="A8369" s="1" t="n">
        <v>8368</v>
      </c>
      <c r="B8369">
        <f>TEXT(8368, "[$-170000]yyyy-mm-dd")</f>
        <v/>
      </c>
      <c r="C8369">
        <f>TEXT(8368, "[$-060000]yyyy-mm-dd")</f>
        <v/>
      </c>
      <c r="D8369" t="inlineStr">
        <is>
          <t>1341-04-09</t>
        </is>
      </c>
    </row>
    <row r="8370">
      <c r="A8370" s="1" t="n">
        <v>8369</v>
      </c>
      <c r="B8370">
        <f>TEXT(8369, "[$-170000]yyyy-mm-dd")</f>
        <v/>
      </c>
      <c r="C8370">
        <f>TEXT(8369, "[$-060000]yyyy-mm-dd")</f>
        <v/>
      </c>
      <c r="D8370" t="inlineStr">
        <is>
          <t>1341-04-10</t>
        </is>
      </c>
    </row>
    <row r="8371">
      <c r="A8371" s="1" t="n">
        <v>8370</v>
      </c>
      <c r="B8371">
        <f>TEXT(8370, "[$-170000]yyyy-mm-dd")</f>
        <v/>
      </c>
      <c r="C8371">
        <f>TEXT(8370, "[$-060000]yyyy-mm-dd")</f>
        <v/>
      </c>
      <c r="D8371" t="inlineStr">
        <is>
          <t>1341-04-11</t>
        </is>
      </c>
    </row>
    <row r="8372">
      <c r="A8372" s="1" t="n">
        <v>8371</v>
      </c>
      <c r="B8372">
        <f>TEXT(8371, "[$-170000]yyyy-mm-dd")</f>
        <v/>
      </c>
      <c r="C8372">
        <f>TEXT(8371, "[$-060000]yyyy-mm-dd")</f>
        <v/>
      </c>
      <c r="D8372" t="inlineStr">
        <is>
          <t>1341-04-12</t>
        </is>
      </c>
    </row>
    <row r="8373">
      <c r="A8373" s="1" t="n">
        <v>8372</v>
      </c>
      <c r="B8373">
        <f>TEXT(8372, "[$-170000]yyyy-mm-dd")</f>
        <v/>
      </c>
      <c r="C8373">
        <f>TEXT(8372, "[$-060000]yyyy-mm-dd")</f>
        <v/>
      </c>
      <c r="D8373" t="inlineStr">
        <is>
          <t>1341-04-13</t>
        </is>
      </c>
    </row>
    <row r="8374">
      <c r="A8374" s="1" t="n">
        <v>8373</v>
      </c>
      <c r="B8374">
        <f>TEXT(8373, "[$-170000]yyyy-mm-dd")</f>
        <v/>
      </c>
      <c r="C8374">
        <f>TEXT(8373, "[$-060000]yyyy-mm-dd")</f>
        <v/>
      </c>
      <c r="D8374" t="inlineStr">
        <is>
          <t>1341-04-14</t>
        </is>
      </c>
    </row>
    <row r="8375">
      <c r="A8375" s="1" t="n">
        <v>8374</v>
      </c>
      <c r="B8375">
        <f>TEXT(8374, "[$-170000]yyyy-mm-dd")</f>
        <v/>
      </c>
      <c r="C8375">
        <f>TEXT(8374, "[$-060000]yyyy-mm-dd")</f>
        <v/>
      </c>
      <c r="D8375" t="inlineStr">
        <is>
          <t>1341-04-15</t>
        </is>
      </c>
    </row>
    <row r="8376">
      <c r="A8376" s="1" t="n">
        <v>8375</v>
      </c>
      <c r="B8376">
        <f>TEXT(8375, "[$-170000]yyyy-mm-dd")</f>
        <v/>
      </c>
      <c r="C8376">
        <f>TEXT(8375, "[$-060000]yyyy-mm-dd")</f>
        <v/>
      </c>
      <c r="D8376" t="inlineStr">
        <is>
          <t>1341-04-16</t>
        </is>
      </c>
    </row>
    <row r="8377">
      <c r="A8377" s="1" t="n">
        <v>8376</v>
      </c>
      <c r="B8377">
        <f>TEXT(8376, "[$-170000]yyyy-mm-dd")</f>
        <v/>
      </c>
      <c r="C8377">
        <f>TEXT(8376, "[$-060000]yyyy-mm-dd")</f>
        <v/>
      </c>
      <c r="D8377" t="inlineStr">
        <is>
          <t>1341-04-17</t>
        </is>
      </c>
    </row>
    <row r="8378">
      <c r="A8378" s="1" t="n">
        <v>8377</v>
      </c>
      <c r="B8378">
        <f>TEXT(8377, "[$-170000]yyyy-mm-dd")</f>
        <v/>
      </c>
      <c r="C8378">
        <f>TEXT(8377, "[$-060000]yyyy-mm-dd")</f>
        <v/>
      </c>
      <c r="D8378" t="inlineStr">
        <is>
          <t>1341-04-18</t>
        </is>
      </c>
    </row>
    <row r="8379">
      <c r="A8379" s="1" t="n">
        <v>8378</v>
      </c>
      <c r="B8379">
        <f>TEXT(8378, "[$-170000]yyyy-mm-dd")</f>
        <v/>
      </c>
      <c r="C8379">
        <f>TEXT(8378, "[$-060000]yyyy-mm-dd")</f>
        <v/>
      </c>
      <c r="D8379" t="inlineStr">
        <is>
          <t>1341-04-19</t>
        </is>
      </c>
    </row>
    <row r="8380">
      <c r="A8380" s="1" t="n">
        <v>8379</v>
      </c>
      <c r="B8380">
        <f>TEXT(8379, "[$-170000]yyyy-mm-dd")</f>
        <v/>
      </c>
      <c r="C8380">
        <f>TEXT(8379, "[$-060000]yyyy-mm-dd")</f>
        <v/>
      </c>
      <c r="D8380" t="inlineStr">
        <is>
          <t>1341-04-20</t>
        </is>
      </c>
    </row>
    <row r="8381">
      <c r="A8381" s="1" t="n">
        <v>8380</v>
      </c>
      <c r="B8381">
        <f>TEXT(8380, "[$-170000]yyyy-mm-dd")</f>
        <v/>
      </c>
      <c r="C8381">
        <f>TEXT(8380, "[$-060000]yyyy-mm-dd")</f>
        <v/>
      </c>
      <c r="D8381" t="inlineStr">
        <is>
          <t>1341-04-21</t>
        </is>
      </c>
    </row>
    <row r="8382">
      <c r="A8382" s="1" t="n">
        <v>8381</v>
      </c>
      <c r="B8382">
        <f>TEXT(8381, "[$-170000]yyyy-mm-dd")</f>
        <v/>
      </c>
      <c r="C8382">
        <f>TEXT(8381, "[$-060000]yyyy-mm-dd")</f>
        <v/>
      </c>
      <c r="D8382" t="inlineStr">
        <is>
          <t>1341-04-22</t>
        </is>
      </c>
    </row>
    <row r="8383">
      <c r="A8383" s="1" t="n">
        <v>8382</v>
      </c>
      <c r="B8383">
        <f>TEXT(8382, "[$-170000]yyyy-mm-dd")</f>
        <v/>
      </c>
      <c r="C8383">
        <f>TEXT(8382, "[$-060000]yyyy-mm-dd")</f>
        <v/>
      </c>
      <c r="D8383" t="inlineStr">
        <is>
          <t>1341-04-23</t>
        </is>
      </c>
    </row>
    <row r="8384">
      <c r="A8384" s="1" t="n">
        <v>8383</v>
      </c>
      <c r="B8384">
        <f>TEXT(8383, "[$-170000]yyyy-mm-dd")</f>
        <v/>
      </c>
      <c r="C8384">
        <f>TEXT(8383, "[$-060000]yyyy-mm-dd")</f>
        <v/>
      </c>
      <c r="D8384" t="inlineStr">
        <is>
          <t>1341-04-24</t>
        </is>
      </c>
    </row>
    <row r="8385">
      <c r="A8385" s="1" t="n">
        <v>8384</v>
      </c>
      <c r="B8385">
        <f>TEXT(8384, "[$-170000]yyyy-mm-dd")</f>
        <v/>
      </c>
      <c r="C8385">
        <f>TEXT(8384, "[$-060000]yyyy-mm-dd")</f>
        <v/>
      </c>
      <c r="D8385" t="inlineStr">
        <is>
          <t>1341-04-25</t>
        </is>
      </c>
    </row>
    <row r="8386">
      <c r="A8386" s="1" t="n">
        <v>8385</v>
      </c>
      <c r="B8386">
        <f>TEXT(8385, "[$-170000]yyyy-mm-dd")</f>
        <v/>
      </c>
      <c r="C8386">
        <f>TEXT(8385, "[$-060000]yyyy-mm-dd")</f>
        <v/>
      </c>
      <c r="D8386" t="inlineStr">
        <is>
          <t>1341-04-26</t>
        </is>
      </c>
    </row>
    <row r="8387">
      <c r="A8387" s="1" t="n">
        <v>8386</v>
      </c>
      <c r="B8387">
        <f>TEXT(8386, "[$-170000]yyyy-mm-dd")</f>
        <v/>
      </c>
      <c r="C8387">
        <f>TEXT(8386, "[$-060000]yyyy-mm-dd")</f>
        <v/>
      </c>
      <c r="D8387" t="inlineStr">
        <is>
          <t>1341-04-27</t>
        </is>
      </c>
    </row>
    <row r="8388">
      <c r="A8388" s="1" t="n">
        <v>8387</v>
      </c>
      <c r="B8388">
        <f>TEXT(8387, "[$-170000]yyyy-mm-dd")</f>
        <v/>
      </c>
      <c r="C8388">
        <f>TEXT(8387, "[$-060000]yyyy-mm-dd")</f>
        <v/>
      </c>
      <c r="D8388" t="inlineStr">
        <is>
          <t>1341-04-28</t>
        </is>
      </c>
    </row>
    <row r="8389">
      <c r="A8389" s="1" t="n">
        <v>8388</v>
      </c>
      <c r="B8389">
        <f>TEXT(8388, "[$-170000]yyyy-mm-dd")</f>
        <v/>
      </c>
      <c r="C8389">
        <f>TEXT(8388, "[$-060000]yyyy-mm-dd")</f>
        <v/>
      </c>
      <c r="D8389" t="inlineStr">
        <is>
          <t>1341-04-29</t>
        </is>
      </c>
    </row>
    <row r="8390">
      <c r="A8390" s="1" t="n">
        <v>8389</v>
      </c>
      <c r="B8390">
        <f>TEXT(8389, "[$-170000]yyyy-mm-dd")</f>
        <v/>
      </c>
      <c r="C8390">
        <f>TEXT(8389, "[$-060000]yyyy-mm-dd")</f>
        <v/>
      </c>
      <c r="D8390" t="inlineStr">
        <is>
          <t>1341-05-01</t>
        </is>
      </c>
    </row>
    <row r="8391">
      <c r="A8391" s="1" t="n">
        <v>8390</v>
      </c>
      <c r="B8391">
        <f>TEXT(8390, "[$-170000]yyyy-mm-dd")</f>
        <v/>
      </c>
      <c r="C8391">
        <f>TEXT(8390, "[$-060000]yyyy-mm-dd")</f>
        <v/>
      </c>
      <c r="D8391" t="inlineStr">
        <is>
          <t>1341-05-02</t>
        </is>
      </c>
    </row>
    <row r="8392">
      <c r="A8392" s="1" t="n">
        <v>8391</v>
      </c>
      <c r="B8392">
        <f>TEXT(8391, "[$-170000]yyyy-mm-dd")</f>
        <v/>
      </c>
      <c r="C8392">
        <f>TEXT(8391, "[$-060000]yyyy-mm-dd")</f>
        <v/>
      </c>
      <c r="D8392" t="inlineStr">
        <is>
          <t>1341-05-03</t>
        </is>
      </c>
    </row>
    <row r="8393">
      <c r="A8393" s="1" t="n">
        <v>8392</v>
      </c>
      <c r="B8393">
        <f>TEXT(8392, "[$-170000]yyyy-mm-dd")</f>
        <v/>
      </c>
      <c r="C8393">
        <f>TEXT(8392, "[$-060000]yyyy-mm-dd")</f>
        <v/>
      </c>
      <c r="D8393" t="inlineStr">
        <is>
          <t>1341-05-04</t>
        </is>
      </c>
    </row>
    <row r="8394">
      <c r="A8394" s="1" t="n">
        <v>8393</v>
      </c>
      <c r="B8394">
        <f>TEXT(8393, "[$-170000]yyyy-mm-dd")</f>
        <v/>
      </c>
      <c r="C8394">
        <f>TEXT(8393, "[$-060000]yyyy-mm-dd")</f>
        <v/>
      </c>
      <c r="D8394" t="inlineStr">
        <is>
          <t>1341-05-05</t>
        </is>
      </c>
    </row>
    <row r="8395">
      <c r="A8395" s="1" t="n">
        <v>8394</v>
      </c>
      <c r="B8395">
        <f>TEXT(8394, "[$-170000]yyyy-mm-dd")</f>
        <v/>
      </c>
      <c r="C8395">
        <f>TEXT(8394, "[$-060000]yyyy-mm-dd")</f>
        <v/>
      </c>
      <c r="D8395" t="inlineStr">
        <is>
          <t>1341-05-06</t>
        </is>
      </c>
    </row>
    <row r="8396">
      <c r="A8396" s="1" t="n">
        <v>8395</v>
      </c>
      <c r="B8396">
        <f>TEXT(8395, "[$-170000]yyyy-mm-dd")</f>
        <v/>
      </c>
      <c r="C8396">
        <f>TEXT(8395, "[$-060000]yyyy-mm-dd")</f>
        <v/>
      </c>
      <c r="D8396" t="inlineStr">
        <is>
          <t>1341-05-07</t>
        </is>
      </c>
    </row>
    <row r="8397">
      <c r="A8397" s="1" t="n">
        <v>8396</v>
      </c>
      <c r="B8397">
        <f>TEXT(8396, "[$-170000]yyyy-mm-dd")</f>
        <v/>
      </c>
      <c r="C8397">
        <f>TEXT(8396, "[$-060000]yyyy-mm-dd")</f>
        <v/>
      </c>
      <c r="D8397" t="inlineStr">
        <is>
          <t>1341-05-08</t>
        </is>
      </c>
    </row>
    <row r="8398">
      <c r="A8398" s="1" t="n">
        <v>8397</v>
      </c>
      <c r="B8398">
        <f>TEXT(8397, "[$-170000]yyyy-mm-dd")</f>
        <v/>
      </c>
      <c r="C8398">
        <f>TEXT(8397, "[$-060000]yyyy-mm-dd")</f>
        <v/>
      </c>
      <c r="D8398" t="inlineStr">
        <is>
          <t>1341-05-09</t>
        </is>
      </c>
    </row>
    <row r="8399">
      <c r="A8399" s="1" t="n">
        <v>8398</v>
      </c>
      <c r="B8399">
        <f>TEXT(8398, "[$-170000]yyyy-mm-dd")</f>
        <v/>
      </c>
      <c r="C8399">
        <f>TEXT(8398, "[$-060000]yyyy-mm-dd")</f>
        <v/>
      </c>
      <c r="D8399" t="inlineStr">
        <is>
          <t>1341-05-10</t>
        </is>
      </c>
    </row>
    <row r="8400">
      <c r="A8400" s="1" t="n">
        <v>8399</v>
      </c>
      <c r="B8400">
        <f>TEXT(8399, "[$-170000]yyyy-mm-dd")</f>
        <v/>
      </c>
      <c r="C8400">
        <f>TEXT(8399, "[$-060000]yyyy-mm-dd")</f>
        <v/>
      </c>
      <c r="D8400" t="inlineStr">
        <is>
          <t>1341-05-11</t>
        </is>
      </c>
    </row>
    <row r="8401">
      <c r="A8401" s="1" t="n">
        <v>8400</v>
      </c>
      <c r="B8401">
        <f>TEXT(8400, "[$-170000]yyyy-mm-dd")</f>
        <v/>
      </c>
      <c r="C8401">
        <f>TEXT(8400, "[$-060000]yyyy-mm-dd")</f>
        <v/>
      </c>
      <c r="D8401" t="inlineStr">
        <is>
          <t>1341-05-12</t>
        </is>
      </c>
    </row>
    <row r="8402">
      <c r="A8402" s="1" t="n">
        <v>8401</v>
      </c>
      <c r="B8402">
        <f>TEXT(8401, "[$-170000]yyyy-mm-dd")</f>
        <v/>
      </c>
      <c r="C8402">
        <f>TEXT(8401, "[$-060000]yyyy-mm-dd")</f>
        <v/>
      </c>
      <c r="D8402" t="inlineStr">
        <is>
          <t>1341-05-13</t>
        </is>
      </c>
    </row>
    <row r="8403">
      <c r="A8403" s="1" t="n">
        <v>8402</v>
      </c>
      <c r="B8403">
        <f>TEXT(8402, "[$-170000]yyyy-mm-dd")</f>
        <v/>
      </c>
      <c r="C8403">
        <f>TEXT(8402, "[$-060000]yyyy-mm-dd")</f>
        <v/>
      </c>
      <c r="D8403" t="inlineStr">
        <is>
          <t>1341-05-14</t>
        </is>
      </c>
    </row>
    <row r="8404">
      <c r="A8404" s="1" t="n">
        <v>8403</v>
      </c>
      <c r="B8404">
        <f>TEXT(8403, "[$-170000]yyyy-mm-dd")</f>
        <v/>
      </c>
      <c r="C8404">
        <f>TEXT(8403, "[$-060000]yyyy-mm-dd")</f>
        <v/>
      </c>
      <c r="D8404" t="inlineStr">
        <is>
          <t>1341-05-15</t>
        </is>
      </c>
    </row>
    <row r="8405">
      <c r="A8405" s="1" t="n">
        <v>8404</v>
      </c>
      <c r="B8405">
        <f>TEXT(8404, "[$-170000]yyyy-mm-dd")</f>
        <v/>
      </c>
      <c r="C8405">
        <f>TEXT(8404, "[$-060000]yyyy-mm-dd")</f>
        <v/>
      </c>
      <c r="D8405" t="inlineStr">
        <is>
          <t>1341-05-16</t>
        </is>
      </c>
    </row>
    <row r="8406">
      <c r="A8406" s="1" t="n">
        <v>8405</v>
      </c>
      <c r="B8406">
        <f>TEXT(8405, "[$-170000]yyyy-mm-dd")</f>
        <v/>
      </c>
      <c r="C8406">
        <f>TEXT(8405, "[$-060000]yyyy-mm-dd")</f>
        <v/>
      </c>
      <c r="D8406" t="inlineStr">
        <is>
          <t>1341-05-17</t>
        </is>
      </c>
    </row>
    <row r="8407">
      <c r="A8407" s="1" t="n">
        <v>8406</v>
      </c>
      <c r="B8407">
        <f>TEXT(8406, "[$-170000]yyyy-mm-dd")</f>
        <v/>
      </c>
      <c r="C8407">
        <f>TEXT(8406, "[$-060000]yyyy-mm-dd")</f>
        <v/>
      </c>
      <c r="D8407" t="inlineStr">
        <is>
          <t>1341-05-18</t>
        </is>
      </c>
    </row>
    <row r="8408">
      <c r="A8408" s="1" t="n">
        <v>8407</v>
      </c>
      <c r="B8408">
        <f>TEXT(8407, "[$-170000]yyyy-mm-dd")</f>
        <v/>
      </c>
      <c r="C8408">
        <f>TEXT(8407, "[$-060000]yyyy-mm-dd")</f>
        <v/>
      </c>
      <c r="D8408" t="inlineStr">
        <is>
          <t>1341-05-19</t>
        </is>
      </c>
    </row>
    <row r="8409">
      <c r="A8409" s="1" t="n">
        <v>8408</v>
      </c>
      <c r="B8409">
        <f>TEXT(8408, "[$-170000]yyyy-mm-dd")</f>
        <v/>
      </c>
      <c r="C8409">
        <f>TEXT(8408, "[$-060000]yyyy-mm-dd")</f>
        <v/>
      </c>
      <c r="D8409" t="inlineStr">
        <is>
          <t>1341-05-20</t>
        </is>
      </c>
    </row>
    <row r="8410">
      <c r="A8410" s="1" t="n">
        <v>8409</v>
      </c>
      <c r="B8410">
        <f>TEXT(8409, "[$-170000]yyyy-mm-dd")</f>
        <v/>
      </c>
      <c r="C8410">
        <f>TEXT(8409, "[$-060000]yyyy-mm-dd")</f>
        <v/>
      </c>
      <c r="D8410" t="inlineStr">
        <is>
          <t>1341-05-21</t>
        </is>
      </c>
    </row>
    <row r="8411">
      <c r="A8411" s="1" t="n">
        <v>8410</v>
      </c>
      <c r="B8411">
        <f>TEXT(8410, "[$-170000]yyyy-mm-dd")</f>
        <v/>
      </c>
      <c r="C8411">
        <f>TEXT(8410, "[$-060000]yyyy-mm-dd")</f>
        <v/>
      </c>
      <c r="D8411" t="inlineStr">
        <is>
          <t>1341-05-22</t>
        </is>
      </c>
    </row>
    <row r="8412">
      <c r="A8412" s="1" t="n">
        <v>8411</v>
      </c>
      <c r="B8412">
        <f>TEXT(8411, "[$-170000]yyyy-mm-dd")</f>
        <v/>
      </c>
      <c r="C8412">
        <f>TEXT(8411, "[$-060000]yyyy-mm-dd")</f>
        <v/>
      </c>
      <c r="D8412" t="inlineStr">
        <is>
          <t>1341-05-23</t>
        </is>
      </c>
    </row>
    <row r="8413">
      <c r="A8413" s="1" t="n">
        <v>8412</v>
      </c>
      <c r="B8413">
        <f>TEXT(8412, "[$-170000]yyyy-mm-dd")</f>
        <v/>
      </c>
      <c r="C8413">
        <f>TEXT(8412, "[$-060000]yyyy-mm-dd")</f>
        <v/>
      </c>
      <c r="D8413" t="inlineStr">
        <is>
          <t>1341-05-24</t>
        </is>
      </c>
    </row>
    <row r="8414">
      <c r="A8414" s="1" t="n">
        <v>8413</v>
      </c>
      <c r="B8414">
        <f>TEXT(8413, "[$-170000]yyyy-mm-dd")</f>
        <v/>
      </c>
      <c r="C8414">
        <f>TEXT(8413, "[$-060000]yyyy-mm-dd")</f>
        <v/>
      </c>
      <c r="D8414" t="inlineStr">
        <is>
          <t>1341-05-25</t>
        </is>
      </c>
    </row>
    <row r="8415">
      <c r="A8415" s="1" t="n">
        <v>8414</v>
      </c>
      <c r="B8415">
        <f>TEXT(8414, "[$-170000]yyyy-mm-dd")</f>
        <v/>
      </c>
      <c r="C8415">
        <f>TEXT(8414, "[$-060000]yyyy-mm-dd")</f>
        <v/>
      </c>
      <c r="D8415" t="inlineStr">
        <is>
          <t>1341-05-26</t>
        </is>
      </c>
    </row>
    <row r="8416">
      <c r="A8416" s="1" t="n">
        <v>8415</v>
      </c>
      <c r="B8416">
        <f>TEXT(8415, "[$-170000]yyyy-mm-dd")</f>
        <v/>
      </c>
      <c r="C8416">
        <f>TEXT(8415, "[$-060000]yyyy-mm-dd")</f>
        <v/>
      </c>
      <c r="D8416" t="inlineStr">
        <is>
          <t>1341-05-27</t>
        </is>
      </c>
    </row>
    <row r="8417">
      <c r="A8417" s="1" t="n">
        <v>8416</v>
      </c>
      <c r="B8417">
        <f>TEXT(8416, "[$-170000]yyyy-mm-dd")</f>
        <v/>
      </c>
      <c r="C8417">
        <f>TEXT(8416, "[$-060000]yyyy-mm-dd")</f>
        <v/>
      </c>
      <c r="D8417" t="inlineStr">
        <is>
          <t>1341-05-28</t>
        </is>
      </c>
    </row>
    <row r="8418">
      <c r="A8418" s="1" t="n">
        <v>8417</v>
      </c>
      <c r="B8418">
        <f>TEXT(8417, "[$-170000]yyyy-mm-dd")</f>
        <v/>
      </c>
      <c r="C8418">
        <f>TEXT(8417, "[$-060000]yyyy-mm-dd")</f>
        <v/>
      </c>
      <c r="D8418" t="inlineStr">
        <is>
          <t>1341-05-29</t>
        </is>
      </c>
    </row>
    <row r="8419">
      <c r="A8419" s="1" t="n">
        <v>8418</v>
      </c>
      <c r="B8419">
        <f>TEXT(8418, "[$-170000]yyyy-mm-dd")</f>
        <v/>
      </c>
      <c r="C8419">
        <f>TEXT(8418, "[$-060000]yyyy-mm-dd")</f>
        <v/>
      </c>
      <c r="D8419" t="inlineStr">
        <is>
          <t>1341-05-30</t>
        </is>
      </c>
    </row>
    <row r="8420">
      <c r="A8420" s="1" t="n">
        <v>8419</v>
      </c>
      <c r="B8420">
        <f>TEXT(8419, "[$-170000]yyyy-mm-dd")</f>
        <v/>
      </c>
      <c r="C8420">
        <f>TEXT(8419, "[$-060000]yyyy-mm-dd")</f>
        <v/>
      </c>
      <c r="D8420" t="inlineStr">
        <is>
          <t>1341-06-01</t>
        </is>
      </c>
    </row>
    <row r="8421">
      <c r="A8421" s="1" t="n">
        <v>8420</v>
      </c>
      <c r="B8421">
        <f>TEXT(8420, "[$-170000]yyyy-mm-dd")</f>
        <v/>
      </c>
      <c r="C8421">
        <f>TEXT(8420, "[$-060000]yyyy-mm-dd")</f>
        <v/>
      </c>
      <c r="D8421" t="inlineStr">
        <is>
          <t>1341-06-02</t>
        </is>
      </c>
    </row>
    <row r="8422">
      <c r="A8422" s="1" t="n">
        <v>8421</v>
      </c>
      <c r="B8422">
        <f>TEXT(8421, "[$-170000]yyyy-mm-dd")</f>
        <v/>
      </c>
      <c r="C8422">
        <f>TEXT(8421, "[$-060000]yyyy-mm-dd")</f>
        <v/>
      </c>
      <c r="D8422" t="inlineStr">
        <is>
          <t>1341-06-03</t>
        </is>
      </c>
    </row>
    <row r="8423">
      <c r="A8423" s="1" t="n">
        <v>8422</v>
      </c>
      <c r="B8423">
        <f>TEXT(8422, "[$-170000]yyyy-mm-dd")</f>
        <v/>
      </c>
      <c r="C8423">
        <f>TEXT(8422, "[$-060000]yyyy-mm-dd")</f>
        <v/>
      </c>
      <c r="D8423" t="inlineStr">
        <is>
          <t>1341-06-04</t>
        </is>
      </c>
    </row>
    <row r="8424">
      <c r="A8424" s="1" t="n">
        <v>8423</v>
      </c>
      <c r="B8424">
        <f>TEXT(8423, "[$-170000]yyyy-mm-dd")</f>
        <v/>
      </c>
      <c r="C8424">
        <f>TEXT(8423, "[$-060000]yyyy-mm-dd")</f>
        <v/>
      </c>
      <c r="D8424" t="inlineStr">
        <is>
          <t>1341-06-05</t>
        </is>
      </c>
    </row>
    <row r="8425">
      <c r="A8425" s="1" t="n">
        <v>8424</v>
      </c>
      <c r="B8425">
        <f>TEXT(8424, "[$-170000]yyyy-mm-dd")</f>
        <v/>
      </c>
      <c r="C8425">
        <f>TEXT(8424, "[$-060000]yyyy-mm-dd")</f>
        <v/>
      </c>
      <c r="D8425" t="inlineStr">
        <is>
          <t>1341-06-06</t>
        </is>
      </c>
    </row>
    <row r="8426">
      <c r="A8426" s="1" t="n">
        <v>8425</v>
      </c>
      <c r="B8426">
        <f>TEXT(8425, "[$-170000]yyyy-mm-dd")</f>
        <v/>
      </c>
      <c r="C8426">
        <f>TEXT(8425, "[$-060000]yyyy-mm-dd")</f>
        <v/>
      </c>
      <c r="D8426" t="inlineStr">
        <is>
          <t>1341-06-07</t>
        </is>
      </c>
    </row>
    <row r="8427">
      <c r="A8427" s="1" t="n">
        <v>8426</v>
      </c>
      <c r="B8427">
        <f>TEXT(8426, "[$-170000]yyyy-mm-dd")</f>
        <v/>
      </c>
      <c r="C8427">
        <f>TEXT(8426, "[$-060000]yyyy-mm-dd")</f>
        <v/>
      </c>
      <c r="D8427" t="inlineStr">
        <is>
          <t>1341-06-08</t>
        </is>
      </c>
    </row>
    <row r="8428">
      <c r="A8428" s="1" t="n">
        <v>8427</v>
      </c>
      <c r="B8428">
        <f>TEXT(8427, "[$-170000]yyyy-mm-dd")</f>
        <v/>
      </c>
      <c r="C8428">
        <f>TEXT(8427, "[$-060000]yyyy-mm-dd")</f>
        <v/>
      </c>
      <c r="D8428" t="inlineStr">
        <is>
          <t>1341-06-09</t>
        </is>
      </c>
    </row>
    <row r="8429">
      <c r="A8429" s="1" t="n">
        <v>8428</v>
      </c>
      <c r="B8429">
        <f>TEXT(8428, "[$-170000]yyyy-mm-dd")</f>
        <v/>
      </c>
      <c r="C8429">
        <f>TEXT(8428, "[$-060000]yyyy-mm-dd")</f>
        <v/>
      </c>
      <c r="D8429" t="inlineStr">
        <is>
          <t>1341-06-10</t>
        </is>
      </c>
    </row>
    <row r="8430">
      <c r="A8430" s="1" t="n">
        <v>8429</v>
      </c>
      <c r="B8430">
        <f>TEXT(8429, "[$-170000]yyyy-mm-dd")</f>
        <v/>
      </c>
      <c r="C8430">
        <f>TEXT(8429, "[$-060000]yyyy-mm-dd")</f>
        <v/>
      </c>
      <c r="D8430" t="inlineStr">
        <is>
          <t>1341-06-11</t>
        </is>
      </c>
    </row>
    <row r="8431">
      <c r="A8431" s="1" t="n">
        <v>8430</v>
      </c>
      <c r="B8431">
        <f>TEXT(8430, "[$-170000]yyyy-mm-dd")</f>
        <v/>
      </c>
      <c r="C8431">
        <f>TEXT(8430, "[$-060000]yyyy-mm-dd")</f>
        <v/>
      </c>
      <c r="D8431" t="inlineStr">
        <is>
          <t>1341-06-12</t>
        </is>
      </c>
    </row>
    <row r="8432">
      <c r="A8432" s="1" t="n">
        <v>8431</v>
      </c>
      <c r="B8432">
        <f>TEXT(8431, "[$-170000]yyyy-mm-dd")</f>
        <v/>
      </c>
      <c r="C8432">
        <f>TEXT(8431, "[$-060000]yyyy-mm-dd")</f>
        <v/>
      </c>
      <c r="D8432" t="inlineStr">
        <is>
          <t>1341-06-13</t>
        </is>
      </c>
    </row>
    <row r="8433">
      <c r="A8433" s="1" t="n">
        <v>8432</v>
      </c>
      <c r="B8433">
        <f>TEXT(8432, "[$-170000]yyyy-mm-dd")</f>
        <v/>
      </c>
      <c r="C8433">
        <f>TEXT(8432, "[$-060000]yyyy-mm-dd")</f>
        <v/>
      </c>
      <c r="D8433" t="inlineStr">
        <is>
          <t>1341-06-14</t>
        </is>
      </c>
    </row>
    <row r="8434">
      <c r="A8434" s="1" t="n">
        <v>8433</v>
      </c>
      <c r="B8434">
        <f>TEXT(8433, "[$-170000]yyyy-mm-dd")</f>
        <v/>
      </c>
      <c r="C8434">
        <f>TEXT(8433, "[$-060000]yyyy-mm-dd")</f>
        <v/>
      </c>
      <c r="D8434" t="inlineStr">
        <is>
          <t>1341-06-15</t>
        </is>
      </c>
    </row>
    <row r="8435">
      <c r="A8435" s="1" t="n">
        <v>8434</v>
      </c>
      <c r="B8435">
        <f>TEXT(8434, "[$-170000]yyyy-mm-dd")</f>
        <v/>
      </c>
      <c r="C8435">
        <f>TEXT(8434, "[$-060000]yyyy-mm-dd")</f>
        <v/>
      </c>
      <c r="D8435" t="inlineStr">
        <is>
          <t>1341-06-16</t>
        </is>
      </c>
    </row>
    <row r="8436">
      <c r="A8436" s="1" t="n">
        <v>8435</v>
      </c>
      <c r="B8436">
        <f>TEXT(8435, "[$-170000]yyyy-mm-dd")</f>
        <v/>
      </c>
      <c r="C8436">
        <f>TEXT(8435, "[$-060000]yyyy-mm-dd")</f>
        <v/>
      </c>
      <c r="D8436" t="inlineStr">
        <is>
          <t>1341-06-17</t>
        </is>
      </c>
    </row>
    <row r="8437">
      <c r="A8437" s="1" t="n">
        <v>8436</v>
      </c>
      <c r="B8437">
        <f>TEXT(8436, "[$-170000]yyyy-mm-dd")</f>
        <v/>
      </c>
      <c r="C8437">
        <f>TEXT(8436, "[$-060000]yyyy-mm-dd")</f>
        <v/>
      </c>
      <c r="D8437" t="inlineStr">
        <is>
          <t>1341-06-18</t>
        </is>
      </c>
    </row>
    <row r="8438">
      <c r="A8438" s="1" t="n">
        <v>8437</v>
      </c>
      <c r="B8438">
        <f>TEXT(8437, "[$-170000]yyyy-mm-dd")</f>
        <v/>
      </c>
      <c r="C8438">
        <f>TEXT(8437, "[$-060000]yyyy-mm-dd")</f>
        <v/>
      </c>
      <c r="D8438" t="inlineStr">
        <is>
          <t>1341-06-19</t>
        </is>
      </c>
    </row>
    <row r="8439">
      <c r="A8439" s="1" t="n">
        <v>8438</v>
      </c>
      <c r="B8439">
        <f>TEXT(8438, "[$-170000]yyyy-mm-dd")</f>
        <v/>
      </c>
      <c r="C8439">
        <f>TEXT(8438, "[$-060000]yyyy-mm-dd")</f>
        <v/>
      </c>
      <c r="D8439" t="inlineStr">
        <is>
          <t>1341-06-20</t>
        </is>
      </c>
    </row>
    <row r="8440">
      <c r="A8440" s="1" t="n">
        <v>8439</v>
      </c>
      <c r="B8440">
        <f>TEXT(8439, "[$-170000]yyyy-mm-dd")</f>
        <v/>
      </c>
      <c r="C8440">
        <f>TEXT(8439, "[$-060000]yyyy-mm-dd")</f>
        <v/>
      </c>
      <c r="D8440" t="inlineStr">
        <is>
          <t>1341-06-21</t>
        </is>
      </c>
    </row>
    <row r="8441">
      <c r="A8441" s="1" t="n">
        <v>8440</v>
      </c>
      <c r="B8441">
        <f>TEXT(8440, "[$-170000]yyyy-mm-dd")</f>
        <v/>
      </c>
      <c r="C8441">
        <f>TEXT(8440, "[$-060000]yyyy-mm-dd")</f>
        <v/>
      </c>
      <c r="D8441" t="inlineStr">
        <is>
          <t>1341-06-22</t>
        </is>
      </c>
    </row>
    <row r="8442">
      <c r="A8442" s="1" t="n">
        <v>8441</v>
      </c>
      <c r="B8442">
        <f>TEXT(8441, "[$-170000]yyyy-mm-dd")</f>
        <v/>
      </c>
      <c r="C8442">
        <f>TEXT(8441, "[$-060000]yyyy-mm-dd")</f>
        <v/>
      </c>
      <c r="D8442" t="inlineStr">
        <is>
          <t>1341-06-23</t>
        </is>
      </c>
    </row>
    <row r="8443">
      <c r="A8443" s="1" t="n">
        <v>8442</v>
      </c>
      <c r="B8443">
        <f>TEXT(8442, "[$-170000]yyyy-mm-dd")</f>
        <v/>
      </c>
      <c r="C8443">
        <f>TEXT(8442, "[$-060000]yyyy-mm-dd")</f>
        <v/>
      </c>
      <c r="D8443" t="inlineStr">
        <is>
          <t>1341-06-24</t>
        </is>
      </c>
    </row>
    <row r="8444">
      <c r="A8444" s="1" t="n">
        <v>8443</v>
      </c>
      <c r="B8444">
        <f>TEXT(8443, "[$-170000]yyyy-mm-dd")</f>
        <v/>
      </c>
      <c r="C8444">
        <f>TEXT(8443, "[$-060000]yyyy-mm-dd")</f>
        <v/>
      </c>
      <c r="D8444" t="inlineStr">
        <is>
          <t>1341-06-25</t>
        </is>
      </c>
    </row>
    <row r="8445">
      <c r="A8445" s="1" t="n">
        <v>8444</v>
      </c>
      <c r="B8445">
        <f>TEXT(8444, "[$-170000]yyyy-mm-dd")</f>
        <v/>
      </c>
      <c r="C8445">
        <f>TEXT(8444, "[$-060000]yyyy-mm-dd")</f>
        <v/>
      </c>
      <c r="D8445" t="inlineStr">
        <is>
          <t>1341-06-26</t>
        </is>
      </c>
    </row>
    <row r="8446">
      <c r="A8446" s="1" t="n">
        <v>8445</v>
      </c>
      <c r="B8446">
        <f>TEXT(8445, "[$-170000]yyyy-mm-dd")</f>
        <v/>
      </c>
      <c r="C8446">
        <f>TEXT(8445, "[$-060000]yyyy-mm-dd")</f>
        <v/>
      </c>
      <c r="D8446" t="inlineStr">
        <is>
          <t>1341-06-27</t>
        </is>
      </c>
    </row>
    <row r="8447">
      <c r="A8447" s="1" t="n">
        <v>8446</v>
      </c>
      <c r="B8447">
        <f>TEXT(8446, "[$-170000]yyyy-mm-dd")</f>
        <v/>
      </c>
      <c r="C8447">
        <f>TEXT(8446, "[$-060000]yyyy-mm-dd")</f>
        <v/>
      </c>
      <c r="D8447" t="inlineStr">
        <is>
          <t>1341-06-28</t>
        </is>
      </c>
    </row>
    <row r="8448">
      <c r="A8448" s="1" t="n">
        <v>8447</v>
      </c>
      <c r="B8448">
        <f>TEXT(8447, "[$-170000]yyyy-mm-dd")</f>
        <v/>
      </c>
      <c r="C8448">
        <f>TEXT(8447, "[$-060000]yyyy-mm-dd")</f>
        <v/>
      </c>
      <c r="D8448" t="inlineStr">
        <is>
          <t>1341-06-29</t>
        </is>
      </c>
    </row>
    <row r="8449">
      <c r="A8449" s="1" t="n">
        <v>8448</v>
      </c>
      <c r="B8449">
        <f>TEXT(8448, "[$-170000]yyyy-mm-dd")</f>
        <v/>
      </c>
      <c r="C8449">
        <f>TEXT(8448, "[$-060000]yyyy-mm-dd")</f>
        <v/>
      </c>
      <c r="D8449" t="inlineStr">
        <is>
          <t>1341-07-01</t>
        </is>
      </c>
    </row>
    <row r="8450">
      <c r="A8450" s="1" t="n">
        <v>8449</v>
      </c>
      <c r="B8450">
        <f>TEXT(8449, "[$-170000]yyyy-mm-dd")</f>
        <v/>
      </c>
      <c r="C8450">
        <f>TEXT(8449, "[$-060000]yyyy-mm-dd")</f>
        <v/>
      </c>
      <c r="D8450" t="inlineStr">
        <is>
          <t>1341-07-02</t>
        </is>
      </c>
    </row>
    <row r="8451">
      <c r="A8451" s="1" t="n">
        <v>8450</v>
      </c>
      <c r="B8451">
        <f>TEXT(8450, "[$-170000]yyyy-mm-dd")</f>
        <v/>
      </c>
      <c r="C8451">
        <f>TEXT(8450, "[$-060000]yyyy-mm-dd")</f>
        <v/>
      </c>
      <c r="D8451" t="inlineStr">
        <is>
          <t>1341-07-03</t>
        </is>
      </c>
    </row>
    <row r="8452">
      <c r="A8452" s="1" t="n">
        <v>8451</v>
      </c>
      <c r="B8452">
        <f>TEXT(8451, "[$-170000]yyyy-mm-dd")</f>
        <v/>
      </c>
      <c r="C8452">
        <f>TEXT(8451, "[$-060000]yyyy-mm-dd")</f>
        <v/>
      </c>
      <c r="D8452" t="inlineStr">
        <is>
          <t>1341-07-04</t>
        </is>
      </c>
    </row>
    <row r="8453">
      <c r="A8453" s="1" t="n">
        <v>8452</v>
      </c>
      <c r="B8453">
        <f>TEXT(8452, "[$-170000]yyyy-mm-dd")</f>
        <v/>
      </c>
      <c r="C8453">
        <f>TEXT(8452, "[$-060000]yyyy-mm-dd")</f>
        <v/>
      </c>
      <c r="D8453" t="inlineStr">
        <is>
          <t>1341-07-05</t>
        </is>
      </c>
    </row>
    <row r="8454">
      <c r="A8454" s="1" t="n">
        <v>8453</v>
      </c>
      <c r="B8454">
        <f>TEXT(8453, "[$-170000]yyyy-mm-dd")</f>
        <v/>
      </c>
      <c r="C8454">
        <f>TEXT(8453, "[$-060000]yyyy-mm-dd")</f>
        <v/>
      </c>
      <c r="D8454" t="inlineStr">
        <is>
          <t>1341-07-06</t>
        </is>
      </c>
    </row>
    <row r="8455">
      <c r="A8455" s="1" t="n">
        <v>8454</v>
      </c>
      <c r="B8455">
        <f>TEXT(8454, "[$-170000]yyyy-mm-dd")</f>
        <v/>
      </c>
      <c r="C8455">
        <f>TEXT(8454, "[$-060000]yyyy-mm-dd")</f>
        <v/>
      </c>
      <c r="D8455" t="inlineStr">
        <is>
          <t>1341-07-07</t>
        </is>
      </c>
    </row>
    <row r="8456">
      <c r="A8456" s="1" t="n">
        <v>8455</v>
      </c>
      <c r="B8456">
        <f>TEXT(8455, "[$-170000]yyyy-mm-dd")</f>
        <v/>
      </c>
      <c r="C8456">
        <f>TEXT(8455, "[$-060000]yyyy-mm-dd")</f>
        <v/>
      </c>
      <c r="D8456" t="inlineStr">
        <is>
          <t>1341-07-08</t>
        </is>
      </c>
    </row>
    <row r="8457">
      <c r="A8457" s="1" t="n">
        <v>8456</v>
      </c>
      <c r="B8457">
        <f>TEXT(8456, "[$-170000]yyyy-mm-dd")</f>
        <v/>
      </c>
      <c r="C8457">
        <f>TEXT(8456, "[$-060000]yyyy-mm-dd")</f>
        <v/>
      </c>
      <c r="D8457" t="inlineStr">
        <is>
          <t>1341-07-09</t>
        </is>
      </c>
    </row>
    <row r="8458">
      <c r="A8458" s="1" t="n">
        <v>8457</v>
      </c>
      <c r="B8458">
        <f>TEXT(8457, "[$-170000]yyyy-mm-dd")</f>
        <v/>
      </c>
      <c r="C8458">
        <f>TEXT(8457, "[$-060000]yyyy-mm-dd")</f>
        <v/>
      </c>
      <c r="D8458" t="inlineStr">
        <is>
          <t>1341-07-10</t>
        </is>
      </c>
    </row>
    <row r="8459">
      <c r="A8459" s="1" t="n">
        <v>8458</v>
      </c>
      <c r="B8459">
        <f>TEXT(8458, "[$-170000]yyyy-mm-dd")</f>
        <v/>
      </c>
      <c r="C8459">
        <f>TEXT(8458, "[$-060000]yyyy-mm-dd")</f>
        <v/>
      </c>
      <c r="D8459" t="inlineStr">
        <is>
          <t>1341-07-11</t>
        </is>
      </c>
    </row>
    <row r="8460">
      <c r="A8460" s="1" t="n">
        <v>8459</v>
      </c>
      <c r="B8460">
        <f>TEXT(8459, "[$-170000]yyyy-mm-dd")</f>
        <v/>
      </c>
      <c r="C8460">
        <f>TEXT(8459, "[$-060000]yyyy-mm-dd")</f>
        <v/>
      </c>
      <c r="D8460" t="inlineStr">
        <is>
          <t>1341-07-12</t>
        </is>
      </c>
    </row>
    <row r="8461">
      <c r="A8461" s="1" t="n">
        <v>8460</v>
      </c>
      <c r="B8461">
        <f>TEXT(8460, "[$-170000]yyyy-mm-dd")</f>
        <v/>
      </c>
      <c r="C8461">
        <f>TEXT(8460, "[$-060000]yyyy-mm-dd")</f>
        <v/>
      </c>
      <c r="D8461" t="inlineStr">
        <is>
          <t>1341-07-13</t>
        </is>
      </c>
    </row>
    <row r="8462">
      <c r="A8462" s="1" t="n">
        <v>8461</v>
      </c>
      <c r="B8462">
        <f>TEXT(8461, "[$-170000]yyyy-mm-dd")</f>
        <v/>
      </c>
      <c r="C8462">
        <f>TEXT(8461, "[$-060000]yyyy-mm-dd")</f>
        <v/>
      </c>
      <c r="D8462" t="inlineStr">
        <is>
          <t>1341-07-14</t>
        </is>
      </c>
    </row>
    <row r="8463">
      <c r="A8463" s="1" t="n">
        <v>8462</v>
      </c>
      <c r="B8463">
        <f>TEXT(8462, "[$-170000]yyyy-mm-dd")</f>
        <v/>
      </c>
      <c r="C8463">
        <f>TEXT(8462, "[$-060000]yyyy-mm-dd")</f>
        <v/>
      </c>
      <c r="D8463" t="inlineStr">
        <is>
          <t>1341-07-15</t>
        </is>
      </c>
    </row>
    <row r="8464">
      <c r="A8464" s="1" t="n">
        <v>8463</v>
      </c>
      <c r="B8464">
        <f>TEXT(8463, "[$-170000]yyyy-mm-dd")</f>
        <v/>
      </c>
      <c r="C8464">
        <f>TEXT(8463, "[$-060000]yyyy-mm-dd")</f>
        <v/>
      </c>
      <c r="D8464" t="inlineStr">
        <is>
          <t>1341-07-16</t>
        </is>
      </c>
    </row>
    <row r="8465">
      <c r="A8465" s="1" t="n">
        <v>8464</v>
      </c>
      <c r="B8465">
        <f>TEXT(8464, "[$-170000]yyyy-mm-dd")</f>
        <v/>
      </c>
      <c r="C8465">
        <f>TEXT(8464, "[$-060000]yyyy-mm-dd")</f>
        <v/>
      </c>
      <c r="D8465" t="inlineStr">
        <is>
          <t>1341-07-17</t>
        </is>
      </c>
    </row>
    <row r="8466">
      <c r="A8466" s="1" t="n">
        <v>8465</v>
      </c>
      <c r="B8466">
        <f>TEXT(8465, "[$-170000]yyyy-mm-dd")</f>
        <v/>
      </c>
      <c r="C8466">
        <f>TEXT(8465, "[$-060000]yyyy-mm-dd")</f>
        <v/>
      </c>
      <c r="D8466" t="inlineStr">
        <is>
          <t>1341-07-18</t>
        </is>
      </c>
    </row>
    <row r="8467">
      <c r="A8467" s="1" t="n">
        <v>8466</v>
      </c>
      <c r="B8467">
        <f>TEXT(8466, "[$-170000]yyyy-mm-dd")</f>
        <v/>
      </c>
      <c r="C8467">
        <f>TEXT(8466, "[$-060000]yyyy-mm-dd")</f>
        <v/>
      </c>
      <c r="D8467" t="inlineStr">
        <is>
          <t>1341-07-19</t>
        </is>
      </c>
    </row>
    <row r="8468">
      <c r="A8468" s="1" t="n">
        <v>8467</v>
      </c>
      <c r="B8468">
        <f>TEXT(8467, "[$-170000]yyyy-mm-dd")</f>
        <v/>
      </c>
      <c r="C8468">
        <f>TEXT(8467, "[$-060000]yyyy-mm-dd")</f>
        <v/>
      </c>
      <c r="D8468" t="inlineStr">
        <is>
          <t>1341-07-20</t>
        </is>
      </c>
    </row>
    <row r="8469">
      <c r="A8469" s="1" t="n">
        <v>8468</v>
      </c>
      <c r="B8469">
        <f>TEXT(8468, "[$-170000]yyyy-mm-dd")</f>
        <v/>
      </c>
      <c r="C8469">
        <f>TEXT(8468, "[$-060000]yyyy-mm-dd")</f>
        <v/>
      </c>
      <c r="D8469" t="inlineStr">
        <is>
          <t>1341-07-21</t>
        </is>
      </c>
    </row>
    <row r="8470">
      <c r="A8470" s="1" t="n">
        <v>8469</v>
      </c>
      <c r="B8470">
        <f>TEXT(8469, "[$-170000]yyyy-mm-dd")</f>
        <v/>
      </c>
      <c r="C8470">
        <f>TEXT(8469, "[$-060000]yyyy-mm-dd")</f>
        <v/>
      </c>
      <c r="D8470" t="inlineStr">
        <is>
          <t>1341-07-22</t>
        </is>
      </c>
    </row>
    <row r="8471">
      <c r="A8471" s="1" t="n">
        <v>8470</v>
      </c>
      <c r="B8471">
        <f>TEXT(8470, "[$-170000]yyyy-mm-dd")</f>
        <v/>
      </c>
      <c r="C8471">
        <f>TEXT(8470, "[$-060000]yyyy-mm-dd")</f>
        <v/>
      </c>
      <c r="D8471" t="inlineStr">
        <is>
          <t>1341-07-23</t>
        </is>
      </c>
    </row>
    <row r="8472">
      <c r="A8472" s="1" t="n">
        <v>8471</v>
      </c>
      <c r="B8472">
        <f>TEXT(8471, "[$-170000]yyyy-mm-dd")</f>
        <v/>
      </c>
      <c r="C8472">
        <f>TEXT(8471, "[$-060000]yyyy-mm-dd")</f>
        <v/>
      </c>
      <c r="D8472" t="inlineStr">
        <is>
          <t>1341-07-24</t>
        </is>
      </c>
    </row>
    <row r="8473">
      <c r="A8473" s="1" t="n">
        <v>8472</v>
      </c>
      <c r="B8473">
        <f>TEXT(8472, "[$-170000]yyyy-mm-dd")</f>
        <v/>
      </c>
      <c r="C8473">
        <f>TEXT(8472, "[$-060000]yyyy-mm-dd")</f>
        <v/>
      </c>
      <c r="D8473" t="inlineStr">
        <is>
          <t>1341-07-25</t>
        </is>
      </c>
    </row>
    <row r="8474">
      <c r="A8474" s="1" t="n">
        <v>8473</v>
      </c>
      <c r="B8474">
        <f>TEXT(8473, "[$-170000]yyyy-mm-dd")</f>
        <v/>
      </c>
      <c r="C8474">
        <f>TEXT(8473, "[$-060000]yyyy-mm-dd")</f>
        <v/>
      </c>
      <c r="D8474" t="inlineStr">
        <is>
          <t>1341-07-26</t>
        </is>
      </c>
    </row>
    <row r="8475">
      <c r="A8475" s="1" t="n">
        <v>8474</v>
      </c>
      <c r="B8475">
        <f>TEXT(8474, "[$-170000]yyyy-mm-dd")</f>
        <v/>
      </c>
      <c r="C8475">
        <f>TEXT(8474, "[$-060000]yyyy-mm-dd")</f>
        <v/>
      </c>
      <c r="D8475" t="inlineStr">
        <is>
          <t>1341-07-27</t>
        </is>
      </c>
    </row>
    <row r="8476">
      <c r="A8476" s="1" t="n">
        <v>8475</v>
      </c>
      <c r="B8476">
        <f>TEXT(8475, "[$-170000]yyyy-mm-dd")</f>
        <v/>
      </c>
      <c r="C8476">
        <f>TEXT(8475, "[$-060000]yyyy-mm-dd")</f>
        <v/>
      </c>
      <c r="D8476" t="inlineStr">
        <is>
          <t>1341-07-28</t>
        </is>
      </c>
    </row>
    <row r="8477">
      <c r="A8477" s="1" t="n">
        <v>8476</v>
      </c>
      <c r="B8477">
        <f>TEXT(8476, "[$-170000]yyyy-mm-dd")</f>
        <v/>
      </c>
      <c r="C8477">
        <f>TEXT(8476, "[$-060000]yyyy-mm-dd")</f>
        <v/>
      </c>
      <c r="D8477" t="inlineStr">
        <is>
          <t>1341-07-29</t>
        </is>
      </c>
    </row>
    <row r="8478">
      <c r="A8478" s="1" t="n">
        <v>8477</v>
      </c>
      <c r="B8478">
        <f>TEXT(8477, "[$-170000]yyyy-mm-dd")</f>
        <v/>
      </c>
      <c r="C8478">
        <f>TEXT(8477, "[$-060000]yyyy-mm-dd")</f>
        <v/>
      </c>
      <c r="D8478" t="inlineStr">
        <is>
          <t>1341-07-30</t>
        </is>
      </c>
    </row>
    <row r="8479">
      <c r="A8479" s="1" t="n">
        <v>8478</v>
      </c>
      <c r="B8479">
        <f>TEXT(8478, "[$-170000]yyyy-mm-dd")</f>
        <v/>
      </c>
      <c r="C8479">
        <f>TEXT(8478, "[$-060000]yyyy-mm-dd")</f>
        <v/>
      </c>
      <c r="D8479" t="inlineStr">
        <is>
          <t>1341-08-01</t>
        </is>
      </c>
    </row>
    <row r="8480">
      <c r="A8480" s="1" t="n">
        <v>8479</v>
      </c>
      <c r="B8480">
        <f>TEXT(8479, "[$-170000]yyyy-mm-dd")</f>
        <v/>
      </c>
      <c r="C8480">
        <f>TEXT(8479, "[$-060000]yyyy-mm-dd")</f>
        <v/>
      </c>
      <c r="D8480" t="inlineStr">
        <is>
          <t>1341-08-02</t>
        </is>
      </c>
    </row>
    <row r="8481">
      <c r="A8481" s="1" t="n">
        <v>8480</v>
      </c>
      <c r="B8481">
        <f>TEXT(8480, "[$-170000]yyyy-mm-dd")</f>
        <v/>
      </c>
      <c r="C8481">
        <f>TEXT(8480, "[$-060000]yyyy-mm-dd")</f>
        <v/>
      </c>
      <c r="D8481" t="inlineStr">
        <is>
          <t>1341-08-03</t>
        </is>
      </c>
    </row>
    <row r="8482">
      <c r="A8482" s="1" t="n">
        <v>8481</v>
      </c>
      <c r="B8482">
        <f>TEXT(8481, "[$-170000]yyyy-mm-dd")</f>
        <v/>
      </c>
      <c r="C8482">
        <f>TEXT(8481, "[$-060000]yyyy-mm-dd")</f>
        <v/>
      </c>
      <c r="D8482" t="inlineStr">
        <is>
          <t>1341-08-04</t>
        </is>
      </c>
    </row>
    <row r="8483">
      <c r="A8483" s="1" t="n">
        <v>8482</v>
      </c>
      <c r="B8483">
        <f>TEXT(8482, "[$-170000]yyyy-mm-dd")</f>
        <v/>
      </c>
      <c r="C8483">
        <f>TEXT(8482, "[$-060000]yyyy-mm-dd")</f>
        <v/>
      </c>
      <c r="D8483" t="inlineStr">
        <is>
          <t>1341-08-05</t>
        </is>
      </c>
    </row>
    <row r="8484">
      <c r="A8484" s="1" t="n">
        <v>8483</v>
      </c>
      <c r="B8484">
        <f>TEXT(8483, "[$-170000]yyyy-mm-dd")</f>
        <v/>
      </c>
      <c r="C8484">
        <f>TEXT(8483, "[$-060000]yyyy-mm-dd")</f>
        <v/>
      </c>
      <c r="D8484" t="inlineStr">
        <is>
          <t>1341-08-06</t>
        </is>
      </c>
    </row>
    <row r="8485">
      <c r="A8485" s="1" t="n">
        <v>8484</v>
      </c>
      <c r="B8485">
        <f>TEXT(8484, "[$-170000]yyyy-mm-dd")</f>
        <v/>
      </c>
      <c r="C8485">
        <f>TEXT(8484, "[$-060000]yyyy-mm-dd")</f>
        <v/>
      </c>
      <c r="D8485" t="inlineStr">
        <is>
          <t>1341-08-07</t>
        </is>
      </c>
    </row>
    <row r="8486">
      <c r="A8486" s="1" t="n">
        <v>8485</v>
      </c>
      <c r="B8486">
        <f>TEXT(8485, "[$-170000]yyyy-mm-dd")</f>
        <v/>
      </c>
      <c r="C8486">
        <f>TEXT(8485, "[$-060000]yyyy-mm-dd")</f>
        <v/>
      </c>
      <c r="D8486" t="inlineStr">
        <is>
          <t>1341-08-08</t>
        </is>
      </c>
    </row>
    <row r="8487">
      <c r="A8487" s="1" t="n">
        <v>8486</v>
      </c>
      <c r="B8487">
        <f>TEXT(8486, "[$-170000]yyyy-mm-dd")</f>
        <v/>
      </c>
      <c r="C8487">
        <f>TEXT(8486, "[$-060000]yyyy-mm-dd")</f>
        <v/>
      </c>
      <c r="D8487" t="inlineStr">
        <is>
          <t>1341-08-09</t>
        </is>
      </c>
    </row>
    <row r="8488">
      <c r="A8488" s="1" t="n">
        <v>8487</v>
      </c>
      <c r="B8488">
        <f>TEXT(8487, "[$-170000]yyyy-mm-dd")</f>
        <v/>
      </c>
      <c r="C8488">
        <f>TEXT(8487, "[$-060000]yyyy-mm-dd")</f>
        <v/>
      </c>
      <c r="D8488" t="inlineStr">
        <is>
          <t>1341-08-10</t>
        </is>
      </c>
    </row>
    <row r="8489">
      <c r="A8489" s="1" t="n">
        <v>8488</v>
      </c>
      <c r="B8489">
        <f>TEXT(8488, "[$-170000]yyyy-mm-dd")</f>
        <v/>
      </c>
      <c r="C8489">
        <f>TEXT(8488, "[$-060000]yyyy-mm-dd")</f>
        <v/>
      </c>
      <c r="D8489" t="inlineStr">
        <is>
          <t>1341-08-11</t>
        </is>
      </c>
    </row>
    <row r="8490">
      <c r="A8490" s="1" t="n">
        <v>8489</v>
      </c>
      <c r="B8490">
        <f>TEXT(8489, "[$-170000]yyyy-mm-dd")</f>
        <v/>
      </c>
      <c r="C8490">
        <f>TEXT(8489, "[$-060000]yyyy-mm-dd")</f>
        <v/>
      </c>
      <c r="D8490" t="inlineStr">
        <is>
          <t>1341-08-12</t>
        </is>
      </c>
    </row>
    <row r="8491">
      <c r="A8491" s="1" t="n">
        <v>8490</v>
      </c>
      <c r="B8491">
        <f>TEXT(8490, "[$-170000]yyyy-mm-dd")</f>
        <v/>
      </c>
      <c r="C8491">
        <f>TEXT(8490, "[$-060000]yyyy-mm-dd")</f>
        <v/>
      </c>
      <c r="D8491" t="inlineStr">
        <is>
          <t>1341-08-13</t>
        </is>
      </c>
    </row>
    <row r="8492">
      <c r="A8492" s="1" t="n">
        <v>8491</v>
      </c>
      <c r="B8492">
        <f>TEXT(8491, "[$-170000]yyyy-mm-dd")</f>
        <v/>
      </c>
      <c r="C8492">
        <f>TEXT(8491, "[$-060000]yyyy-mm-dd")</f>
        <v/>
      </c>
      <c r="D8492" t="inlineStr">
        <is>
          <t>1341-08-14</t>
        </is>
      </c>
    </row>
    <row r="8493">
      <c r="A8493" s="1" t="n">
        <v>8492</v>
      </c>
      <c r="B8493">
        <f>TEXT(8492, "[$-170000]yyyy-mm-dd")</f>
        <v/>
      </c>
      <c r="C8493">
        <f>TEXT(8492, "[$-060000]yyyy-mm-dd")</f>
        <v/>
      </c>
      <c r="D8493" t="inlineStr">
        <is>
          <t>1341-08-15</t>
        </is>
      </c>
    </row>
    <row r="8494">
      <c r="A8494" s="1" t="n">
        <v>8493</v>
      </c>
      <c r="B8494">
        <f>TEXT(8493, "[$-170000]yyyy-mm-dd")</f>
        <v/>
      </c>
      <c r="C8494">
        <f>TEXT(8493, "[$-060000]yyyy-mm-dd")</f>
        <v/>
      </c>
      <c r="D8494" t="inlineStr">
        <is>
          <t>1341-08-16</t>
        </is>
      </c>
    </row>
    <row r="8495">
      <c r="A8495" s="1" t="n">
        <v>8494</v>
      </c>
      <c r="B8495">
        <f>TEXT(8494, "[$-170000]yyyy-mm-dd")</f>
        <v/>
      </c>
      <c r="C8495">
        <f>TEXT(8494, "[$-060000]yyyy-mm-dd")</f>
        <v/>
      </c>
      <c r="D8495" t="inlineStr">
        <is>
          <t>1341-08-17</t>
        </is>
      </c>
    </row>
    <row r="8496">
      <c r="A8496" s="1" t="n">
        <v>8495</v>
      </c>
      <c r="B8496">
        <f>TEXT(8495, "[$-170000]yyyy-mm-dd")</f>
        <v/>
      </c>
      <c r="C8496">
        <f>TEXT(8495, "[$-060000]yyyy-mm-dd")</f>
        <v/>
      </c>
      <c r="D8496" t="inlineStr">
        <is>
          <t>1341-08-18</t>
        </is>
      </c>
    </row>
    <row r="8497">
      <c r="A8497" s="1" t="n">
        <v>8496</v>
      </c>
      <c r="B8497">
        <f>TEXT(8496, "[$-170000]yyyy-mm-dd")</f>
        <v/>
      </c>
      <c r="C8497">
        <f>TEXT(8496, "[$-060000]yyyy-mm-dd")</f>
        <v/>
      </c>
      <c r="D8497" t="inlineStr">
        <is>
          <t>1341-08-19</t>
        </is>
      </c>
    </row>
    <row r="8498">
      <c r="A8498" s="1" t="n">
        <v>8497</v>
      </c>
      <c r="B8498">
        <f>TEXT(8497, "[$-170000]yyyy-mm-dd")</f>
        <v/>
      </c>
      <c r="C8498">
        <f>TEXT(8497, "[$-060000]yyyy-mm-dd")</f>
        <v/>
      </c>
      <c r="D8498" t="inlineStr">
        <is>
          <t>1341-08-20</t>
        </is>
      </c>
    </row>
    <row r="8499">
      <c r="A8499" s="1" t="n">
        <v>8498</v>
      </c>
      <c r="B8499">
        <f>TEXT(8498, "[$-170000]yyyy-mm-dd")</f>
        <v/>
      </c>
      <c r="C8499">
        <f>TEXT(8498, "[$-060000]yyyy-mm-dd")</f>
        <v/>
      </c>
      <c r="D8499" t="inlineStr">
        <is>
          <t>1341-08-21</t>
        </is>
      </c>
    </row>
    <row r="8500">
      <c r="A8500" s="1" t="n">
        <v>8499</v>
      </c>
      <c r="B8500">
        <f>TEXT(8499, "[$-170000]yyyy-mm-dd")</f>
        <v/>
      </c>
      <c r="C8500">
        <f>TEXT(8499, "[$-060000]yyyy-mm-dd")</f>
        <v/>
      </c>
      <c r="D8500" t="inlineStr">
        <is>
          <t>1341-08-22</t>
        </is>
      </c>
    </row>
    <row r="8501">
      <c r="A8501" s="1" t="n">
        <v>8500</v>
      </c>
      <c r="B8501">
        <f>TEXT(8500, "[$-170000]yyyy-mm-dd")</f>
        <v/>
      </c>
      <c r="C8501">
        <f>TEXT(8500, "[$-060000]yyyy-mm-dd")</f>
        <v/>
      </c>
      <c r="D8501" t="inlineStr">
        <is>
          <t>1341-08-23</t>
        </is>
      </c>
    </row>
    <row r="8502">
      <c r="A8502" s="1" t="n">
        <v>8501</v>
      </c>
      <c r="B8502">
        <f>TEXT(8501, "[$-170000]yyyy-mm-dd")</f>
        <v/>
      </c>
      <c r="C8502">
        <f>TEXT(8501, "[$-060000]yyyy-mm-dd")</f>
        <v/>
      </c>
      <c r="D8502" t="inlineStr">
        <is>
          <t>1341-08-24</t>
        </is>
      </c>
    </row>
    <row r="8503">
      <c r="A8503" s="1" t="n">
        <v>8502</v>
      </c>
      <c r="B8503">
        <f>TEXT(8502, "[$-170000]yyyy-mm-dd")</f>
        <v/>
      </c>
      <c r="C8503">
        <f>TEXT(8502, "[$-060000]yyyy-mm-dd")</f>
        <v/>
      </c>
      <c r="D8503" t="inlineStr">
        <is>
          <t>1341-08-25</t>
        </is>
      </c>
    </row>
    <row r="8504">
      <c r="A8504" s="1" t="n">
        <v>8503</v>
      </c>
      <c r="B8504">
        <f>TEXT(8503, "[$-170000]yyyy-mm-dd")</f>
        <v/>
      </c>
      <c r="C8504">
        <f>TEXT(8503, "[$-060000]yyyy-mm-dd")</f>
        <v/>
      </c>
      <c r="D8504" t="inlineStr">
        <is>
          <t>1341-08-26</t>
        </is>
      </c>
    </row>
    <row r="8505">
      <c r="A8505" s="1" t="n">
        <v>8504</v>
      </c>
      <c r="B8505">
        <f>TEXT(8504, "[$-170000]yyyy-mm-dd")</f>
        <v/>
      </c>
      <c r="C8505">
        <f>TEXT(8504, "[$-060000]yyyy-mm-dd")</f>
        <v/>
      </c>
      <c r="D8505" t="inlineStr">
        <is>
          <t>1341-08-27</t>
        </is>
      </c>
    </row>
    <row r="8506">
      <c r="A8506" s="1" t="n">
        <v>8505</v>
      </c>
      <c r="B8506">
        <f>TEXT(8505, "[$-170000]yyyy-mm-dd")</f>
        <v/>
      </c>
      <c r="C8506">
        <f>TEXT(8505, "[$-060000]yyyy-mm-dd")</f>
        <v/>
      </c>
      <c r="D8506" t="inlineStr">
        <is>
          <t>1341-08-28</t>
        </is>
      </c>
    </row>
    <row r="8507">
      <c r="A8507" s="1" t="n">
        <v>8506</v>
      </c>
      <c r="B8507">
        <f>TEXT(8506, "[$-170000]yyyy-mm-dd")</f>
        <v/>
      </c>
      <c r="C8507">
        <f>TEXT(8506, "[$-060000]yyyy-mm-dd")</f>
        <v/>
      </c>
      <c r="D8507" t="inlineStr">
        <is>
          <t>1341-08-29</t>
        </is>
      </c>
    </row>
    <row r="8508">
      <c r="A8508" s="1" t="n">
        <v>8507</v>
      </c>
      <c r="B8508">
        <f>TEXT(8507, "[$-170000]yyyy-mm-dd")</f>
        <v/>
      </c>
      <c r="C8508">
        <f>TEXT(8507, "[$-060000]yyyy-mm-dd")</f>
        <v/>
      </c>
      <c r="D8508" t="inlineStr">
        <is>
          <t>1341-09-01</t>
        </is>
      </c>
    </row>
    <row r="8509">
      <c r="A8509" s="1" t="n">
        <v>8508</v>
      </c>
      <c r="B8509">
        <f>TEXT(8508, "[$-170000]yyyy-mm-dd")</f>
        <v/>
      </c>
      <c r="C8509">
        <f>TEXT(8508, "[$-060000]yyyy-mm-dd")</f>
        <v/>
      </c>
      <c r="D8509" t="inlineStr">
        <is>
          <t>1341-09-02</t>
        </is>
      </c>
    </row>
    <row r="8510">
      <c r="A8510" s="1" t="n">
        <v>8509</v>
      </c>
      <c r="B8510">
        <f>TEXT(8509, "[$-170000]yyyy-mm-dd")</f>
        <v/>
      </c>
      <c r="C8510">
        <f>TEXT(8509, "[$-060000]yyyy-mm-dd")</f>
        <v/>
      </c>
      <c r="D8510" t="inlineStr">
        <is>
          <t>1341-09-03</t>
        </is>
      </c>
    </row>
    <row r="8511">
      <c r="A8511" s="1" t="n">
        <v>8510</v>
      </c>
      <c r="B8511">
        <f>TEXT(8510, "[$-170000]yyyy-mm-dd")</f>
        <v/>
      </c>
      <c r="C8511">
        <f>TEXT(8510, "[$-060000]yyyy-mm-dd")</f>
        <v/>
      </c>
      <c r="D8511" t="inlineStr">
        <is>
          <t>1341-09-04</t>
        </is>
      </c>
    </row>
    <row r="8512">
      <c r="A8512" s="1" t="n">
        <v>8511</v>
      </c>
      <c r="B8512">
        <f>TEXT(8511, "[$-170000]yyyy-mm-dd")</f>
        <v/>
      </c>
      <c r="C8512">
        <f>TEXT(8511, "[$-060000]yyyy-mm-dd")</f>
        <v/>
      </c>
      <c r="D8512" t="inlineStr">
        <is>
          <t>1341-09-05</t>
        </is>
      </c>
    </row>
    <row r="8513">
      <c r="A8513" s="1" t="n">
        <v>8512</v>
      </c>
      <c r="B8513">
        <f>TEXT(8512, "[$-170000]yyyy-mm-dd")</f>
        <v/>
      </c>
      <c r="C8513">
        <f>TEXT(8512, "[$-060000]yyyy-mm-dd")</f>
        <v/>
      </c>
      <c r="D8513" t="inlineStr">
        <is>
          <t>1341-09-06</t>
        </is>
      </c>
    </row>
    <row r="8514">
      <c r="A8514" s="1" t="n">
        <v>8513</v>
      </c>
      <c r="B8514">
        <f>TEXT(8513, "[$-170000]yyyy-mm-dd")</f>
        <v/>
      </c>
      <c r="C8514">
        <f>TEXT(8513, "[$-060000]yyyy-mm-dd")</f>
        <v/>
      </c>
      <c r="D8514" t="inlineStr">
        <is>
          <t>1341-09-07</t>
        </is>
      </c>
    </row>
    <row r="8515">
      <c r="A8515" s="1" t="n">
        <v>8514</v>
      </c>
      <c r="B8515">
        <f>TEXT(8514, "[$-170000]yyyy-mm-dd")</f>
        <v/>
      </c>
      <c r="C8515">
        <f>TEXT(8514, "[$-060000]yyyy-mm-dd")</f>
        <v/>
      </c>
      <c r="D8515" t="inlineStr">
        <is>
          <t>1341-09-08</t>
        </is>
      </c>
    </row>
    <row r="8516">
      <c r="A8516" s="1" t="n">
        <v>8515</v>
      </c>
      <c r="B8516">
        <f>TEXT(8515, "[$-170000]yyyy-mm-dd")</f>
        <v/>
      </c>
      <c r="C8516">
        <f>TEXT(8515, "[$-060000]yyyy-mm-dd")</f>
        <v/>
      </c>
      <c r="D8516" t="inlineStr">
        <is>
          <t>1341-09-09</t>
        </is>
      </c>
    </row>
    <row r="8517">
      <c r="A8517" s="1" t="n">
        <v>8516</v>
      </c>
      <c r="B8517">
        <f>TEXT(8516, "[$-170000]yyyy-mm-dd")</f>
        <v/>
      </c>
      <c r="C8517">
        <f>TEXT(8516, "[$-060000]yyyy-mm-dd")</f>
        <v/>
      </c>
      <c r="D8517" t="inlineStr">
        <is>
          <t>1341-09-10</t>
        </is>
      </c>
    </row>
    <row r="8518">
      <c r="A8518" s="1" t="n">
        <v>8517</v>
      </c>
      <c r="B8518">
        <f>TEXT(8517, "[$-170000]yyyy-mm-dd")</f>
        <v/>
      </c>
      <c r="C8518">
        <f>TEXT(8517, "[$-060000]yyyy-mm-dd")</f>
        <v/>
      </c>
      <c r="D8518" t="inlineStr">
        <is>
          <t>1341-09-11</t>
        </is>
      </c>
    </row>
    <row r="8519">
      <c r="A8519" s="1" t="n">
        <v>8518</v>
      </c>
      <c r="B8519">
        <f>TEXT(8518, "[$-170000]yyyy-mm-dd")</f>
        <v/>
      </c>
      <c r="C8519">
        <f>TEXT(8518, "[$-060000]yyyy-mm-dd")</f>
        <v/>
      </c>
      <c r="D8519" t="inlineStr">
        <is>
          <t>1341-09-12</t>
        </is>
      </c>
    </row>
    <row r="8520">
      <c r="A8520" s="1" t="n">
        <v>8519</v>
      </c>
      <c r="B8520">
        <f>TEXT(8519, "[$-170000]yyyy-mm-dd")</f>
        <v/>
      </c>
      <c r="C8520">
        <f>TEXT(8519, "[$-060000]yyyy-mm-dd")</f>
        <v/>
      </c>
      <c r="D8520" t="inlineStr">
        <is>
          <t>1341-09-13</t>
        </is>
      </c>
    </row>
    <row r="8521">
      <c r="A8521" s="1" t="n">
        <v>8520</v>
      </c>
      <c r="B8521">
        <f>TEXT(8520, "[$-170000]yyyy-mm-dd")</f>
        <v/>
      </c>
      <c r="C8521">
        <f>TEXT(8520, "[$-060000]yyyy-mm-dd")</f>
        <v/>
      </c>
      <c r="D8521" t="inlineStr">
        <is>
          <t>1341-09-14</t>
        </is>
      </c>
    </row>
    <row r="8522">
      <c r="A8522" s="1" t="n">
        <v>8521</v>
      </c>
      <c r="B8522">
        <f>TEXT(8521, "[$-170000]yyyy-mm-dd")</f>
        <v/>
      </c>
      <c r="C8522">
        <f>TEXT(8521, "[$-060000]yyyy-mm-dd")</f>
        <v/>
      </c>
      <c r="D8522" t="inlineStr">
        <is>
          <t>1341-09-15</t>
        </is>
      </c>
    </row>
    <row r="8523">
      <c r="A8523" s="1" t="n">
        <v>8522</v>
      </c>
      <c r="B8523">
        <f>TEXT(8522, "[$-170000]yyyy-mm-dd")</f>
        <v/>
      </c>
      <c r="C8523">
        <f>TEXT(8522, "[$-060000]yyyy-mm-dd")</f>
        <v/>
      </c>
      <c r="D8523" t="inlineStr">
        <is>
          <t>1341-09-16</t>
        </is>
      </c>
    </row>
    <row r="8524">
      <c r="A8524" s="1" t="n">
        <v>8523</v>
      </c>
      <c r="B8524">
        <f>TEXT(8523, "[$-170000]yyyy-mm-dd")</f>
        <v/>
      </c>
      <c r="C8524">
        <f>TEXT(8523, "[$-060000]yyyy-mm-dd")</f>
        <v/>
      </c>
      <c r="D8524" t="inlineStr">
        <is>
          <t>1341-09-17</t>
        </is>
      </c>
    </row>
    <row r="8525">
      <c r="A8525" s="1" t="n">
        <v>8524</v>
      </c>
      <c r="B8525">
        <f>TEXT(8524, "[$-170000]yyyy-mm-dd")</f>
        <v/>
      </c>
      <c r="C8525">
        <f>TEXT(8524, "[$-060000]yyyy-mm-dd")</f>
        <v/>
      </c>
      <c r="D8525" t="inlineStr">
        <is>
          <t>1341-09-18</t>
        </is>
      </c>
    </row>
    <row r="8526">
      <c r="A8526" s="1" t="n">
        <v>8525</v>
      </c>
      <c r="B8526">
        <f>TEXT(8525, "[$-170000]yyyy-mm-dd")</f>
        <v/>
      </c>
      <c r="C8526">
        <f>TEXT(8525, "[$-060000]yyyy-mm-dd")</f>
        <v/>
      </c>
      <c r="D8526" t="inlineStr">
        <is>
          <t>1341-09-19</t>
        </is>
      </c>
    </row>
    <row r="8527">
      <c r="A8527" s="1" t="n">
        <v>8526</v>
      </c>
      <c r="B8527">
        <f>TEXT(8526, "[$-170000]yyyy-mm-dd")</f>
        <v/>
      </c>
      <c r="C8527">
        <f>TEXT(8526, "[$-060000]yyyy-mm-dd")</f>
        <v/>
      </c>
      <c r="D8527" t="inlineStr">
        <is>
          <t>1341-09-20</t>
        </is>
      </c>
    </row>
    <row r="8528">
      <c r="A8528" s="1" t="n">
        <v>8527</v>
      </c>
      <c r="B8528">
        <f>TEXT(8527, "[$-170000]yyyy-mm-dd")</f>
        <v/>
      </c>
      <c r="C8528">
        <f>TEXT(8527, "[$-060000]yyyy-mm-dd")</f>
        <v/>
      </c>
      <c r="D8528" t="inlineStr">
        <is>
          <t>1341-09-21</t>
        </is>
      </c>
    </row>
    <row r="8529">
      <c r="A8529" s="1" t="n">
        <v>8528</v>
      </c>
      <c r="B8529">
        <f>TEXT(8528, "[$-170000]yyyy-mm-dd")</f>
        <v/>
      </c>
      <c r="C8529">
        <f>TEXT(8528, "[$-060000]yyyy-mm-dd")</f>
        <v/>
      </c>
      <c r="D8529" t="inlineStr">
        <is>
          <t>1341-09-22</t>
        </is>
      </c>
    </row>
    <row r="8530">
      <c r="A8530" s="1" t="n">
        <v>8529</v>
      </c>
      <c r="B8530">
        <f>TEXT(8529, "[$-170000]yyyy-mm-dd")</f>
        <v/>
      </c>
      <c r="C8530">
        <f>TEXT(8529, "[$-060000]yyyy-mm-dd")</f>
        <v/>
      </c>
      <c r="D8530" t="inlineStr">
        <is>
          <t>1341-09-23</t>
        </is>
      </c>
    </row>
    <row r="8531">
      <c r="A8531" s="1" t="n">
        <v>8530</v>
      </c>
      <c r="B8531">
        <f>TEXT(8530, "[$-170000]yyyy-mm-dd")</f>
        <v/>
      </c>
      <c r="C8531">
        <f>TEXT(8530, "[$-060000]yyyy-mm-dd")</f>
        <v/>
      </c>
      <c r="D8531" t="inlineStr">
        <is>
          <t>1341-09-24</t>
        </is>
      </c>
    </row>
    <row r="8532">
      <c r="A8532" s="1" t="n">
        <v>8531</v>
      </c>
      <c r="B8532">
        <f>TEXT(8531, "[$-170000]yyyy-mm-dd")</f>
        <v/>
      </c>
      <c r="C8532">
        <f>TEXT(8531, "[$-060000]yyyy-mm-dd")</f>
        <v/>
      </c>
      <c r="D8532" t="inlineStr">
        <is>
          <t>1341-09-25</t>
        </is>
      </c>
    </row>
    <row r="8533">
      <c r="A8533" s="1" t="n">
        <v>8532</v>
      </c>
      <c r="B8533">
        <f>TEXT(8532, "[$-170000]yyyy-mm-dd")</f>
        <v/>
      </c>
      <c r="C8533">
        <f>TEXT(8532, "[$-060000]yyyy-mm-dd")</f>
        <v/>
      </c>
      <c r="D8533" t="inlineStr">
        <is>
          <t>1341-09-26</t>
        </is>
      </c>
    </row>
    <row r="8534">
      <c r="A8534" s="1" t="n">
        <v>8533</v>
      </c>
      <c r="B8534">
        <f>TEXT(8533, "[$-170000]yyyy-mm-dd")</f>
        <v/>
      </c>
      <c r="C8534">
        <f>TEXT(8533, "[$-060000]yyyy-mm-dd")</f>
        <v/>
      </c>
      <c r="D8534" t="inlineStr">
        <is>
          <t>1341-09-27</t>
        </is>
      </c>
    </row>
    <row r="8535">
      <c r="A8535" s="1" t="n">
        <v>8534</v>
      </c>
      <c r="B8535">
        <f>TEXT(8534, "[$-170000]yyyy-mm-dd")</f>
        <v/>
      </c>
      <c r="C8535">
        <f>TEXT(8534, "[$-060000]yyyy-mm-dd")</f>
        <v/>
      </c>
      <c r="D8535" t="inlineStr">
        <is>
          <t>1341-09-28</t>
        </is>
      </c>
    </row>
    <row r="8536">
      <c r="A8536" s="1" t="n">
        <v>8535</v>
      </c>
      <c r="B8536">
        <f>TEXT(8535, "[$-170000]yyyy-mm-dd")</f>
        <v/>
      </c>
      <c r="C8536">
        <f>TEXT(8535, "[$-060000]yyyy-mm-dd")</f>
        <v/>
      </c>
      <c r="D8536" t="inlineStr">
        <is>
          <t>1341-09-29</t>
        </is>
      </c>
    </row>
    <row r="8537">
      <c r="A8537" s="1" t="n">
        <v>8536</v>
      </c>
      <c r="B8537">
        <f>TEXT(8536, "[$-170000]yyyy-mm-dd")</f>
        <v/>
      </c>
      <c r="C8537">
        <f>TEXT(8536, "[$-060000]yyyy-mm-dd")</f>
        <v/>
      </c>
      <c r="D8537" t="inlineStr">
        <is>
          <t>1341-09-30</t>
        </is>
      </c>
    </row>
    <row r="8538">
      <c r="A8538" s="1" t="n">
        <v>8537</v>
      </c>
      <c r="B8538">
        <f>TEXT(8537, "[$-170000]yyyy-mm-dd")</f>
        <v/>
      </c>
      <c r="C8538">
        <f>TEXT(8537, "[$-060000]yyyy-mm-dd")</f>
        <v/>
      </c>
      <c r="D8538" t="inlineStr">
        <is>
          <t>1341-10-01</t>
        </is>
      </c>
    </row>
    <row r="8539">
      <c r="A8539" s="1" t="n">
        <v>8538</v>
      </c>
      <c r="B8539">
        <f>TEXT(8538, "[$-170000]yyyy-mm-dd")</f>
        <v/>
      </c>
      <c r="C8539">
        <f>TEXT(8538, "[$-060000]yyyy-mm-dd")</f>
        <v/>
      </c>
      <c r="D8539" t="inlineStr">
        <is>
          <t>1341-10-02</t>
        </is>
      </c>
    </row>
    <row r="8540">
      <c r="A8540" s="1" t="n">
        <v>8539</v>
      </c>
      <c r="B8540">
        <f>TEXT(8539, "[$-170000]yyyy-mm-dd")</f>
        <v/>
      </c>
      <c r="C8540">
        <f>TEXT(8539, "[$-060000]yyyy-mm-dd")</f>
        <v/>
      </c>
      <c r="D8540" t="inlineStr">
        <is>
          <t>1341-10-03</t>
        </is>
      </c>
    </row>
    <row r="8541">
      <c r="A8541" s="1" t="n">
        <v>8540</v>
      </c>
      <c r="B8541">
        <f>TEXT(8540, "[$-170000]yyyy-mm-dd")</f>
        <v/>
      </c>
      <c r="C8541">
        <f>TEXT(8540, "[$-060000]yyyy-mm-dd")</f>
        <v/>
      </c>
      <c r="D8541" t="inlineStr">
        <is>
          <t>1341-10-04</t>
        </is>
      </c>
    </row>
    <row r="8542">
      <c r="A8542" s="1" t="n">
        <v>8541</v>
      </c>
      <c r="B8542">
        <f>TEXT(8541, "[$-170000]yyyy-mm-dd")</f>
        <v/>
      </c>
      <c r="C8542">
        <f>TEXT(8541, "[$-060000]yyyy-mm-dd")</f>
        <v/>
      </c>
      <c r="D8542" t="inlineStr">
        <is>
          <t>1341-10-05</t>
        </is>
      </c>
    </row>
    <row r="8543">
      <c r="A8543" s="1" t="n">
        <v>8542</v>
      </c>
      <c r="B8543">
        <f>TEXT(8542, "[$-170000]yyyy-mm-dd")</f>
        <v/>
      </c>
      <c r="C8543">
        <f>TEXT(8542, "[$-060000]yyyy-mm-dd")</f>
        <v/>
      </c>
      <c r="D8543" t="inlineStr">
        <is>
          <t>1341-10-06</t>
        </is>
      </c>
    </row>
    <row r="8544">
      <c r="A8544" s="1" t="n">
        <v>8543</v>
      </c>
      <c r="B8544">
        <f>TEXT(8543, "[$-170000]yyyy-mm-dd")</f>
        <v/>
      </c>
      <c r="C8544">
        <f>TEXT(8543, "[$-060000]yyyy-mm-dd")</f>
        <v/>
      </c>
      <c r="D8544" t="inlineStr">
        <is>
          <t>1341-10-07</t>
        </is>
      </c>
    </row>
    <row r="8545">
      <c r="A8545" s="1" t="n">
        <v>8544</v>
      </c>
      <c r="B8545">
        <f>TEXT(8544, "[$-170000]yyyy-mm-dd")</f>
        <v/>
      </c>
      <c r="C8545">
        <f>TEXT(8544, "[$-060000]yyyy-mm-dd")</f>
        <v/>
      </c>
      <c r="D8545" t="inlineStr">
        <is>
          <t>1341-10-08</t>
        </is>
      </c>
    </row>
    <row r="8546">
      <c r="A8546" s="1" t="n">
        <v>8545</v>
      </c>
      <c r="B8546">
        <f>TEXT(8545, "[$-170000]yyyy-mm-dd")</f>
        <v/>
      </c>
      <c r="C8546">
        <f>TEXT(8545, "[$-060000]yyyy-mm-dd")</f>
        <v/>
      </c>
      <c r="D8546" t="inlineStr">
        <is>
          <t>1341-10-09</t>
        </is>
      </c>
    </row>
    <row r="8547">
      <c r="A8547" s="1" t="n">
        <v>8546</v>
      </c>
      <c r="B8547">
        <f>TEXT(8546, "[$-170000]yyyy-mm-dd")</f>
        <v/>
      </c>
      <c r="C8547">
        <f>TEXT(8546, "[$-060000]yyyy-mm-dd")</f>
        <v/>
      </c>
      <c r="D8547" t="inlineStr">
        <is>
          <t>1341-10-10</t>
        </is>
      </c>
    </row>
    <row r="8548">
      <c r="A8548" s="1" t="n">
        <v>8547</v>
      </c>
      <c r="B8548">
        <f>TEXT(8547, "[$-170000]yyyy-mm-dd")</f>
        <v/>
      </c>
      <c r="C8548">
        <f>TEXT(8547, "[$-060000]yyyy-mm-dd")</f>
        <v/>
      </c>
      <c r="D8548" t="inlineStr">
        <is>
          <t>1341-10-11</t>
        </is>
      </c>
    </row>
    <row r="8549">
      <c r="A8549" s="1" t="n">
        <v>8548</v>
      </c>
      <c r="B8549">
        <f>TEXT(8548, "[$-170000]yyyy-mm-dd")</f>
        <v/>
      </c>
      <c r="C8549">
        <f>TEXT(8548, "[$-060000]yyyy-mm-dd")</f>
        <v/>
      </c>
      <c r="D8549" t="inlineStr">
        <is>
          <t>1341-10-12</t>
        </is>
      </c>
    </row>
    <row r="8550">
      <c r="A8550" s="1" t="n">
        <v>8549</v>
      </c>
      <c r="B8550">
        <f>TEXT(8549, "[$-170000]yyyy-mm-dd")</f>
        <v/>
      </c>
      <c r="C8550">
        <f>TEXT(8549, "[$-060000]yyyy-mm-dd")</f>
        <v/>
      </c>
      <c r="D8550" t="inlineStr">
        <is>
          <t>1341-10-13</t>
        </is>
      </c>
    </row>
    <row r="8551">
      <c r="A8551" s="1" t="n">
        <v>8550</v>
      </c>
      <c r="B8551">
        <f>TEXT(8550, "[$-170000]yyyy-mm-dd")</f>
        <v/>
      </c>
      <c r="C8551">
        <f>TEXT(8550, "[$-060000]yyyy-mm-dd")</f>
        <v/>
      </c>
      <c r="D8551" t="inlineStr">
        <is>
          <t>1341-10-14</t>
        </is>
      </c>
    </row>
    <row r="8552">
      <c r="A8552" s="1" t="n">
        <v>8551</v>
      </c>
      <c r="B8552">
        <f>TEXT(8551, "[$-170000]yyyy-mm-dd")</f>
        <v/>
      </c>
      <c r="C8552">
        <f>TEXT(8551, "[$-060000]yyyy-mm-dd")</f>
        <v/>
      </c>
      <c r="D8552" t="inlineStr">
        <is>
          <t>1341-10-15</t>
        </is>
      </c>
    </row>
    <row r="8553">
      <c r="A8553" s="1" t="n">
        <v>8552</v>
      </c>
      <c r="B8553">
        <f>TEXT(8552, "[$-170000]yyyy-mm-dd")</f>
        <v/>
      </c>
      <c r="C8553">
        <f>TEXT(8552, "[$-060000]yyyy-mm-dd")</f>
        <v/>
      </c>
      <c r="D8553" t="inlineStr">
        <is>
          <t>1341-10-16</t>
        </is>
      </c>
    </row>
    <row r="8554">
      <c r="A8554" s="1" t="n">
        <v>8553</v>
      </c>
      <c r="B8554">
        <f>TEXT(8553, "[$-170000]yyyy-mm-dd")</f>
        <v/>
      </c>
      <c r="C8554">
        <f>TEXT(8553, "[$-060000]yyyy-mm-dd")</f>
        <v/>
      </c>
      <c r="D8554" t="inlineStr">
        <is>
          <t>1341-10-17</t>
        </is>
      </c>
    </row>
    <row r="8555">
      <c r="A8555" s="1" t="n">
        <v>8554</v>
      </c>
      <c r="B8555">
        <f>TEXT(8554, "[$-170000]yyyy-mm-dd")</f>
        <v/>
      </c>
      <c r="C8555">
        <f>TEXT(8554, "[$-060000]yyyy-mm-dd")</f>
        <v/>
      </c>
      <c r="D8555" t="inlineStr">
        <is>
          <t>1341-10-18</t>
        </is>
      </c>
    </row>
    <row r="8556">
      <c r="A8556" s="1" t="n">
        <v>8555</v>
      </c>
      <c r="B8556">
        <f>TEXT(8555, "[$-170000]yyyy-mm-dd")</f>
        <v/>
      </c>
      <c r="C8556">
        <f>TEXT(8555, "[$-060000]yyyy-mm-dd")</f>
        <v/>
      </c>
      <c r="D8556" t="inlineStr">
        <is>
          <t>1341-10-19</t>
        </is>
      </c>
    </row>
    <row r="8557">
      <c r="A8557" s="1" t="n">
        <v>8556</v>
      </c>
      <c r="B8557">
        <f>TEXT(8556, "[$-170000]yyyy-mm-dd")</f>
        <v/>
      </c>
      <c r="C8557">
        <f>TEXT(8556, "[$-060000]yyyy-mm-dd")</f>
        <v/>
      </c>
      <c r="D8557" t="inlineStr">
        <is>
          <t>1341-10-20</t>
        </is>
      </c>
    </row>
    <row r="8558">
      <c r="A8558" s="1" t="n">
        <v>8557</v>
      </c>
      <c r="B8558">
        <f>TEXT(8557, "[$-170000]yyyy-mm-dd")</f>
        <v/>
      </c>
      <c r="C8558">
        <f>TEXT(8557, "[$-060000]yyyy-mm-dd")</f>
        <v/>
      </c>
      <c r="D8558" t="inlineStr">
        <is>
          <t>1341-10-21</t>
        </is>
      </c>
    </row>
    <row r="8559">
      <c r="A8559" s="1" t="n">
        <v>8558</v>
      </c>
      <c r="B8559">
        <f>TEXT(8558, "[$-170000]yyyy-mm-dd")</f>
        <v/>
      </c>
      <c r="C8559">
        <f>TEXT(8558, "[$-060000]yyyy-mm-dd")</f>
        <v/>
      </c>
      <c r="D8559" t="inlineStr">
        <is>
          <t>1341-10-22</t>
        </is>
      </c>
    </row>
    <row r="8560">
      <c r="A8560" s="1" t="n">
        <v>8559</v>
      </c>
      <c r="B8560">
        <f>TEXT(8559, "[$-170000]yyyy-mm-dd")</f>
        <v/>
      </c>
      <c r="C8560">
        <f>TEXT(8559, "[$-060000]yyyy-mm-dd")</f>
        <v/>
      </c>
      <c r="D8560" t="inlineStr">
        <is>
          <t>1341-10-23</t>
        </is>
      </c>
    </row>
    <row r="8561">
      <c r="A8561" s="1" t="n">
        <v>8560</v>
      </c>
      <c r="B8561">
        <f>TEXT(8560, "[$-170000]yyyy-mm-dd")</f>
        <v/>
      </c>
      <c r="C8561">
        <f>TEXT(8560, "[$-060000]yyyy-mm-dd")</f>
        <v/>
      </c>
      <c r="D8561" t="inlineStr">
        <is>
          <t>1341-10-24</t>
        </is>
      </c>
    </row>
    <row r="8562">
      <c r="A8562" s="1" t="n">
        <v>8561</v>
      </c>
      <c r="B8562">
        <f>TEXT(8561, "[$-170000]yyyy-mm-dd")</f>
        <v/>
      </c>
      <c r="C8562">
        <f>TEXT(8561, "[$-060000]yyyy-mm-dd")</f>
        <v/>
      </c>
      <c r="D8562" t="inlineStr">
        <is>
          <t>1341-10-25</t>
        </is>
      </c>
    </row>
    <row r="8563">
      <c r="A8563" s="1" t="n">
        <v>8562</v>
      </c>
      <c r="B8563">
        <f>TEXT(8562, "[$-170000]yyyy-mm-dd")</f>
        <v/>
      </c>
      <c r="C8563">
        <f>TEXT(8562, "[$-060000]yyyy-mm-dd")</f>
        <v/>
      </c>
      <c r="D8563" t="inlineStr">
        <is>
          <t>1341-10-26</t>
        </is>
      </c>
    </row>
    <row r="8564">
      <c r="A8564" s="1" t="n">
        <v>8563</v>
      </c>
      <c r="B8564">
        <f>TEXT(8563, "[$-170000]yyyy-mm-dd")</f>
        <v/>
      </c>
      <c r="C8564">
        <f>TEXT(8563, "[$-060000]yyyy-mm-dd")</f>
        <v/>
      </c>
      <c r="D8564" t="inlineStr">
        <is>
          <t>1341-10-27</t>
        </is>
      </c>
    </row>
    <row r="8565">
      <c r="A8565" s="1" t="n">
        <v>8564</v>
      </c>
      <c r="B8565">
        <f>TEXT(8564, "[$-170000]yyyy-mm-dd")</f>
        <v/>
      </c>
      <c r="C8565">
        <f>TEXT(8564, "[$-060000]yyyy-mm-dd")</f>
        <v/>
      </c>
      <c r="D8565" t="inlineStr">
        <is>
          <t>1341-10-28</t>
        </is>
      </c>
    </row>
    <row r="8566">
      <c r="A8566" s="1" t="n">
        <v>8565</v>
      </c>
      <c r="B8566">
        <f>TEXT(8565, "[$-170000]yyyy-mm-dd")</f>
        <v/>
      </c>
      <c r="C8566">
        <f>TEXT(8565, "[$-060000]yyyy-mm-dd")</f>
        <v/>
      </c>
      <c r="D8566" t="inlineStr">
        <is>
          <t>1341-10-29</t>
        </is>
      </c>
    </row>
    <row r="8567">
      <c r="A8567" s="1" t="n">
        <v>8566</v>
      </c>
      <c r="B8567">
        <f>TEXT(8566, "[$-170000]yyyy-mm-dd")</f>
        <v/>
      </c>
      <c r="C8567">
        <f>TEXT(8566, "[$-060000]yyyy-mm-dd")</f>
        <v/>
      </c>
      <c r="D8567" t="inlineStr">
        <is>
          <t>1341-11-01</t>
        </is>
      </c>
    </row>
    <row r="8568">
      <c r="A8568" s="1" t="n">
        <v>8567</v>
      </c>
      <c r="B8568">
        <f>TEXT(8567, "[$-170000]yyyy-mm-dd")</f>
        <v/>
      </c>
      <c r="C8568">
        <f>TEXT(8567, "[$-060000]yyyy-mm-dd")</f>
        <v/>
      </c>
      <c r="D8568" t="inlineStr">
        <is>
          <t>1341-11-02</t>
        </is>
      </c>
    </row>
    <row r="8569">
      <c r="A8569" s="1" t="n">
        <v>8568</v>
      </c>
      <c r="B8569">
        <f>TEXT(8568, "[$-170000]yyyy-mm-dd")</f>
        <v/>
      </c>
      <c r="C8569">
        <f>TEXT(8568, "[$-060000]yyyy-mm-dd")</f>
        <v/>
      </c>
      <c r="D8569" t="inlineStr">
        <is>
          <t>1341-11-03</t>
        </is>
      </c>
    </row>
    <row r="8570">
      <c r="A8570" s="1" t="n">
        <v>8569</v>
      </c>
      <c r="B8570">
        <f>TEXT(8569, "[$-170000]yyyy-mm-dd")</f>
        <v/>
      </c>
      <c r="C8570">
        <f>TEXT(8569, "[$-060000]yyyy-mm-dd")</f>
        <v/>
      </c>
      <c r="D8570" t="inlineStr">
        <is>
          <t>1341-11-04</t>
        </is>
      </c>
    </row>
    <row r="8571">
      <c r="A8571" s="1" t="n">
        <v>8570</v>
      </c>
      <c r="B8571">
        <f>TEXT(8570, "[$-170000]yyyy-mm-dd")</f>
        <v/>
      </c>
      <c r="C8571">
        <f>TEXT(8570, "[$-060000]yyyy-mm-dd")</f>
        <v/>
      </c>
      <c r="D8571" t="inlineStr">
        <is>
          <t>1341-11-05</t>
        </is>
      </c>
    </row>
    <row r="8572">
      <c r="A8572" s="1" t="n">
        <v>8571</v>
      </c>
      <c r="B8572">
        <f>TEXT(8571, "[$-170000]yyyy-mm-dd")</f>
        <v/>
      </c>
      <c r="C8572">
        <f>TEXT(8571, "[$-060000]yyyy-mm-dd")</f>
        <v/>
      </c>
      <c r="D8572" t="inlineStr">
        <is>
          <t>1341-11-06</t>
        </is>
      </c>
    </row>
    <row r="8573">
      <c r="A8573" s="1" t="n">
        <v>8572</v>
      </c>
      <c r="B8573">
        <f>TEXT(8572, "[$-170000]yyyy-mm-dd")</f>
        <v/>
      </c>
      <c r="C8573">
        <f>TEXT(8572, "[$-060000]yyyy-mm-dd")</f>
        <v/>
      </c>
      <c r="D8573" t="inlineStr">
        <is>
          <t>1341-11-07</t>
        </is>
      </c>
    </row>
    <row r="8574">
      <c r="A8574" s="1" t="n">
        <v>8573</v>
      </c>
      <c r="B8574">
        <f>TEXT(8573, "[$-170000]yyyy-mm-dd")</f>
        <v/>
      </c>
      <c r="C8574">
        <f>TEXT(8573, "[$-060000]yyyy-mm-dd")</f>
        <v/>
      </c>
      <c r="D8574" t="inlineStr">
        <is>
          <t>1341-11-08</t>
        </is>
      </c>
    </row>
    <row r="8575">
      <c r="A8575" s="1" t="n">
        <v>8574</v>
      </c>
      <c r="B8575">
        <f>TEXT(8574, "[$-170000]yyyy-mm-dd")</f>
        <v/>
      </c>
      <c r="C8575">
        <f>TEXT(8574, "[$-060000]yyyy-mm-dd")</f>
        <v/>
      </c>
      <c r="D8575" t="inlineStr">
        <is>
          <t>1341-11-09</t>
        </is>
      </c>
    </row>
    <row r="8576">
      <c r="A8576" s="1" t="n">
        <v>8575</v>
      </c>
      <c r="B8576">
        <f>TEXT(8575, "[$-170000]yyyy-mm-dd")</f>
        <v/>
      </c>
      <c r="C8576">
        <f>TEXT(8575, "[$-060000]yyyy-mm-dd")</f>
        <v/>
      </c>
      <c r="D8576" t="inlineStr">
        <is>
          <t>1341-11-10</t>
        </is>
      </c>
    </row>
    <row r="8577">
      <c r="A8577" s="1" t="n">
        <v>8576</v>
      </c>
      <c r="B8577">
        <f>TEXT(8576, "[$-170000]yyyy-mm-dd")</f>
        <v/>
      </c>
      <c r="C8577">
        <f>TEXT(8576, "[$-060000]yyyy-mm-dd")</f>
        <v/>
      </c>
      <c r="D8577" t="inlineStr">
        <is>
          <t>1341-11-11</t>
        </is>
      </c>
    </row>
    <row r="8578">
      <c r="A8578" s="1" t="n">
        <v>8577</v>
      </c>
      <c r="B8578">
        <f>TEXT(8577, "[$-170000]yyyy-mm-dd")</f>
        <v/>
      </c>
      <c r="C8578">
        <f>TEXT(8577, "[$-060000]yyyy-mm-dd")</f>
        <v/>
      </c>
      <c r="D8578" t="inlineStr">
        <is>
          <t>1341-11-12</t>
        </is>
      </c>
    </row>
    <row r="8579">
      <c r="A8579" s="1" t="n">
        <v>8578</v>
      </c>
      <c r="B8579">
        <f>TEXT(8578, "[$-170000]yyyy-mm-dd")</f>
        <v/>
      </c>
      <c r="C8579">
        <f>TEXT(8578, "[$-060000]yyyy-mm-dd")</f>
        <v/>
      </c>
      <c r="D8579" t="inlineStr">
        <is>
          <t>1341-11-13</t>
        </is>
      </c>
    </row>
    <row r="8580">
      <c r="A8580" s="1" t="n">
        <v>8579</v>
      </c>
      <c r="B8580">
        <f>TEXT(8579, "[$-170000]yyyy-mm-dd")</f>
        <v/>
      </c>
      <c r="C8580">
        <f>TEXT(8579, "[$-060000]yyyy-mm-dd")</f>
        <v/>
      </c>
      <c r="D8580" t="inlineStr">
        <is>
          <t>1341-11-14</t>
        </is>
      </c>
    </row>
    <row r="8581">
      <c r="A8581" s="1" t="n">
        <v>8580</v>
      </c>
      <c r="B8581">
        <f>TEXT(8580, "[$-170000]yyyy-mm-dd")</f>
        <v/>
      </c>
      <c r="C8581">
        <f>TEXT(8580, "[$-060000]yyyy-mm-dd")</f>
        <v/>
      </c>
      <c r="D8581" t="inlineStr">
        <is>
          <t>1341-11-15</t>
        </is>
      </c>
    </row>
    <row r="8582">
      <c r="A8582" s="1" t="n">
        <v>8581</v>
      </c>
      <c r="B8582">
        <f>TEXT(8581, "[$-170000]yyyy-mm-dd")</f>
        <v/>
      </c>
      <c r="C8582">
        <f>TEXT(8581, "[$-060000]yyyy-mm-dd")</f>
        <v/>
      </c>
      <c r="D8582" t="inlineStr">
        <is>
          <t>1341-11-16</t>
        </is>
      </c>
    </row>
    <row r="8583">
      <c r="A8583" s="1" t="n">
        <v>8582</v>
      </c>
      <c r="B8583">
        <f>TEXT(8582, "[$-170000]yyyy-mm-dd")</f>
        <v/>
      </c>
      <c r="C8583">
        <f>TEXT(8582, "[$-060000]yyyy-mm-dd")</f>
        <v/>
      </c>
      <c r="D8583" t="inlineStr">
        <is>
          <t>1341-11-17</t>
        </is>
      </c>
    </row>
    <row r="8584">
      <c r="A8584" s="1" t="n">
        <v>8583</v>
      </c>
      <c r="B8584">
        <f>TEXT(8583, "[$-170000]yyyy-mm-dd")</f>
        <v/>
      </c>
      <c r="C8584">
        <f>TEXT(8583, "[$-060000]yyyy-mm-dd")</f>
        <v/>
      </c>
      <c r="D8584" t="inlineStr">
        <is>
          <t>1341-11-18</t>
        </is>
      </c>
    </row>
    <row r="8585">
      <c r="A8585" s="1" t="n">
        <v>8584</v>
      </c>
      <c r="B8585">
        <f>TEXT(8584, "[$-170000]yyyy-mm-dd")</f>
        <v/>
      </c>
      <c r="C8585">
        <f>TEXT(8584, "[$-060000]yyyy-mm-dd")</f>
        <v/>
      </c>
      <c r="D8585" t="inlineStr">
        <is>
          <t>1341-11-19</t>
        </is>
      </c>
    </row>
    <row r="8586">
      <c r="A8586" s="1" t="n">
        <v>8585</v>
      </c>
      <c r="B8586">
        <f>TEXT(8585, "[$-170000]yyyy-mm-dd")</f>
        <v/>
      </c>
      <c r="C8586">
        <f>TEXT(8585, "[$-060000]yyyy-mm-dd")</f>
        <v/>
      </c>
      <c r="D8586" t="inlineStr">
        <is>
          <t>1341-11-20</t>
        </is>
      </c>
    </row>
    <row r="8587">
      <c r="A8587" s="1" t="n">
        <v>8586</v>
      </c>
      <c r="B8587">
        <f>TEXT(8586, "[$-170000]yyyy-mm-dd")</f>
        <v/>
      </c>
      <c r="C8587">
        <f>TEXT(8586, "[$-060000]yyyy-mm-dd")</f>
        <v/>
      </c>
      <c r="D8587" t="inlineStr">
        <is>
          <t>1341-11-21</t>
        </is>
      </c>
    </row>
    <row r="8588">
      <c r="A8588" s="1" t="n">
        <v>8587</v>
      </c>
      <c r="B8588">
        <f>TEXT(8587, "[$-170000]yyyy-mm-dd")</f>
        <v/>
      </c>
      <c r="C8588">
        <f>TEXT(8587, "[$-060000]yyyy-mm-dd")</f>
        <v/>
      </c>
      <c r="D8588" t="inlineStr">
        <is>
          <t>1341-11-22</t>
        </is>
      </c>
    </row>
    <row r="8589">
      <c r="A8589" s="1" t="n">
        <v>8588</v>
      </c>
      <c r="B8589">
        <f>TEXT(8588, "[$-170000]yyyy-mm-dd")</f>
        <v/>
      </c>
      <c r="C8589">
        <f>TEXT(8588, "[$-060000]yyyy-mm-dd")</f>
        <v/>
      </c>
      <c r="D8589" t="inlineStr">
        <is>
          <t>1341-11-23</t>
        </is>
      </c>
    </row>
    <row r="8590">
      <c r="A8590" s="1" t="n">
        <v>8589</v>
      </c>
      <c r="B8590">
        <f>TEXT(8589, "[$-170000]yyyy-mm-dd")</f>
        <v/>
      </c>
      <c r="C8590">
        <f>TEXT(8589, "[$-060000]yyyy-mm-dd")</f>
        <v/>
      </c>
      <c r="D8590" t="inlineStr">
        <is>
          <t>1341-11-24</t>
        </is>
      </c>
    </row>
    <row r="8591">
      <c r="A8591" s="1" t="n">
        <v>8590</v>
      </c>
      <c r="B8591">
        <f>TEXT(8590, "[$-170000]yyyy-mm-dd")</f>
        <v/>
      </c>
      <c r="C8591">
        <f>TEXT(8590, "[$-060000]yyyy-mm-dd")</f>
        <v/>
      </c>
      <c r="D8591" t="inlineStr">
        <is>
          <t>1341-11-25</t>
        </is>
      </c>
    </row>
    <row r="8592">
      <c r="A8592" s="1" t="n">
        <v>8591</v>
      </c>
      <c r="B8592">
        <f>TEXT(8591, "[$-170000]yyyy-mm-dd")</f>
        <v/>
      </c>
      <c r="C8592">
        <f>TEXT(8591, "[$-060000]yyyy-mm-dd")</f>
        <v/>
      </c>
      <c r="D8592" t="inlineStr">
        <is>
          <t>1341-11-26</t>
        </is>
      </c>
    </row>
    <row r="8593">
      <c r="A8593" s="1" t="n">
        <v>8592</v>
      </c>
      <c r="B8593">
        <f>TEXT(8592, "[$-170000]yyyy-mm-dd")</f>
        <v/>
      </c>
      <c r="C8593">
        <f>TEXT(8592, "[$-060000]yyyy-mm-dd")</f>
        <v/>
      </c>
      <c r="D8593" t="inlineStr">
        <is>
          <t>1341-11-27</t>
        </is>
      </c>
    </row>
    <row r="8594">
      <c r="A8594" s="1" t="n">
        <v>8593</v>
      </c>
      <c r="B8594">
        <f>TEXT(8593, "[$-170000]yyyy-mm-dd")</f>
        <v/>
      </c>
      <c r="C8594">
        <f>TEXT(8593, "[$-060000]yyyy-mm-dd")</f>
        <v/>
      </c>
      <c r="D8594" t="inlineStr">
        <is>
          <t>1341-11-28</t>
        </is>
      </c>
    </row>
    <row r="8595">
      <c r="A8595" s="1" t="n">
        <v>8594</v>
      </c>
      <c r="B8595">
        <f>TEXT(8594, "[$-170000]yyyy-mm-dd")</f>
        <v/>
      </c>
      <c r="C8595">
        <f>TEXT(8594, "[$-060000]yyyy-mm-dd")</f>
        <v/>
      </c>
      <c r="D8595" t="inlineStr">
        <is>
          <t>1341-11-29</t>
        </is>
      </c>
    </row>
    <row r="8596">
      <c r="A8596" s="1" t="n">
        <v>8595</v>
      </c>
      <c r="B8596">
        <f>TEXT(8595, "[$-170000]yyyy-mm-dd")</f>
        <v/>
      </c>
      <c r="C8596">
        <f>TEXT(8595, "[$-060000]yyyy-mm-dd")</f>
        <v/>
      </c>
      <c r="D8596" t="inlineStr">
        <is>
          <t>1341-11-30</t>
        </is>
      </c>
    </row>
    <row r="8597">
      <c r="A8597" s="1" t="n">
        <v>8596</v>
      </c>
      <c r="B8597">
        <f>TEXT(8596, "[$-170000]yyyy-mm-dd")</f>
        <v/>
      </c>
      <c r="C8597">
        <f>TEXT(8596, "[$-060000]yyyy-mm-dd")</f>
        <v/>
      </c>
      <c r="D8597" t="inlineStr">
        <is>
          <t>1341-12-01</t>
        </is>
      </c>
    </row>
    <row r="8598">
      <c r="A8598" s="1" t="n">
        <v>8597</v>
      </c>
      <c r="B8598">
        <f>TEXT(8597, "[$-170000]yyyy-mm-dd")</f>
        <v/>
      </c>
      <c r="C8598">
        <f>TEXT(8597, "[$-060000]yyyy-mm-dd")</f>
        <v/>
      </c>
      <c r="D8598" t="inlineStr">
        <is>
          <t>1341-12-02</t>
        </is>
      </c>
    </row>
    <row r="8599">
      <c r="A8599" s="1" t="n">
        <v>8598</v>
      </c>
      <c r="B8599">
        <f>TEXT(8598, "[$-170000]yyyy-mm-dd")</f>
        <v/>
      </c>
      <c r="C8599">
        <f>TEXT(8598, "[$-060000]yyyy-mm-dd")</f>
        <v/>
      </c>
      <c r="D8599" t="inlineStr">
        <is>
          <t>1341-12-03</t>
        </is>
      </c>
    </row>
    <row r="8600">
      <c r="A8600" s="1" t="n">
        <v>8599</v>
      </c>
      <c r="B8600">
        <f>TEXT(8599, "[$-170000]yyyy-mm-dd")</f>
        <v/>
      </c>
      <c r="C8600">
        <f>TEXT(8599, "[$-060000]yyyy-mm-dd")</f>
        <v/>
      </c>
      <c r="D8600" t="inlineStr">
        <is>
          <t>1341-12-04</t>
        </is>
      </c>
    </row>
    <row r="8601">
      <c r="A8601" s="1" t="n">
        <v>8600</v>
      </c>
      <c r="B8601">
        <f>TEXT(8600, "[$-170000]yyyy-mm-dd")</f>
        <v/>
      </c>
      <c r="C8601">
        <f>TEXT(8600, "[$-060000]yyyy-mm-dd")</f>
        <v/>
      </c>
      <c r="D8601" t="inlineStr">
        <is>
          <t>1341-12-05</t>
        </is>
      </c>
    </row>
    <row r="8602">
      <c r="A8602" s="1" t="n">
        <v>8601</v>
      </c>
      <c r="B8602">
        <f>TEXT(8601, "[$-170000]yyyy-mm-dd")</f>
        <v/>
      </c>
      <c r="C8602">
        <f>TEXT(8601, "[$-060000]yyyy-mm-dd")</f>
        <v/>
      </c>
      <c r="D8602" t="inlineStr">
        <is>
          <t>1341-12-06</t>
        </is>
      </c>
    </row>
    <row r="8603">
      <c r="A8603" s="1" t="n">
        <v>8602</v>
      </c>
      <c r="B8603">
        <f>TEXT(8602, "[$-170000]yyyy-mm-dd")</f>
        <v/>
      </c>
      <c r="C8603">
        <f>TEXT(8602, "[$-060000]yyyy-mm-dd")</f>
        <v/>
      </c>
      <c r="D8603" t="inlineStr">
        <is>
          <t>1341-12-07</t>
        </is>
      </c>
    </row>
    <row r="8604">
      <c r="A8604" s="1" t="n">
        <v>8603</v>
      </c>
      <c r="B8604">
        <f>TEXT(8603, "[$-170000]yyyy-mm-dd")</f>
        <v/>
      </c>
      <c r="C8604">
        <f>TEXT(8603, "[$-060000]yyyy-mm-dd")</f>
        <v/>
      </c>
      <c r="D8604" t="inlineStr">
        <is>
          <t>1341-12-08</t>
        </is>
      </c>
    </row>
    <row r="8605">
      <c r="A8605" s="1" t="n">
        <v>8604</v>
      </c>
      <c r="B8605">
        <f>TEXT(8604, "[$-170000]yyyy-mm-dd")</f>
        <v/>
      </c>
      <c r="C8605">
        <f>TEXT(8604, "[$-060000]yyyy-mm-dd")</f>
        <v/>
      </c>
      <c r="D8605" t="inlineStr">
        <is>
          <t>1341-12-09</t>
        </is>
      </c>
    </row>
    <row r="8606">
      <c r="A8606" s="1" t="n">
        <v>8605</v>
      </c>
      <c r="B8606">
        <f>TEXT(8605, "[$-170000]yyyy-mm-dd")</f>
        <v/>
      </c>
      <c r="C8606">
        <f>TEXT(8605, "[$-060000]yyyy-mm-dd")</f>
        <v/>
      </c>
      <c r="D8606" t="inlineStr">
        <is>
          <t>1341-12-10</t>
        </is>
      </c>
    </row>
    <row r="8607">
      <c r="A8607" s="1" t="n">
        <v>8606</v>
      </c>
      <c r="B8607">
        <f>TEXT(8606, "[$-170000]yyyy-mm-dd")</f>
        <v/>
      </c>
      <c r="C8607">
        <f>TEXT(8606, "[$-060000]yyyy-mm-dd")</f>
        <v/>
      </c>
      <c r="D8607" t="inlineStr">
        <is>
          <t>1341-12-11</t>
        </is>
      </c>
    </row>
    <row r="8608">
      <c r="A8608" s="1" t="n">
        <v>8607</v>
      </c>
      <c r="B8608">
        <f>TEXT(8607, "[$-170000]yyyy-mm-dd")</f>
        <v/>
      </c>
      <c r="C8608">
        <f>TEXT(8607, "[$-060000]yyyy-mm-dd")</f>
        <v/>
      </c>
      <c r="D8608" t="inlineStr">
        <is>
          <t>1341-12-12</t>
        </is>
      </c>
    </row>
    <row r="8609">
      <c r="A8609" s="1" t="n">
        <v>8608</v>
      </c>
      <c r="B8609">
        <f>TEXT(8608, "[$-170000]yyyy-mm-dd")</f>
        <v/>
      </c>
      <c r="C8609">
        <f>TEXT(8608, "[$-060000]yyyy-mm-dd")</f>
        <v/>
      </c>
      <c r="D8609" t="inlineStr">
        <is>
          <t>1341-12-13</t>
        </is>
      </c>
    </row>
    <row r="8610">
      <c r="A8610" s="1" t="n">
        <v>8609</v>
      </c>
      <c r="B8610">
        <f>TEXT(8609, "[$-170000]yyyy-mm-dd")</f>
        <v/>
      </c>
      <c r="C8610">
        <f>TEXT(8609, "[$-060000]yyyy-mm-dd")</f>
        <v/>
      </c>
      <c r="D8610" t="inlineStr">
        <is>
          <t>1341-12-14</t>
        </is>
      </c>
    </row>
    <row r="8611">
      <c r="A8611" s="1" t="n">
        <v>8610</v>
      </c>
      <c r="B8611">
        <f>TEXT(8610, "[$-170000]yyyy-mm-dd")</f>
        <v/>
      </c>
      <c r="C8611">
        <f>TEXT(8610, "[$-060000]yyyy-mm-dd")</f>
        <v/>
      </c>
      <c r="D8611" t="inlineStr">
        <is>
          <t>1341-12-15</t>
        </is>
      </c>
    </row>
    <row r="8612">
      <c r="A8612" s="1" t="n">
        <v>8611</v>
      </c>
      <c r="B8612">
        <f>TEXT(8611, "[$-170000]yyyy-mm-dd")</f>
        <v/>
      </c>
      <c r="C8612">
        <f>TEXT(8611, "[$-060000]yyyy-mm-dd")</f>
        <v/>
      </c>
      <c r="D8612" t="inlineStr">
        <is>
          <t>1341-12-16</t>
        </is>
      </c>
    </row>
    <row r="8613">
      <c r="A8613" s="1" t="n">
        <v>8612</v>
      </c>
      <c r="B8613">
        <f>TEXT(8612, "[$-170000]yyyy-mm-dd")</f>
        <v/>
      </c>
      <c r="C8613">
        <f>TEXT(8612, "[$-060000]yyyy-mm-dd")</f>
        <v/>
      </c>
      <c r="D8613" t="inlineStr">
        <is>
          <t>1341-12-17</t>
        </is>
      </c>
    </row>
    <row r="8614">
      <c r="A8614" s="1" t="n">
        <v>8613</v>
      </c>
      <c r="B8614">
        <f>TEXT(8613, "[$-170000]yyyy-mm-dd")</f>
        <v/>
      </c>
      <c r="C8614">
        <f>TEXT(8613, "[$-060000]yyyy-mm-dd")</f>
        <v/>
      </c>
      <c r="D8614" t="inlineStr">
        <is>
          <t>1341-12-18</t>
        </is>
      </c>
    </row>
    <row r="8615">
      <c r="A8615" s="1" t="n">
        <v>8614</v>
      </c>
      <c r="B8615">
        <f>TEXT(8614, "[$-170000]yyyy-mm-dd")</f>
        <v/>
      </c>
      <c r="C8615">
        <f>TEXT(8614, "[$-060000]yyyy-mm-dd")</f>
        <v/>
      </c>
      <c r="D8615" t="inlineStr">
        <is>
          <t>1341-12-19</t>
        </is>
      </c>
    </row>
    <row r="8616">
      <c r="A8616" s="1" t="n">
        <v>8615</v>
      </c>
      <c r="B8616">
        <f>TEXT(8615, "[$-170000]yyyy-mm-dd")</f>
        <v/>
      </c>
      <c r="C8616">
        <f>TEXT(8615, "[$-060000]yyyy-mm-dd")</f>
        <v/>
      </c>
      <c r="D8616" t="inlineStr">
        <is>
          <t>1341-12-20</t>
        </is>
      </c>
    </row>
    <row r="8617">
      <c r="A8617" s="1" t="n">
        <v>8616</v>
      </c>
      <c r="B8617">
        <f>TEXT(8616, "[$-170000]yyyy-mm-dd")</f>
        <v/>
      </c>
      <c r="C8617">
        <f>TEXT(8616, "[$-060000]yyyy-mm-dd")</f>
        <v/>
      </c>
      <c r="D8617" t="inlineStr">
        <is>
          <t>1341-12-21</t>
        </is>
      </c>
    </row>
    <row r="8618">
      <c r="A8618" s="1" t="n">
        <v>8617</v>
      </c>
      <c r="B8618">
        <f>TEXT(8617, "[$-170000]yyyy-mm-dd")</f>
        <v/>
      </c>
      <c r="C8618">
        <f>TEXT(8617, "[$-060000]yyyy-mm-dd")</f>
        <v/>
      </c>
      <c r="D8618" t="inlineStr">
        <is>
          <t>1341-12-22</t>
        </is>
      </c>
    </row>
    <row r="8619">
      <c r="A8619" s="1" t="n">
        <v>8618</v>
      </c>
      <c r="B8619">
        <f>TEXT(8618, "[$-170000]yyyy-mm-dd")</f>
        <v/>
      </c>
      <c r="C8619">
        <f>TEXT(8618, "[$-060000]yyyy-mm-dd")</f>
        <v/>
      </c>
      <c r="D8619" t="inlineStr">
        <is>
          <t>1341-12-23</t>
        </is>
      </c>
    </row>
    <row r="8620">
      <c r="A8620" s="1" t="n">
        <v>8619</v>
      </c>
      <c r="B8620">
        <f>TEXT(8619, "[$-170000]yyyy-mm-dd")</f>
        <v/>
      </c>
      <c r="C8620">
        <f>TEXT(8619, "[$-060000]yyyy-mm-dd")</f>
        <v/>
      </c>
      <c r="D8620" t="inlineStr">
        <is>
          <t>1341-12-24</t>
        </is>
      </c>
    </row>
    <row r="8621">
      <c r="A8621" s="1" t="n">
        <v>8620</v>
      </c>
      <c r="B8621">
        <f>TEXT(8620, "[$-170000]yyyy-mm-dd")</f>
        <v/>
      </c>
      <c r="C8621">
        <f>TEXT(8620, "[$-060000]yyyy-mm-dd")</f>
        <v/>
      </c>
      <c r="D8621" t="inlineStr">
        <is>
          <t>1341-12-25</t>
        </is>
      </c>
    </row>
    <row r="8622">
      <c r="A8622" s="1" t="n">
        <v>8621</v>
      </c>
      <c r="B8622">
        <f>TEXT(8621, "[$-170000]yyyy-mm-dd")</f>
        <v/>
      </c>
      <c r="C8622">
        <f>TEXT(8621, "[$-060000]yyyy-mm-dd")</f>
        <v/>
      </c>
      <c r="D8622" t="inlineStr">
        <is>
          <t>1341-12-26</t>
        </is>
      </c>
    </row>
    <row r="8623">
      <c r="A8623" s="1" t="n">
        <v>8622</v>
      </c>
      <c r="B8623">
        <f>TEXT(8622, "[$-170000]yyyy-mm-dd")</f>
        <v/>
      </c>
      <c r="C8623">
        <f>TEXT(8622, "[$-060000]yyyy-mm-dd")</f>
        <v/>
      </c>
      <c r="D8623" t="inlineStr">
        <is>
          <t>1341-12-27</t>
        </is>
      </c>
    </row>
    <row r="8624">
      <c r="A8624" s="1" t="n">
        <v>8623</v>
      </c>
      <c r="B8624">
        <f>TEXT(8623, "[$-170000]yyyy-mm-dd")</f>
        <v/>
      </c>
      <c r="C8624">
        <f>TEXT(8623, "[$-060000]yyyy-mm-dd")</f>
        <v/>
      </c>
      <c r="D8624" t="inlineStr">
        <is>
          <t>1341-12-28</t>
        </is>
      </c>
    </row>
    <row r="8625">
      <c r="A8625" s="1" t="n">
        <v>8624</v>
      </c>
      <c r="B8625">
        <f>TEXT(8624, "[$-170000]yyyy-mm-dd")</f>
        <v/>
      </c>
      <c r="C8625">
        <f>TEXT(8624, "[$-060000]yyyy-mm-dd")</f>
        <v/>
      </c>
      <c r="D8625" t="inlineStr">
        <is>
          <t>1341-12-29</t>
        </is>
      </c>
    </row>
    <row r="8626">
      <c r="A8626" s="1" t="n">
        <v>8625</v>
      </c>
      <c r="B8626">
        <f>TEXT(8625, "[$-170000]yyyy-mm-dd")</f>
        <v/>
      </c>
      <c r="C8626">
        <f>TEXT(8625, "[$-060000]yyyy-mm-dd")</f>
        <v/>
      </c>
      <c r="D8626" t="inlineStr">
        <is>
          <t>1341-12-30</t>
        </is>
      </c>
    </row>
    <row r="8627">
      <c r="A8627" s="1" t="n">
        <v>8626</v>
      </c>
      <c r="B8627">
        <f>TEXT(8626, "[$-170000]yyyy-mm-dd")</f>
        <v/>
      </c>
      <c r="C8627">
        <f>TEXT(8626, "[$-060000]yyyy-mm-dd")</f>
        <v/>
      </c>
      <c r="D8627" t="inlineStr">
        <is>
          <t>1342-01-01</t>
        </is>
      </c>
    </row>
    <row r="8628">
      <c r="A8628" s="1" t="n">
        <v>8627</v>
      </c>
      <c r="B8628">
        <f>TEXT(8627, "[$-170000]yyyy-mm-dd")</f>
        <v/>
      </c>
      <c r="C8628">
        <f>TEXT(8627, "[$-060000]yyyy-mm-dd")</f>
        <v/>
      </c>
      <c r="D8628" t="inlineStr">
        <is>
          <t>1342-01-02</t>
        </is>
      </c>
    </row>
    <row r="8629">
      <c r="A8629" s="1" t="n">
        <v>8628</v>
      </c>
      <c r="B8629">
        <f>TEXT(8628, "[$-170000]yyyy-mm-dd")</f>
        <v/>
      </c>
      <c r="C8629">
        <f>TEXT(8628, "[$-060000]yyyy-mm-dd")</f>
        <v/>
      </c>
      <c r="D8629" t="inlineStr">
        <is>
          <t>1342-01-03</t>
        </is>
      </c>
    </row>
    <row r="8630">
      <c r="A8630" s="1" t="n">
        <v>8629</v>
      </c>
      <c r="B8630">
        <f>TEXT(8629, "[$-170000]yyyy-mm-dd")</f>
        <v/>
      </c>
      <c r="C8630">
        <f>TEXT(8629, "[$-060000]yyyy-mm-dd")</f>
        <v/>
      </c>
      <c r="D8630" t="inlineStr">
        <is>
          <t>1342-01-04</t>
        </is>
      </c>
    </row>
    <row r="8631">
      <c r="A8631" s="1" t="n">
        <v>8630</v>
      </c>
      <c r="B8631">
        <f>TEXT(8630, "[$-170000]yyyy-mm-dd")</f>
        <v/>
      </c>
      <c r="C8631">
        <f>TEXT(8630, "[$-060000]yyyy-mm-dd")</f>
        <v/>
      </c>
      <c r="D8631" t="inlineStr">
        <is>
          <t>1342-01-05</t>
        </is>
      </c>
    </row>
    <row r="8632">
      <c r="A8632" s="1" t="n">
        <v>8631</v>
      </c>
      <c r="B8632">
        <f>TEXT(8631, "[$-170000]yyyy-mm-dd")</f>
        <v/>
      </c>
      <c r="C8632">
        <f>TEXT(8631, "[$-060000]yyyy-mm-dd")</f>
        <v/>
      </c>
      <c r="D8632" t="inlineStr">
        <is>
          <t>1342-01-06</t>
        </is>
      </c>
    </row>
    <row r="8633">
      <c r="A8633" s="1" t="n">
        <v>8632</v>
      </c>
      <c r="B8633">
        <f>TEXT(8632, "[$-170000]yyyy-mm-dd")</f>
        <v/>
      </c>
      <c r="C8633">
        <f>TEXT(8632, "[$-060000]yyyy-mm-dd")</f>
        <v/>
      </c>
      <c r="D8633" t="inlineStr">
        <is>
          <t>1342-01-07</t>
        </is>
      </c>
    </row>
    <row r="8634">
      <c r="A8634" s="1" t="n">
        <v>8633</v>
      </c>
      <c r="B8634">
        <f>TEXT(8633, "[$-170000]yyyy-mm-dd")</f>
        <v/>
      </c>
      <c r="C8634">
        <f>TEXT(8633, "[$-060000]yyyy-mm-dd")</f>
        <v/>
      </c>
      <c r="D8634" t="inlineStr">
        <is>
          <t>1342-01-08</t>
        </is>
      </c>
    </row>
    <row r="8635">
      <c r="A8635" s="1" t="n">
        <v>8634</v>
      </c>
      <c r="B8635">
        <f>TEXT(8634, "[$-170000]yyyy-mm-dd")</f>
        <v/>
      </c>
      <c r="C8635">
        <f>TEXT(8634, "[$-060000]yyyy-mm-dd")</f>
        <v/>
      </c>
      <c r="D8635" t="inlineStr">
        <is>
          <t>1342-01-09</t>
        </is>
      </c>
    </row>
    <row r="8636">
      <c r="A8636" s="1" t="n">
        <v>8635</v>
      </c>
      <c r="B8636">
        <f>TEXT(8635, "[$-170000]yyyy-mm-dd")</f>
        <v/>
      </c>
      <c r="C8636">
        <f>TEXT(8635, "[$-060000]yyyy-mm-dd")</f>
        <v/>
      </c>
      <c r="D8636" t="inlineStr">
        <is>
          <t>1342-01-10</t>
        </is>
      </c>
    </row>
    <row r="8637">
      <c r="A8637" s="1" t="n">
        <v>8636</v>
      </c>
      <c r="B8637">
        <f>TEXT(8636, "[$-170000]yyyy-mm-dd")</f>
        <v/>
      </c>
      <c r="C8637">
        <f>TEXT(8636, "[$-060000]yyyy-mm-dd")</f>
        <v/>
      </c>
      <c r="D8637" t="inlineStr">
        <is>
          <t>1342-01-11</t>
        </is>
      </c>
    </row>
    <row r="8638">
      <c r="A8638" s="1" t="n">
        <v>8637</v>
      </c>
      <c r="B8638">
        <f>TEXT(8637, "[$-170000]yyyy-mm-dd")</f>
        <v/>
      </c>
      <c r="C8638">
        <f>TEXT(8637, "[$-060000]yyyy-mm-dd")</f>
        <v/>
      </c>
      <c r="D8638" t="inlineStr">
        <is>
          <t>1342-01-12</t>
        </is>
      </c>
    </row>
    <row r="8639">
      <c r="A8639" s="1" t="n">
        <v>8638</v>
      </c>
      <c r="B8639">
        <f>TEXT(8638, "[$-170000]yyyy-mm-dd")</f>
        <v/>
      </c>
      <c r="C8639">
        <f>TEXT(8638, "[$-060000]yyyy-mm-dd")</f>
        <v/>
      </c>
      <c r="D8639" t="inlineStr">
        <is>
          <t>1342-01-13</t>
        </is>
      </c>
    </row>
    <row r="8640">
      <c r="A8640" s="1" t="n">
        <v>8639</v>
      </c>
      <c r="B8640">
        <f>TEXT(8639, "[$-170000]yyyy-mm-dd")</f>
        <v/>
      </c>
      <c r="C8640">
        <f>TEXT(8639, "[$-060000]yyyy-mm-dd")</f>
        <v/>
      </c>
      <c r="D8640" t="inlineStr">
        <is>
          <t>1342-01-14</t>
        </is>
      </c>
    </row>
    <row r="8641">
      <c r="A8641" s="1" t="n">
        <v>8640</v>
      </c>
      <c r="B8641">
        <f>TEXT(8640, "[$-170000]yyyy-mm-dd")</f>
        <v/>
      </c>
      <c r="C8641">
        <f>TEXT(8640, "[$-060000]yyyy-mm-dd")</f>
        <v/>
      </c>
      <c r="D8641" t="inlineStr">
        <is>
          <t>1342-01-15</t>
        </is>
      </c>
    </row>
    <row r="8642">
      <c r="A8642" s="1" t="n">
        <v>8641</v>
      </c>
      <c r="B8642">
        <f>TEXT(8641, "[$-170000]yyyy-mm-dd")</f>
        <v/>
      </c>
      <c r="C8642">
        <f>TEXT(8641, "[$-060000]yyyy-mm-dd")</f>
        <v/>
      </c>
      <c r="D8642" t="inlineStr">
        <is>
          <t>1342-01-16</t>
        </is>
      </c>
    </row>
    <row r="8643">
      <c r="A8643" s="1" t="n">
        <v>8642</v>
      </c>
      <c r="B8643">
        <f>TEXT(8642, "[$-170000]yyyy-mm-dd")</f>
        <v/>
      </c>
      <c r="C8643">
        <f>TEXT(8642, "[$-060000]yyyy-mm-dd")</f>
        <v/>
      </c>
      <c r="D8643" t="inlineStr">
        <is>
          <t>1342-01-17</t>
        </is>
      </c>
    </row>
    <row r="8644">
      <c r="A8644" s="1" t="n">
        <v>8643</v>
      </c>
      <c r="B8644">
        <f>TEXT(8643, "[$-170000]yyyy-mm-dd")</f>
        <v/>
      </c>
      <c r="C8644">
        <f>TEXT(8643, "[$-060000]yyyy-mm-dd")</f>
        <v/>
      </c>
      <c r="D8644" t="inlineStr">
        <is>
          <t>1342-01-18</t>
        </is>
      </c>
    </row>
    <row r="8645">
      <c r="A8645" s="1" t="n">
        <v>8644</v>
      </c>
      <c r="B8645">
        <f>TEXT(8644, "[$-170000]yyyy-mm-dd")</f>
        <v/>
      </c>
      <c r="C8645">
        <f>TEXT(8644, "[$-060000]yyyy-mm-dd")</f>
        <v/>
      </c>
      <c r="D8645" t="inlineStr">
        <is>
          <t>1342-01-19</t>
        </is>
      </c>
    </row>
    <row r="8646">
      <c r="A8646" s="1" t="n">
        <v>8645</v>
      </c>
      <c r="B8646">
        <f>TEXT(8645, "[$-170000]yyyy-mm-dd")</f>
        <v/>
      </c>
      <c r="C8646">
        <f>TEXT(8645, "[$-060000]yyyy-mm-dd")</f>
        <v/>
      </c>
      <c r="D8646" t="inlineStr">
        <is>
          <t>1342-01-20</t>
        </is>
      </c>
    </row>
    <row r="8647">
      <c r="A8647" s="1" t="n">
        <v>8646</v>
      </c>
      <c r="B8647">
        <f>TEXT(8646, "[$-170000]yyyy-mm-dd")</f>
        <v/>
      </c>
      <c r="C8647">
        <f>TEXT(8646, "[$-060000]yyyy-mm-dd")</f>
        <v/>
      </c>
      <c r="D8647" t="inlineStr">
        <is>
          <t>1342-01-21</t>
        </is>
      </c>
    </row>
    <row r="8648">
      <c r="A8648" s="1" t="n">
        <v>8647</v>
      </c>
      <c r="B8648">
        <f>TEXT(8647, "[$-170000]yyyy-mm-dd")</f>
        <v/>
      </c>
      <c r="C8648">
        <f>TEXT(8647, "[$-060000]yyyy-mm-dd")</f>
        <v/>
      </c>
      <c r="D8648" t="inlineStr">
        <is>
          <t>1342-01-22</t>
        </is>
      </c>
    </row>
    <row r="8649">
      <c r="A8649" s="1" t="n">
        <v>8648</v>
      </c>
      <c r="B8649">
        <f>TEXT(8648, "[$-170000]yyyy-mm-dd")</f>
        <v/>
      </c>
      <c r="C8649">
        <f>TEXT(8648, "[$-060000]yyyy-mm-dd")</f>
        <v/>
      </c>
      <c r="D8649" t="inlineStr">
        <is>
          <t>1342-01-23</t>
        </is>
      </c>
    </row>
    <row r="8650">
      <c r="A8650" s="1" t="n">
        <v>8649</v>
      </c>
      <c r="B8650">
        <f>TEXT(8649, "[$-170000]yyyy-mm-dd")</f>
        <v/>
      </c>
      <c r="C8650">
        <f>TEXT(8649, "[$-060000]yyyy-mm-dd")</f>
        <v/>
      </c>
      <c r="D8650" t="inlineStr">
        <is>
          <t>1342-01-24</t>
        </is>
      </c>
    </row>
    <row r="8651">
      <c r="A8651" s="1" t="n">
        <v>8650</v>
      </c>
      <c r="B8651">
        <f>TEXT(8650, "[$-170000]yyyy-mm-dd")</f>
        <v/>
      </c>
      <c r="C8651">
        <f>TEXT(8650, "[$-060000]yyyy-mm-dd")</f>
        <v/>
      </c>
      <c r="D8651" t="inlineStr">
        <is>
          <t>1342-01-25</t>
        </is>
      </c>
    </row>
    <row r="8652">
      <c r="A8652" s="1" t="n">
        <v>8651</v>
      </c>
      <c r="B8652">
        <f>TEXT(8651, "[$-170000]yyyy-mm-dd")</f>
        <v/>
      </c>
      <c r="C8652">
        <f>TEXT(8651, "[$-060000]yyyy-mm-dd")</f>
        <v/>
      </c>
      <c r="D8652" t="inlineStr">
        <is>
          <t>1342-01-26</t>
        </is>
      </c>
    </row>
    <row r="8653">
      <c r="A8653" s="1" t="n">
        <v>8652</v>
      </c>
      <c r="B8653">
        <f>TEXT(8652, "[$-170000]yyyy-mm-dd")</f>
        <v/>
      </c>
      <c r="C8653">
        <f>TEXT(8652, "[$-060000]yyyy-mm-dd")</f>
        <v/>
      </c>
      <c r="D8653" t="inlineStr">
        <is>
          <t>1342-01-27</t>
        </is>
      </c>
    </row>
    <row r="8654">
      <c r="A8654" s="1" t="n">
        <v>8653</v>
      </c>
      <c r="B8654">
        <f>TEXT(8653, "[$-170000]yyyy-mm-dd")</f>
        <v/>
      </c>
      <c r="C8654">
        <f>TEXT(8653, "[$-060000]yyyy-mm-dd")</f>
        <v/>
      </c>
      <c r="D8654" t="inlineStr">
        <is>
          <t>1342-01-28</t>
        </is>
      </c>
    </row>
    <row r="8655">
      <c r="A8655" s="1" t="n">
        <v>8654</v>
      </c>
      <c r="B8655">
        <f>TEXT(8654, "[$-170000]yyyy-mm-dd")</f>
        <v/>
      </c>
      <c r="C8655">
        <f>TEXT(8654, "[$-060000]yyyy-mm-dd")</f>
        <v/>
      </c>
      <c r="D8655" t="inlineStr">
        <is>
          <t>1342-01-29</t>
        </is>
      </c>
    </row>
    <row r="8656">
      <c r="A8656" s="1" t="n">
        <v>8655</v>
      </c>
      <c r="B8656">
        <f>TEXT(8655, "[$-170000]yyyy-mm-dd")</f>
        <v/>
      </c>
      <c r="C8656">
        <f>TEXT(8655, "[$-060000]yyyy-mm-dd")</f>
        <v/>
      </c>
      <c r="D8656" t="inlineStr">
        <is>
          <t>1342-01-30</t>
        </is>
      </c>
    </row>
    <row r="8657">
      <c r="A8657" s="1" t="n">
        <v>8656</v>
      </c>
      <c r="B8657">
        <f>TEXT(8656, "[$-170000]yyyy-mm-dd")</f>
        <v/>
      </c>
      <c r="C8657">
        <f>TEXT(8656, "[$-060000]yyyy-mm-dd")</f>
        <v/>
      </c>
      <c r="D8657" t="inlineStr">
        <is>
          <t>1342-02-01</t>
        </is>
      </c>
    </row>
    <row r="8658">
      <c r="A8658" s="1" t="n">
        <v>8657</v>
      </c>
      <c r="B8658">
        <f>TEXT(8657, "[$-170000]yyyy-mm-dd")</f>
        <v/>
      </c>
      <c r="C8658">
        <f>TEXT(8657, "[$-060000]yyyy-mm-dd")</f>
        <v/>
      </c>
      <c r="D8658" t="inlineStr">
        <is>
          <t>1342-02-02</t>
        </is>
      </c>
    </row>
    <row r="8659">
      <c r="A8659" s="1" t="n">
        <v>8658</v>
      </c>
      <c r="B8659">
        <f>TEXT(8658, "[$-170000]yyyy-mm-dd")</f>
        <v/>
      </c>
      <c r="C8659">
        <f>TEXT(8658, "[$-060000]yyyy-mm-dd")</f>
        <v/>
      </c>
      <c r="D8659" t="inlineStr">
        <is>
          <t>1342-02-03</t>
        </is>
      </c>
    </row>
    <row r="8660">
      <c r="A8660" s="1" t="n">
        <v>8659</v>
      </c>
      <c r="B8660">
        <f>TEXT(8659, "[$-170000]yyyy-mm-dd")</f>
        <v/>
      </c>
      <c r="C8660">
        <f>TEXT(8659, "[$-060000]yyyy-mm-dd")</f>
        <v/>
      </c>
      <c r="D8660" t="inlineStr">
        <is>
          <t>1342-02-04</t>
        </is>
      </c>
    </row>
    <row r="8661">
      <c r="A8661" s="1" t="n">
        <v>8660</v>
      </c>
      <c r="B8661">
        <f>TEXT(8660, "[$-170000]yyyy-mm-dd")</f>
        <v/>
      </c>
      <c r="C8661">
        <f>TEXT(8660, "[$-060000]yyyy-mm-dd")</f>
        <v/>
      </c>
      <c r="D8661" t="inlineStr">
        <is>
          <t>1342-02-05</t>
        </is>
      </c>
    </row>
    <row r="8662">
      <c r="A8662" s="1" t="n">
        <v>8661</v>
      </c>
      <c r="B8662">
        <f>TEXT(8661, "[$-170000]yyyy-mm-dd")</f>
        <v/>
      </c>
      <c r="C8662">
        <f>TEXT(8661, "[$-060000]yyyy-mm-dd")</f>
        <v/>
      </c>
      <c r="D8662" t="inlineStr">
        <is>
          <t>1342-02-06</t>
        </is>
      </c>
    </row>
    <row r="8663">
      <c r="A8663" s="1" t="n">
        <v>8662</v>
      </c>
      <c r="B8663">
        <f>TEXT(8662, "[$-170000]yyyy-mm-dd")</f>
        <v/>
      </c>
      <c r="C8663">
        <f>TEXT(8662, "[$-060000]yyyy-mm-dd")</f>
        <v/>
      </c>
      <c r="D8663" t="inlineStr">
        <is>
          <t>1342-02-07</t>
        </is>
      </c>
    </row>
    <row r="8664">
      <c r="A8664" s="1" t="n">
        <v>8663</v>
      </c>
      <c r="B8664">
        <f>TEXT(8663, "[$-170000]yyyy-mm-dd")</f>
        <v/>
      </c>
      <c r="C8664">
        <f>TEXT(8663, "[$-060000]yyyy-mm-dd")</f>
        <v/>
      </c>
      <c r="D8664" t="inlineStr">
        <is>
          <t>1342-02-08</t>
        </is>
      </c>
    </row>
    <row r="8665">
      <c r="A8665" s="1" t="n">
        <v>8664</v>
      </c>
      <c r="B8665">
        <f>TEXT(8664, "[$-170000]yyyy-mm-dd")</f>
        <v/>
      </c>
      <c r="C8665">
        <f>TEXT(8664, "[$-060000]yyyy-mm-dd")</f>
        <v/>
      </c>
      <c r="D8665" t="inlineStr">
        <is>
          <t>1342-02-09</t>
        </is>
      </c>
    </row>
    <row r="8666">
      <c r="A8666" s="1" t="n">
        <v>8665</v>
      </c>
      <c r="B8666">
        <f>TEXT(8665, "[$-170000]yyyy-mm-dd")</f>
        <v/>
      </c>
      <c r="C8666">
        <f>TEXT(8665, "[$-060000]yyyy-mm-dd")</f>
        <v/>
      </c>
      <c r="D8666" t="inlineStr">
        <is>
          <t>1342-02-10</t>
        </is>
      </c>
    </row>
    <row r="8667">
      <c r="A8667" s="1" t="n">
        <v>8666</v>
      </c>
      <c r="B8667">
        <f>TEXT(8666, "[$-170000]yyyy-mm-dd")</f>
        <v/>
      </c>
      <c r="C8667">
        <f>TEXT(8666, "[$-060000]yyyy-mm-dd")</f>
        <v/>
      </c>
      <c r="D8667" t="inlineStr">
        <is>
          <t>1342-02-11</t>
        </is>
      </c>
    </row>
    <row r="8668">
      <c r="A8668" s="1" t="n">
        <v>8667</v>
      </c>
      <c r="B8668">
        <f>TEXT(8667, "[$-170000]yyyy-mm-dd")</f>
        <v/>
      </c>
      <c r="C8668">
        <f>TEXT(8667, "[$-060000]yyyy-mm-dd")</f>
        <v/>
      </c>
      <c r="D8668" t="inlineStr">
        <is>
          <t>1342-02-12</t>
        </is>
      </c>
    </row>
    <row r="8669">
      <c r="A8669" s="1" t="n">
        <v>8668</v>
      </c>
      <c r="B8669">
        <f>TEXT(8668, "[$-170000]yyyy-mm-dd")</f>
        <v/>
      </c>
      <c r="C8669">
        <f>TEXT(8668, "[$-060000]yyyy-mm-dd")</f>
        <v/>
      </c>
      <c r="D8669" t="inlineStr">
        <is>
          <t>1342-02-13</t>
        </is>
      </c>
    </row>
    <row r="8670">
      <c r="A8670" s="1" t="n">
        <v>8669</v>
      </c>
      <c r="B8670">
        <f>TEXT(8669, "[$-170000]yyyy-mm-dd")</f>
        <v/>
      </c>
      <c r="C8670">
        <f>TEXT(8669, "[$-060000]yyyy-mm-dd")</f>
        <v/>
      </c>
      <c r="D8670" t="inlineStr">
        <is>
          <t>1342-02-14</t>
        </is>
      </c>
    </row>
    <row r="8671">
      <c r="A8671" s="1" t="n">
        <v>8670</v>
      </c>
      <c r="B8671">
        <f>TEXT(8670, "[$-170000]yyyy-mm-dd")</f>
        <v/>
      </c>
      <c r="C8671">
        <f>TEXT(8670, "[$-060000]yyyy-mm-dd")</f>
        <v/>
      </c>
      <c r="D8671" t="inlineStr">
        <is>
          <t>1342-02-15</t>
        </is>
      </c>
    </row>
    <row r="8672">
      <c r="A8672" s="1" t="n">
        <v>8671</v>
      </c>
      <c r="B8672">
        <f>TEXT(8671, "[$-170000]yyyy-mm-dd")</f>
        <v/>
      </c>
      <c r="C8672">
        <f>TEXT(8671, "[$-060000]yyyy-mm-dd")</f>
        <v/>
      </c>
      <c r="D8672" t="inlineStr">
        <is>
          <t>1342-02-16</t>
        </is>
      </c>
    </row>
    <row r="8673">
      <c r="A8673" s="1" t="n">
        <v>8672</v>
      </c>
      <c r="B8673">
        <f>TEXT(8672, "[$-170000]yyyy-mm-dd")</f>
        <v/>
      </c>
      <c r="C8673">
        <f>TEXT(8672, "[$-060000]yyyy-mm-dd")</f>
        <v/>
      </c>
      <c r="D8673" t="inlineStr">
        <is>
          <t>1342-02-17</t>
        </is>
      </c>
    </row>
    <row r="8674">
      <c r="A8674" s="1" t="n">
        <v>8673</v>
      </c>
      <c r="B8674">
        <f>TEXT(8673, "[$-170000]yyyy-mm-dd")</f>
        <v/>
      </c>
      <c r="C8674">
        <f>TEXT(8673, "[$-060000]yyyy-mm-dd")</f>
        <v/>
      </c>
      <c r="D8674" t="inlineStr">
        <is>
          <t>1342-02-18</t>
        </is>
      </c>
    </row>
    <row r="8675">
      <c r="A8675" s="1" t="n">
        <v>8674</v>
      </c>
      <c r="B8675">
        <f>TEXT(8674, "[$-170000]yyyy-mm-dd")</f>
        <v/>
      </c>
      <c r="C8675">
        <f>TEXT(8674, "[$-060000]yyyy-mm-dd")</f>
        <v/>
      </c>
      <c r="D8675" t="inlineStr">
        <is>
          <t>1342-02-19</t>
        </is>
      </c>
    </row>
    <row r="8676">
      <c r="A8676" s="1" t="n">
        <v>8675</v>
      </c>
      <c r="B8676">
        <f>TEXT(8675, "[$-170000]yyyy-mm-dd")</f>
        <v/>
      </c>
      <c r="C8676">
        <f>TEXT(8675, "[$-060000]yyyy-mm-dd")</f>
        <v/>
      </c>
      <c r="D8676" t="inlineStr">
        <is>
          <t>1342-02-20</t>
        </is>
      </c>
    </row>
    <row r="8677">
      <c r="A8677" s="1" t="n">
        <v>8676</v>
      </c>
      <c r="B8677">
        <f>TEXT(8676, "[$-170000]yyyy-mm-dd")</f>
        <v/>
      </c>
      <c r="C8677">
        <f>TEXT(8676, "[$-060000]yyyy-mm-dd")</f>
        <v/>
      </c>
      <c r="D8677" t="inlineStr">
        <is>
          <t>1342-02-21</t>
        </is>
      </c>
    </row>
    <row r="8678">
      <c r="A8678" s="1" t="n">
        <v>8677</v>
      </c>
      <c r="B8678">
        <f>TEXT(8677, "[$-170000]yyyy-mm-dd")</f>
        <v/>
      </c>
      <c r="C8678">
        <f>TEXT(8677, "[$-060000]yyyy-mm-dd")</f>
        <v/>
      </c>
      <c r="D8678" t="inlineStr">
        <is>
          <t>1342-02-22</t>
        </is>
      </c>
    </row>
    <row r="8679">
      <c r="A8679" s="1" t="n">
        <v>8678</v>
      </c>
      <c r="B8679">
        <f>TEXT(8678, "[$-170000]yyyy-mm-dd")</f>
        <v/>
      </c>
      <c r="C8679">
        <f>TEXT(8678, "[$-060000]yyyy-mm-dd")</f>
        <v/>
      </c>
      <c r="D8679" t="inlineStr">
        <is>
          <t>1342-02-23</t>
        </is>
      </c>
    </row>
    <row r="8680">
      <c r="A8680" s="1" t="n">
        <v>8679</v>
      </c>
      <c r="B8680">
        <f>TEXT(8679, "[$-170000]yyyy-mm-dd")</f>
        <v/>
      </c>
      <c r="C8680">
        <f>TEXT(8679, "[$-060000]yyyy-mm-dd")</f>
        <v/>
      </c>
      <c r="D8680" t="inlineStr">
        <is>
          <t>1342-02-24</t>
        </is>
      </c>
    </row>
    <row r="8681">
      <c r="A8681" s="1" t="n">
        <v>8680</v>
      </c>
      <c r="B8681">
        <f>TEXT(8680, "[$-170000]yyyy-mm-dd")</f>
        <v/>
      </c>
      <c r="C8681">
        <f>TEXT(8680, "[$-060000]yyyy-mm-dd")</f>
        <v/>
      </c>
      <c r="D8681" t="inlineStr">
        <is>
          <t>1342-02-25</t>
        </is>
      </c>
    </row>
    <row r="8682">
      <c r="A8682" s="1" t="n">
        <v>8681</v>
      </c>
      <c r="B8682">
        <f>TEXT(8681, "[$-170000]yyyy-mm-dd")</f>
        <v/>
      </c>
      <c r="C8682">
        <f>TEXT(8681, "[$-060000]yyyy-mm-dd")</f>
        <v/>
      </c>
      <c r="D8682" t="inlineStr">
        <is>
          <t>1342-02-26</t>
        </is>
      </c>
    </row>
    <row r="8683">
      <c r="A8683" s="1" t="n">
        <v>8682</v>
      </c>
      <c r="B8683">
        <f>TEXT(8682, "[$-170000]yyyy-mm-dd")</f>
        <v/>
      </c>
      <c r="C8683">
        <f>TEXT(8682, "[$-060000]yyyy-mm-dd")</f>
        <v/>
      </c>
      <c r="D8683" t="inlineStr">
        <is>
          <t>1342-02-27</t>
        </is>
      </c>
    </row>
    <row r="8684">
      <c r="A8684" s="1" t="n">
        <v>8683</v>
      </c>
      <c r="B8684">
        <f>TEXT(8683, "[$-170000]yyyy-mm-dd")</f>
        <v/>
      </c>
      <c r="C8684">
        <f>TEXT(8683, "[$-060000]yyyy-mm-dd")</f>
        <v/>
      </c>
      <c r="D8684" t="inlineStr">
        <is>
          <t>1342-02-28</t>
        </is>
      </c>
    </row>
    <row r="8685">
      <c r="A8685" s="1" t="n">
        <v>8684</v>
      </c>
      <c r="B8685">
        <f>TEXT(8684, "[$-170000]yyyy-mm-dd")</f>
        <v/>
      </c>
      <c r="C8685">
        <f>TEXT(8684, "[$-060000]yyyy-mm-dd")</f>
        <v/>
      </c>
      <c r="D8685" t="inlineStr">
        <is>
          <t>1342-02-29</t>
        </is>
      </c>
    </row>
    <row r="8686">
      <c r="A8686" s="1" t="n">
        <v>8685</v>
      </c>
      <c r="B8686">
        <f>TEXT(8685, "[$-170000]yyyy-mm-dd")</f>
        <v/>
      </c>
      <c r="C8686">
        <f>TEXT(8685, "[$-060000]yyyy-mm-dd")</f>
        <v/>
      </c>
      <c r="D8686" t="inlineStr">
        <is>
          <t>1342-03-01</t>
        </is>
      </c>
    </row>
    <row r="8687">
      <c r="A8687" s="1" t="n">
        <v>8686</v>
      </c>
      <c r="B8687">
        <f>TEXT(8686, "[$-170000]yyyy-mm-dd")</f>
        <v/>
      </c>
      <c r="C8687">
        <f>TEXT(8686, "[$-060000]yyyy-mm-dd")</f>
        <v/>
      </c>
      <c r="D8687" t="inlineStr">
        <is>
          <t>1342-03-02</t>
        </is>
      </c>
    </row>
    <row r="8688">
      <c r="A8688" s="1" t="n">
        <v>8687</v>
      </c>
      <c r="B8688">
        <f>TEXT(8687, "[$-170000]yyyy-mm-dd")</f>
        <v/>
      </c>
      <c r="C8688">
        <f>TEXT(8687, "[$-060000]yyyy-mm-dd")</f>
        <v/>
      </c>
      <c r="D8688" t="inlineStr">
        <is>
          <t>1342-03-03</t>
        </is>
      </c>
    </row>
    <row r="8689">
      <c r="A8689" s="1" t="n">
        <v>8688</v>
      </c>
      <c r="B8689">
        <f>TEXT(8688, "[$-170000]yyyy-mm-dd")</f>
        <v/>
      </c>
      <c r="C8689">
        <f>TEXT(8688, "[$-060000]yyyy-mm-dd")</f>
        <v/>
      </c>
      <c r="D8689" t="inlineStr">
        <is>
          <t>1342-03-04</t>
        </is>
      </c>
    </row>
    <row r="8690">
      <c r="A8690" s="1" t="n">
        <v>8689</v>
      </c>
      <c r="B8690">
        <f>TEXT(8689, "[$-170000]yyyy-mm-dd")</f>
        <v/>
      </c>
      <c r="C8690">
        <f>TEXT(8689, "[$-060000]yyyy-mm-dd")</f>
        <v/>
      </c>
      <c r="D8690" t="inlineStr">
        <is>
          <t>1342-03-05</t>
        </is>
      </c>
    </row>
    <row r="8691">
      <c r="A8691" s="1" t="n">
        <v>8690</v>
      </c>
      <c r="B8691">
        <f>TEXT(8690, "[$-170000]yyyy-mm-dd")</f>
        <v/>
      </c>
      <c r="C8691">
        <f>TEXT(8690, "[$-060000]yyyy-mm-dd")</f>
        <v/>
      </c>
      <c r="D8691" t="inlineStr">
        <is>
          <t>1342-03-06</t>
        </is>
      </c>
    </row>
    <row r="8692">
      <c r="A8692" s="1" t="n">
        <v>8691</v>
      </c>
      <c r="B8692">
        <f>TEXT(8691, "[$-170000]yyyy-mm-dd")</f>
        <v/>
      </c>
      <c r="C8692">
        <f>TEXT(8691, "[$-060000]yyyy-mm-dd")</f>
        <v/>
      </c>
      <c r="D8692" t="inlineStr">
        <is>
          <t>1342-03-07</t>
        </is>
      </c>
    </row>
    <row r="8693">
      <c r="A8693" s="1" t="n">
        <v>8692</v>
      </c>
      <c r="B8693">
        <f>TEXT(8692, "[$-170000]yyyy-mm-dd")</f>
        <v/>
      </c>
      <c r="C8693">
        <f>TEXT(8692, "[$-060000]yyyy-mm-dd")</f>
        <v/>
      </c>
      <c r="D8693" t="inlineStr">
        <is>
          <t>1342-03-08</t>
        </is>
      </c>
    </row>
    <row r="8694">
      <c r="A8694" s="1" t="n">
        <v>8693</v>
      </c>
      <c r="B8694">
        <f>TEXT(8693, "[$-170000]yyyy-mm-dd")</f>
        <v/>
      </c>
      <c r="C8694">
        <f>TEXT(8693, "[$-060000]yyyy-mm-dd")</f>
        <v/>
      </c>
      <c r="D8694" t="inlineStr">
        <is>
          <t>1342-03-09</t>
        </is>
      </c>
    </row>
    <row r="8695">
      <c r="A8695" s="1" t="n">
        <v>8694</v>
      </c>
      <c r="B8695">
        <f>TEXT(8694, "[$-170000]yyyy-mm-dd")</f>
        <v/>
      </c>
      <c r="C8695">
        <f>TEXT(8694, "[$-060000]yyyy-mm-dd")</f>
        <v/>
      </c>
      <c r="D8695" t="inlineStr">
        <is>
          <t>1342-03-10</t>
        </is>
      </c>
    </row>
    <row r="8696">
      <c r="A8696" s="1" t="n">
        <v>8695</v>
      </c>
      <c r="B8696">
        <f>TEXT(8695, "[$-170000]yyyy-mm-dd")</f>
        <v/>
      </c>
      <c r="C8696">
        <f>TEXT(8695, "[$-060000]yyyy-mm-dd")</f>
        <v/>
      </c>
      <c r="D8696" t="inlineStr">
        <is>
          <t>1342-03-11</t>
        </is>
      </c>
    </row>
    <row r="8697">
      <c r="A8697" s="1" t="n">
        <v>8696</v>
      </c>
      <c r="B8697">
        <f>TEXT(8696, "[$-170000]yyyy-mm-dd")</f>
        <v/>
      </c>
      <c r="C8697">
        <f>TEXT(8696, "[$-060000]yyyy-mm-dd")</f>
        <v/>
      </c>
      <c r="D8697" t="inlineStr">
        <is>
          <t>1342-03-12</t>
        </is>
      </c>
    </row>
    <row r="8698">
      <c r="A8698" s="1" t="n">
        <v>8697</v>
      </c>
      <c r="B8698">
        <f>TEXT(8697, "[$-170000]yyyy-mm-dd")</f>
        <v/>
      </c>
      <c r="C8698">
        <f>TEXT(8697, "[$-060000]yyyy-mm-dd")</f>
        <v/>
      </c>
      <c r="D8698" t="inlineStr">
        <is>
          <t>1342-03-13</t>
        </is>
      </c>
    </row>
    <row r="8699">
      <c r="A8699" s="1" t="n">
        <v>8698</v>
      </c>
      <c r="B8699">
        <f>TEXT(8698, "[$-170000]yyyy-mm-dd")</f>
        <v/>
      </c>
      <c r="C8699">
        <f>TEXT(8698, "[$-060000]yyyy-mm-dd")</f>
        <v/>
      </c>
      <c r="D8699" t="inlineStr">
        <is>
          <t>1342-03-14</t>
        </is>
      </c>
    </row>
    <row r="8700">
      <c r="A8700" s="1" t="n">
        <v>8699</v>
      </c>
      <c r="B8700">
        <f>TEXT(8699, "[$-170000]yyyy-mm-dd")</f>
        <v/>
      </c>
      <c r="C8700">
        <f>TEXT(8699, "[$-060000]yyyy-mm-dd")</f>
        <v/>
      </c>
      <c r="D8700" t="inlineStr">
        <is>
          <t>1342-03-15</t>
        </is>
      </c>
    </row>
    <row r="8701">
      <c r="A8701" s="1" t="n">
        <v>8700</v>
      </c>
      <c r="B8701">
        <f>TEXT(8700, "[$-170000]yyyy-mm-dd")</f>
        <v/>
      </c>
      <c r="C8701">
        <f>TEXT(8700, "[$-060000]yyyy-mm-dd")</f>
        <v/>
      </c>
      <c r="D8701" t="inlineStr">
        <is>
          <t>1342-03-16</t>
        </is>
      </c>
    </row>
    <row r="8702">
      <c r="A8702" s="1" t="n">
        <v>8701</v>
      </c>
      <c r="B8702">
        <f>TEXT(8701, "[$-170000]yyyy-mm-dd")</f>
        <v/>
      </c>
      <c r="C8702">
        <f>TEXT(8701, "[$-060000]yyyy-mm-dd")</f>
        <v/>
      </c>
      <c r="D8702" t="inlineStr">
        <is>
          <t>1342-03-17</t>
        </is>
      </c>
    </row>
    <row r="8703">
      <c r="A8703" s="1" t="n">
        <v>8702</v>
      </c>
      <c r="B8703">
        <f>TEXT(8702, "[$-170000]yyyy-mm-dd")</f>
        <v/>
      </c>
      <c r="C8703">
        <f>TEXT(8702, "[$-060000]yyyy-mm-dd")</f>
        <v/>
      </c>
      <c r="D8703" t="inlineStr">
        <is>
          <t>1342-03-18</t>
        </is>
      </c>
    </row>
    <row r="8704">
      <c r="A8704" s="1" t="n">
        <v>8703</v>
      </c>
      <c r="B8704">
        <f>TEXT(8703, "[$-170000]yyyy-mm-dd")</f>
        <v/>
      </c>
      <c r="C8704">
        <f>TEXT(8703, "[$-060000]yyyy-mm-dd")</f>
        <v/>
      </c>
      <c r="D8704" t="inlineStr">
        <is>
          <t>1342-03-19</t>
        </is>
      </c>
    </row>
    <row r="8705">
      <c r="A8705" s="1" t="n">
        <v>8704</v>
      </c>
      <c r="B8705">
        <f>TEXT(8704, "[$-170000]yyyy-mm-dd")</f>
        <v/>
      </c>
      <c r="C8705">
        <f>TEXT(8704, "[$-060000]yyyy-mm-dd")</f>
        <v/>
      </c>
      <c r="D8705" t="inlineStr">
        <is>
          <t>1342-03-20</t>
        </is>
      </c>
    </row>
    <row r="8706">
      <c r="A8706" s="1" t="n">
        <v>8705</v>
      </c>
      <c r="B8706">
        <f>TEXT(8705, "[$-170000]yyyy-mm-dd")</f>
        <v/>
      </c>
      <c r="C8706">
        <f>TEXT(8705, "[$-060000]yyyy-mm-dd")</f>
        <v/>
      </c>
      <c r="D8706" t="inlineStr">
        <is>
          <t>1342-03-21</t>
        </is>
      </c>
    </row>
    <row r="8707">
      <c r="A8707" s="1" t="n">
        <v>8706</v>
      </c>
      <c r="B8707">
        <f>TEXT(8706, "[$-170000]yyyy-mm-dd")</f>
        <v/>
      </c>
      <c r="C8707">
        <f>TEXT(8706, "[$-060000]yyyy-mm-dd")</f>
        <v/>
      </c>
      <c r="D8707" t="inlineStr">
        <is>
          <t>1342-03-22</t>
        </is>
      </c>
    </row>
    <row r="8708">
      <c r="A8708" s="1" t="n">
        <v>8707</v>
      </c>
      <c r="B8708">
        <f>TEXT(8707, "[$-170000]yyyy-mm-dd")</f>
        <v/>
      </c>
      <c r="C8708">
        <f>TEXT(8707, "[$-060000]yyyy-mm-dd")</f>
        <v/>
      </c>
      <c r="D8708" t="inlineStr">
        <is>
          <t>1342-03-23</t>
        </is>
      </c>
    </row>
    <row r="8709">
      <c r="A8709" s="1" t="n">
        <v>8708</v>
      </c>
      <c r="B8709">
        <f>TEXT(8708, "[$-170000]yyyy-mm-dd")</f>
        <v/>
      </c>
      <c r="C8709">
        <f>TEXT(8708, "[$-060000]yyyy-mm-dd")</f>
        <v/>
      </c>
      <c r="D8709" t="inlineStr">
        <is>
          <t>1342-03-24</t>
        </is>
      </c>
    </row>
    <row r="8710">
      <c r="A8710" s="1" t="n">
        <v>8709</v>
      </c>
      <c r="B8710">
        <f>TEXT(8709, "[$-170000]yyyy-mm-dd")</f>
        <v/>
      </c>
      <c r="C8710">
        <f>TEXT(8709, "[$-060000]yyyy-mm-dd")</f>
        <v/>
      </c>
      <c r="D8710" t="inlineStr">
        <is>
          <t>1342-03-25</t>
        </is>
      </c>
    </row>
    <row r="8711">
      <c r="A8711" s="1" t="n">
        <v>8710</v>
      </c>
      <c r="B8711">
        <f>TEXT(8710, "[$-170000]yyyy-mm-dd")</f>
        <v/>
      </c>
      <c r="C8711">
        <f>TEXT(8710, "[$-060000]yyyy-mm-dd")</f>
        <v/>
      </c>
      <c r="D8711" t="inlineStr">
        <is>
          <t>1342-03-26</t>
        </is>
      </c>
    </row>
    <row r="8712">
      <c r="A8712" s="1" t="n">
        <v>8711</v>
      </c>
      <c r="B8712">
        <f>TEXT(8711, "[$-170000]yyyy-mm-dd")</f>
        <v/>
      </c>
      <c r="C8712">
        <f>TEXT(8711, "[$-060000]yyyy-mm-dd")</f>
        <v/>
      </c>
      <c r="D8712" t="inlineStr">
        <is>
          <t>1342-03-27</t>
        </is>
      </c>
    </row>
    <row r="8713">
      <c r="A8713" s="1" t="n">
        <v>8712</v>
      </c>
      <c r="B8713">
        <f>TEXT(8712, "[$-170000]yyyy-mm-dd")</f>
        <v/>
      </c>
      <c r="C8713">
        <f>TEXT(8712, "[$-060000]yyyy-mm-dd")</f>
        <v/>
      </c>
      <c r="D8713" t="inlineStr">
        <is>
          <t>1342-03-28</t>
        </is>
      </c>
    </row>
    <row r="8714">
      <c r="A8714" s="1" t="n">
        <v>8713</v>
      </c>
      <c r="B8714">
        <f>TEXT(8713, "[$-170000]yyyy-mm-dd")</f>
        <v/>
      </c>
      <c r="C8714">
        <f>TEXT(8713, "[$-060000]yyyy-mm-dd")</f>
        <v/>
      </c>
      <c r="D8714" t="inlineStr">
        <is>
          <t>1342-03-29</t>
        </is>
      </c>
    </row>
    <row r="8715">
      <c r="A8715" s="1" t="n">
        <v>8714</v>
      </c>
      <c r="B8715">
        <f>TEXT(8714, "[$-170000]yyyy-mm-dd")</f>
        <v/>
      </c>
      <c r="C8715">
        <f>TEXT(8714, "[$-060000]yyyy-mm-dd")</f>
        <v/>
      </c>
      <c r="D8715" t="inlineStr">
        <is>
          <t>1342-03-30</t>
        </is>
      </c>
    </row>
    <row r="8716">
      <c r="A8716" s="1" t="n">
        <v>8715</v>
      </c>
      <c r="B8716">
        <f>TEXT(8715, "[$-170000]yyyy-mm-dd")</f>
        <v/>
      </c>
      <c r="C8716">
        <f>TEXT(8715, "[$-060000]yyyy-mm-dd")</f>
        <v/>
      </c>
      <c r="D8716" t="inlineStr">
        <is>
          <t>1342-04-01</t>
        </is>
      </c>
    </row>
    <row r="8717">
      <c r="A8717" s="1" t="n">
        <v>8716</v>
      </c>
      <c r="B8717">
        <f>TEXT(8716, "[$-170000]yyyy-mm-dd")</f>
        <v/>
      </c>
      <c r="C8717">
        <f>TEXT(8716, "[$-060000]yyyy-mm-dd")</f>
        <v/>
      </c>
      <c r="D8717" t="inlineStr">
        <is>
          <t>1342-04-02</t>
        </is>
      </c>
    </row>
    <row r="8718">
      <c r="A8718" s="1" t="n">
        <v>8717</v>
      </c>
      <c r="B8718">
        <f>TEXT(8717, "[$-170000]yyyy-mm-dd")</f>
        <v/>
      </c>
      <c r="C8718">
        <f>TEXT(8717, "[$-060000]yyyy-mm-dd")</f>
        <v/>
      </c>
      <c r="D8718" t="inlineStr">
        <is>
          <t>1342-04-03</t>
        </is>
      </c>
    </row>
    <row r="8719">
      <c r="A8719" s="1" t="n">
        <v>8718</v>
      </c>
      <c r="B8719">
        <f>TEXT(8718, "[$-170000]yyyy-mm-dd")</f>
        <v/>
      </c>
      <c r="C8719">
        <f>TEXT(8718, "[$-060000]yyyy-mm-dd")</f>
        <v/>
      </c>
      <c r="D8719" t="inlineStr">
        <is>
          <t>1342-04-04</t>
        </is>
      </c>
    </row>
    <row r="8720">
      <c r="A8720" s="1" t="n">
        <v>8719</v>
      </c>
      <c r="B8720">
        <f>TEXT(8719, "[$-170000]yyyy-mm-dd")</f>
        <v/>
      </c>
      <c r="C8720">
        <f>TEXT(8719, "[$-060000]yyyy-mm-dd")</f>
        <v/>
      </c>
      <c r="D8720" t="inlineStr">
        <is>
          <t>1342-04-05</t>
        </is>
      </c>
    </row>
    <row r="8721">
      <c r="A8721" s="1" t="n">
        <v>8720</v>
      </c>
      <c r="B8721">
        <f>TEXT(8720, "[$-170000]yyyy-mm-dd")</f>
        <v/>
      </c>
      <c r="C8721">
        <f>TEXT(8720, "[$-060000]yyyy-mm-dd")</f>
        <v/>
      </c>
      <c r="D8721" t="inlineStr">
        <is>
          <t>1342-04-06</t>
        </is>
      </c>
    </row>
    <row r="8722">
      <c r="A8722" s="1" t="n">
        <v>8721</v>
      </c>
      <c r="B8722">
        <f>TEXT(8721, "[$-170000]yyyy-mm-dd")</f>
        <v/>
      </c>
      <c r="C8722">
        <f>TEXT(8721, "[$-060000]yyyy-mm-dd")</f>
        <v/>
      </c>
      <c r="D8722" t="inlineStr">
        <is>
          <t>1342-04-07</t>
        </is>
      </c>
    </row>
    <row r="8723">
      <c r="A8723" s="1" t="n">
        <v>8722</v>
      </c>
      <c r="B8723">
        <f>TEXT(8722, "[$-170000]yyyy-mm-dd")</f>
        <v/>
      </c>
      <c r="C8723">
        <f>TEXT(8722, "[$-060000]yyyy-mm-dd")</f>
        <v/>
      </c>
      <c r="D8723" t="inlineStr">
        <is>
          <t>1342-04-08</t>
        </is>
      </c>
    </row>
    <row r="8724">
      <c r="A8724" s="1" t="n">
        <v>8723</v>
      </c>
      <c r="B8724">
        <f>TEXT(8723, "[$-170000]yyyy-mm-dd")</f>
        <v/>
      </c>
      <c r="C8724">
        <f>TEXT(8723, "[$-060000]yyyy-mm-dd")</f>
        <v/>
      </c>
      <c r="D8724" t="inlineStr">
        <is>
          <t>1342-04-09</t>
        </is>
      </c>
    </row>
    <row r="8725">
      <c r="A8725" s="1" t="n">
        <v>8724</v>
      </c>
      <c r="B8725">
        <f>TEXT(8724, "[$-170000]yyyy-mm-dd")</f>
        <v/>
      </c>
      <c r="C8725">
        <f>TEXT(8724, "[$-060000]yyyy-mm-dd")</f>
        <v/>
      </c>
      <c r="D8725" t="inlineStr">
        <is>
          <t>1342-04-10</t>
        </is>
      </c>
    </row>
    <row r="8726">
      <c r="A8726" s="1" t="n">
        <v>8725</v>
      </c>
      <c r="B8726">
        <f>TEXT(8725, "[$-170000]yyyy-mm-dd")</f>
        <v/>
      </c>
      <c r="C8726">
        <f>TEXT(8725, "[$-060000]yyyy-mm-dd")</f>
        <v/>
      </c>
      <c r="D8726" t="inlineStr">
        <is>
          <t>1342-04-11</t>
        </is>
      </c>
    </row>
    <row r="8727">
      <c r="A8727" s="1" t="n">
        <v>8726</v>
      </c>
      <c r="B8727">
        <f>TEXT(8726, "[$-170000]yyyy-mm-dd")</f>
        <v/>
      </c>
      <c r="C8727">
        <f>TEXT(8726, "[$-060000]yyyy-mm-dd")</f>
        <v/>
      </c>
      <c r="D8727" t="inlineStr">
        <is>
          <t>1342-04-12</t>
        </is>
      </c>
    </row>
    <row r="8728">
      <c r="A8728" s="1" t="n">
        <v>8727</v>
      </c>
      <c r="B8728">
        <f>TEXT(8727, "[$-170000]yyyy-mm-dd")</f>
        <v/>
      </c>
      <c r="C8728">
        <f>TEXT(8727, "[$-060000]yyyy-mm-dd")</f>
        <v/>
      </c>
      <c r="D8728" t="inlineStr">
        <is>
          <t>1342-04-13</t>
        </is>
      </c>
    </row>
    <row r="8729">
      <c r="A8729" s="1" t="n">
        <v>8728</v>
      </c>
      <c r="B8729">
        <f>TEXT(8728, "[$-170000]yyyy-mm-dd")</f>
        <v/>
      </c>
      <c r="C8729">
        <f>TEXT(8728, "[$-060000]yyyy-mm-dd")</f>
        <v/>
      </c>
      <c r="D8729" t="inlineStr">
        <is>
          <t>1342-04-14</t>
        </is>
      </c>
    </row>
    <row r="8730">
      <c r="A8730" s="1" t="n">
        <v>8729</v>
      </c>
      <c r="B8730">
        <f>TEXT(8729, "[$-170000]yyyy-mm-dd")</f>
        <v/>
      </c>
      <c r="C8730">
        <f>TEXT(8729, "[$-060000]yyyy-mm-dd")</f>
        <v/>
      </c>
      <c r="D8730" t="inlineStr">
        <is>
          <t>1342-04-15</t>
        </is>
      </c>
    </row>
    <row r="8731">
      <c r="A8731" s="1" t="n">
        <v>8730</v>
      </c>
      <c r="B8731">
        <f>TEXT(8730, "[$-170000]yyyy-mm-dd")</f>
        <v/>
      </c>
      <c r="C8731">
        <f>TEXT(8730, "[$-060000]yyyy-mm-dd")</f>
        <v/>
      </c>
      <c r="D8731" t="inlineStr">
        <is>
          <t>1342-04-16</t>
        </is>
      </c>
    </row>
    <row r="8732">
      <c r="A8732" s="1" t="n">
        <v>8731</v>
      </c>
      <c r="B8732">
        <f>TEXT(8731, "[$-170000]yyyy-mm-dd")</f>
        <v/>
      </c>
      <c r="C8732">
        <f>TEXT(8731, "[$-060000]yyyy-mm-dd")</f>
        <v/>
      </c>
      <c r="D8732" t="inlineStr">
        <is>
          <t>1342-04-17</t>
        </is>
      </c>
    </row>
    <row r="8733">
      <c r="A8733" s="1" t="n">
        <v>8732</v>
      </c>
      <c r="B8733">
        <f>TEXT(8732, "[$-170000]yyyy-mm-dd")</f>
        <v/>
      </c>
      <c r="C8733">
        <f>TEXT(8732, "[$-060000]yyyy-mm-dd")</f>
        <v/>
      </c>
      <c r="D8733" t="inlineStr">
        <is>
          <t>1342-04-18</t>
        </is>
      </c>
    </row>
    <row r="8734">
      <c r="A8734" s="1" t="n">
        <v>8733</v>
      </c>
      <c r="B8734">
        <f>TEXT(8733, "[$-170000]yyyy-mm-dd")</f>
        <v/>
      </c>
      <c r="C8734">
        <f>TEXT(8733, "[$-060000]yyyy-mm-dd")</f>
        <v/>
      </c>
      <c r="D8734" t="inlineStr">
        <is>
          <t>1342-04-19</t>
        </is>
      </c>
    </row>
    <row r="8735">
      <c r="A8735" s="1" t="n">
        <v>8734</v>
      </c>
      <c r="B8735">
        <f>TEXT(8734, "[$-170000]yyyy-mm-dd")</f>
        <v/>
      </c>
      <c r="C8735">
        <f>TEXT(8734, "[$-060000]yyyy-mm-dd")</f>
        <v/>
      </c>
      <c r="D8735" t="inlineStr">
        <is>
          <t>1342-04-20</t>
        </is>
      </c>
    </row>
    <row r="8736">
      <c r="A8736" s="1" t="n">
        <v>8735</v>
      </c>
      <c r="B8736">
        <f>TEXT(8735, "[$-170000]yyyy-mm-dd")</f>
        <v/>
      </c>
      <c r="C8736">
        <f>TEXT(8735, "[$-060000]yyyy-mm-dd")</f>
        <v/>
      </c>
      <c r="D8736" t="inlineStr">
        <is>
          <t>1342-04-21</t>
        </is>
      </c>
    </row>
    <row r="8737">
      <c r="A8737" s="1" t="n">
        <v>8736</v>
      </c>
      <c r="B8737">
        <f>TEXT(8736, "[$-170000]yyyy-mm-dd")</f>
        <v/>
      </c>
      <c r="C8737">
        <f>TEXT(8736, "[$-060000]yyyy-mm-dd")</f>
        <v/>
      </c>
      <c r="D8737" t="inlineStr">
        <is>
          <t>1342-04-22</t>
        </is>
      </c>
    </row>
    <row r="8738">
      <c r="A8738" s="1" t="n">
        <v>8737</v>
      </c>
      <c r="B8738">
        <f>TEXT(8737, "[$-170000]yyyy-mm-dd")</f>
        <v/>
      </c>
      <c r="C8738">
        <f>TEXT(8737, "[$-060000]yyyy-mm-dd")</f>
        <v/>
      </c>
      <c r="D8738" t="inlineStr">
        <is>
          <t>1342-04-23</t>
        </is>
      </c>
    </row>
    <row r="8739">
      <c r="A8739" s="1" t="n">
        <v>8738</v>
      </c>
      <c r="B8739">
        <f>TEXT(8738, "[$-170000]yyyy-mm-dd")</f>
        <v/>
      </c>
      <c r="C8739">
        <f>TEXT(8738, "[$-060000]yyyy-mm-dd")</f>
        <v/>
      </c>
      <c r="D8739" t="inlineStr">
        <is>
          <t>1342-04-24</t>
        </is>
      </c>
    </row>
    <row r="8740">
      <c r="A8740" s="1" t="n">
        <v>8739</v>
      </c>
      <c r="B8740">
        <f>TEXT(8739, "[$-170000]yyyy-mm-dd")</f>
        <v/>
      </c>
      <c r="C8740">
        <f>TEXT(8739, "[$-060000]yyyy-mm-dd")</f>
        <v/>
      </c>
      <c r="D8740" t="inlineStr">
        <is>
          <t>1342-04-25</t>
        </is>
      </c>
    </row>
    <row r="8741">
      <c r="A8741" s="1" t="n">
        <v>8740</v>
      </c>
      <c r="B8741">
        <f>TEXT(8740, "[$-170000]yyyy-mm-dd")</f>
        <v/>
      </c>
      <c r="C8741">
        <f>TEXT(8740, "[$-060000]yyyy-mm-dd")</f>
        <v/>
      </c>
      <c r="D8741" t="inlineStr">
        <is>
          <t>1342-04-26</t>
        </is>
      </c>
    </row>
    <row r="8742">
      <c r="A8742" s="1" t="n">
        <v>8741</v>
      </c>
      <c r="B8742">
        <f>TEXT(8741, "[$-170000]yyyy-mm-dd")</f>
        <v/>
      </c>
      <c r="C8742">
        <f>TEXT(8741, "[$-060000]yyyy-mm-dd")</f>
        <v/>
      </c>
      <c r="D8742" t="inlineStr">
        <is>
          <t>1342-04-27</t>
        </is>
      </c>
    </row>
    <row r="8743">
      <c r="A8743" s="1" t="n">
        <v>8742</v>
      </c>
      <c r="B8743">
        <f>TEXT(8742, "[$-170000]yyyy-mm-dd")</f>
        <v/>
      </c>
      <c r="C8743">
        <f>TEXT(8742, "[$-060000]yyyy-mm-dd")</f>
        <v/>
      </c>
      <c r="D8743" t="inlineStr">
        <is>
          <t>1342-04-28</t>
        </is>
      </c>
    </row>
    <row r="8744">
      <c r="A8744" s="1" t="n">
        <v>8743</v>
      </c>
      <c r="B8744">
        <f>TEXT(8743, "[$-170000]yyyy-mm-dd")</f>
        <v/>
      </c>
      <c r="C8744">
        <f>TEXT(8743, "[$-060000]yyyy-mm-dd")</f>
        <v/>
      </c>
      <c r="D8744" t="inlineStr">
        <is>
          <t>1342-04-29</t>
        </is>
      </c>
    </row>
    <row r="8745">
      <c r="A8745" s="1" t="n">
        <v>8744</v>
      </c>
      <c r="B8745">
        <f>TEXT(8744, "[$-170000]yyyy-mm-dd")</f>
        <v/>
      </c>
      <c r="C8745">
        <f>TEXT(8744, "[$-060000]yyyy-mm-dd")</f>
        <v/>
      </c>
      <c r="D8745" t="inlineStr">
        <is>
          <t>1342-05-01</t>
        </is>
      </c>
    </row>
    <row r="8746">
      <c r="A8746" s="1" t="n">
        <v>8745</v>
      </c>
      <c r="B8746">
        <f>TEXT(8745, "[$-170000]yyyy-mm-dd")</f>
        <v/>
      </c>
      <c r="C8746">
        <f>TEXT(8745, "[$-060000]yyyy-mm-dd")</f>
        <v/>
      </c>
      <c r="D8746" t="inlineStr">
        <is>
          <t>1342-05-02</t>
        </is>
      </c>
    </row>
    <row r="8747">
      <c r="A8747" s="1" t="n">
        <v>8746</v>
      </c>
      <c r="B8747">
        <f>TEXT(8746, "[$-170000]yyyy-mm-dd")</f>
        <v/>
      </c>
      <c r="C8747">
        <f>TEXT(8746, "[$-060000]yyyy-mm-dd")</f>
        <v/>
      </c>
      <c r="D8747" t="inlineStr">
        <is>
          <t>1342-05-03</t>
        </is>
      </c>
    </row>
    <row r="8748">
      <c r="A8748" s="1" t="n">
        <v>8747</v>
      </c>
      <c r="B8748">
        <f>TEXT(8747, "[$-170000]yyyy-mm-dd")</f>
        <v/>
      </c>
      <c r="C8748">
        <f>TEXT(8747, "[$-060000]yyyy-mm-dd")</f>
        <v/>
      </c>
      <c r="D8748" t="inlineStr">
        <is>
          <t>1342-05-04</t>
        </is>
      </c>
    </row>
    <row r="8749">
      <c r="A8749" s="1" t="n">
        <v>8748</v>
      </c>
      <c r="B8749">
        <f>TEXT(8748, "[$-170000]yyyy-mm-dd")</f>
        <v/>
      </c>
      <c r="C8749">
        <f>TEXT(8748, "[$-060000]yyyy-mm-dd")</f>
        <v/>
      </c>
      <c r="D8749" t="inlineStr">
        <is>
          <t>1342-05-05</t>
        </is>
      </c>
    </row>
    <row r="8750">
      <c r="A8750" s="1" t="n">
        <v>8749</v>
      </c>
      <c r="B8750">
        <f>TEXT(8749, "[$-170000]yyyy-mm-dd")</f>
        <v/>
      </c>
      <c r="C8750">
        <f>TEXT(8749, "[$-060000]yyyy-mm-dd")</f>
        <v/>
      </c>
      <c r="D8750" t="inlineStr">
        <is>
          <t>1342-05-06</t>
        </is>
      </c>
    </row>
    <row r="8751">
      <c r="A8751" s="1" t="n">
        <v>8750</v>
      </c>
      <c r="B8751">
        <f>TEXT(8750, "[$-170000]yyyy-mm-dd")</f>
        <v/>
      </c>
      <c r="C8751">
        <f>TEXT(8750, "[$-060000]yyyy-mm-dd")</f>
        <v/>
      </c>
      <c r="D8751" t="inlineStr">
        <is>
          <t>1342-05-07</t>
        </is>
      </c>
    </row>
    <row r="8752">
      <c r="A8752" s="1" t="n">
        <v>8751</v>
      </c>
      <c r="B8752">
        <f>TEXT(8751, "[$-170000]yyyy-mm-dd")</f>
        <v/>
      </c>
      <c r="C8752">
        <f>TEXT(8751, "[$-060000]yyyy-mm-dd")</f>
        <v/>
      </c>
      <c r="D8752" t="inlineStr">
        <is>
          <t>1342-05-08</t>
        </is>
      </c>
    </row>
    <row r="8753">
      <c r="A8753" s="1" t="n">
        <v>8752</v>
      </c>
      <c r="B8753">
        <f>TEXT(8752, "[$-170000]yyyy-mm-dd")</f>
        <v/>
      </c>
      <c r="C8753">
        <f>TEXT(8752, "[$-060000]yyyy-mm-dd")</f>
        <v/>
      </c>
      <c r="D8753" t="inlineStr">
        <is>
          <t>1342-05-09</t>
        </is>
      </c>
    </row>
    <row r="8754">
      <c r="A8754" s="1" t="n">
        <v>8753</v>
      </c>
      <c r="B8754">
        <f>TEXT(8753, "[$-170000]yyyy-mm-dd")</f>
        <v/>
      </c>
      <c r="C8754">
        <f>TEXT(8753, "[$-060000]yyyy-mm-dd")</f>
        <v/>
      </c>
      <c r="D8754" t="inlineStr">
        <is>
          <t>1342-05-10</t>
        </is>
      </c>
    </row>
    <row r="8755">
      <c r="A8755" s="1" t="n">
        <v>8754</v>
      </c>
      <c r="B8755">
        <f>TEXT(8754, "[$-170000]yyyy-mm-dd")</f>
        <v/>
      </c>
      <c r="C8755">
        <f>TEXT(8754, "[$-060000]yyyy-mm-dd")</f>
        <v/>
      </c>
      <c r="D8755" t="inlineStr">
        <is>
          <t>1342-05-11</t>
        </is>
      </c>
    </row>
    <row r="8756">
      <c r="A8756" s="1" t="n">
        <v>8755</v>
      </c>
      <c r="B8756">
        <f>TEXT(8755, "[$-170000]yyyy-mm-dd")</f>
        <v/>
      </c>
      <c r="C8756">
        <f>TEXT(8755, "[$-060000]yyyy-mm-dd")</f>
        <v/>
      </c>
      <c r="D8756" t="inlineStr">
        <is>
          <t>1342-05-12</t>
        </is>
      </c>
    </row>
    <row r="8757">
      <c r="A8757" s="1" t="n">
        <v>8756</v>
      </c>
      <c r="B8757">
        <f>TEXT(8756, "[$-170000]yyyy-mm-dd")</f>
        <v/>
      </c>
      <c r="C8757">
        <f>TEXT(8756, "[$-060000]yyyy-mm-dd")</f>
        <v/>
      </c>
      <c r="D8757" t="inlineStr">
        <is>
          <t>1342-05-13</t>
        </is>
      </c>
    </row>
    <row r="8758">
      <c r="A8758" s="1" t="n">
        <v>8757</v>
      </c>
      <c r="B8758">
        <f>TEXT(8757, "[$-170000]yyyy-mm-dd")</f>
        <v/>
      </c>
      <c r="C8758">
        <f>TEXT(8757, "[$-060000]yyyy-mm-dd")</f>
        <v/>
      </c>
      <c r="D8758" t="inlineStr">
        <is>
          <t>1342-05-14</t>
        </is>
      </c>
    </row>
    <row r="8759">
      <c r="A8759" s="1" t="n">
        <v>8758</v>
      </c>
      <c r="B8759">
        <f>TEXT(8758, "[$-170000]yyyy-mm-dd")</f>
        <v/>
      </c>
      <c r="C8759">
        <f>TEXT(8758, "[$-060000]yyyy-mm-dd")</f>
        <v/>
      </c>
      <c r="D8759" t="inlineStr">
        <is>
          <t>1342-05-15</t>
        </is>
      </c>
    </row>
    <row r="8760">
      <c r="A8760" s="1" t="n">
        <v>8759</v>
      </c>
      <c r="B8760">
        <f>TEXT(8759, "[$-170000]yyyy-mm-dd")</f>
        <v/>
      </c>
      <c r="C8760">
        <f>TEXT(8759, "[$-060000]yyyy-mm-dd")</f>
        <v/>
      </c>
      <c r="D8760" t="inlineStr">
        <is>
          <t>1342-05-16</t>
        </is>
      </c>
    </row>
    <row r="8761">
      <c r="A8761" s="1" t="n">
        <v>8760</v>
      </c>
      <c r="B8761">
        <f>TEXT(8760, "[$-170000]yyyy-mm-dd")</f>
        <v/>
      </c>
      <c r="C8761">
        <f>TEXT(8760, "[$-060000]yyyy-mm-dd")</f>
        <v/>
      </c>
      <c r="D8761" t="inlineStr">
        <is>
          <t>1342-05-17</t>
        </is>
      </c>
    </row>
    <row r="8762">
      <c r="A8762" s="1" t="n">
        <v>8761</v>
      </c>
      <c r="B8762">
        <f>TEXT(8761, "[$-170000]yyyy-mm-dd")</f>
        <v/>
      </c>
      <c r="C8762">
        <f>TEXT(8761, "[$-060000]yyyy-mm-dd")</f>
        <v/>
      </c>
      <c r="D8762" t="inlineStr">
        <is>
          <t>1342-05-18</t>
        </is>
      </c>
    </row>
    <row r="8763">
      <c r="A8763" s="1" t="n">
        <v>8762</v>
      </c>
      <c r="B8763">
        <f>TEXT(8762, "[$-170000]yyyy-mm-dd")</f>
        <v/>
      </c>
      <c r="C8763">
        <f>TEXT(8762, "[$-060000]yyyy-mm-dd")</f>
        <v/>
      </c>
      <c r="D8763" t="inlineStr">
        <is>
          <t>1342-05-19</t>
        </is>
      </c>
    </row>
    <row r="8764">
      <c r="A8764" s="1" t="n">
        <v>8763</v>
      </c>
      <c r="B8764">
        <f>TEXT(8763, "[$-170000]yyyy-mm-dd")</f>
        <v/>
      </c>
      <c r="C8764">
        <f>TEXT(8763, "[$-060000]yyyy-mm-dd")</f>
        <v/>
      </c>
      <c r="D8764" t="inlineStr">
        <is>
          <t>1342-05-20</t>
        </is>
      </c>
    </row>
    <row r="8765">
      <c r="A8765" s="1" t="n">
        <v>8764</v>
      </c>
      <c r="B8765">
        <f>TEXT(8764, "[$-170000]yyyy-mm-dd")</f>
        <v/>
      </c>
      <c r="C8765">
        <f>TEXT(8764, "[$-060000]yyyy-mm-dd")</f>
        <v/>
      </c>
      <c r="D8765" t="inlineStr">
        <is>
          <t>1342-05-21</t>
        </is>
      </c>
    </row>
    <row r="8766">
      <c r="A8766" s="1" t="n">
        <v>8765</v>
      </c>
      <c r="B8766">
        <f>TEXT(8765, "[$-170000]yyyy-mm-dd")</f>
        <v/>
      </c>
      <c r="C8766">
        <f>TEXT(8765, "[$-060000]yyyy-mm-dd")</f>
        <v/>
      </c>
      <c r="D8766" t="inlineStr">
        <is>
          <t>1342-05-22</t>
        </is>
      </c>
    </row>
    <row r="8767">
      <c r="A8767" s="1" t="n">
        <v>8766</v>
      </c>
      <c r="B8767">
        <f>TEXT(8766, "[$-170000]yyyy-mm-dd")</f>
        <v/>
      </c>
      <c r="C8767">
        <f>TEXT(8766, "[$-060000]yyyy-mm-dd")</f>
        <v/>
      </c>
      <c r="D8767" t="inlineStr">
        <is>
          <t>1342-05-23</t>
        </is>
      </c>
    </row>
    <row r="8768">
      <c r="A8768" s="1" t="n">
        <v>8767</v>
      </c>
      <c r="B8768">
        <f>TEXT(8767, "[$-170000]yyyy-mm-dd")</f>
        <v/>
      </c>
      <c r="C8768">
        <f>TEXT(8767, "[$-060000]yyyy-mm-dd")</f>
        <v/>
      </c>
      <c r="D8768" t="inlineStr">
        <is>
          <t>1342-05-24</t>
        </is>
      </c>
    </row>
    <row r="8769">
      <c r="A8769" s="1" t="n">
        <v>8768</v>
      </c>
      <c r="B8769">
        <f>TEXT(8768, "[$-170000]yyyy-mm-dd")</f>
        <v/>
      </c>
      <c r="C8769">
        <f>TEXT(8768, "[$-060000]yyyy-mm-dd")</f>
        <v/>
      </c>
      <c r="D8769" t="inlineStr">
        <is>
          <t>1342-05-25</t>
        </is>
      </c>
    </row>
    <row r="8770">
      <c r="A8770" s="1" t="n">
        <v>8769</v>
      </c>
      <c r="B8770">
        <f>TEXT(8769, "[$-170000]yyyy-mm-dd")</f>
        <v/>
      </c>
      <c r="C8770">
        <f>TEXT(8769, "[$-060000]yyyy-mm-dd")</f>
        <v/>
      </c>
      <c r="D8770" t="inlineStr">
        <is>
          <t>1342-05-26</t>
        </is>
      </c>
    </row>
    <row r="8771">
      <c r="A8771" s="1" t="n">
        <v>8770</v>
      </c>
      <c r="B8771">
        <f>TEXT(8770, "[$-170000]yyyy-mm-dd")</f>
        <v/>
      </c>
      <c r="C8771">
        <f>TEXT(8770, "[$-060000]yyyy-mm-dd")</f>
        <v/>
      </c>
      <c r="D8771" t="inlineStr">
        <is>
          <t>1342-05-27</t>
        </is>
      </c>
    </row>
    <row r="8772">
      <c r="A8772" s="1" t="n">
        <v>8771</v>
      </c>
      <c r="B8772">
        <f>TEXT(8771, "[$-170000]yyyy-mm-dd")</f>
        <v/>
      </c>
      <c r="C8772">
        <f>TEXT(8771, "[$-060000]yyyy-mm-dd")</f>
        <v/>
      </c>
      <c r="D8772" t="inlineStr">
        <is>
          <t>1342-05-28</t>
        </is>
      </c>
    </row>
    <row r="8773">
      <c r="A8773" s="1" t="n">
        <v>8772</v>
      </c>
      <c r="B8773">
        <f>TEXT(8772, "[$-170000]yyyy-mm-dd")</f>
        <v/>
      </c>
      <c r="C8773">
        <f>TEXT(8772, "[$-060000]yyyy-mm-dd")</f>
        <v/>
      </c>
      <c r="D8773" t="inlineStr">
        <is>
          <t>1342-05-29</t>
        </is>
      </c>
    </row>
    <row r="8774">
      <c r="A8774" s="1" t="n">
        <v>8773</v>
      </c>
      <c r="B8774">
        <f>TEXT(8773, "[$-170000]yyyy-mm-dd")</f>
        <v/>
      </c>
      <c r="C8774">
        <f>TEXT(8773, "[$-060000]yyyy-mm-dd")</f>
        <v/>
      </c>
      <c r="D8774" t="inlineStr">
        <is>
          <t>1342-05-30</t>
        </is>
      </c>
    </row>
    <row r="8775">
      <c r="A8775" s="1" t="n">
        <v>8774</v>
      </c>
      <c r="B8775">
        <f>TEXT(8774, "[$-170000]yyyy-mm-dd")</f>
        <v/>
      </c>
      <c r="C8775">
        <f>TEXT(8774, "[$-060000]yyyy-mm-dd")</f>
        <v/>
      </c>
      <c r="D8775" t="inlineStr">
        <is>
          <t>1342-06-01</t>
        </is>
      </c>
    </row>
    <row r="8776">
      <c r="A8776" s="1" t="n">
        <v>8775</v>
      </c>
      <c r="B8776">
        <f>TEXT(8775, "[$-170000]yyyy-mm-dd")</f>
        <v/>
      </c>
      <c r="C8776">
        <f>TEXT(8775, "[$-060000]yyyy-mm-dd")</f>
        <v/>
      </c>
      <c r="D8776" t="inlineStr">
        <is>
          <t>1342-06-02</t>
        </is>
      </c>
    </row>
    <row r="8777">
      <c r="A8777" s="1" t="n">
        <v>8776</v>
      </c>
      <c r="B8777">
        <f>TEXT(8776, "[$-170000]yyyy-mm-dd")</f>
        <v/>
      </c>
      <c r="C8777">
        <f>TEXT(8776, "[$-060000]yyyy-mm-dd")</f>
        <v/>
      </c>
      <c r="D8777" t="inlineStr">
        <is>
          <t>1342-06-03</t>
        </is>
      </c>
    </row>
    <row r="8778">
      <c r="A8778" s="1" t="n">
        <v>8777</v>
      </c>
      <c r="B8778">
        <f>TEXT(8777, "[$-170000]yyyy-mm-dd")</f>
        <v/>
      </c>
      <c r="C8778">
        <f>TEXT(8777, "[$-060000]yyyy-mm-dd")</f>
        <v/>
      </c>
      <c r="D8778" t="inlineStr">
        <is>
          <t>1342-06-04</t>
        </is>
      </c>
    </row>
    <row r="8779">
      <c r="A8779" s="1" t="n">
        <v>8778</v>
      </c>
      <c r="B8779">
        <f>TEXT(8778, "[$-170000]yyyy-mm-dd")</f>
        <v/>
      </c>
      <c r="C8779">
        <f>TEXT(8778, "[$-060000]yyyy-mm-dd")</f>
        <v/>
      </c>
      <c r="D8779" t="inlineStr">
        <is>
          <t>1342-06-05</t>
        </is>
      </c>
    </row>
    <row r="8780">
      <c r="A8780" s="1" t="n">
        <v>8779</v>
      </c>
      <c r="B8780">
        <f>TEXT(8779, "[$-170000]yyyy-mm-dd")</f>
        <v/>
      </c>
      <c r="C8780">
        <f>TEXT(8779, "[$-060000]yyyy-mm-dd")</f>
        <v/>
      </c>
      <c r="D8780" t="inlineStr">
        <is>
          <t>1342-06-06</t>
        </is>
      </c>
    </row>
    <row r="8781">
      <c r="A8781" s="1" t="n">
        <v>8780</v>
      </c>
      <c r="B8781">
        <f>TEXT(8780, "[$-170000]yyyy-mm-dd")</f>
        <v/>
      </c>
      <c r="C8781">
        <f>TEXT(8780, "[$-060000]yyyy-mm-dd")</f>
        <v/>
      </c>
      <c r="D8781" t="inlineStr">
        <is>
          <t>1342-06-07</t>
        </is>
      </c>
    </row>
    <row r="8782">
      <c r="A8782" s="1" t="n">
        <v>8781</v>
      </c>
      <c r="B8782">
        <f>TEXT(8781, "[$-170000]yyyy-mm-dd")</f>
        <v/>
      </c>
      <c r="C8782">
        <f>TEXT(8781, "[$-060000]yyyy-mm-dd")</f>
        <v/>
      </c>
      <c r="D8782" t="inlineStr">
        <is>
          <t>1342-06-08</t>
        </is>
      </c>
    </row>
    <row r="8783">
      <c r="A8783" s="1" t="n">
        <v>8782</v>
      </c>
      <c r="B8783">
        <f>TEXT(8782, "[$-170000]yyyy-mm-dd")</f>
        <v/>
      </c>
      <c r="C8783">
        <f>TEXT(8782, "[$-060000]yyyy-mm-dd")</f>
        <v/>
      </c>
      <c r="D8783" t="inlineStr">
        <is>
          <t>1342-06-09</t>
        </is>
      </c>
    </row>
    <row r="8784">
      <c r="A8784" s="1" t="n">
        <v>8783</v>
      </c>
      <c r="B8784">
        <f>TEXT(8783, "[$-170000]yyyy-mm-dd")</f>
        <v/>
      </c>
      <c r="C8784">
        <f>TEXT(8783, "[$-060000]yyyy-mm-dd")</f>
        <v/>
      </c>
      <c r="D8784" t="inlineStr">
        <is>
          <t>1342-06-10</t>
        </is>
      </c>
    </row>
    <row r="8785">
      <c r="A8785" s="1" t="n">
        <v>8784</v>
      </c>
      <c r="B8785">
        <f>TEXT(8784, "[$-170000]yyyy-mm-dd")</f>
        <v/>
      </c>
      <c r="C8785">
        <f>TEXT(8784, "[$-060000]yyyy-mm-dd")</f>
        <v/>
      </c>
      <c r="D8785" t="inlineStr">
        <is>
          <t>1342-06-11</t>
        </is>
      </c>
    </row>
    <row r="8786">
      <c r="A8786" s="1" t="n">
        <v>8785</v>
      </c>
      <c r="B8786">
        <f>TEXT(8785, "[$-170000]yyyy-mm-dd")</f>
        <v/>
      </c>
      <c r="C8786">
        <f>TEXT(8785, "[$-060000]yyyy-mm-dd")</f>
        <v/>
      </c>
      <c r="D8786" t="inlineStr">
        <is>
          <t>1342-06-12</t>
        </is>
      </c>
    </row>
    <row r="8787">
      <c r="A8787" s="1" t="n">
        <v>8786</v>
      </c>
      <c r="B8787">
        <f>TEXT(8786, "[$-170000]yyyy-mm-dd")</f>
        <v/>
      </c>
      <c r="C8787">
        <f>TEXT(8786, "[$-060000]yyyy-mm-dd")</f>
        <v/>
      </c>
      <c r="D8787" t="inlineStr">
        <is>
          <t>1342-06-13</t>
        </is>
      </c>
    </row>
    <row r="8788">
      <c r="A8788" s="1" t="n">
        <v>8787</v>
      </c>
      <c r="B8788">
        <f>TEXT(8787, "[$-170000]yyyy-mm-dd")</f>
        <v/>
      </c>
      <c r="C8788">
        <f>TEXT(8787, "[$-060000]yyyy-mm-dd")</f>
        <v/>
      </c>
      <c r="D8788" t="inlineStr">
        <is>
          <t>1342-06-14</t>
        </is>
      </c>
    </row>
    <row r="8789">
      <c r="A8789" s="1" t="n">
        <v>8788</v>
      </c>
      <c r="B8789">
        <f>TEXT(8788, "[$-170000]yyyy-mm-dd")</f>
        <v/>
      </c>
      <c r="C8789">
        <f>TEXT(8788, "[$-060000]yyyy-mm-dd")</f>
        <v/>
      </c>
      <c r="D8789" t="inlineStr">
        <is>
          <t>1342-06-15</t>
        </is>
      </c>
    </row>
    <row r="8790">
      <c r="A8790" s="1" t="n">
        <v>8789</v>
      </c>
      <c r="B8790">
        <f>TEXT(8789, "[$-170000]yyyy-mm-dd")</f>
        <v/>
      </c>
      <c r="C8790">
        <f>TEXT(8789, "[$-060000]yyyy-mm-dd")</f>
        <v/>
      </c>
      <c r="D8790" t="inlineStr">
        <is>
          <t>1342-06-16</t>
        </is>
      </c>
    </row>
    <row r="8791">
      <c r="A8791" s="1" t="n">
        <v>8790</v>
      </c>
      <c r="B8791">
        <f>TEXT(8790, "[$-170000]yyyy-mm-dd")</f>
        <v/>
      </c>
      <c r="C8791">
        <f>TEXT(8790, "[$-060000]yyyy-mm-dd")</f>
        <v/>
      </c>
      <c r="D8791" t="inlineStr">
        <is>
          <t>1342-06-17</t>
        </is>
      </c>
    </row>
    <row r="8792">
      <c r="A8792" s="1" t="n">
        <v>8791</v>
      </c>
      <c r="B8792">
        <f>TEXT(8791, "[$-170000]yyyy-mm-dd")</f>
        <v/>
      </c>
      <c r="C8792">
        <f>TEXT(8791, "[$-060000]yyyy-mm-dd")</f>
        <v/>
      </c>
      <c r="D8792" t="inlineStr">
        <is>
          <t>1342-06-18</t>
        </is>
      </c>
    </row>
    <row r="8793">
      <c r="A8793" s="1" t="n">
        <v>8792</v>
      </c>
      <c r="B8793">
        <f>TEXT(8792, "[$-170000]yyyy-mm-dd")</f>
        <v/>
      </c>
      <c r="C8793">
        <f>TEXT(8792, "[$-060000]yyyy-mm-dd")</f>
        <v/>
      </c>
      <c r="D8793" t="inlineStr">
        <is>
          <t>1342-06-19</t>
        </is>
      </c>
    </row>
    <row r="8794">
      <c r="A8794" s="1" t="n">
        <v>8793</v>
      </c>
      <c r="B8794">
        <f>TEXT(8793, "[$-170000]yyyy-mm-dd")</f>
        <v/>
      </c>
      <c r="C8794">
        <f>TEXT(8793, "[$-060000]yyyy-mm-dd")</f>
        <v/>
      </c>
      <c r="D8794" t="inlineStr">
        <is>
          <t>1342-06-20</t>
        </is>
      </c>
    </row>
    <row r="8795">
      <c r="A8795" s="1" t="n">
        <v>8794</v>
      </c>
      <c r="B8795">
        <f>TEXT(8794, "[$-170000]yyyy-mm-dd")</f>
        <v/>
      </c>
      <c r="C8795">
        <f>TEXT(8794, "[$-060000]yyyy-mm-dd")</f>
        <v/>
      </c>
      <c r="D8795" t="inlineStr">
        <is>
          <t>1342-06-21</t>
        </is>
      </c>
    </row>
    <row r="8796">
      <c r="A8796" s="1" t="n">
        <v>8795</v>
      </c>
      <c r="B8796">
        <f>TEXT(8795, "[$-170000]yyyy-mm-dd")</f>
        <v/>
      </c>
      <c r="C8796">
        <f>TEXT(8795, "[$-060000]yyyy-mm-dd")</f>
        <v/>
      </c>
      <c r="D8796" t="inlineStr">
        <is>
          <t>1342-06-22</t>
        </is>
      </c>
    </row>
    <row r="8797">
      <c r="A8797" s="1" t="n">
        <v>8796</v>
      </c>
      <c r="B8797">
        <f>TEXT(8796, "[$-170000]yyyy-mm-dd")</f>
        <v/>
      </c>
      <c r="C8797">
        <f>TEXT(8796, "[$-060000]yyyy-mm-dd")</f>
        <v/>
      </c>
      <c r="D8797" t="inlineStr">
        <is>
          <t>1342-06-23</t>
        </is>
      </c>
    </row>
    <row r="8798">
      <c r="A8798" s="1" t="n">
        <v>8797</v>
      </c>
      <c r="B8798">
        <f>TEXT(8797, "[$-170000]yyyy-mm-dd")</f>
        <v/>
      </c>
      <c r="C8798">
        <f>TEXT(8797, "[$-060000]yyyy-mm-dd")</f>
        <v/>
      </c>
      <c r="D8798" t="inlineStr">
        <is>
          <t>1342-06-24</t>
        </is>
      </c>
    </row>
    <row r="8799">
      <c r="A8799" s="1" t="n">
        <v>8798</v>
      </c>
      <c r="B8799">
        <f>TEXT(8798, "[$-170000]yyyy-mm-dd")</f>
        <v/>
      </c>
      <c r="C8799">
        <f>TEXT(8798, "[$-060000]yyyy-mm-dd")</f>
        <v/>
      </c>
      <c r="D8799" t="inlineStr">
        <is>
          <t>1342-06-25</t>
        </is>
      </c>
    </row>
    <row r="8800">
      <c r="A8800" s="1" t="n">
        <v>8799</v>
      </c>
      <c r="B8800">
        <f>TEXT(8799, "[$-170000]yyyy-mm-dd")</f>
        <v/>
      </c>
      <c r="C8800">
        <f>TEXT(8799, "[$-060000]yyyy-mm-dd")</f>
        <v/>
      </c>
      <c r="D8800" t="inlineStr">
        <is>
          <t>1342-06-26</t>
        </is>
      </c>
    </row>
    <row r="8801">
      <c r="A8801" s="1" t="n">
        <v>8800</v>
      </c>
      <c r="B8801">
        <f>TEXT(8800, "[$-170000]yyyy-mm-dd")</f>
        <v/>
      </c>
      <c r="C8801">
        <f>TEXT(8800, "[$-060000]yyyy-mm-dd")</f>
        <v/>
      </c>
      <c r="D8801" t="inlineStr">
        <is>
          <t>1342-06-27</t>
        </is>
      </c>
    </row>
    <row r="8802">
      <c r="A8802" s="1" t="n">
        <v>8801</v>
      </c>
      <c r="B8802">
        <f>TEXT(8801, "[$-170000]yyyy-mm-dd")</f>
        <v/>
      </c>
      <c r="C8802">
        <f>TEXT(8801, "[$-060000]yyyy-mm-dd")</f>
        <v/>
      </c>
      <c r="D8802" t="inlineStr">
        <is>
          <t>1342-06-28</t>
        </is>
      </c>
    </row>
    <row r="8803">
      <c r="A8803" s="1" t="n">
        <v>8802</v>
      </c>
      <c r="B8803">
        <f>TEXT(8802, "[$-170000]yyyy-mm-dd")</f>
        <v/>
      </c>
      <c r="C8803">
        <f>TEXT(8802, "[$-060000]yyyy-mm-dd")</f>
        <v/>
      </c>
      <c r="D8803" t="inlineStr">
        <is>
          <t>1342-06-29</t>
        </is>
      </c>
    </row>
    <row r="8804">
      <c r="A8804" s="1" t="n">
        <v>8803</v>
      </c>
      <c r="B8804">
        <f>TEXT(8803, "[$-170000]yyyy-mm-dd")</f>
        <v/>
      </c>
      <c r="C8804">
        <f>TEXT(8803, "[$-060000]yyyy-mm-dd")</f>
        <v/>
      </c>
      <c r="D8804" t="inlineStr">
        <is>
          <t>1342-07-01</t>
        </is>
      </c>
    </row>
    <row r="8805">
      <c r="A8805" s="1" t="n">
        <v>8804</v>
      </c>
      <c r="B8805">
        <f>TEXT(8804, "[$-170000]yyyy-mm-dd")</f>
        <v/>
      </c>
      <c r="C8805">
        <f>TEXT(8804, "[$-060000]yyyy-mm-dd")</f>
        <v/>
      </c>
      <c r="D8805" t="inlineStr">
        <is>
          <t>1342-07-02</t>
        </is>
      </c>
    </row>
    <row r="8806">
      <c r="A8806" s="1" t="n">
        <v>8805</v>
      </c>
      <c r="B8806">
        <f>TEXT(8805, "[$-170000]yyyy-mm-dd")</f>
        <v/>
      </c>
      <c r="C8806">
        <f>TEXT(8805, "[$-060000]yyyy-mm-dd")</f>
        <v/>
      </c>
      <c r="D8806" t="inlineStr">
        <is>
          <t>1342-07-03</t>
        </is>
      </c>
    </row>
    <row r="8807">
      <c r="A8807" s="1" t="n">
        <v>8806</v>
      </c>
      <c r="B8807">
        <f>TEXT(8806, "[$-170000]yyyy-mm-dd")</f>
        <v/>
      </c>
      <c r="C8807">
        <f>TEXT(8806, "[$-060000]yyyy-mm-dd")</f>
        <v/>
      </c>
      <c r="D8807" t="inlineStr">
        <is>
          <t>1342-07-04</t>
        </is>
      </c>
    </row>
    <row r="8808">
      <c r="A8808" s="1" t="n">
        <v>8807</v>
      </c>
      <c r="B8808">
        <f>TEXT(8807, "[$-170000]yyyy-mm-dd")</f>
        <v/>
      </c>
      <c r="C8808">
        <f>TEXT(8807, "[$-060000]yyyy-mm-dd")</f>
        <v/>
      </c>
      <c r="D8808" t="inlineStr">
        <is>
          <t>1342-07-05</t>
        </is>
      </c>
    </row>
    <row r="8809">
      <c r="A8809" s="1" t="n">
        <v>8808</v>
      </c>
      <c r="B8809">
        <f>TEXT(8808, "[$-170000]yyyy-mm-dd")</f>
        <v/>
      </c>
      <c r="C8809">
        <f>TEXT(8808, "[$-060000]yyyy-mm-dd")</f>
        <v/>
      </c>
      <c r="D8809" t="inlineStr">
        <is>
          <t>1342-07-06</t>
        </is>
      </c>
    </row>
    <row r="8810">
      <c r="A8810" s="1" t="n">
        <v>8809</v>
      </c>
      <c r="B8810">
        <f>TEXT(8809, "[$-170000]yyyy-mm-dd")</f>
        <v/>
      </c>
      <c r="C8810">
        <f>TEXT(8809, "[$-060000]yyyy-mm-dd")</f>
        <v/>
      </c>
      <c r="D8810" t="inlineStr">
        <is>
          <t>1342-07-07</t>
        </is>
      </c>
    </row>
    <row r="8811">
      <c r="A8811" s="1" t="n">
        <v>8810</v>
      </c>
      <c r="B8811">
        <f>TEXT(8810, "[$-170000]yyyy-mm-dd")</f>
        <v/>
      </c>
      <c r="C8811">
        <f>TEXT(8810, "[$-060000]yyyy-mm-dd")</f>
        <v/>
      </c>
      <c r="D8811" t="inlineStr">
        <is>
          <t>1342-07-08</t>
        </is>
      </c>
    </row>
    <row r="8812">
      <c r="A8812" s="1" t="n">
        <v>8811</v>
      </c>
      <c r="B8812">
        <f>TEXT(8811, "[$-170000]yyyy-mm-dd")</f>
        <v/>
      </c>
      <c r="C8812">
        <f>TEXT(8811, "[$-060000]yyyy-mm-dd")</f>
        <v/>
      </c>
      <c r="D8812" t="inlineStr">
        <is>
          <t>1342-07-09</t>
        </is>
      </c>
    </row>
    <row r="8813">
      <c r="A8813" s="1" t="n">
        <v>8812</v>
      </c>
      <c r="B8813">
        <f>TEXT(8812, "[$-170000]yyyy-mm-dd")</f>
        <v/>
      </c>
      <c r="C8813">
        <f>TEXT(8812, "[$-060000]yyyy-mm-dd")</f>
        <v/>
      </c>
      <c r="D8813" t="inlineStr">
        <is>
          <t>1342-07-10</t>
        </is>
      </c>
    </row>
    <row r="8814">
      <c r="A8814" s="1" t="n">
        <v>8813</v>
      </c>
      <c r="B8814">
        <f>TEXT(8813, "[$-170000]yyyy-mm-dd")</f>
        <v/>
      </c>
      <c r="C8814">
        <f>TEXT(8813, "[$-060000]yyyy-mm-dd")</f>
        <v/>
      </c>
      <c r="D8814" t="inlineStr">
        <is>
          <t>1342-07-11</t>
        </is>
      </c>
    </row>
    <row r="8815">
      <c r="A8815" s="1" t="n">
        <v>8814</v>
      </c>
      <c r="B8815">
        <f>TEXT(8814, "[$-170000]yyyy-mm-dd")</f>
        <v/>
      </c>
      <c r="C8815">
        <f>TEXT(8814, "[$-060000]yyyy-mm-dd")</f>
        <v/>
      </c>
      <c r="D8815" t="inlineStr">
        <is>
          <t>1342-07-12</t>
        </is>
      </c>
    </row>
    <row r="8816">
      <c r="A8816" s="1" t="n">
        <v>8815</v>
      </c>
      <c r="B8816">
        <f>TEXT(8815, "[$-170000]yyyy-mm-dd")</f>
        <v/>
      </c>
      <c r="C8816">
        <f>TEXT(8815, "[$-060000]yyyy-mm-dd")</f>
        <v/>
      </c>
      <c r="D8816" t="inlineStr">
        <is>
          <t>1342-07-13</t>
        </is>
      </c>
    </row>
    <row r="8817">
      <c r="A8817" s="1" t="n">
        <v>8816</v>
      </c>
      <c r="B8817">
        <f>TEXT(8816, "[$-170000]yyyy-mm-dd")</f>
        <v/>
      </c>
      <c r="C8817">
        <f>TEXT(8816, "[$-060000]yyyy-mm-dd")</f>
        <v/>
      </c>
      <c r="D8817" t="inlineStr">
        <is>
          <t>1342-07-14</t>
        </is>
      </c>
    </row>
    <row r="8818">
      <c r="A8818" s="1" t="n">
        <v>8817</v>
      </c>
      <c r="B8818">
        <f>TEXT(8817, "[$-170000]yyyy-mm-dd")</f>
        <v/>
      </c>
      <c r="C8818">
        <f>TEXT(8817, "[$-060000]yyyy-mm-dd")</f>
        <v/>
      </c>
      <c r="D8818" t="inlineStr">
        <is>
          <t>1342-07-15</t>
        </is>
      </c>
    </row>
    <row r="8819">
      <c r="A8819" s="1" t="n">
        <v>8818</v>
      </c>
      <c r="B8819">
        <f>TEXT(8818, "[$-170000]yyyy-mm-dd")</f>
        <v/>
      </c>
      <c r="C8819">
        <f>TEXT(8818, "[$-060000]yyyy-mm-dd")</f>
        <v/>
      </c>
      <c r="D8819" t="inlineStr">
        <is>
          <t>1342-07-16</t>
        </is>
      </c>
    </row>
    <row r="8820">
      <c r="A8820" s="1" t="n">
        <v>8819</v>
      </c>
      <c r="B8820">
        <f>TEXT(8819, "[$-170000]yyyy-mm-dd")</f>
        <v/>
      </c>
      <c r="C8820">
        <f>TEXT(8819, "[$-060000]yyyy-mm-dd")</f>
        <v/>
      </c>
      <c r="D8820" t="inlineStr">
        <is>
          <t>1342-07-17</t>
        </is>
      </c>
    </row>
    <row r="8821">
      <c r="A8821" s="1" t="n">
        <v>8820</v>
      </c>
      <c r="B8821">
        <f>TEXT(8820, "[$-170000]yyyy-mm-dd")</f>
        <v/>
      </c>
      <c r="C8821">
        <f>TEXT(8820, "[$-060000]yyyy-mm-dd")</f>
        <v/>
      </c>
      <c r="D8821" t="inlineStr">
        <is>
          <t>1342-07-18</t>
        </is>
      </c>
    </row>
    <row r="8822">
      <c r="A8822" s="1" t="n">
        <v>8821</v>
      </c>
      <c r="B8822">
        <f>TEXT(8821, "[$-170000]yyyy-mm-dd")</f>
        <v/>
      </c>
      <c r="C8822">
        <f>TEXT(8821, "[$-060000]yyyy-mm-dd")</f>
        <v/>
      </c>
      <c r="D8822" t="inlineStr">
        <is>
          <t>1342-07-19</t>
        </is>
      </c>
    </row>
    <row r="8823">
      <c r="A8823" s="1" t="n">
        <v>8822</v>
      </c>
      <c r="B8823">
        <f>TEXT(8822, "[$-170000]yyyy-mm-dd")</f>
        <v/>
      </c>
      <c r="C8823">
        <f>TEXT(8822, "[$-060000]yyyy-mm-dd")</f>
        <v/>
      </c>
      <c r="D8823" t="inlineStr">
        <is>
          <t>1342-07-20</t>
        </is>
      </c>
    </row>
    <row r="8824">
      <c r="A8824" s="1" t="n">
        <v>8823</v>
      </c>
      <c r="B8824">
        <f>TEXT(8823, "[$-170000]yyyy-mm-dd")</f>
        <v/>
      </c>
      <c r="C8824">
        <f>TEXT(8823, "[$-060000]yyyy-mm-dd")</f>
        <v/>
      </c>
      <c r="D8824" t="inlineStr">
        <is>
          <t>1342-07-21</t>
        </is>
      </c>
    </row>
    <row r="8825">
      <c r="A8825" s="1" t="n">
        <v>8824</v>
      </c>
      <c r="B8825">
        <f>TEXT(8824, "[$-170000]yyyy-mm-dd")</f>
        <v/>
      </c>
      <c r="C8825">
        <f>TEXT(8824, "[$-060000]yyyy-mm-dd")</f>
        <v/>
      </c>
      <c r="D8825" t="inlineStr">
        <is>
          <t>1342-07-22</t>
        </is>
      </c>
    </row>
    <row r="8826">
      <c r="A8826" s="1" t="n">
        <v>8825</v>
      </c>
      <c r="B8826">
        <f>TEXT(8825, "[$-170000]yyyy-mm-dd")</f>
        <v/>
      </c>
      <c r="C8826">
        <f>TEXT(8825, "[$-060000]yyyy-mm-dd")</f>
        <v/>
      </c>
      <c r="D8826" t="inlineStr">
        <is>
          <t>1342-07-23</t>
        </is>
      </c>
    </row>
    <row r="8827">
      <c r="A8827" s="1" t="n">
        <v>8826</v>
      </c>
      <c r="B8827">
        <f>TEXT(8826, "[$-170000]yyyy-mm-dd")</f>
        <v/>
      </c>
      <c r="C8827">
        <f>TEXT(8826, "[$-060000]yyyy-mm-dd")</f>
        <v/>
      </c>
      <c r="D8827" t="inlineStr">
        <is>
          <t>1342-07-24</t>
        </is>
      </c>
    </row>
    <row r="8828">
      <c r="A8828" s="1" t="n">
        <v>8827</v>
      </c>
      <c r="B8828">
        <f>TEXT(8827, "[$-170000]yyyy-mm-dd")</f>
        <v/>
      </c>
      <c r="C8828">
        <f>TEXT(8827, "[$-060000]yyyy-mm-dd")</f>
        <v/>
      </c>
      <c r="D8828" t="inlineStr">
        <is>
          <t>1342-07-25</t>
        </is>
      </c>
    </row>
    <row r="8829">
      <c r="A8829" s="1" t="n">
        <v>8828</v>
      </c>
      <c r="B8829">
        <f>TEXT(8828, "[$-170000]yyyy-mm-dd")</f>
        <v/>
      </c>
      <c r="C8829">
        <f>TEXT(8828, "[$-060000]yyyy-mm-dd")</f>
        <v/>
      </c>
      <c r="D8829" t="inlineStr">
        <is>
          <t>1342-07-26</t>
        </is>
      </c>
    </row>
    <row r="8830">
      <c r="A8830" s="1" t="n">
        <v>8829</v>
      </c>
      <c r="B8830">
        <f>TEXT(8829, "[$-170000]yyyy-mm-dd")</f>
        <v/>
      </c>
      <c r="C8830">
        <f>TEXT(8829, "[$-060000]yyyy-mm-dd")</f>
        <v/>
      </c>
      <c r="D8830" t="inlineStr">
        <is>
          <t>1342-07-27</t>
        </is>
      </c>
    </row>
    <row r="8831">
      <c r="A8831" s="1" t="n">
        <v>8830</v>
      </c>
      <c r="B8831">
        <f>TEXT(8830, "[$-170000]yyyy-mm-dd")</f>
        <v/>
      </c>
      <c r="C8831">
        <f>TEXT(8830, "[$-060000]yyyy-mm-dd")</f>
        <v/>
      </c>
      <c r="D8831" t="inlineStr">
        <is>
          <t>1342-07-28</t>
        </is>
      </c>
    </row>
    <row r="8832">
      <c r="A8832" s="1" t="n">
        <v>8831</v>
      </c>
      <c r="B8832">
        <f>TEXT(8831, "[$-170000]yyyy-mm-dd")</f>
        <v/>
      </c>
      <c r="C8832">
        <f>TEXT(8831, "[$-060000]yyyy-mm-dd")</f>
        <v/>
      </c>
      <c r="D8832" t="inlineStr">
        <is>
          <t>1342-07-29</t>
        </is>
      </c>
    </row>
    <row r="8833">
      <c r="A8833" s="1" t="n">
        <v>8832</v>
      </c>
      <c r="B8833">
        <f>TEXT(8832, "[$-170000]yyyy-mm-dd")</f>
        <v/>
      </c>
      <c r="C8833">
        <f>TEXT(8832, "[$-060000]yyyy-mm-dd")</f>
        <v/>
      </c>
      <c r="D8833" t="inlineStr">
        <is>
          <t>1342-07-30</t>
        </is>
      </c>
    </row>
    <row r="8834">
      <c r="A8834" s="1" t="n">
        <v>8833</v>
      </c>
      <c r="B8834">
        <f>TEXT(8833, "[$-170000]yyyy-mm-dd")</f>
        <v/>
      </c>
      <c r="C8834">
        <f>TEXT(8833, "[$-060000]yyyy-mm-dd")</f>
        <v/>
      </c>
      <c r="D8834" t="inlineStr">
        <is>
          <t>1342-08-01</t>
        </is>
      </c>
    </row>
    <row r="8835">
      <c r="A8835" s="1" t="n">
        <v>8834</v>
      </c>
      <c r="B8835">
        <f>TEXT(8834, "[$-170000]yyyy-mm-dd")</f>
        <v/>
      </c>
      <c r="C8835">
        <f>TEXT(8834, "[$-060000]yyyy-mm-dd")</f>
        <v/>
      </c>
      <c r="D8835" t="inlineStr">
        <is>
          <t>1342-08-02</t>
        </is>
      </c>
    </row>
    <row r="8836">
      <c r="A8836" s="1" t="n">
        <v>8835</v>
      </c>
      <c r="B8836">
        <f>TEXT(8835, "[$-170000]yyyy-mm-dd")</f>
        <v/>
      </c>
      <c r="C8836">
        <f>TEXT(8835, "[$-060000]yyyy-mm-dd")</f>
        <v/>
      </c>
      <c r="D8836" t="inlineStr">
        <is>
          <t>1342-08-03</t>
        </is>
      </c>
    </row>
    <row r="8837">
      <c r="A8837" s="1" t="n">
        <v>8836</v>
      </c>
      <c r="B8837">
        <f>TEXT(8836, "[$-170000]yyyy-mm-dd")</f>
        <v/>
      </c>
      <c r="C8837">
        <f>TEXT(8836, "[$-060000]yyyy-mm-dd")</f>
        <v/>
      </c>
      <c r="D8837" t="inlineStr">
        <is>
          <t>1342-08-04</t>
        </is>
      </c>
    </row>
    <row r="8838">
      <c r="A8838" s="1" t="n">
        <v>8837</v>
      </c>
      <c r="B8838">
        <f>TEXT(8837, "[$-170000]yyyy-mm-dd")</f>
        <v/>
      </c>
      <c r="C8838">
        <f>TEXT(8837, "[$-060000]yyyy-mm-dd")</f>
        <v/>
      </c>
      <c r="D8838" t="inlineStr">
        <is>
          <t>1342-08-05</t>
        </is>
      </c>
    </row>
    <row r="8839">
      <c r="A8839" s="1" t="n">
        <v>8838</v>
      </c>
      <c r="B8839">
        <f>TEXT(8838, "[$-170000]yyyy-mm-dd")</f>
        <v/>
      </c>
      <c r="C8839">
        <f>TEXT(8838, "[$-060000]yyyy-mm-dd")</f>
        <v/>
      </c>
      <c r="D8839" t="inlineStr">
        <is>
          <t>1342-08-06</t>
        </is>
      </c>
    </row>
    <row r="8840">
      <c r="A8840" s="1" t="n">
        <v>8839</v>
      </c>
      <c r="B8840">
        <f>TEXT(8839, "[$-170000]yyyy-mm-dd")</f>
        <v/>
      </c>
      <c r="C8840">
        <f>TEXT(8839, "[$-060000]yyyy-mm-dd")</f>
        <v/>
      </c>
      <c r="D8840" t="inlineStr">
        <is>
          <t>1342-08-07</t>
        </is>
      </c>
    </row>
    <row r="8841">
      <c r="A8841" s="1" t="n">
        <v>8840</v>
      </c>
      <c r="B8841">
        <f>TEXT(8840, "[$-170000]yyyy-mm-dd")</f>
        <v/>
      </c>
      <c r="C8841">
        <f>TEXT(8840, "[$-060000]yyyy-mm-dd")</f>
        <v/>
      </c>
      <c r="D8841" t="inlineStr">
        <is>
          <t>1342-08-08</t>
        </is>
      </c>
    </row>
    <row r="8842">
      <c r="A8842" s="1" t="n">
        <v>8841</v>
      </c>
      <c r="B8842">
        <f>TEXT(8841, "[$-170000]yyyy-mm-dd")</f>
        <v/>
      </c>
      <c r="C8842">
        <f>TEXT(8841, "[$-060000]yyyy-mm-dd")</f>
        <v/>
      </c>
      <c r="D8842" t="inlineStr">
        <is>
          <t>1342-08-09</t>
        </is>
      </c>
    </row>
    <row r="8843">
      <c r="A8843" s="1" t="n">
        <v>8842</v>
      </c>
      <c r="B8843">
        <f>TEXT(8842, "[$-170000]yyyy-mm-dd")</f>
        <v/>
      </c>
      <c r="C8843">
        <f>TEXT(8842, "[$-060000]yyyy-mm-dd")</f>
        <v/>
      </c>
      <c r="D8843" t="inlineStr">
        <is>
          <t>1342-08-10</t>
        </is>
      </c>
    </row>
    <row r="8844">
      <c r="A8844" s="1" t="n">
        <v>8843</v>
      </c>
      <c r="B8844">
        <f>TEXT(8843, "[$-170000]yyyy-mm-dd")</f>
        <v/>
      </c>
      <c r="C8844">
        <f>TEXT(8843, "[$-060000]yyyy-mm-dd")</f>
        <v/>
      </c>
      <c r="D8844" t="inlineStr">
        <is>
          <t>1342-08-11</t>
        </is>
      </c>
    </row>
    <row r="8845">
      <c r="A8845" s="1" t="n">
        <v>8844</v>
      </c>
      <c r="B8845">
        <f>TEXT(8844, "[$-170000]yyyy-mm-dd")</f>
        <v/>
      </c>
      <c r="C8845">
        <f>TEXT(8844, "[$-060000]yyyy-mm-dd")</f>
        <v/>
      </c>
      <c r="D8845" t="inlineStr">
        <is>
          <t>1342-08-12</t>
        </is>
      </c>
    </row>
    <row r="8846">
      <c r="A8846" s="1" t="n">
        <v>8845</v>
      </c>
      <c r="B8846">
        <f>TEXT(8845, "[$-170000]yyyy-mm-dd")</f>
        <v/>
      </c>
      <c r="C8846">
        <f>TEXT(8845, "[$-060000]yyyy-mm-dd")</f>
        <v/>
      </c>
      <c r="D8846" t="inlineStr">
        <is>
          <t>1342-08-13</t>
        </is>
      </c>
    </row>
    <row r="8847">
      <c r="A8847" s="1" t="n">
        <v>8846</v>
      </c>
      <c r="B8847">
        <f>TEXT(8846, "[$-170000]yyyy-mm-dd")</f>
        <v/>
      </c>
      <c r="C8847">
        <f>TEXT(8846, "[$-060000]yyyy-mm-dd")</f>
        <v/>
      </c>
      <c r="D8847" t="inlineStr">
        <is>
          <t>1342-08-14</t>
        </is>
      </c>
    </row>
    <row r="8848">
      <c r="A8848" s="1" t="n">
        <v>8847</v>
      </c>
      <c r="B8848">
        <f>TEXT(8847, "[$-170000]yyyy-mm-dd")</f>
        <v/>
      </c>
      <c r="C8848">
        <f>TEXT(8847, "[$-060000]yyyy-mm-dd")</f>
        <v/>
      </c>
      <c r="D8848" t="inlineStr">
        <is>
          <t>1342-08-15</t>
        </is>
      </c>
    </row>
    <row r="8849">
      <c r="A8849" s="1" t="n">
        <v>8848</v>
      </c>
      <c r="B8849">
        <f>TEXT(8848, "[$-170000]yyyy-mm-dd")</f>
        <v/>
      </c>
      <c r="C8849">
        <f>TEXT(8848, "[$-060000]yyyy-mm-dd")</f>
        <v/>
      </c>
      <c r="D8849" t="inlineStr">
        <is>
          <t>1342-08-16</t>
        </is>
      </c>
    </row>
    <row r="8850">
      <c r="A8850" s="1" t="n">
        <v>8849</v>
      </c>
      <c r="B8850">
        <f>TEXT(8849, "[$-170000]yyyy-mm-dd")</f>
        <v/>
      </c>
      <c r="C8850">
        <f>TEXT(8849, "[$-060000]yyyy-mm-dd")</f>
        <v/>
      </c>
      <c r="D8850" t="inlineStr">
        <is>
          <t>1342-08-17</t>
        </is>
      </c>
    </row>
    <row r="8851">
      <c r="A8851" s="1" t="n">
        <v>8850</v>
      </c>
      <c r="B8851">
        <f>TEXT(8850, "[$-170000]yyyy-mm-dd")</f>
        <v/>
      </c>
      <c r="C8851">
        <f>TEXT(8850, "[$-060000]yyyy-mm-dd")</f>
        <v/>
      </c>
      <c r="D8851" t="inlineStr">
        <is>
          <t>1342-08-18</t>
        </is>
      </c>
    </row>
    <row r="8852">
      <c r="A8852" s="1" t="n">
        <v>8851</v>
      </c>
      <c r="B8852">
        <f>TEXT(8851, "[$-170000]yyyy-mm-dd")</f>
        <v/>
      </c>
      <c r="C8852">
        <f>TEXT(8851, "[$-060000]yyyy-mm-dd")</f>
        <v/>
      </c>
      <c r="D8852" t="inlineStr">
        <is>
          <t>1342-08-19</t>
        </is>
      </c>
    </row>
    <row r="8853">
      <c r="A8853" s="1" t="n">
        <v>8852</v>
      </c>
      <c r="B8853">
        <f>TEXT(8852, "[$-170000]yyyy-mm-dd")</f>
        <v/>
      </c>
      <c r="C8853">
        <f>TEXT(8852, "[$-060000]yyyy-mm-dd")</f>
        <v/>
      </c>
      <c r="D8853" t="inlineStr">
        <is>
          <t>1342-08-20</t>
        </is>
      </c>
    </row>
    <row r="8854">
      <c r="A8854" s="1" t="n">
        <v>8853</v>
      </c>
      <c r="B8854">
        <f>TEXT(8853, "[$-170000]yyyy-mm-dd")</f>
        <v/>
      </c>
      <c r="C8854">
        <f>TEXT(8853, "[$-060000]yyyy-mm-dd")</f>
        <v/>
      </c>
      <c r="D8854" t="inlineStr">
        <is>
          <t>1342-08-21</t>
        </is>
      </c>
    </row>
    <row r="8855">
      <c r="A8855" s="1" t="n">
        <v>8854</v>
      </c>
      <c r="B8855">
        <f>TEXT(8854, "[$-170000]yyyy-mm-dd")</f>
        <v/>
      </c>
      <c r="C8855">
        <f>TEXT(8854, "[$-060000]yyyy-mm-dd")</f>
        <v/>
      </c>
      <c r="D8855" t="inlineStr">
        <is>
          <t>1342-08-22</t>
        </is>
      </c>
    </row>
    <row r="8856">
      <c r="A8856" s="1" t="n">
        <v>8855</v>
      </c>
      <c r="B8856">
        <f>TEXT(8855, "[$-170000]yyyy-mm-dd")</f>
        <v/>
      </c>
      <c r="C8856">
        <f>TEXT(8855, "[$-060000]yyyy-mm-dd")</f>
        <v/>
      </c>
      <c r="D8856" t="inlineStr">
        <is>
          <t>1342-08-23</t>
        </is>
      </c>
    </row>
    <row r="8857">
      <c r="A8857" s="1" t="n">
        <v>8856</v>
      </c>
      <c r="B8857">
        <f>TEXT(8856, "[$-170000]yyyy-mm-dd")</f>
        <v/>
      </c>
      <c r="C8857">
        <f>TEXT(8856, "[$-060000]yyyy-mm-dd")</f>
        <v/>
      </c>
      <c r="D8857" t="inlineStr">
        <is>
          <t>1342-08-24</t>
        </is>
      </c>
    </row>
    <row r="8858">
      <c r="A8858" s="1" t="n">
        <v>8857</v>
      </c>
      <c r="B8858">
        <f>TEXT(8857, "[$-170000]yyyy-mm-dd")</f>
        <v/>
      </c>
      <c r="C8858">
        <f>TEXT(8857, "[$-060000]yyyy-mm-dd")</f>
        <v/>
      </c>
      <c r="D8858" t="inlineStr">
        <is>
          <t>1342-08-25</t>
        </is>
      </c>
    </row>
    <row r="8859">
      <c r="A8859" s="1" t="n">
        <v>8858</v>
      </c>
      <c r="B8859">
        <f>TEXT(8858, "[$-170000]yyyy-mm-dd")</f>
        <v/>
      </c>
      <c r="C8859">
        <f>TEXT(8858, "[$-060000]yyyy-mm-dd")</f>
        <v/>
      </c>
      <c r="D8859" t="inlineStr">
        <is>
          <t>1342-08-26</t>
        </is>
      </c>
    </row>
    <row r="8860">
      <c r="A8860" s="1" t="n">
        <v>8859</v>
      </c>
      <c r="B8860">
        <f>TEXT(8859, "[$-170000]yyyy-mm-dd")</f>
        <v/>
      </c>
      <c r="C8860">
        <f>TEXT(8859, "[$-060000]yyyy-mm-dd")</f>
        <v/>
      </c>
      <c r="D8860" t="inlineStr">
        <is>
          <t>1342-08-27</t>
        </is>
      </c>
    </row>
    <row r="8861">
      <c r="A8861" s="1" t="n">
        <v>8860</v>
      </c>
      <c r="B8861">
        <f>TEXT(8860, "[$-170000]yyyy-mm-dd")</f>
        <v/>
      </c>
      <c r="C8861">
        <f>TEXT(8860, "[$-060000]yyyy-mm-dd")</f>
        <v/>
      </c>
      <c r="D8861" t="inlineStr">
        <is>
          <t>1342-08-28</t>
        </is>
      </c>
    </row>
    <row r="8862">
      <c r="A8862" s="1" t="n">
        <v>8861</v>
      </c>
      <c r="B8862">
        <f>TEXT(8861, "[$-170000]yyyy-mm-dd")</f>
        <v/>
      </c>
      <c r="C8862">
        <f>TEXT(8861, "[$-060000]yyyy-mm-dd")</f>
        <v/>
      </c>
      <c r="D8862" t="inlineStr">
        <is>
          <t>1342-08-29</t>
        </is>
      </c>
    </row>
    <row r="8863">
      <c r="A8863" s="1" t="n">
        <v>8862</v>
      </c>
      <c r="B8863">
        <f>TEXT(8862, "[$-170000]yyyy-mm-dd")</f>
        <v/>
      </c>
      <c r="C8863">
        <f>TEXT(8862, "[$-060000]yyyy-mm-dd")</f>
        <v/>
      </c>
      <c r="D8863" t="inlineStr">
        <is>
          <t>1342-09-01</t>
        </is>
      </c>
    </row>
    <row r="8864">
      <c r="A8864" s="1" t="n">
        <v>8863</v>
      </c>
      <c r="B8864">
        <f>TEXT(8863, "[$-170000]yyyy-mm-dd")</f>
        <v/>
      </c>
      <c r="C8864">
        <f>TEXT(8863, "[$-060000]yyyy-mm-dd")</f>
        <v/>
      </c>
      <c r="D8864" t="inlineStr">
        <is>
          <t>1342-09-02</t>
        </is>
      </c>
    </row>
    <row r="8865">
      <c r="A8865" s="1" t="n">
        <v>8864</v>
      </c>
      <c r="B8865">
        <f>TEXT(8864, "[$-170000]yyyy-mm-dd")</f>
        <v/>
      </c>
      <c r="C8865">
        <f>TEXT(8864, "[$-060000]yyyy-mm-dd")</f>
        <v/>
      </c>
      <c r="D8865" t="inlineStr">
        <is>
          <t>1342-09-03</t>
        </is>
      </c>
    </row>
    <row r="8866">
      <c r="A8866" s="1" t="n">
        <v>8865</v>
      </c>
      <c r="B8866">
        <f>TEXT(8865, "[$-170000]yyyy-mm-dd")</f>
        <v/>
      </c>
      <c r="C8866">
        <f>TEXT(8865, "[$-060000]yyyy-mm-dd")</f>
        <v/>
      </c>
      <c r="D8866" t="inlineStr">
        <is>
          <t>1342-09-04</t>
        </is>
      </c>
    </row>
    <row r="8867">
      <c r="A8867" s="1" t="n">
        <v>8866</v>
      </c>
      <c r="B8867">
        <f>TEXT(8866, "[$-170000]yyyy-mm-dd")</f>
        <v/>
      </c>
      <c r="C8867">
        <f>TEXT(8866, "[$-060000]yyyy-mm-dd")</f>
        <v/>
      </c>
      <c r="D8867" t="inlineStr">
        <is>
          <t>1342-09-05</t>
        </is>
      </c>
    </row>
    <row r="8868">
      <c r="A8868" s="1" t="n">
        <v>8867</v>
      </c>
      <c r="B8868">
        <f>TEXT(8867, "[$-170000]yyyy-mm-dd")</f>
        <v/>
      </c>
      <c r="C8868">
        <f>TEXT(8867, "[$-060000]yyyy-mm-dd")</f>
        <v/>
      </c>
      <c r="D8868" t="inlineStr">
        <is>
          <t>1342-09-06</t>
        </is>
      </c>
    </row>
    <row r="8869">
      <c r="A8869" s="1" t="n">
        <v>8868</v>
      </c>
      <c r="B8869">
        <f>TEXT(8868, "[$-170000]yyyy-mm-dd")</f>
        <v/>
      </c>
      <c r="C8869">
        <f>TEXT(8868, "[$-060000]yyyy-mm-dd")</f>
        <v/>
      </c>
      <c r="D8869" t="inlineStr">
        <is>
          <t>1342-09-07</t>
        </is>
      </c>
    </row>
    <row r="8870">
      <c r="A8870" s="1" t="n">
        <v>8869</v>
      </c>
      <c r="B8870">
        <f>TEXT(8869, "[$-170000]yyyy-mm-dd")</f>
        <v/>
      </c>
      <c r="C8870">
        <f>TEXT(8869, "[$-060000]yyyy-mm-dd")</f>
        <v/>
      </c>
      <c r="D8870" t="inlineStr">
        <is>
          <t>1342-09-08</t>
        </is>
      </c>
    </row>
    <row r="8871">
      <c r="A8871" s="1" t="n">
        <v>8870</v>
      </c>
      <c r="B8871">
        <f>TEXT(8870, "[$-170000]yyyy-mm-dd")</f>
        <v/>
      </c>
      <c r="C8871">
        <f>TEXT(8870, "[$-060000]yyyy-mm-dd")</f>
        <v/>
      </c>
      <c r="D8871" t="inlineStr">
        <is>
          <t>1342-09-09</t>
        </is>
      </c>
    </row>
    <row r="8872">
      <c r="A8872" s="1" t="n">
        <v>8871</v>
      </c>
      <c r="B8872">
        <f>TEXT(8871, "[$-170000]yyyy-mm-dd")</f>
        <v/>
      </c>
      <c r="C8872">
        <f>TEXT(8871, "[$-060000]yyyy-mm-dd")</f>
        <v/>
      </c>
      <c r="D8872" t="inlineStr">
        <is>
          <t>1342-09-10</t>
        </is>
      </c>
    </row>
    <row r="8873">
      <c r="A8873" s="1" t="n">
        <v>8872</v>
      </c>
      <c r="B8873">
        <f>TEXT(8872, "[$-170000]yyyy-mm-dd")</f>
        <v/>
      </c>
      <c r="C8873">
        <f>TEXT(8872, "[$-060000]yyyy-mm-dd")</f>
        <v/>
      </c>
      <c r="D8873" t="inlineStr">
        <is>
          <t>1342-09-11</t>
        </is>
      </c>
    </row>
    <row r="8874">
      <c r="A8874" s="1" t="n">
        <v>8873</v>
      </c>
      <c r="B8874">
        <f>TEXT(8873, "[$-170000]yyyy-mm-dd")</f>
        <v/>
      </c>
      <c r="C8874">
        <f>TEXT(8873, "[$-060000]yyyy-mm-dd")</f>
        <v/>
      </c>
      <c r="D8874" t="inlineStr">
        <is>
          <t>1342-09-12</t>
        </is>
      </c>
    </row>
    <row r="8875">
      <c r="A8875" s="1" t="n">
        <v>8874</v>
      </c>
      <c r="B8875">
        <f>TEXT(8874, "[$-170000]yyyy-mm-dd")</f>
        <v/>
      </c>
      <c r="C8875">
        <f>TEXT(8874, "[$-060000]yyyy-mm-dd")</f>
        <v/>
      </c>
      <c r="D8875" t="inlineStr">
        <is>
          <t>1342-09-13</t>
        </is>
      </c>
    </row>
    <row r="8876">
      <c r="A8876" s="1" t="n">
        <v>8875</v>
      </c>
      <c r="B8876">
        <f>TEXT(8875, "[$-170000]yyyy-mm-dd")</f>
        <v/>
      </c>
      <c r="C8876">
        <f>TEXT(8875, "[$-060000]yyyy-mm-dd")</f>
        <v/>
      </c>
      <c r="D8876" t="inlineStr">
        <is>
          <t>1342-09-14</t>
        </is>
      </c>
    </row>
    <row r="8877">
      <c r="A8877" s="1" t="n">
        <v>8876</v>
      </c>
      <c r="B8877">
        <f>TEXT(8876, "[$-170000]yyyy-mm-dd")</f>
        <v/>
      </c>
      <c r="C8877">
        <f>TEXT(8876, "[$-060000]yyyy-mm-dd")</f>
        <v/>
      </c>
      <c r="D8877" t="inlineStr">
        <is>
          <t>1342-09-15</t>
        </is>
      </c>
    </row>
    <row r="8878">
      <c r="A8878" s="1" t="n">
        <v>8877</v>
      </c>
      <c r="B8878">
        <f>TEXT(8877, "[$-170000]yyyy-mm-dd")</f>
        <v/>
      </c>
      <c r="C8878">
        <f>TEXT(8877, "[$-060000]yyyy-mm-dd")</f>
        <v/>
      </c>
      <c r="D8878" t="inlineStr">
        <is>
          <t>1342-09-16</t>
        </is>
      </c>
    </row>
    <row r="8879">
      <c r="A8879" s="1" t="n">
        <v>8878</v>
      </c>
      <c r="B8879">
        <f>TEXT(8878, "[$-170000]yyyy-mm-dd")</f>
        <v/>
      </c>
      <c r="C8879">
        <f>TEXT(8878, "[$-060000]yyyy-mm-dd")</f>
        <v/>
      </c>
      <c r="D8879" t="inlineStr">
        <is>
          <t>1342-09-17</t>
        </is>
      </c>
    </row>
    <row r="8880">
      <c r="A8880" s="1" t="n">
        <v>8879</v>
      </c>
      <c r="B8880">
        <f>TEXT(8879, "[$-170000]yyyy-mm-dd")</f>
        <v/>
      </c>
      <c r="C8880">
        <f>TEXT(8879, "[$-060000]yyyy-mm-dd")</f>
        <v/>
      </c>
      <c r="D8880" t="inlineStr">
        <is>
          <t>1342-09-18</t>
        </is>
      </c>
    </row>
    <row r="8881">
      <c r="A8881" s="1" t="n">
        <v>8880</v>
      </c>
      <c r="B8881">
        <f>TEXT(8880, "[$-170000]yyyy-mm-dd")</f>
        <v/>
      </c>
      <c r="C8881">
        <f>TEXT(8880, "[$-060000]yyyy-mm-dd")</f>
        <v/>
      </c>
      <c r="D8881" t="inlineStr">
        <is>
          <t>1342-09-19</t>
        </is>
      </c>
    </row>
    <row r="8882">
      <c r="A8882" s="1" t="n">
        <v>8881</v>
      </c>
      <c r="B8882">
        <f>TEXT(8881, "[$-170000]yyyy-mm-dd")</f>
        <v/>
      </c>
      <c r="C8882">
        <f>TEXT(8881, "[$-060000]yyyy-mm-dd")</f>
        <v/>
      </c>
      <c r="D8882" t="inlineStr">
        <is>
          <t>1342-09-20</t>
        </is>
      </c>
    </row>
    <row r="8883">
      <c r="A8883" s="1" t="n">
        <v>8882</v>
      </c>
      <c r="B8883">
        <f>TEXT(8882, "[$-170000]yyyy-mm-dd")</f>
        <v/>
      </c>
      <c r="C8883">
        <f>TEXT(8882, "[$-060000]yyyy-mm-dd")</f>
        <v/>
      </c>
      <c r="D8883" t="inlineStr">
        <is>
          <t>1342-09-21</t>
        </is>
      </c>
    </row>
    <row r="8884">
      <c r="A8884" s="1" t="n">
        <v>8883</v>
      </c>
      <c r="B8884">
        <f>TEXT(8883, "[$-170000]yyyy-mm-dd")</f>
        <v/>
      </c>
      <c r="C8884">
        <f>TEXT(8883, "[$-060000]yyyy-mm-dd")</f>
        <v/>
      </c>
      <c r="D8884" t="inlineStr">
        <is>
          <t>1342-09-22</t>
        </is>
      </c>
    </row>
    <row r="8885">
      <c r="A8885" s="1" t="n">
        <v>8884</v>
      </c>
      <c r="B8885">
        <f>TEXT(8884, "[$-170000]yyyy-mm-dd")</f>
        <v/>
      </c>
      <c r="C8885">
        <f>TEXT(8884, "[$-060000]yyyy-mm-dd")</f>
        <v/>
      </c>
      <c r="D8885" t="inlineStr">
        <is>
          <t>1342-09-23</t>
        </is>
      </c>
    </row>
    <row r="8886">
      <c r="A8886" s="1" t="n">
        <v>8885</v>
      </c>
      <c r="B8886">
        <f>TEXT(8885, "[$-170000]yyyy-mm-dd")</f>
        <v/>
      </c>
      <c r="C8886">
        <f>TEXT(8885, "[$-060000]yyyy-mm-dd")</f>
        <v/>
      </c>
      <c r="D8886" t="inlineStr">
        <is>
          <t>1342-09-24</t>
        </is>
      </c>
    </row>
    <row r="8887">
      <c r="A8887" s="1" t="n">
        <v>8886</v>
      </c>
      <c r="B8887">
        <f>TEXT(8886, "[$-170000]yyyy-mm-dd")</f>
        <v/>
      </c>
      <c r="C8887">
        <f>TEXT(8886, "[$-060000]yyyy-mm-dd")</f>
        <v/>
      </c>
      <c r="D8887" t="inlineStr">
        <is>
          <t>1342-09-25</t>
        </is>
      </c>
    </row>
    <row r="8888">
      <c r="A8888" s="1" t="n">
        <v>8887</v>
      </c>
      <c r="B8888">
        <f>TEXT(8887, "[$-170000]yyyy-mm-dd")</f>
        <v/>
      </c>
      <c r="C8888">
        <f>TEXT(8887, "[$-060000]yyyy-mm-dd")</f>
        <v/>
      </c>
      <c r="D8888" t="inlineStr">
        <is>
          <t>1342-09-26</t>
        </is>
      </c>
    </row>
    <row r="8889">
      <c r="A8889" s="1" t="n">
        <v>8888</v>
      </c>
      <c r="B8889">
        <f>TEXT(8888, "[$-170000]yyyy-mm-dd")</f>
        <v/>
      </c>
      <c r="C8889">
        <f>TEXT(8888, "[$-060000]yyyy-mm-dd")</f>
        <v/>
      </c>
      <c r="D8889" t="inlineStr">
        <is>
          <t>1342-09-27</t>
        </is>
      </c>
    </row>
    <row r="8890">
      <c r="A8890" s="1" t="n">
        <v>8889</v>
      </c>
      <c r="B8890">
        <f>TEXT(8889, "[$-170000]yyyy-mm-dd")</f>
        <v/>
      </c>
      <c r="C8890">
        <f>TEXT(8889, "[$-060000]yyyy-mm-dd")</f>
        <v/>
      </c>
      <c r="D8890" t="inlineStr">
        <is>
          <t>1342-09-28</t>
        </is>
      </c>
    </row>
    <row r="8891">
      <c r="A8891" s="1" t="n">
        <v>8890</v>
      </c>
      <c r="B8891">
        <f>TEXT(8890, "[$-170000]yyyy-mm-dd")</f>
        <v/>
      </c>
      <c r="C8891">
        <f>TEXT(8890, "[$-060000]yyyy-mm-dd")</f>
        <v/>
      </c>
      <c r="D8891" t="inlineStr">
        <is>
          <t>1342-09-29</t>
        </is>
      </c>
    </row>
    <row r="8892">
      <c r="A8892" s="1" t="n">
        <v>8891</v>
      </c>
      <c r="B8892">
        <f>TEXT(8891, "[$-170000]yyyy-mm-dd")</f>
        <v/>
      </c>
      <c r="C8892">
        <f>TEXT(8891, "[$-060000]yyyy-mm-dd")</f>
        <v/>
      </c>
      <c r="D8892" t="inlineStr">
        <is>
          <t>1342-09-30</t>
        </is>
      </c>
    </row>
    <row r="8893">
      <c r="A8893" s="1" t="n">
        <v>8892</v>
      </c>
      <c r="B8893">
        <f>TEXT(8892, "[$-170000]yyyy-mm-dd")</f>
        <v/>
      </c>
      <c r="C8893">
        <f>TEXT(8892, "[$-060000]yyyy-mm-dd")</f>
        <v/>
      </c>
      <c r="D8893" t="inlineStr">
        <is>
          <t>1342-10-01</t>
        </is>
      </c>
    </row>
    <row r="8894">
      <c r="A8894" s="1" t="n">
        <v>8893</v>
      </c>
      <c r="B8894">
        <f>TEXT(8893, "[$-170000]yyyy-mm-dd")</f>
        <v/>
      </c>
      <c r="C8894">
        <f>TEXT(8893, "[$-060000]yyyy-mm-dd")</f>
        <v/>
      </c>
      <c r="D8894" t="inlineStr">
        <is>
          <t>1342-10-02</t>
        </is>
      </c>
    </row>
    <row r="8895">
      <c r="A8895" s="1" t="n">
        <v>8894</v>
      </c>
      <c r="B8895">
        <f>TEXT(8894, "[$-170000]yyyy-mm-dd")</f>
        <v/>
      </c>
      <c r="C8895">
        <f>TEXT(8894, "[$-060000]yyyy-mm-dd")</f>
        <v/>
      </c>
      <c r="D8895" t="inlineStr">
        <is>
          <t>1342-10-03</t>
        </is>
      </c>
    </row>
    <row r="8896">
      <c r="A8896" s="1" t="n">
        <v>8895</v>
      </c>
      <c r="B8896">
        <f>TEXT(8895, "[$-170000]yyyy-mm-dd")</f>
        <v/>
      </c>
      <c r="C8896">
        <f>TEXT(8895, "[$-060000]yyyy-mm-dd")</f>
        <v/>
      </c>
      <c r="D8896" t="inlineStr">
        <is>
          <t>1342-10-04</t>
        </is>
      </c>
    </row>
    <row r="8897">
      <c r="A8897" s="1" t="n">
        <v>8896</v>
      </c>
      <c r="B8897">
        <f>TEXT(8896, "[$-170000]yyyy-mm-dd")</f>
        <v/>
      </c>
      <c r="C8897">
        <f>TEXT(8896, "[$-060000]yyyy-mm-dd")</f>
        <v/>
      </c>
      <c r="D8897" t="inlineStr">
        <is>
          <t>1342-10-05</t>
        </is>
      </c>
    </row>
    <row r="8898">
      <c r="A8898" s="1" t="n">
        <v>8897</v>
      </c>
      <c r="B8898">
        <f>TEXT(8897, "[$-170000]yyyy-mm-dd")</f>
        <v/>
      </c>
      <c r="C8898">
        <f>TEXT(8897, "[$-060000]yyyy-mm-dd")</f>
        <v/>
      </c>
      <c r="D8898" t="inlineStr">
        <is>
          <t>1342-10-06</t>
        </is>
      </c>
    </row>
    <row r="8899">
      <c r="A8899" s="1" t="n">
        <v>8898</v>
      </c>
      <c r="B8899">
        <f>TEXT(8898, "[$-170000]yyyy-mm-dd")</f>
        <v/>
      </c>
      <c r="C8899">
        <f>TEXT(8898, "[$-060000]yyyy-mm-dd")</f>
        <v/>
      </c>
      <c r="D8899" t="inlineStr">
        <is>
          <t>1342-10-07</t>
        </is>
      </c>
    </row>
    <row r="8900">
      <c r="A8900" s="1" t="n">
        <v>8899</v>
      </c>
      <c r="B8900">
        <f>TEXT(8899, "[$-170000]yyyy-mm-dd")</f>
        <v/>
      </c>
      <c r="C8900">
        <f>TEXT(8899, "[$-060000]yyyy-mm-dd")</f>
        <v/>
      </c>
      <c r="D8900" t="inlineStr">
        <is>
          <t>1342-10-08</t>
        </is>
      </c>
    </row>
    <row r="8901">
      <c r="A8901" s="1" t="n">
        <v>8900</v>
      </c>
      <c r="B8901">
        <f>TEXT(8900, "[$-170000]yyyy-mm-dd")</f>
        <v/>
      </c>
      <c r="C8901">
        <f>TEXT(8900, "[$-060000]yyyy-mm-dd")</f>
        <v/>
      </c>
      <c r="D8901" t="inlineStr">
        <is>
          <t>1342-10-09</t>
        </is>
      </c>
    </row>
    <row r="8902">
      <c r="A8902" s="1" t="n">
        <v>8901</v>
      </c>
      <c r="B8902">
        <f>TEXT(8901, "[$-170000]yyyy-mm-dd")</f>
        <v/>
      </c>
      <c r="C8902">
        <f>TEXT(8901, "[$-060000]yyyy-mm-dd")</f>
        <v/>
      </c>
      <c r="D8902" t="inlineStr">
        <is>
          <t>1342-10-10</t>
        </is>
      </c>
    </row>
    <row r="8903">
      <c r="A8903" s="1" t="n">
        <v>8902</v>
      </c>
      <c r="B8903">
        <f>TEXT(8902, "[$-170000]yyyy-mm-dd")</f>
        <v/>
      </c>
      <c r="C8903">
        <f>TEXT(8902, "[$-060000]yyyy-mm-dd")</f>
        <v/>
      </c>
      <c r="D8903" t="inlineStr">
        <is>
          <t>1342-10-11</t>
        </is>
      </c>
    </row>
    <row r="8904">
      <c r="A8904" s="1" t="n">
        <v>8903</v>
      </c>
      <c r="B8904">
        <f>TEXT(8903, "[$-170000]yyyy-mm-dd")</f>
        <v/>
      </c>
      <c r="C8904">
        <f>TEXT(8903, "[$-060000]yyyy-mm-dd")</f>
        <v/>
      </c>
      <c r="D8904" t="inlineStr">
        <is>
          <t>1342-10-12</t>
        </is>
      </c>
    </row>
    <row r="8905">
      <c r="A8905" s="1" t="n">
        <v>8904</v>
      </c>
      <c r="B8905">
        <f>TEXT(8904, "[$-170000]yyyy-mm-dd")</f>
        <v/>
      </c>
      <c r="C8905">
        <f>TEXT(8904, "[$-060000]yyyy-mm-dd")</f>
        <v/>
      </c>
      <c r="D8905" t="inlineStr">
        <is>
          <t>1342-10-13</t>
        </is>
      </c>
    </row>
    <row r="8906">
      <c r="A8906" s="1" t="n">
        <v>8905</v>
      </c>
      <c r="B8906">
        <f>TEXT(8905, "[$-170000]yyyy-mm-dd")</f>
        <v/>
      </c>
      <c r="C8906">
        <f>TEXT(8905, "[$-060000]yyyy-mm-dd")</f>
        <v/>
      </c>
      <c r="D8906" t="inlineStr">
        <is>
          <t>1342-10-14</t>
        </is>
      </c>
    </row>
    <row r="8907">
      <c r="A8907" s="1" t="n">
        <v>8906</v>
      </c>
      <c r="B8907">
        <f>TEXT(8906, "[$-170000]yyyy-mm-dd")</f>
        <v/>
      </c>
      <c r="C8907">
        <f>TEXT(8906, "[$-060000]yyyy-mm-dd")</f>
        <v/>
      </c>
      <c r="D8907" t="inlineStr">
        <is>
          <t>1342-10-15</t>
        </is>
      </c>
    </row>
    <row r="8908">
      <c r="A8908" s="1" t="n">
        <v>8907</v>
      </c>
      <c r="B8908">
        <f>TEXT(8907, "[$-170000]yyyy-mm-dd")</f>
        <v/>
      </c>
      <c r="C8908">
        <f>TEXT(8907, "[$-060000]yyyy-mm-dd")</f>
        <v/>
      </c>
      <c r="D8908" t="inlineStr">
        <is>
          <t>1342-10-16</t>
        </is>
      </c>
    </row>
    <row r="8909">
      <c r="A8909" s="1" t="n">
        <v>8908</v>
      </c>
      <c r="B8909">
        <f>TEXT(8908, "[$-170000]yyyy-mm-dd")</f>
        <v/>
      </c>
      <c r="C8909">
        <f>TEXT(8908, "[$-060000]yyyy-mm-dd")</f>
        <v/>
      </c>
      <c r="D8909" t="inlineStr">
        <is>
          <t>1342-10-17</t>
        </is>
      </c>
    </row>
    <row r="8910">
      <c r="A8910" s="1" t="n">
        <v>8909</v>
      </c>
      <c r="B8910">
        <f>TEXT(8909, "[$-170000]yyyy-mm-dd")</f>
        <v/>
      </c>
      <c r="C8910">
        <f>TEXT(8909, "[$-060000]yyyy-mm-dd")</f>
        <v/>
      </c>
      <c r="D8910" t="inlineStr">
        <is>
          <t>1342-10-18</t>
        </is>
      </c>
    </row>
    <row r="8911">
      <c r="A8911" s="1" t="n">
        <v>8910</v>
      </c>
      <c r="B8911">
        <f>TEXT(8910, "[$-170000]yyyy-mm-dd")</f>
        <v/>
      </c>
      <c r="C8911">
        <f>TEXT(8910, "[$-060000]yyyy-mm-dd")</f>
        <v/>
      </c>
      <c r="D8911" t="inlineStr">
        <is>
          <t>1342-10-19</t>
        </is>
      </c>
    </row>
    <row r="8912">
      <c r="A8912" s="1" t="n">
        <v>8911</v>
      </c>
      <c r="B8912">
        <f>TEXT(8911, "[$-170000]yyyy-mm-dd")</f>
        <v/>
      </c>
      <c r="C8912">
        <f>TEXT(8911, "[$-060000]yyyy-mm-dd")</f>
        <v/>
      </c>
      <c r="D8912" t="inlineStr">
        <is>
          <t>1342-10-20</t>
        </is>
      </c>
    </row>
    <row r="8913">
      <c r="A8913" s="1" t="n">
        <v>8912</v>
      </c>
      <c r="B8913">
        <f>TEXT(8912, "[$-170000]yyyy-mm-dd")</f>
        <v/>
      </c>
      <c r="C8913">
        <f>TEXT(8912, "[$-060000]yyyy-mm-dd")</f>
        <v/>
      </c>
      <c r="D8913" t="inlineStr">
        <is>
          <t>1342-10-21</t>
        </is>
      </c>
    </row>
    <row r="8914">
      <c r="A8914" s="1" t="n">
        <v>8913</v>
      </c>
      <c r="B8914">
        <f>TEXT(8913, "[$-170000]yyyy-mm-dd")</f>
        <v/>
      </c>
      <c r="C8914">
        <f>TEXT(8913, "[$-060000]yyyy-mm-dd")</f>
        <v/>
      </c>
      <c r="D8914" t="inlineStr">
        <is>
          <t>1342-10-22</t>
        </is>
      </c>
    </row>
    <row r="8915">
      <c r="A8915" s="1" t="n">
        <v>8914</v>
      </c>
      <c r="B8915">
        <f>TEXT(8914, "[$-170000]yyyy-mm-dd")</f>
        <v/>
      </c>
      <c r="C8915">
        <f>TEXT(8914, "[$-060000]yyyy-mm-dd")</f>
        <v/>
      </c>
      <c r="D8915" t="inlineStr">
        <is>
          <t>1342-10-23</t>
        </is>
      </c>
    </row>
    <row r="8916">
      <c r="A8916" s="1" t="n">
        <v>8915</v>
      </c>
      <c r="B8916">
        <f>TEXT(8915, "[$-170000]yyyy-mm-dd")</f>
        <v/>
      </c>
      <c r="C8916">
        <f>TEXT(8915, "[$-060000]yyyy-mm-dd")</f>
        <v/>
      </c>
      <c r="D8916" t="inlineStr">
        <is>
          <t>1342-10-24</t>
        </is>
      </c>
    </row>
    <row r="8917">
      <c r="A8917" s="1" t="n">
        <v>8916</v>
      </c>
      <c r="B8917">
        <f>TEXT(8916, "[$-170000]yyyy-mm-dd")</f>
        <v/>
      </c>
      <c r="C8917">
        <f>TEXT(8916, "[$-060000]yyyy-mm-dd")</f>
        <v/>
      </c>
      <c r="D8917" t="inlineStr">
        <is>
          <t>1342-10-25</t>
        </is>
      </c>
    </row>
    <row r="8918">
      <c r="A8918" s="1" t="n">
        <v>8917</v>
      </c>
      <c r="B8918">
        <f>TEXT(8917, "[$-170000]yyyy-mm-dd")</f>
        <v/>
      </c>
      <c r="C8918">
        <f>TEXT(8917, "[$-060000]yyyy-mm-dd")</f>
        <v/>
      </c>
      <c r="D8918" t="inlineStr">
        <is>
          <t>1342-10-26</t>
        </is>
      </c>
    </row>
    <row r="8919">
      <c r="A8919" s="1" t="n">
        <v>8918</v>
      </c>
      <c r="B8919">
        <f>TEXT(8918, "[$-170000]yyyy-mm-dd")</f>
        <v/>
      </c>
      <c r="C8919">
        <f>TEXT(8918, "[$-060000]yyyy-mm-dd")</f>
        <v/>
      </c>
      <c r="D8919" t="inlineStr">
        <is>
          <t>1342-10-27</t>
        </is>
      </c>
    </row>
    <row r="8920">
      <c r="A8920" s="1" t="n">
        <v>8919</v>
      </c>
      <c r="B8920">
        <f>TEXT(8919, "[$-170000]yyyy-mm-dd")</f>
        <v/>
      </c>
      <c r="C8920">
        <f>TEXT(8919, "[$-060000]yyyy-mm-dd")</f>
        <v/>
      </c>
      <c r="D8920" t="inlineStr">
        <is>
          <t>1342-10-28</t>
        </is>
      </c>
    </row>
    <row r="8921">
      <c r="A8921" s="1" t="n">
        <v>8920</v>
      </c>
      <c r="B8921">
        <f>TEXT(8920, "[$-170000]yyyy-mm-dd")</f>
        <v/>
      </c>
      <c r="C8921">
        <f>TEXT(8920, "[$-060000]yyyy-mm-dd")</f>
        <v/>
      </c>
      <c r="D8921" t="inlineStr">
        <is>
          <t>1342-10-29</t>
        </is>
      </c>
    </row>
    <row r="8922">
      <c r="A8922" s="1" t="n">
        <v>8921</v>
      </c>
      <c r="B8922">
        <f>TEXT(8921, "[$-170000]yyyy-mm-dd")</f>
        <v/>
      </c>
      <c r="C8922">
        <f>TEXT(8921, "[$-060000]yyyy-mm-dd")</f>
        <v/>
      </c>
      <c r="D8922" t="inlineStr">
        <is>
          <t>1342-11-01</t>
        </is>
      </c>
    </row>
    <row r="8923">
      <c r="A8923" s="1" t="n">
        <v>8922</v>
      </c>
      <c r="B8923">
        <f>TEXT(8922, "[$-170000]yyyy-mm-dd")</f>
        <v/>
      </c>
      <c r="C8923">
        <f>TEXT(8922, "[$-060000]yyyy-mm-dd")</f>
        <v/>
      </c>
      <c r="D8923" t="inlineStr">
        <is>
          <t>1342-11-02</t>
        </is>
      </c>
    </row>
    <row r="8924">
      <c r="A8924" s="1" t="n">
        <v>8923</v>
      </c>
      <c r="B8924">
        <f>TEXT(8923, "[$-170000]yyyy-mm-dd")</f>
        <v/>
      </c>
      <c r="C8924">
        <f>TEXT(8923, "[$-060000]yyyy-mm-dd")</f>
        <v/>
      </c>
      <c r="D8924" t="inlineStr">
        <is>
          <t>1342-11-03</t>
        </is>
      </c>
    </row>
    <row r="8925">
      <c r="A8925" s="1" t="n">
        <v>8924</v>
      </c>
      <c r="B8925">
        <f>TEXT(8924, "[$-170000]yyyy-mm-dd")</f>
        <v/>
      </c>
      <c r="C8925">
        <f>TEXT(8924, "[$-060000]yyyy-mm-dd")</f>
        <v/>
      </c>
      <c r="D8925" t="inlineStr">
        <is>
          <t>1342-11-04</t>
        </is>
      </c>
    </row>
    <row r="8926">
      <c r="A8926" s="1" t="n">
        <v>8925</v>
      </c>
      <c r="B8926">
        <f>TEXT(8925, "[$-170000]yyyy-mm-dd")</f>
        <v/>
      </c>
      <c r="C8926">
        <f>TEXT(8925, "[$-060000]yyyy-mm-dd")</f>
        <v/>
      </c>
      <c r="D8926" t="inlineStr">
        <is>
          <t>1342-11-05</t>
        </is>
      </c>
    </row>
    <row r="8927">
      <c r="A8927" s="1" t="n">
        <v>8926</v>
      </c>
      <c r="B8927">
        <f>TEXT(8926, "[$-170000]yyyy-mm-dd")</f>
        <v/>
      </c>
      <c r="C8927">
        <f>TEXT(8926, "[$-060000]yyyy-mm-dd")</f>
        <v/>
      </c>
      <c r="D8927" t="inlineStr">
        <is>
          <t>1342-11-06</t>
        </is>
      </c>
    </row>
    <row r="8928">
      <c r="A8928" s="1" t="n">
        <v>8927</v>
      </c>
      <c r="B8928">
        <f>TEXT(8927, "[$-170000]yyyy-mm-dd")</f>
        <v/>
      </c>
      <c r="C8928">
        <f>TEXT(8927, "[$-060000]yyyy-mm-dd")</f>
        <v/>
      </c>
      <c r="D8928" t="inlineStr">
        <is>
          <t>1342-11-07</t>
        </is>
      </c>
    </row>
    <row r="8929">
      <c r="A8929" s="1" t="n">
        <v>8928</v>
      </c>
      <c r="B8929">
        <f>TEXT(8928, "[$-170000]yyyy-mm-dd")</f>
        <v/>
      </c>
      <c r="C8929">
        <f>TEXT(8928, "[$-060000]yyyy-mm-dd")</f>
        <v/>
      </c>
      <c r="D8929" t="inlineStr">
        <is>
          <t>1342-11-08</t>
        </is>
      </c>
    </row>
    <row r="8930">
      <c r="A8930" s="1" t="n">
        <v>8929</v>
      </c>
      <c r="B8930">
        <f>TEXT(8929, "[$-170000]yyyy-mm-dd")</f>
        <v/>
      </c>
      <c r="C8930">
        <f>TEXT(8929, "[$-060000]yyyy-mm-dd")</f>
        <v/>
      </c>
      <c r="D8930" t="inlineStr">
        <is>
          <t>1342-11-09</t>
        </is>
      </c>
    </row>
    <row r="8931">
      <c r="A8931" s="1" t="n">
        <v>8930</v>
      </c>
      <c r="B8931">
        <f>TEXT(8930, "[$-170000]yyyy-mm-dd")</f>
        <v/>
      </c>
      <c r="C8931">
        <f>TEXT(8930, "[$-060000]yyyy-mm-dd")</f>
        <v/>
      </c>
      <c r="D8931" t="inlineStr">
        <is>
          <t>1342-11-10</t>
        </is>
      </c>
    </row>
    <row r="8932">
      <c r="A8932" s="1" t="n">
        <v>8931</v>
      </c>
      <c r="B8932">
        <f>TEXT(8931, "[$-170000]yyyy-mm-dd")</f>
        <v/>
      </c>
      <c r="C8932">
        <f>TEXT(8931, "[$-060000]yyyy-mm-dd")</f>
        <v/>
      </c>
      <c r="D8932" t="inlineStr">
        <is>
          <t>1342-11-11</t>
        </is>
      </c>
    </row>
    <row r="8933">
      <c r="A8933" s="1" t="n">
        <v>8932</v>
      </c>
      <c r="B8933">
        <f>TEXT(8932, "[$-170000]yyyy-mm-dd")</f>
        <v/>
      </c>
      <c r="C8933">
        <f>TEXT(8932, "[$-060000]yyyy-mm-dd")</f>
        <v/>
      </c>
      <c r="D8933" t="inlineStr">
        <is>
          <t>1342-11-12</t>
        </is>
      </c>
    </row>
    <row r="8934">
      <c r="A8934" s="1" t="n">
        <v>8933</v>
      </c>
      <c r="B8934">
        <f>TEXT(8933, "[$-170000]yyyy-mm-dd")</f>
        <v/>
      </c>
      <c r="C8934">
        <f>TEXT(8933, "[$-060000]yyyy-mm-dd")</f>
        <v/>
      </c>
      <c r="D8934" t="inlineStr">
        <is>
          <t>1342-11-13</t>
        </is>
      </c>
    </row>
    <row r="8935">
      <c r="A8935" s="1" t="n">
        <v>8934</v>
      </c>
      <c r="B8935">
        <f>TEXT(8934, "[$-170000]yyyy-mm-dd")</f>
        <v/>
      </c>
      <c r="C8935">
        <f>TEXT(8934, "[$-060000]yyyy-mm-dd")</f>
        <v/>
      </c>
      <c r="D8935" t="inlineStr">
        <is>
          <t>1342-11-14</t>
        </is>
      </c>
    </row>
    <row r="8936">
      <c r="A8936" s="1" t="n">
        <v>8935</v>
      </c>
      <c r="B8936">
        <f>TEXT(8935, "[$-170000]yyyy-mm-dd")</f>
        <v/>
      </c>
      <c r="C8936">
        <f>TEXT(8935, "[$-060000]yyyy-mm-dd")</f>
        <v/>
      </c>
      <c r="D8936" t="inlineStr">
        <is>
          <t>1342-11-15</t>
        </is>
      </c>
    </row>
    <row r="8937">
      <c r="A8937" s="1" t="n">
        <v>8936</v>
      </c>
      <c r="B8937">
        <f>TEXT(8936, "[$-170000]yyyy-mm-dd")</f>
        <v/>
      </c>
      <c r="C8937">
        <f>TEXT(8936, "[$-060000]yyyy-mm-dd")</f>
        <v/>
      </c>
      <c r="D8937" t="inlineStr">
        <is>
          <t>1342-11-16</t>
        </is>
      </c>
    </row>
    <row r="8938">
      <c r="A8938" s="1" t="n">
        <v>8937</v>
      </c>
      <c r="B8938">
        <f>TEXT(8937, "[$-170000]yyyy-mm-dd")</f>
        <v/>
      </c>
      <c r="C8938">
        <f>TEXT(8937, "[$-060000]yyyy-mm-dd")</f>
        <v/>
      </c>
      <c r="D8938" t="inlineStr">
        <is>
          <t>1342-11-17</t>
        </is>
      </c>
    </row>
    <row r="8939">
      <c r="A8939" s="1" t="n">
        <v>8938</v>
      </c>
      <c r="B8939">
        <f>TEXT(8938, "[$-170000]yyyy-mm-dd")</f>
        <v/>
      </c>
      <c r="C8939">
        <f>TEXT(8938, "[$-060000]yyyy-mm-dd")</f>
        <v/>
      </c>
      <c r="D8939" t="inlineStr">
        <is>
          <t>1342-11-18</t>
        </is>
      </c>
    </row>
    <row r="8940">
      <c r="A8940" s="1" t="n">
        <v>8939</v>
      </c>
      <c r="B8940">
        <f>TEXT(8939, "[$-170000]yyyy-mm-dd")</f>
        <v/>
      </c>
      <c r="C8940">
        <f>TEXT(8939, "[$-060000]yyyy-mm-dd")</f>
        <v/>
      </c>
      <c r="D8940" t="inlineStr">
        <is>
          <t>1342-11-19</t>
        </is>
      </c>
    </row>
    <row r="8941">
      <c r="A8941" s="1" t="n">
        <v>8940</v>
      </c>
      <c r="B8941">
        <f>TEXT(8940, "[$-170000]yyyy-mm-dd")</f>
        <v/>
      </c>
      <c r="C8941">
        <f>TEXT(8940, "[$-060000]yyyy-mm-dd")</f>
        <v/>
      </c>
      <c r="D8941" t="inlineStr">
        <is>
          <t>1342-11-20</t>
        </is>
      </c>
    </row>
    <row r="8942">
      <c r="A8942" s="1" t="n">
        <v>8941</v>
      </c>
      <c r="B8942">
        <f>TEXT(8941, "[$-170000]yyyy-mm-dd")</f>
        <v/>
      </c>
      <c r="C8942">
        <f>TEXT(8941, "[$-060000]yyyy-mm-dd")</f>
        <v/>
      </c>
      <c r="D8942" t="inlineStr">
        <is>
          <t>1342-11-21</t>
        </is>
      </c>
    </row>
    <row r="8943">
      <c r="A8943" s="1" t="n">
        <v>8942</v>
      </c>
      <c r="B8943">
        <f>TEXT(8942, "[$-170000]yyyy-mm-dd")</f>
        <v/>
      </c>
      <c r="C8943">
        <f>TEXT(8942, "[$-060000]yyyy-mm-dd")</f>
        <v/>
      </c>
      <c r="D8943" t="inlineStr">
        <is>
          <t>1342-11-22</t>
        </is>
      </c>
    </row>
    <row r="8944">
      <c r="A8944" s="1" t="n">
        <v>8943</v>
      </c>
      <c r="B8944">
        <f>TEXT(8943, "[$-170000]yyyy-mm-dd")</f>
        <v/>
      </c>
      <c r="C8944">
        <f>TEXT(8943, "[$-060000]yyyy-mm-dd")</f>
        <v/>
      </c>
      <c r="D8944" t="inlineStr">
        <is>
          <t>1342-11-23</t>
        </is>
      </c>
    </row>
    <row r="8945">
      <c r="A8945" s="1" t="n">
        <v>8944</v>
      </c>
      <c r="B8945">
        <f>TEXT(8944, "[$-170000]yyyy-mm-dd")</f>
        <v/>
      </c>
      <c r="C8945">
        <f>TEXT(8944, "[$-060000]yyyy-mm-dd")</f>
        <v/>
      </c>
      <c r="D8945" t="inlineStr">
        <is>
          <t>1342-11-24</t>
        </is>
      </c>
    </row>
    <row r="8946">
      <c r="A8946" s="1" t="n">
        <v>8945</v>
      </c>
      <c r="B8946">
        <f>TEXT(8945, "[$-170000]yyyy-mm-dd")</f>
        <v/>
      </c>
      <c r="C8946">
        <f>TEXT(8945, "[$-060000]yyyy-mm-dd")</f>
        <v/>
      </c>
      <c r="D8946" t="inlineStr">
        <is>
          <t>1342-11-25</t>
        </is>
      </c>
    </row>
    <row r="8947">
      <c r="A8947" s="1" t="n">
        <v>8946</v>
      </c>
      <c r="B8947">
        <f>TEXT(8946, "[$-170000]yyyy-mm-dd")</f>
        <v/>
      </c>
      <c r="C8947">
        <f>TEXT(8946, "[$-060000]yyyy-mm-dd")</f>
        <v/>
      </c>
      <c r="D8947" t="inlineStr">
        <is>
          <t>1342-11-26</t>
        </is>
      </c>
    </row>
    <row r="8948">
      <c r="A8948" s="1" t="n">
        <v>8947</v>
      </c>
      <c r="B8948">
        <f>TEXT(8947, "[$-170000]yyyy-mm-dd")</f>
        <v/>
      </c>
      <c r="C8948">
        <f>TEXT(8947, "[$-060000]yyyy-mm-dd")</f>
        <v/>
      </c>
      <c r="D8948" t="inlineStr">
        <is>
          <t>1342-11-27</t>
        </is>
      </c>
    </row>
    <row r="8949">
      <c r="A8949" s="1" t="n">
        <v>8948</v>
      </c>
      <c r="B8949">
        <f>TEXT(8948, "[$-170000]yyyy-mm-dd")</f>
        <v/>
      </c>
      <c r="C8949">
        <f>TEXT(8948, "[$-060000]yyyy-mm-dd")</f>
        <v/>
      </c>
      <c r="D8949" t="inlineStr">
        <is>
          <t>1342-11-28</t>
        </is>
      </c>
    </row>
    <row r="8950">
      <c r="A8950" s="1" t="n">
        <v>8949</v>
      </c>
      <c r="B8950">
        <f>TEXT(8949, "[$-170000]yyyy-mm-dd")</f>
        <v/>
      </c>
      <c r="C8950">
        <f>TEXT(8949, "[$-060000]yyyy-mm-dd")</f>
        <v/>
      </c>
      <c r="D8950" t="inlineStr">
        <is>
          <t>1342-11-29</t>
        </is>
      </c>
    </row>
    <row r="8951">
      <c r="A8951" s="1" t="n">
        <v>8950</v>
      </c>
      <c r="B8951">
        <f>TEXT(8950, "[$-170000]yyyy-mm-dd")</f>
        <v/>
      </c>
      <c r="C8951">
        <f>TEXT(8950, "[$-060000]yyyy-mm-dd")</f>
        <v/>
      </c>
      <c r="D8951" t="inlineStr">
        <is>
          <t>1342-11-30</t>
        </is>
      </c>
    </row>
    <row r="8952">
      <c r="A8952" s="1" t="n">
        <v>8951</v>
      </c>
      <c r="B8952">
        <f>TEXT(8951, "[$-170000]yyyy-mm-dd")</f>
        <v/>
      </c>
      <c r="C8952">
        <f>TEXT(8951, "[$-060000]yyyy-mm-dd")</f>
        <v/>
      </c>
      <c r="D8952" t="inlineStr">
        <is>
          <t>1342-12-01</t>
        </is>
      </c>
    </row>
    <row r="8953">
      <c r="A8953" s="1" t="n">
        <v>8952</v>
      </c>
      <c r="B8953">
        <f>TEXT(8952, "[$-170000]yyyy-mm-dd")</f>
        <v/>
      </c>
      <c r="C8953">
        <f>TEXT(8952, "[$-060000]yyyy-mm-dd")</f>
        <v/>
      </c>
      <c r="D8953" t="inlineStr">
        <is>
          <t>1342-12-02</t>
        </is>
      </c>
    </row>
    <row r="8954">
      <c r="A8954" s="1" t="n">
        <v>8953</v>
      </c>
      <c r="B8954">
        <f>TEXT(8953, "[$-170000]yyyy-mm-dd")</f>
        <v/>
      </c>
      <c r="C8954">
        <f>TEXT(8953, "[$-060000]yyyy-mm-dd")</f>
        <v/>
      </c>
      <c r="D8954" t="inlineStr">
        <is>
          <t>1342-12-03</t>
        </is>
      </c>
    </row>
    <row r="8955">
      <c r="A8955" s="1" t="n">
        <v>8954</v>
      </c>
      <c r="B8955">
        <f>TEXT(8954, "[$-170000]yyyy-mm-dd")</f>
        <v/>
      </c>
      <c r="C8955">
        <f>TEXT(8954, "[$-060000]yyyy-mm-dd")</f>
        <v/>
      </c>
      <c r="D8955" t="inlineStr">
        <is>
          <t>1342-12-04</t>
        </is>
      </c>
    </row>
    <row r="8956">
      <c r="A8956" s="1" t="n">
        <v>8955</v>
      </c>
      <c r="B8956">
        <f>TEXT(8955, "[$-170000]yyyy-mm-dd")</f>
        <v/>
      </c>
      <c r="C8956">
        <f>TEXT(8955, "[$-060000]yyyy-mm-dd")</f>
        <v/>
      </c>
      <c r="D8956" t="inlineStr">
        <is>
          <t>1342-12-05</t>
        </is>
      </c>
    </row>
    <row r="8957">
      <c r="A8957" s="1" t="n">
        <v>8956</v>
      </c>
      <c r="B8957">
        <f>TEXT(8956, "[$-170000]yyyy-mm-dd")</f>
        <v/>
      </c>
      <c r="C8957">
        <f>TEXT(8956, "[$-060000]yyyy-mm-dd")</f>
        <v/>
      </c>
      <c r="D8957" t="inlineStr">
        <is>
          <t>1342-12-06</t>
        </is>
      </c>
    </row>
    <row r="8958">
      <c r="A8958" s="1" t="n">
        <v>8957</v>
      </c>
      <c r="B8958">
        <f>TEXT(8957, "[$-170000]yyyy-mm-dd")</f>
        <v/>
      </c>
      <c r="C8958">
        <f>TEXT(8957, "[$-060000]yyyy-mm-dd")</f>
        <v/>
      </c>
      <c r="D8958" t="inlineStr">
        <is>
          <t>1342-12-07</t>
        </is>
      </c>
    </row>
    <row r="8959">
      <c r="A8959" s="1" t="n">
        <v>8958</v>
      </c>
      <c r="B8959">
        <f>TEXT(8958, "[$-170000]yyyy-mm-dd")</f>
        <v/>
      </c>
      <c r="C8959">
        <f>TEXT(8958, "[$-060000]yyyy-mm-dd")</f>
        <v/>
      </c>
      <c r="D8959" t="inlineStr">
        <is>
          <t>1342-12-08</t>
        </is>
      </c>
    </row>
    <row r="8960">
      <c r="A8960" s="1" t="n">
        <v>8959</v>
      </c>
      <c r="B8960">
        <f>TEXT(8959, "[$-170000]yyyy-mm-dd")</f>
        <v/>
      </c>
      <c r="C8960">
        <f>TEXT(8959, "[$-060000]yyyy-mm-dd")</f>
        <v/>
      </c>
      <c r="D8960" t="inlineStr">
        <is>
          <t>1342-12-09</t>
        </is>
      </c>
    </row>
    <row r="8961">
      <c r="A8961" s="1" t="n">
        <v>8960</v>
      </c>
      <c r="B8961">
        <f>TEXT(8960, "[$-170000]yyyy-mm-dd")</f>
        <v/>
      </c>
      <c r="C8961">
        <f>TEXT(8960, "[$-060000]yyyy-mm-dd")</f>
        <v/>
      </c>
      <c r="D8961" t="inlineStr">
        <is>
          <t>1342-12-10</t>
        </is>
      </c>
    </row>
    <row r="8962">
      <c r="A8962" s="1" t="n">
        <v>8961</v>
      </c>
      <c r="B8962">
        <f>TEXT(8961, "[$-170000]yyyy-mm-dd")</f>
        <v/>
      </c>
      <c r="C8962">
        <f>TEXT(8961, "[$-060000]yyyy-mm-dd")</f>
        <v/>
      </c>
      <c r="D8962" t="inlineStr">
        <is>
          <t>1342-12-11</t>
        </is>
      </c>
    </row>
    <row r="8963">
      <c r="A8963" s="1" t="n">
        <v>8962</v>
      </c>
      <c r="B8963">
        <f>TEXT(8962, "[$-170000]yyyy-mm-dd")</f>
        <v/>
      </c>
      <c r="C8963">
        <f>TEXT(8962, "[$-060000]yyyy-mm-dd")</f>
        <v/>
      </c>
      <c r="D8963" t="inlineStr">
        <is>
          <t>1342-12-12</t>
        </is>
      </c>
    </row>
    <row r="8964">
      <c r="A8964" s="1" t="n">
        <v>8963</v>
      </c>
      <c r="B8964">
        <f>TEXT(8963, "[$-170000]yyyy-mm-dd")</f>
        <v/>
      </c>
      <c r="C8964">
        <f>TEXT(8963, "[$-060000]yyyy-mm-dd")</f>
        <v/>
      </c>
      <c r="D8964" t="inlineStr">
        <is>
          <t>1342-12-13</t>
        </is>
      </c>
    </row>
    <row r="8965">
      <c r="A8965" s="1" t="n">
        <v>8964</v>
      </c>
      <c r="B8965">
        <f>TEXT(8964, "[$-170000]yyyy-mm-dd")</f>
        <v/>
      </c>
      <c r="C8965">
        <f>TEXT(8964, "[$-060000]yyyy-mm-dd")</f>
        <v/>
      </c>
      <c r="D8965" t="inlineStr">
        <is>
          <t>1342-12-14</t>
        </is>
      </c>
    </row>
    <row r="8966">
      <c r="A8966" s="1" t="n">
        <v>8965</v>
      </c>
      <c r="B8966">
        <f>TEXT(8965, "[$-170000]yyyy-mm-dd")</f>
        <v/>
      </c>
      <c r="C8966">
        <f>TEXT(8965, "[$-060000]yyyy-mm-dd")</f>
        <v/>
      </c>
      <c r="D8966" t="inlineStr">
        <is>
          <t>1342-12-15</t>
        </is>
      </c>
    </row>
    <row r="8967">
      <c r="A8967" s="1" t="n">
        <v>8966</v>
      </c>
      <c r="B8967">
        <f>TEXT(8966, "[$-170000]yyyy-mm-dd")</f>
        <v/>
      </c>
      <c r="C8967">
        <f>TEXT(8966, "[$-060000]yyyy-mm-dd")</f>
        <v/>
      </c>
      <c r="D8967" t="inlineStr">
        <is>
          <t>1342-12-16</t>
        </is>
      </c>
    </row>
    <row r="8968">
      <c r="A8968" s="1" t="n">
        <v>8967</v>
      </c>
      <c r="B8968">
        <f>TEXT(8967, "[$-170000]yyyy-mm-dd")</f>
        <v/>
      </c>
      <c r="C8968">
        <f>TEXT(8967, "[$-060000]yyyy-mm-dd")</f>
        <v/>
      </c>
      <c r="D8968" t="inlineStr">
        <is>
          <t>1342-12-17</t>
        </is>
      </c>
    </row>
    <row r="8969">
      <c r="A8969" s="1" t="n">
        <v>8968</v>
      </c>
      <c r="B8969">
        <f>TEXT(8968, "[$-170000]yyyy-mm-dd")</f>
        <v/>
      </c>
      <c r="C8969">
        <f>TEXT(8968, "[$-060000]yyyy-mm-dd")</f>
        <v/>
      </c>
      <c r="D8969" t="inlineStr">
        <is>
          <t>1342-12-18</t>
        </is>
      </c>
    </row>
    <row r="8970">
      <c r="A8970" s="1" t="n">
        <v>8969</v>
      </c>
      <c r="B8970">
        <f>TEXT(8969, "[$-170000]yyyy-mm-dd")</f>
        <v/>
      </c>
      <c r="C8970">
        <f>TEXT(8969, "[$-060000]yyyy-mm-dd")</f>
        <v/>
      </c>
      <c r="D8970" t="inlineStr">
        <is>
          <t>1342-12-19</t>
        </is>
      </c>
    </row>
    <row r="8971">
      <c r="A8971" s="1" t="n">
        <v>8970</v>
      </c>
      <c r="B8971">
        <f>TEXT(8970, "[$-170000]yyyy-mm-dd")</f>
        <v/>
      </c>
      <c r="C8971">
        <f>TEXT(8970, "[$-060000]yyyy-mm-dd")</f>
        <v/>
      </c>
      <c r="D8971" t="inlineStr">
        <is>
          <t>1342-12-20</t>
        </is>
      </c>
    </row>
    <row r="8972">
      <c r="A8972" s="1" t="n">
        <v>8971</v>
      </c>
      <c r="B8972">
        <f>TEXT(8971, "[$-170000]yyyy-mm-dd")</f>
        <v/>
      </c>
      <c r="C8972">
        <f>TEXT(8971, "[$-060000]yyyy-mm-dd")</f>
        <v/>
      </c>
      <c r="D8972" t="inlineStr">
        <is>
          <t>1342-12-21</t>
        </is>
      </c>
    </row>
    <row r="8973">
      <c r="A8973" s="1" t="n">
        <v>8972</v>
      </c>
      <c r="B8973">
        <f>TEXT(8972, "[$-170000]yyyy-mm-dd")</f>
        <v/>
      </c>
      <c r="C8973">
        <f>TEXT(8972, "[$-060000]yyyy-mm-dd")</f>
        <v/>
      </c>
      <c r="D8973" t="inlineStr">
        <is>
          <t>1342-12-22</t>
        </is>
      </c>
    </row>
    <row r="8974">
      <c r="A8974" s="1" t="n">
        <v>8973</v>
      </c>
      <c r="B8974">
        <f>TEXT(8973, "[$-170000]yyyy-mm-dd")</f>
        <v/>
      </c>
      <c r="C8974">
        <f>TEXT(8973, "[$-060000]yyyy-mm-dd")</f>
        <v/>
      </c>
      <c r="D8974" t="inlineStr">
        <is>
          <t>1342-12-23</t>
        </is>
      </c>
    </row>
    <row r="8975">
      <c r="A8975" s="1" t="n">
        <v>8974</v>
      </c>
      <c r="B8975">
        <f>TEXT(8974, "[$-170000]yyyy-mm-dd")</f>
        <v/>
      </c>
      <c r="C8975">
        <f>TEXT(8974, "[$-060000]yyyy-mm-dd")</f>
        <v/>
      </c>
      <c r="D8975" t="inlineStr">
        <is>
          <t>1342-12-24</t>
        </is>
      </c>
    </row>
    <row r="8976">
      <c r="A8976" s="1" t="n">
        <v>8975</v>
      </c>
      <c r="B8976">
        <f>TEXT(8975, "[$-170000]yyyy-mm-dd")</f>
        <v/>
      </c>
      <c r="C8976">
        <f>TEXT(8975, "[$-060000]yyyy-mm-dd")</f>
        <v/>
      </c>
      <c r="D8976" t="inlineStr">
        <is>
          <t>1342-12-25</t>
        </is>
      </c>
    </row>
    <row r="8977">
      <c r="A8977" s="1" t="n">
        <v>8976</v>
      </c>
      <c r="B8977">
        <f>TEXT(8976, "[$-170000]yyyy-mm-dd")</f>
        <v/>
      </c>
      <c r="C8977">
        <f>TEXT(8976, "[$-060000]yyyy-mm-dd")</f>
        <v/>
      </c>
      <c r="D8977" t="inlineStr">
        <is>
          <t>1342-12-26</t>
        </is>
      </c>
    </row>
    <row r="8978">
      <c r="A8978" s="1" t="n">
        <v>8977</v>
      </c>
      <c r="B8978">
        <f>TEXT(8977, "[$-170000]yyyy-mm-dd")</f>
        <v/>
      </c>
      <c r="C8978">
        <f>TEXT(8977, "[$-060000]yyyy-mm-dd")</f>
        <v/>
      </c>
      <c r="D8978" t="inlineStr">
        <is>
          <t>1342-12-27</t>
        </is>
      </c>
    </row>
    <row r="8979">
      <c r="A8979" s="1" t="n">
        <v>8978</v>
      </c>
      <c r="B8979">
        <f>TEXT(8978, "[$-170000]yyyy-mm-dd")</f>
        <v/>
      </c>
      <c r="C8979">
        <f>TEXT(8978, "[$-060000]yyyy-mm-dd")</f>
        <v/>
      </c>
      <c r="D8979" t="inlineStr">
        <is>
          <t>1342-12-28</t>
        </is>
      </c>
    </row>
    <row r="8980">
      <c r="A8980" s="1" t="n">
        <v>8979</v>
      </c>
      <c r="B8980">
        <f>TEXT(8979, "[$-170000]yyyy-mm-dd")</f>
        <v/>
      </c>
      <c r="C8980">
        <f>TEXT(8979, "[$-060000]yyyy-mm-dd")</f>
        <v/>
      </c>
      <c r="D8980" t="inlineStr">
        <is>
          <t>1342-12-29</t>
        </is>
      </c>
    </row>
    <row r="8981">
      <c r="A8981" s="1" t="n">
        <v>8980</v>
      </c>
      <c r="B8981">
        <f>TEXT(8980, "[$-170000]yyyy-mm-dd")</f>
        <v/>
      </c>
      <c r="C8981">
        <f>TEXT(8980, "[$-060000]yyyy-mm-dd")</f>
        <v/>
      </c>
      <c r="D8981" t="inlineStr">
        <is>
          <t>1343-01-01</t>
        </is>
      </c>
    </row>
    <row r="8982">
      <c r="A8982" s="1" t="n">
        <v>8981</v>
      </c>
      <c r="B8982">
        <f>TEXT(8981, "[$-170000]yyyy-mm-dd")</f>
        <v/>
      </c>
      <c r="C8982">
        <f>TEXT(8981, "[$-060000]yyyy-mm-dd")</f>
        <v/>
      </c>
      <c r="D8982" t="inlineStr">
        <is>
          <t>1343-01-02</t>
        </is>
      </c>
    </row>
    <row r="8983">
      <c r="A8983" s="1" t="n">
        <v>8982</v>
      </c>
      <c r="B8983">
        <f>TEXT(8982, "[$-170000]yyyy-mm-dd")</f>
        <v/>
      </c>
      <c r="C8983">
        <f>TEXT(8982, "[$-060000]yyyy-mm-dd")</f>
        <v/>
      </c>
      <c r="D8983" t="inlineStr">
        <is>
          <t>1343-01-03</t>
        </is>
      </c>
    </row>
    <row r="8984">
      <c r="A8984" s="1" t="n">
        <v>8983</v>
      </c>
      <c r="B8984">
        <f>TEXT(8983, "[$-170000]yyyy-mm-dd")</f>
        <v/>
      </c>
      <c r="C8984">
        <f>TEXT(8983, "[$-060000]yyyy-mm-dd")</f>
        <v/>
      </c>
      <c r="D8984" t="inlineStr">
        <is>
          <t>1343-01-04</t>
        </is>
      </c>
    </row>
    <row r="8985">
      <c r="A8985" s="1" t="n">
        <v>8984</v>
      </c>
      <c r="B8985">
        <f>TEXT(8984, "[$-170000]yyyy-mm-dd")</f>
        <v/>
      </c>
      <c r="C8985">
        <f>TEXT(8984, "[$-060000]yyyy-mm-dd")</f>
        <v/>
      </c>
      <c r="D8985" t="inlineStr">
        <is>
          <t>1343-01-05</t>
        </is>
      </c>
    </row>
    <row r="8986">
      <c r="A8986" s="1" t="n">
        <v>8985</v>
      </c>
      <c r="B8986">
        <f>TEXT(8985, "[$-170000]yyyy-mm-dd")</f>
        <v/>
      </c>
      <c r="C8986">
        <f>TEXT(8985, "[$-060000]yyyy-mm-dd")</f>
        <v/>
      </c>
      <c r="D8986" t="inlineStr">
        <is>
          <t>1343-01-06</t>
        </is>
      </c>
    </row>
    <row r="8987">
      <c r="A8987" s="1" t="n">
        <v>8986</v>
      </c>
      <c r="B8987">
        <f>TEXT(8986, "[$-170000]yyyy-mm-dd")</f>
        <v/>
      </c>
      <c r="C8987">
        <f>TEXT(8986, "[$-060000]yyyy-mm-dd")</f>
        <v/>
      </c>
      <c r="D8987" t="inlineStr">
        <is>
          <t>1343-01-07</t>
        </is>
      </c>
    </row>
    <row r="8988">
      <c r="A8988" s="1" t="n">
        <v>8987</v>
      </c>
      <c r="B8988">
        <f>TEXT(8987, "[$-170000]yyyy-mm-dd")</f>
        <v/>
      </c>
      <c r="C8988">
        <f>TEXT(8987, "[$-060000]yyyy-mm-dd")</f>
        <v/>
      </c>
      <c r="D8988" t="inlineStr">
        <is>
          <t>1343-01-08</t>
        </is>
      </c>
    </row>
    <row r="8989">
      <c r="A8989" s="1" t="n">
        <v>8988</v>
      </c>
      <c r="B8989">
        <f>TEXT(8988, "[$-170000]yyyy-mm-dd")</f>
        <v/>
      </c>
      <c r="C8989">
        <f>TEXT(8988, "[$-060000]yyyy-mm-dd")</f>
        <v/>
      </c>
      <c r="D8989" t="inlineStr">
        <is>
          <t>1343-01-09</t>
        </is>
      </c>
    </row>
    <row r="8990">
      <c r="A8990" s="1" t="n">
        <v>8989</v>
      </c>
      <c r="B8990">
        <f>TEXT(8989, "[$-170000]yyyy-mm-dd")</f>
        <v/>
      </c>
      <c r="C8990">
        <f>TEXT(8989, "[$-060000]yyyy-mm-dd")</f>
        <v/>
      </c>
      <c r="D8990" t="inlineStr">
        <is>
          <t>1343-01-10</t>
        </is>
      </c>
    </row>
    <row r="8991">
      <c r="A8991" s="1" t="n">
        <v>8990</v>
      </c>
      <c r="B8991">
        <f>TEXT(8990, "[$-170000]yyyy-mm-dd")</f>
        <v/>
      </c>
      <c r="C8991">
        <f>TEXT(8990, "[$-060000]yyyy-mm-dd")</f>
        <v/>
      </c>
      <c r="D8991" t="inlineStr">
        <is>
          <t>1343-01-11</t>
        </is>
      </c>
    </row>
    <row r="8992">
      <c r="A8992" s="1" t="n">
        <v>8991</v>
      </c>
      <c r="B8992">
        <f>TEXT(8991, "[$-170000]yyyy-mm-dd")</f>
        <v/>
      </c>
      <c r="C8992">
        <f>TEXT(8991, "[$-060000]yyyy-mm-dd")</f>
        <v/>
      </c>
      <c r="D8992" t="inlineStr">
        <is>
          <t>1343-01-12</t>
        </is>
      </c>
    </row>
    <row r="8993">
      <c r="A8993" s="1" t="n">
        <v>8992</v>
      </c>
      <c r="B8993">
        <f>TEXT(8992, "[$-170000]yyyy-mm-dd")</f>
        <v/>
      </c>
      <c r="C8993">
        <f>TEXT(8992, "[$-060000]yyyy-mm-dd")</f>
        <v/>
      </c>
      <c r="D8993" t="inlineStr">
        <is>
          <t>1343-01-13</t>
        </is>
      </c>
    </row>
    <row r="8994">
      <c r="A8994" s="1" t="n">
        <v>8993</v>
      </c>
      <c r="B8994">
        <f>TEXT(8993, "[$-170000]yyyy-mm-dd")</f>
        <v/>
      </c>
      <c r="C8994">
        <f>TEXT(8993, "[$-060000]yyyy-mm-dd")</f>
        <v/>
      </c>
      <c r="D8994" t="inlineStr">
        <is>
          <t>1343-01-14</t>
        </is>
      </c>
    </row>
    <row r="8995">
      <c r="A8995" s="1" t="n">
        <v>8994</v>
      </c>
      <c r="B8995">
        <f>TEXT(8994, "[$-170000]yyyy-mm-dd")</f>
        <v/>
      </c>
      <c r="C8995">
        <f>TEXT(8994, "[$-060000]yyyy-mm-dd")</f>
        <v/>
      </c>
      <c r="D8995" t="inlineStr">
        <is>
          <t>1343-01-15</t>
        </is>
      </c>
    </row>
    <row r="8996">
      <c r="A8996" s="1" t="n">
        <v>8995</v>
      </c>
      <c r="B8996">
        <f>TEXT(8995, "[$-170000]yyyy-mm-dd")</f>
        <v/>
      </c>
      <c r="C8996">
        <f>TEXT(8995, "[$-060000]yyyy-mm-dd")</f>
        <v/>
      </c>
      <c r="D8996" t="inlineStr">
        <is>
          <t>1343-01-16</t>
        </is>
      </c>
    </row>
    <row r="8997">
      <c r="A8997" s="1" t="n">
        <v>8996</v>
      </c>
      <c r="B8997">
        <f>TEXT(8996, "[$-170000]yyyy-mm-dd")</f>
        <v/>
      </c>
      <c r="C8997">
        <f>TEXT(8996, "[$-060000]yyyy-mm-dd")</f>
        <v/>
      </c>
      <c r="D8997" t="inlineStr">
        <is>
          <t>1343-01-17</t>
        </is>
      </c>
    </row>
    <row r="8998">
      <c r="A8998" s="1" t="n">
        <v>8997</v>
      </c>
      <c r="B8998">
        <f>TEXT(8997, "[$-170000]yyyy-mm-dd")</f>
        <v/>
      </c>
      <c r="C8998">
        <f>TEXT(8997, "[$-060000]yyyy-mm-dd")</f>
        <v/>
      </c>
      <c r="D8998" t="inlineStr">
        <is>
          <t>1343-01-18</t>
        </is>
      </c>
    </row>
    <row r="8999">
      <c r="A8999" s="1" t="n">
        <v>8998</v>
      </c>
      <c r="B8999">
        <f>TEXT(8998, "[$-170000]yyyy-mm-dd")</f>
        <v/>
      </c>
      <c r="C8999">
        <f>TEXT(8998, "[$-060000]yyyy-mm-dd")</f>
        <v/>
      </c>
      <c r="D8999" t="inlineStr">
        <is>
          <t>1343-01-19</t>
        </is>
      </c>
    </row>
    <row r="9000">
      <c r="A9000" s="1" t="n">
        <v>8999</v>
      </c>
      <c r="B9000">
        <f>TEXT(8999, "[$-170000]yyyy-mm-dd")</f>
        <v/>
      </c>
      <c r="C9000">
        <f>TEXT(8999, "[$-060000]yyyy-mm-dd")</f>
        <v/>
      </c>
      <c r="D9000" t="inlineStr">
        <is>
          <t>1343-01-20</t>
        </is>
      </c>
    </row>
    <row r="9001">
      <c r="A9001" s="1" t="n">
        <v>9000</v>
      </c>
      <c r="B9001">
        <f>TEXT(9000, "[$-170000]yyyy-mm-dd")</f>
        <v/>
      </c>
      <c r="C9001">
        <f>TEXT(9000, "[$-060000]yyyy-mm-dd")</f>
        <v/>
      </c>
      <c r="D9001" t="inlineStr">
        <is>
          <t>1343-01-21</t>
        </is>
      </c>
    </row>
    <row r="9002">
      <c r="A9002" s="1" t="n">
        <v>9001</v>
      </c>
      <c r="B9002">
        <f>TEXT(9001, "[$-170000]yyyy-mm-dd")</f>
        <v/>
      </c>
      <c r="C9002">
        <f>TEXT(9001, "[$-060000]yyyy-mm-dd")</f>
        <v/>
      </c>
      <c r="D9002" t="inlineStr">
        <is>
          <t>1343-01-22</t>
        </is>
      </c>
    </row>
    <row r="9003">
      <c r="A9003" s="1" t="n">
        <v>9002</v>
      </c>
      <c r="B9003">
        <f>TEXT(9002, "[$-170000]yyyy-mm-dd")</f>
        <v/>
      </c>
      <c r="C9003">
        <f>TEXT(9002, "[$-060000]yyyy-mm-dd")</f>
        <v/>
      </c>
      <c r="D9003" t="inlineStr">
        <is>
          <t>1343-01-23</t>
        </is>
      </c>
    </row>
    <row r="9004">
      <c r="A9004" s="1" t="n">
        <v>9003</v>
      </c>
      <c r="B9004">
        <f>TEXT(9003, "[$-170000]yyyy-mm-dd")</f>
        <v/>
      </c>
      <c r="C9004">
        <f>TEXT(9003, "[$-060000]yyyy-mm-dd")</f>
        <v/>
      </c>
      <c r="D9004" t="inlineStr">
        <is>
          <t>1343-01-24</t>
        </is>
      </c>
    </row>
    <row r="9005">
      <c r="A9005" s="1" t="n">
        <v>9004</v>
      </c>
      <c r="B9005">
        <f>TEXT(9004, "[$-170000]yyyy-mm-dd")</f>
        <v/>
      </c>
      <c r="C9005">
        <f>TEXT(9004, "[$-060000]yyyy-mm-dd")</f>
        <v/>
      </c>
      <c r="D9005" t="inlineStr">
        <is>
          <t>1343-01-25</t>
        </is>
      </c>
    </row>
    <row r="9006">
      <c r="A9006" s="1" t="n">
        <v>9005</v>
      </c>
      <c r="B9006">
        <f>TEXT(9005, "[$-170000]yyyy-mm-dd")</f>
        <v/>
      </c>
      <c r="C9006">
        <f>TEXT(9005, "[$-060000]yyyy-mm-dd")</f>
        <v/>
      </c>
      <c r="D9006" t="inlineStr">
        <is>
          <t>1343-01-26</t>
        </is>
      </c>
    </row>
    <row r="9007">
      <c r="A9007" s="1" t="n">
        <v>9006</v>
      </c>
      <c r="B9007">
        <f>TEXT(9006, "[$-170000]yyyy-mm-dd")</f>
        <v/>
      </c>
      <c r="C9007">
        <f>TEXT(9006, "[$-060000]yyyy-mm-dd")</f>
        <v/>
      </c>
      <c r="D9007" t="inlineStr">
        <is>
          <t>1343-01-27</t>
        </is>
      </c>
    </row>
    <row r="9008">
      <c r="A9008" s="1" t="n">
        <v>9007</v>
      </c>
      <c r="B9008">
        <f>TEXT(9007, "[$-170000]yyyy-mm-dd")</f>
        <v/>
      </c>
      <c r="C9008">
        <f>TEXT(9007, "[$-060000]yyyy-mm-dd")</f>
        <v/>
      </c>
      <c r="D9008" t="inlineStr">
        <is>
          <t>1343-01-28</t>
        </is>
      </c>
    </row>
    <row r="9009">
      <c r="A9009" s="1" t="n">
        <v>9008</v>
      </c>
      <c r="B9009">
        <f>TEXT(9008, "[$-170000]yyyy-mm-dd")</f>
        <v/>
      </c>
      <c r="C9009">
        <f>TEXT(9008, "[$-060000]yyyy-mm-dd")</f>
        <v/>
      </c>
      <c r="D9009" t="inlineStr">
        <is>
          <t>1343-01-29</t>
        </is>
      </c>
    </row>
    <row r="9010">
      <c r="A9010" s="1" t="n">
        <v>9009</v>
      </c>
      <c r="B9010">
        <f>TEXT(9009, "[$-170000]yyyy-mm-dd")</f>
        <v/>
      </c>
      <c r="C9010">
        <f>TEXT(9009, "[$-060000]yyyy-mm-dd")</f>
        <v/>
      </c>
      <c r="D9010" t="inlineStr">
        <is>
          <t>1343-01-30</t>
        </is>
      </c>
    </row>
    <row r="9011">
      <c r="A9011" s="1" t="n">
        <v>9010</v>
      </c>
      <c r="B9011">
        <f>TEXT(9010, "[$-170000]yyyy-mm-dd")</f>
        <v/>
      </c>
      <c r="C9011">
        <f>TEXT(9010, "[$-060000]yyyy-mm-dd")</f>
        <v/>
      </c>
      <c r="D9011" t="inlineStr">
        <is>
          <t>1343-02-01</t>
        </is>
      </c>
    </row>
    <row r="9012">
      <c r="A9012" s="1" t="n">
        <v>9011</v>
      </c>
      <c r="B9012">
        <f>TEXT(9011, "[$-170000]yyyy-mm-dd")</f>
        <v/>
      </c>
      <c r="C9012">
        <f>TEXT(9011, "[$-060000]yyyy-mm-dd")</f>
        <v/>
      </c>
      <c r="D9012" t="inlineStr">
        <is>
          <t>1343-02-02</t>
        </is>
      </c>
    </row>
    <row r="9013">
      <c r="A9013" s="1" t="n">
        <v>9012</v>
      </c>
      <c r="B9013">
        <f>TEXT(9012, "[$-170000]yyyy-mm-dd")</f>
        <v/>
      </c>
      <c r="C9013">
        <f>TEXT(9012, "[$-060000]yyyy-mm-dd")</f>
        <v/>
      </c>
      <c r="D9013" t="inlineStr">
        <is>
          <t>1343-02-03</t>
        </is>
      </c>
    </row>
    <row r="9014">
      <c r="A9014" s="1" t="n">
        <v>9013</v>
      </c>
      <c r="B9014">
        <f>TEXT(9013, "[$-170000]yyyy-mm-dd")</f>
        <v/>
      </c>
      <c r="C9014">
        <f>TEXT(9013, "[$-060000]yyyy-mm-dd")</f>
        <v/>
      </c>
      <c r="D9014" t="inlineStr">
        <is>
          <t>1343-02-04</t>
        </is>
      </c>
    </row>
    <row r="9015">
      <c r="A9015" s="1" t="n">
        <v>9014</v>
      </c>
      <c r="B9015">
        <f>TEXT(9014, "[$-170000]yyyy-mm-dd")</f>
        <v/>
      </c>
      <c r="C9015">
        <f>TEXT(9014, "[$-060000]yyyy-mm-dd")</f>
        <v/>
      </c>
      <c r="D9015" t="inlineStr">
        <is>
          <t>1343-02-05</t>
        </is>
      </c>
    </row>
    <row r="9016">
      <c r="A9016" s="1" t="n">
        <v>9015</v>
      </c>
      <c r="B9016">
        <f>TEXT(9015, "[$-170000]yyyy-mm-dd")</f>
        <v/>
      </c>
      <c r="C9016">
        <f>TEXT(9015, "[$-060000]yyyy-mm-dd")</f>
        <v/>
      </c>
      <c r="D9016" t="inlineStr">
        <is>
          <t>1343-02-06</t>
        </is>
      </c>
    </row>
    <row r="9017">
      <c r="A9017" s="1" t="n">
        <v>9016</v>
      </c>
      <c r="B9017">
        <f>TEXT(9016, "[$-170000]yyyy-mm-dd")</f>
        <v/>
      </c>
      <c r="C9017">
        <f>TEXT(9016, "[$-060000]yyyy-mm-dd")</f>
        <v/>
      </c>
      <c r="D9017" t="inlineStr">
        <is>
          <t>1343-02-07</t>
        </is>
      </c>
    </row>
    <row r="9018">
      <c r="A9018" s="1" t="n">
        <v>9017</v>
      </c>
      <c r="B9018">
        <f>TEXT(9017, "[$-170000]yyyy-mm-dd")</f>
        <v/>
      </c>
      <c r="C9018">
        <f>TEXT(9017, "[$-060000]yyyy-mm-dd")</f>
        <v/>
      </c>
      <c r="D9018" t="inlineStr">
        <is>
          <t>1343-02-08</t>
        </is>
      </c>
    </row>
    <row r="9019">
      <c r="A9019" s="1" t="n">
        <v>9018</v>
      </c>
      <c r="B9019">
        <f>TEXT(9018, "[$-170000]yyyy-mm-dd")</f>
        <v/>
      </c>
      <c r="C9019">
        <f>TEXT(9018, "[$-060000]yyyy-mm-dd")</f>
        <v/>
      </c>
      <c r="D9019" t="inlineStr">
        <is>
          <t>1343-02-09</t>
        </is>
      </c>
    </row>
    <row r="9020">
      <c r="A9020" s="1" t="n">
        <v>9019</v>
      </c>
      <c r="B9020">
        <f>TEXT(9019, "[$-170000]yyyy-mm-dd")</f>
        <v/>
      </c>
      <c r="C9020">
        <f>TEXT(9019, "[$-060000]yyyy-mm-dd")</f>
        <v/>
      </c>
      <c r="D9020" t="inlineStr">
        <is>
          <t>1343-02-10</t>
        </is>
      </c>
    </row>
    <row r="9021">
      <c r="A9021" s="1" t="n">
        <v>9020</v>
      </c>
      <c r="B9021">
        <f>TEXT(9020, "[$-170000]yyyy-mm-dd")</f>
        <v/>
      </c>
      <c r="C9021">
        <f>TEXT(9020, "[$-060000]yyyy-mm-dd")</f>
        <v/>
      </c>
      <c r="D9021" t="inlineStr">
        <is>
          <t>1343-02-11</t>
        </is>
      </c>
    </row>
    <row r="9022">
      <c r="A9022" s="1" t="n">
        <v>9021</v>
      </c>
      <c r="B9022">
        <f>TEXT(9021, "[$-170000]yyyy-mm-dd")</f>
        <v/>
      </c>
      <c r="C9022">
        <f>TEXT(9021, "[$-060000]yyyy-mm-dd")</f>
        <v/>
      </c>
      <c r="D9022" t="inlineStr">
        <is>
          <t>1343-02-12</t>
        </is>
      </c>
    </row>
    <row r="9023">
      <c r="A9023" s="1" t="n">
        <v>9022</v>
      </c>
      <c r="B9023">
        <f>TEXT(9022, "[$-170000]yyyy-mm-dd")</f>
        <v/>
      </c>
      <c r="C9023">
        <f>TEXT(9022, "[$-060000]yyyy-mm-dd")</f>
        <v/>
      </c>
      <c r="D9023" t="inlineStr">
        <is>
          <t>1343-02-13</t>
        </is>
      </c>
    </row>
    <row r="9024">
      <c r="A9024" s="1" t="n">
        <v>9023</v>
      </c>
      <c r="B9024">
        <f>TEXT(9023, "[$-170000]yyyy-mm-dd")</f>
        <v/>
      </c>
      <c r="C9024">
        <f>TEXT(9023, "[$-060000]yyyy-mm-dd")</f>
        <v/>
      </c>
      <c r="D9024" t="inlineStr">
        <is>
          <t>1343-02-14</t>
        </is>
      </c>
    </row>
    <row r="9025">
      <c r="A9025" s="1" t="n">
        <v>9024</v>
      </c>
      <c r="B9025">
        <f>TEXT(9024, "[$-170000]yyyy-mm-dd")</f>
        <v/>
      </c>
      <c r="C9025">
        <f>TEXT(9024, "[$-060000]yyyy-mm-dd")</f>
        <v/>
      </c>
      <c r="D9025" t="inlineStr">
        <is>
          <t>1343-02-15</t>
        </is>
      </c>
    </row>
    <row r="9026">
      <c r="A9026" s="1" t="n">
        <v>9025</v>
      </c>
      <c r="B9026">
        <f>TEXT(9025, "[$-170000]yyyy-mm-dd")</f>
        <v/>
      </c>
      <c r="C9026">
        <f>TEXT(9025, "[$-060000]yyyy-mm-dd")</f>
        <v/>
      </c>
      <c r="D9026" t="inlineStr">
        <is>
          <t>1343-02-16</t>
        </is>
      </c>
    </row>
    <row r="9027">
      <c r="A9027" s="1" t="n">
        <v>9026</v>
      </c>
      <c r="B9027">
        <f>TEXT(9026, "[$-170000]yyyy-mm-dd")</f>
        <v/>
      </c>
      <c r="C9027">
        <f>TEXT(9026, "[$-060000]yyyy-mm-dd")</f>
        <v/>
      </c>
      <c r="D9027" t="inlineStr">
        <is>
          <t>1343-02-17</t>
        </is>
      </c>
    </row>
    <row r="9028">
      <c r="A9028" s="1" t="n">
        <v>9027</v>
      </c>
      <c r="B9028">
        <f>TEXT(9027, "[$-170000]yyyy-mm-dd")</f>
        <v/>
      </c>
      <c r="C9028">
        <f>TEXT(9027, "[$-060000]yyyy-mm-dd")</f>
        <v/>
      </c>
      <c r="D9028" t="inlineStr">
        <is>
          <t>1343-02-18</t>
        </is>
      </c>
    </row>
    <row r="9029">
      <c r="A9029" s="1" t="n">
        <v>9028</v>
      </c>
      <c r="B9029">
        <f>TEXT(9028, "[$-170000]yyyy-mm-dd")</f>
        <v/>
      </c>
      <c r="C9029">
        <f>TEXT(9028, "[$-060000]yyyy-mm-dd")</f>
        <v/>
      </c>
      <c r="D9029" t="inlineStr">
        <is>
          <t>1343-02-19</t>
        </is>
      </c>
    </row>
    <row r="9030">
      <c r="A9030" s="1" t="n">
        <v>9029</v>
      </c>
      <c r="B9030">
        <f>TEXT(9029, "[$-170000]yyyy-mm-dd")</f>
        <v/>
      </c>
      <c r="C9030">
        <f>TEXT(9029, "[$-060000]yyyy-mm-dd")</f>
        <v/>
      </c>
      <c r="D9030" t="inlineStr">
        <is>
          <t>1343-02-20</t>
        </is>
      </c>
    </row>
    <row r="9031">
      <c r="A9031" s="1" t="n">
        <v>9030</v>
      </c>
      <c r="B9031">
        <f>TEXT(9030, "[$-170000]yyyy-mm-dd")</f>
        <v/>
      </c>
      <c r="C9031">
        <f>TEXT(9030, "[$-060000]yyyy-mm-dd")</f>
        <v/>
      </c>
      <c r="D9031" t="inlineStr">
        <is>
          <t>1343-02-21</t>
        </is>
      </c>
    </row>
    <row r="9032">
      <c r="A9032" s="1" t="n">
        <v>9031</v>
      </c>
      <c r="B9032">
        <f>TEXT(9031, "[$-170000]yyyy-mm-dd")</f>
        <v/>
      </c>
      <c r="C9032">
        <f>TEXT(9031, "[$-060000]yyyy-mm-dd")</f>
        <v/>
      </c>
      <c r="D9032" t="inlineStr">
        <is>
          <t>1343-02-22</t>
        </is>
      </c>
    </row>
    <row r="9033">
      <c r="A9033" s="1" t="n">
        <v>9032</v>
      </c>
      <c r="B9033">
        <f>TEXT(9032, "[$-170000]yyyy-mm-dd")</f>
        <v/>
      </c>
      <c r="C9033">
        <f>TEXT(9032, "[$-060000]yyyy-mm-dd")</f>
        <v/>
      </c>
      <c r="D9033" t="inlineStr">
        <is>
          <t>1343-02-23</t>
        </is>
      </c>
    </row>
    <row r="9034">
      <c r="A9034" s="1" t="n">
        <v>9033</v>
      </c>
      <c r="B9034">
        <f>TEXT(9033, "[$-170000]yyyy-mm-dd")</f>
        <v/>
      </c>
      <c r="C9034">
        <f>TEXT(9033, "[$-060000]yyyy-mm-dd")</f>
        <v/>
      </c>
      <c r="D9034" t="inlineStr">
        <is>
          <t>1343-02-24</t>
        </is>
      </c>
    </row>
    <row r="9035">
      <c r="A9035" s="1" t="n">
        <v>9034</v>
      </c>
      <c r="B9035">
        <f>TEXT(9034, "[$-170000]yyyy-mm-dd")</f>
        <v/>
      </c>
      <c r="C9035">
        <f>TEXT(9034, "[$-060000]yyyy-mm-dd")</f>
        <v/>
      </c>
      <c r="D9035" t="inlineStr">
        <is>
          <t>1343-02-25</t>
        </is>
      </c>
    </row>
    <row r="9036">
      <c r="A9036" s="1" t="n">
        <v>9035</v>
      </c>
      <c r="B9036">
        <f>TEXT(9035, "[$-170000]yyyy-mm-dd")</f>
        <v/>
      </c>
      <c r="C9036">
        <f>TEXT(9035, "[$-060000]yyyy-mm-dd")</f>
        <v/>
      </c>
      <c r="D9036" t="inlineStr">
        <is>
          <t>1343-02-26</t>
        </is>
      </c>
    </row>
    <row r="9037">
      <c r="A9037" s="1" t="n">
        <v>9036</v>
      </c>
      <c r="B9037">
        <f>TEXT(9036, "[$-170000]yyyy-mm-dd")</f>
        <v/>
      </c>
      <c r="C9037">
        <f>TEXT(9036, "[$-060000]yyyy-mm-dd")</f>
        <v/>
      </c>
      <c r="D9037" t="inlineStr">
        <is>
          <t>1343-02-27</t>
        </is>
      </c>
    </row>
    <row r="9038">
      <c r="A9038" s="1" t="n">
        <v>9037</v>
      </c>
      <c r="B9038">
        <f>TEXT(9037, "[$-170000]yyyy-mm-dd")</f>
        <v/>
      </c>
      <c r="C9038">
        <f>TEXT(9037, "[$-060000]yyyy-mm-dd")</f>
        <v/>
      </c>
      <c r="D9038" t="inlineStr">
        <is>
          <t>1343-02-28</t>
        </is>
      </c>
    </row>
    <row r="9039">
      <c r="A9039" s="1" t="n">
        <v>9038</v>
      </c>
      <c r="B9039">
        <f>TEXT(9038, "[$-170000]yyyy-mm-dd")</f>
        <v/>
      </c>
      <c r="C9039">
        <f>TEXT(9038, "[$-060000]yyyy-mm-dd")</f>
        <v/>
      </c>
      <c r="D9039" t="inlineStr">
        <is>
          <t>1343-02-29</t>
        </is>
      </c>
    </row>
    <row r="9040">
      <c r="A9040" s="1" t="n">
        <v>9039</v>
      </c>
      <c r="B9040">
        <f>TEXT(9039, "[$-170000]yyyy-mm-dd")</f>
        <v/>
      </c>
      <c r="C9040">
        <f>TEXT(9039, "[$-060000]yyyy-mm-dd")</f>
        <v/>
      </c>
      <c r="D9040" t="inlineStr">
        <is>
          <t>1343-03-01</t>
        </is>
      </c>
    </row>
    <row r="9041">
      <c r="A9041" s="1" t="n">
        <v>9040</v>
      </c>
      <c r="B9041">
        <f>TEXT(9040, "[$-170000]yyyy-mm-dd")</f>
        <v/>
      </c>
      <c r="C9041">
        <f>TEXT(9040, "[$-060000]yyyy-mm-dd")</f>
        <v/>
      </c>
      <c r="D9041" t="inlineStr">
        <is>
          <t>1343-03-02</t>
        </is>
      </c>
    </row>
    <row r="9042">
      <c r="A9042" s="1" t="n">
        <v>9041</v>
      </c>
      <c r="B9042">
        <f>TEXT(9041, "[$-170000]yyyy-mm-dd")</f>
        <v/>
      </c>
      <c r="C9042">
        <f>TEXT(9041, "[$-060000]yyyy-mm-dd")</f>
        <v/>
      </c>
      <c r="D9042" t="inlineStr">
        <is>
          <t>1343-03-03</t>
        </is>
      </c>
    </row>
    <row r="9043">
      <c r="A9043" s="1" t="n">
        <v>9042</v>
      </c>
      <c r="B9043">
        <f>TEXT(9042, "[$-170000]yyyy-mm-dd")</f>
        <v/>
      </c>
      <c r="C9043">
        <f>TEXT(9042, "[$-060000]yyyy-mm-dd")</f>
        <v/>
      </c>
      <c r="D9043" t="inlineStr">
        <is>
          <t>1343-03-04</t>
        </is>
      </c>
    </row>
    <row r="9044">
      <c r="A9044" s="1" t="n">
        <v>9043</v>
      </c>
      <c r="B9044">
        <f>TEXT(9043, "[$-170000]yyyy-mm-dd")</f>
        <v/>
      </c>
      <c r="C9044">
        <f>TEXT(9043, "[$-060000]yyyy-mm-dd")</f>
        <v/>
      </c>
      <c r="D9044" t="inlineStr">
        <is>
          <t>1343-03-05</t>
        </is>
      </c>
    </row>
    <row r="9045">
      <c r="A9045" s="1" t="n">
        <v>9044</v>
      </c>
      <c r="B9045">
        <f>TEXT(9044, "[$-170000]yyyy-mm-dd")</f>
        <v/>
      </c>
      <c r="C9045">
        <f>TEXT(9044, "[$-060000]yyyy-mm-dd")</f>
        <v/>
      </c>
      <c r="D9045" t="inlineStr">
        <is>
          <t>1343-03-06</t>
        </is>
      </c>
    </row>
    <row r="9046">
      <c r="A9046" s="1" t="n">
        <v>9045</v>
      </c>
      <c r="B9046">
        <f>TEXT(9045, "[$-170000]yyyy-mm-dd")</f>
        <v/>
      </c>
      <c r="C9046">
        <f>TEXT(9045, "[$-060000]yyyy-mm-dd")</f>
        <v/>
      </c>
      <c r="D9046" t="inlineStr">
        <is>
          <t>1343-03-07</t>
        </is>
      </c>
    </row>
    <row r="9047">
      <c r="A9047" s="1" t="n">
        <v>9046</v>
      </c>
      <c r="B9047">
        <f>TEXT(9046, "[$-170000]yyyy-mm-dd")</f>
        <v/>
      </c>
      <c r="C9047">
        <f>TEXT(9046, "[$-060000]yyyy-mm-dd")</f>
        <v/>
      </c>
      <c r="D9047" t="inlineStr">
        <is>
          <t>1343-03-08</t>
        </is>
      </c>
    </row>
    <row r="9048">
      <c r="A9048" s="1" t="n">
        <v>9047</v>
      </c>
      <c r="B9048">
        <f>TEXT(9047, "[$-170000]yyyy-mm-dd")</f>
        <v/>
      </c>
      <c r="C9048">
        <f>TEXT(9047, "[$-060000]yyyy-mm-dd")</f>
        <v/>
      </c>
      <c r="D9048" t="inlineStr">
        <is>
          <t>1343-03-09</t>
        </is>
      </c>
    </row>
    <row r="9049">
      <c r="A9049" s="1" t="n">
        <v>9048</v>
      </c>
      <c r="B9049">
        <f>TEXT(9048, "[$-170000]yyyy-mm-dd")</f>
        <v/>
      </c>
      <c r="C9049">
        <f>TEXT(9048, "[$-060000]yyyy-mm-dd")</f>
        <v/>
      </c>
      <c r="D9049" t="inlineStr">
        <is>
          <t>1343-03-10</t>
        </is>
      </c>
    </row>
    <row r="9050">
      <c r="A9050" s="1" t="n">
        <v>9049</v>
      </c>
      <c r="B9050">
        <f>TEXT(9049, "[$-170000]yyyy-mm-dd")</f>
        <v/>
      </c>
      <c r="C9050">
        <f>TEXT(9049, "[$-060000]yyyy-mm-dd")</f>
        <v/>
      </c>
      <c r="D9050" t="inlineStr">
        <is>
          <t>1343-03-11</t>
        </is>
      </c>
    </row>
    <row r="9051">
      <c r="A9051" s="1" t="n">
        <v>9050</v>
      </c>
      <c r="B9051">
        <f>TEXT(9050, "[$-170000]yyyy-mm-dd")</f>
        <v/>
      </c>
      <c r="C9051">
        <f>TEXT(9050, "[$-060000]yyyy-mm-dd")</f>
        <v/>
      </c>
      <c r="D9051" t="inlineStr">
        <is>
          <t>1343-03-12</t>
        </is>
      </c>
    </row>
    <row r="9052">
      <c r="A9052" s="1" t="n">
        <v>9051</v>
      </c>
      <c r="B9052">
        <f>TEXT(9051, "[$-170000]yyyy-mm-dd")</f>
        <v/>
      </c>
      <c r="C9052">
        <f>TEXT(9051, "[$-060000]yyyy-mm-dd")</f>
        <v/>
      </c>
      <c r="D9052" t="inlineStr">
        <is>
          <t>1343-03-13</t>
        </is>
      </c>
    </row>
    <row r="9053">
      <c r="A9053" s="1" t="n">
        <v>9052</v>
      </c>
      <c r="B9053">
        <f>TEXT(9052, "[$-170000]yyyy-mm-dd")</f>
        <v/>
      </c>
      <c r="C9053">
        <f>TEXT(9052, "[$-060000]yyyy-mm-dd")</f>
        <v/>
      </c>
      <c r="D9053" t="inlineStr">
        <is>
          <t>1343-03-14</t>
        </is>
      </c>
    </row>
    <row r="9054">
      <c r="A9054" s="1" t="n">
        <v>9053</v>
      </c>
      <c r="B9054">
        <f>TEXT(9053, "[$-170000]yyyy-mm-dd")</f>
        <v/>
      </c>
      <c r="C9054">
        <f>TEXT(9053, "[$-060000]yyyy-mm-dd")</f>
        <v/>
      </c>
      <c r="D9054" t="inlineStr">
        <is>
          <t>1343-03-15</t>
        </is>
      </c>
    </row>
    <row r="9055">
      <c r="A9055" s="1" t="n">
        <v>9054</v>
      </c>
      <c r="B9055">
        <f>TEXT(9054, "[$-170000]yyyy-mm-dd")</f>
        <v/>
      </c>
      <c r="C9055">
        <f>TEXT(9054, "[$-060000]yyyy-mm-dd")</f>
        <v/>
      </c>
      <c r="D9055" t="inlineStr">
        <is>
          <t>1343-03-16</t>
        </is>
      </c>
    </row>
    <row r="9056">
      <c r="A9056" s="1" t="n">
        <v>9055</v>
      </c>
      <c r="B9056">
        <f>TEXT(9055, "[$-170000]yyyy-mm-dd")</f>
        <v/>
      </c>
      <c r="C9056">
        <f>TEXT(9055, "[$-060000]yyyy-mm-dd")</f>
        <v/>
      </c>
      <c r="D9056" t="inlineStr">
        <is>
          <t>1343-03-17</t>
        </is>
      </c>
    </row>
    <row r="9057">
      <c r="A9057" s="1" t="n">
        <v>9056</v>
      </c>
      <c r="B9057">
        <f>TEXT(9056, "[$-170000]yyyy-mm-dd")</f>
        <v/>
      </c>
      <c r="C9057">
        <f>TEXT(9056, "[$-060000]yyyy-mm-dd")</f>
        <v/>
      </c>
      <c r="D9057" t="inlineStr">
        <is>
          <t>1343-03-18</t>
        </is>
      </c>
    </row>
    <row r="9058">
      <c r="A9058" s="1" t="n">
        <v>9057</v>
      </c>
      <c r="B9058">
        <f>TEXT(9057, "[$-170000]yyyy-mm-dd")</f>
        <v/>
      </c>
      <c r="C9058">
        <f>TEXT(9057, "[$-060000]yyyy-mm-dd")</f>
        <v/>
      </c>
      <c r="D9058" t="inlineStr">
        <is>
          <t>1343-03-19</t>
        </is>
      </c>
    </row>
    <row r="9059">
      <c r="A9059" s="1" t="n">
        <v>9058</v>
      </c>
      <c r="B9059">
        <f>TEXT(9058, "[$-170000]yyyy-mm-dd")</f>
        <v/>
      </c>
      <c r="C9059">
        <f>TEXT(9058, "[$-060000]yyyy-mm-dd")</f>
        <v/>
      </c>
      <c r="D9059" t="inlineStr">
        <is>
          <t>1343-03-20</t>
        </is>
      </c>
    </row>
    <row r="9060">
      <c r="A9060" s="1" t="n">
        <v>9059</v>
      </c>
      <c r="B9060">
        <f>TEXT(9059, "[$-170000]yyyy-mm-dd")</f>
        <v/>
      </c>
      <c r="C9060">
        <f>TEXT(9059, "[$-060000]yyyy-mm-dd")</f>
        <v/>
      </c>
      <c r="D9060" t="inlineStr">
        <is>
          <t>1343-03-21</t>
        </is>
      </c>
    </row>
    <row r="9061">
      <c r="A9061" s="1" t="n">
        <v>9060</v>
      </c>
      <c r="B9061">
        <f>TEXT(9060, "[$-170000]yyyy-mm-dd")</f>
        <v/>
      </c>
      <c r="C9061">
        <f>TEXT(9060, "[$-060000]yyyy-mm-dd")</f>
        <v/>
      </c>
      <c r="D9061" t="inlineStr">
        <is>
          <t>1343-03-22</t>
        </is>
      </c>
    </row>
    <row r="9062">
      <c r="A9062" s="1" t="n">
        <v>9061</v>
      </c>
      <c r="B9062">
        <f>TEXT(9061, "[$-170000]yyyy-mm-dd")</f>
        <v/>
      </c>
      <c r="C9062">
        <f>TEXT(9061, "[$-060000]yyyy-mm-dd")</f>
        <v/>
      </c>
      <c r="D9062" t="inlineStr">
        <is>
          <t>1343-03-23</t>
        </is>
      </c>
    </row>
    <row r="9063">
      <c r="A9063" s="1" t="n">
        <v>9062</v>
      </c>
      <c r="B9063">
        <f>TEXT(9062, "[$-170000]yyyy-mm-dd")</f>
        <v/>
      </c>
      <c r="C9063">
        <f>TEXT(9062, "[$-060000]yyyy-mm-dd")</f>
        <v/>
      </c>
      <c r="D9063" t="inlineStr">
        <is>
          <t>1343-03-24</t>
        </is>
      </c>
    </row>
    <row r="9064">
      <c r="A9064" s="1" t="n">
        <v>9063</v>
      </c>
      <c r="B9064">
        <f>TEXT(9063, "[$-170000]yyyy-mm-dd")</f>
        <v/>
      </c>
      <c r="C9064">
        <f>TEXT(9063, "[$-060000]yyyy-mm-dd")</f>
        <v/>
      </c>
      <c r="D9064" t="inlineStr">
        <is>
          <t>1343-03-25</t>
        </is>
      </c>
    </row>
    <row r="9065">
      <c r="A9065" s="1" t="n">
        <v>9064</v>
      </c>
      <c r="B9065">
        <f>TEXT(9064, "[$-170000]yyyy-mm-dd")</f>
        <v/>
      </c>
      <c r="C9065">
        <f>TEXT(9064, "[$-060000]yyyy-mm-dd")</f>
        <v/>
      </c>
      <c r="D9065" t="inlineStr">
        <is>
          <t>1343-03-26</t>
        </is>
      </c>
    </row>
    <row r="9066">
      <c r="A9066" s="1" t="n">
        <v>9065</v>
      </c>
      <c r="B9066">
        <f>TEXT(9065, "[$-170000]yyyy-mm-dd")</f>
        <v/>
      </c>
      <c r="C9066">
        <f>TEXT(9065, "[$-060000]yyyy-mm-dd")</f>
        <v/>
      </c>
      <c r="D9066" t="inlineStr">
        <is>
          <t>1343-03-27</t>
        </is>
      </c>
    </row>
    <row r="9067">
      <c r="A9067" s="1" t="n">
        <v>9066</v>
      </c>
      <c r="B9067">
        <f>TEXT(9066, "[$-170000]yyyy-mm-dd")</f>
        <v/>
      </c>
      <c r="C9067">
        <f>TEXT(9066, "[$-060000]yyyy-mm-dd")</f>
        <v/>
      </c>
      <c r="D9067" t="inlineStr">
        <is>
          <t>1343-03-28</t>
        </is>
      </c>
    </row>
    <row r="9068">
      <c r="A9068" s="1" t="n">
        <v>9067</v>
      </c>
      <c r="B9068">
        <f>TEXT(9067, "[$-170000]yyyy-mm-dd")</f>
        <v/>
      </c>
      <c r="C9068">
        <f>TEXT(9067, "[$-060000]yyyy-mm-dd")</f>
        <v/>
      </c>
      <c r="D9068" t="inlineStr">
        <is>
          <t>1343-03-29</t>
        </is>
      </c>
    </row>
    <row r="9069">
      <c r="A9069" s="1" t="n">
        <v>9068</v>
      </c>
      <c r="B9069">
        <f>TEXT(9068, "[$-170000]yyyy-mm-dd")</f>
        <v/>
      </c>
      <c r="C9069">
        <f>TEXT(9068, "[$-060000]yyyy-mm-dd")</f>
        <v/>
      </c>
      <c r="D9069" t="inlineStr">
        <is>
          <t>1343-03-30</t>
        </is>
      </c>
    </row>
    <row r="9070">
      <c r="A9070" s="1" t="n">
        <v>9069</v>
      </c>
      <c r="B9070">
        <f>TEXT(9069, "[$-170000]yyyy-mm-dd")</f>
        <v/>
      </c>
      <c r="C9070">
        <f>TEXT(9069, "[$-060000]yyyy-mm-dd")</f>
        <v/>
      </c>
      <c r="D9070" t="inlineStr">
        <is>
          <t>1343-04-01</t>
        </is>
      </c>
    </row>
    <row r="9071">
      <c r="A9071" s="1" t="n">
        <v>9070</v>
      </c>
      <c r="B9071">
        <f>TEXT(9070, "[$-170000]yyyy-mm-dd")</f>
        <v/>
      </c>
      <c r="C9071">
        <f>TEXT(9070, "[$-060000]yyyy-mm-dd")</f>
        <v/>
      </c>
      <c r="D9071" t="inlineStr">
        <is>
          <t>1343-04-02</t>
        </is>
      </c>
    </row>
    <row r="9072">
      <c r="A9072" s="1" t="n">
        <v>9071</v>
      </c>
      <c r="B9072">
        <f>TEXT(9071, "[$-170000]yyyy-mm-dd")</f>
        <v/>
      </c>
      <c r="C9072">
        <f>TEXT(9071, "[$-060000]yyyy-mm-dd")</f>
        <v/>
      </c>
      <c r="D9072" t="inlineStr">
        <is>
          <t>1343-04-03</t>
        </is>
      </c>
    </row>
    <row r="9073">
      <c r="A9073" s="1" t="n">
        <v>9072</v>
      </c>
      <c r="B9073">
        <f>TEXT(9072, "[$-170000]yyyy-mm-dd")</f>
        <v/>
      </c>
      <c r="C9073">
        <f>TEXT(9072, "[$-060000]yyyy-mm-dd")</f>
        <v/>
      </c>
      <c r="D9073" t="inlineStr">
        <is>
          <t>1343-04-04</t>
        </is>
      </c>
    </row>
    <row r="9074">
      <c r="A9074" s="1" t="n">
        <v>9073</v>
      </c>
      <c r="B9074">
        <f>TEXT(9073, "[$-170000]yyyy-mm-dd")</f>
        <v/>
      </c>
      <c r="C9074">
        <f>TEXT(9073, "[$-060000]yyyy-mm-dd")</f>
        <v/>
      </c>
      <c r="D9074" t="inlineStr">
        <is>
          <t>1343-04-05</t>
        </is>
      </c>
    </row>
    <row r="9075">
      <c r="A9075" s="1" t="n">
        <v>9074</v>
      </c>
      <c r="B9075">
        <f>TEXT(9074, "[$-170000]yyyy-mm-dd")</f>
        <v/>
      </c>
      <c r="C9075">
        <f>TEXT(9074, "[$-060000]yyyy-mm-dd")</f>
        <v/>
      </c>
      <c r="D9075" t="inlineStr">
        <is>
          <t>1343-04-06</t>
        </is>
      </c>
    </row>
    <row r="9076">
      <c r="A9076" s="1" t="n">
        <v>9075</v>
      </c>
      <c r="B9076">
        <f>TEXT(9075, "[$-170000]yyyy-mm-dd")</f>
        <v/>
      </c>
      <c r="C9076">
        <f>TEXT(9075, "[$-060000]yyyy-mm-dd")</f>
        <v/>
      </c>
      <c r="D9076" t="inlineStr">
        <is>
          <t>1343-04-07</t>
        </is>
      </c>
    </row>
    <row r="9077">
      <c r="A9077" s="1" t="n">
        <v>9076</v>
      </c>
      <c r="B9077">
        <f>TEXT(9076, "[$-170000]yyyy-mm-dd")</f>
        <v/>
      </c>
      <c r="C9077">
        <f>TEXT(9076, "[$-060000]yyyy-mm-dd")</f>
        <v/>
      </c>
      <c r="D9077" t="inlineStr">
        <is>
          <t>1343-04-08</t>
        </is>
      </c>
    </row>
    <row r="9078">
      <c r="A9078" s="1" t="n">
        <v>9077</v>
      </c>
      <c r="B9078">
        <f>TEXT(9077, "[$-170000]yyyy-mm-dd")</f>
        <v/>
      </c>
      <c r="C9078">
        <f>TEXT(9077, "[$-060000]yyyy-mm-dd")</f>
        <v/>
      </c>
      <c r="D9078" t="inlineStr">
        <is>
          <t>1343-04-09</t>
        </is>
      </c>
    </row>
    <row r="9079">
      <c r="A9079" s="1" t="n">
        <v>9078</v>
      </c>
      <c r="B9079">
        <f>TEXT(9078, "[$-170000]yyyy-mm-dd")</f>
        <v/>
      </c>
      <c r="C9079">
        <f>TEXT(9078, "[$-060000]yyyy-mm-dd")</f>
        <v/>
      </c>
      <c r="D9079" t="inlineStr">
        <is>
          <t>1343-04-10</t>
        </is>
      </c>
    </row>
    <row r="9080">
      <c r="A9080" s="1" t="n">
        <v>9079</v>
      </c>
      <c r="B9080">
        <f>TEXT(9079, "[$-170000]yyyy-mm-dd")</f>
        <v/>
      </c>
      <c r="C9080">
        <f>TEXT(9079, "[$-060000]yyyy-mm-dd")</f>
        <v/>
      </c>
      <c r="D9080" t="inlineStr">
        <is>
          <t>1343-04-11</t>
        </is>
      </c>
    </row>
    <row r="9081">
      <c r="A9081" s="1" t="n">
        <v>9080</v>
      </c>
      <c r="B9081">
        <f>TEXT(9080, "[$-170000]yyyy-mm-dd")</f>
        <v/>
      </c>
      <c r="C9081">
        <f>TEXT(9080, "[$-060000]yyyy-mm-dd")</f>
        <v/>
      </c>
      <c r="D9081" t="inlineStr">
        <is>
          <t>1343-04-12</t>
        </is>
      </c>
    </row>
    <row r="9082">
      <c r="A9082" s="1" t="n">
        <v>9081</v>
      </c>
      <c r="B9082">
        <f>TEXT(9081, "[$-170000]yyyy-mm-dd")</f>
        <v/>
      </c>
      <c r="C9082">
        <f>TEXT(9081, "[$-060000]yyyy-mm-dd")</f>
        <v/>
      </c>
      <c r="D9082" t="inlineStr">
        <is>
          <t>1343-04-13</t>
        </is>
      </c>
    </row>
    <row r="9083">
      <c r="A9083" s="1" t="n">
        <v>9082</v>
      </c>
      <c r="B9083">
        <f>TEXT(9082, "[$-170000]yyyy-mm-dd")</f>
        <v/>
      </c>
      <c r="C9083">
        <f>TEXT(9082, "[$-060000]yyyy-mm-dd")</f>
        <v/>
      </c>
      <c r="D9083" t="inlineStr">
        <is>
          <t>1343-04-14</t>
        </is>
      </c>
    </row>
    <row r="9084">
      <c r="A9084" s="1" t="n">
        <v>9083</v>
      </c>
      <c r="B9084">
        <f>TEXT(9083, "[$-170000]yyyy-mm-dd")</f>
        <v/>
      </c>
      <c r="C9084">
        <f>TEXT(9083, "[$-060000]yyyy-mm-dd")</f>
        <v/>
      </c>
      <c r="D9084" t="inlineStr">
        <is>
          <t>1343-04-15</t>
        </is>
      </c>
    </row>
    <row r="9085">
      <c r="A9085" s="1" t="n">
        <v>9084</v>
      </c>
      <c r="B9085">
        <f>TEXT(9084, "[$-170000]yyyy-mm-dd")</f>
        <v/>
      </c>
      <c r="C9085">
        <f>TEXT(9084, "[$-060000]yyyy-mm-dd")</f>
        <v/>
      </c>
      <c r="D9085" t="inlineStr">
        <is>
          <t>1343-04-16</t>
        </is>
      </c>
    </row>
    <row r="9086">
      <c r="A9086" s="1" t="n">
        <v>9085</v>
      </c>
      <c r="B9086">
        <f>TEXT(9085, "[$-170000]yyyy-mm-dd")</f>
        <v/>
      </c>
      <c r="C9086">
        <f>TEXT(9085, "[$-060000]yyyy-mm-dd")</f>
        <v/>
      </c>
      <c r="D9086" t="inlineStr">
        <is>
          <t>1343-04-17</t>
        </is>
      </c>
    </row>
    <row r="9087">
      <c r="A9087" s="1" t="n">
        <v>9086</v>
      </c>
      <c r="B9087">
        <f>TEXT(9086, "[$-170000]yyyy-mm-dd")</f>
        <v/>
      </c>
      <c r="C9087">
        <f>TEXT(9086, "[$-060000]yyyy-mm-dd")</f>
        <v/>
      </c>
      <c r="D9087" t="inlineStr">
        <is>
          <t>1343-04-18</t>
        </is>
      </c>
    </row>
    <row r="9088">
      <c r="A9088" s="1" t="n">
        <v>9087</v>
      </c>
      <c r="B9088">
        <f>TEXT(9087, "[$-170000]yyyy-mm-dd")</f>
        <v/>
      </c>
      <c r="C9088">
        <f>TEXT(9087, "[$-060000]yyyy-mm-dd")</f>
        <v/>
      </c>
      <c r="D9088" t="inlineStr">
        <is>
          <t>1343-04-19</t>
        </is>
      </c>
    </row>
    <row r="9089">
      <c r="A9089" s="1" t="n">
        <v>9088</v>
      </c>
      <c r="B9089">
        <f>TEXT(9088, "[$-170000]yyyy-mm-dd")</f>
        <v/>
      </c>
      <c r="C9089">
        <f>TEXT(9088, "[$-060000]yyyy-mm-dd")</f>
        <v/>
      </c>
      <c r="D9089" t="inlineStr">
        <is>
          <t>1343-04-20</t>
        </is>
      </c>
    </row>
    <row r="9090">
      <c r="A9090" s="1" t="n">
        <v>9089</v>
      </c>
      <c r="B9090">
        <f>TEXT(9089, "[$-170000]yyyy-mm-dd")</f>
        <v/>
      </c>
      <c r="C9090">
        <f>TEXT(9089, "[$-060000]yyyy-mm-dd")</f>
        <v/>
      </c>
      <c r="D9090" t="inlineStr">
        <is>
          <t>1343-04-21</t>
        </is>
      </c>
    </row>
    <row r="9091">
      <c r="A9091" s="1" t="n">
        <v>9090</v>
      </c>
      <c r="B9091">
        <f>TEXT(9090, "[$-170000]yyyy-mm-dd")</f>
        <v/>
      </c>
      <c r="C9091">
        <f>TEXT(9090, "[$-060000]yyyy-mm-dd")</f>
        <v/>
      </c>
      <c r="D9091" t="inlineStr">
        <is>
          <t>1343-04-22</t>
        </is>
      </c>
    </row>
    <row r="9092">
      <c r="A9092" s="1" t="n">
        <v>9091</v>
      </c>
      <c r="B9092">
        <f>TEXT(9091, "[$-170000]yyyy-mm-dd")</f>
        <v/>
      </c>
      <c r="C9092">
        <f>TEXT(9091, "[$-060000]yyyy-mm-dd")</f>
        <v/>
      </c>
      <c r="D9092" t="inlineStr">
        <is>
          <t>1343-04-23</t>
        </is>
      </c>
    </row>
    <row r="9093">
      <c r="A9093" s="1" t="n">
        <v>9092</v>
      </c>
      <c r="B9093">
        <f>TEXT(9092, "[$-170000]yyyy-mm-dd")</f>
        <v/>
      </c>
      <c r="C9093">
        <f>TEXT(9092, "[$-060000]yyyy-mm-dd")</f>
        <v/>
      </c>
      <c r="D9093" t="inlineStr">
        <is>
          <t>1343-04-24</t>
        </is>
      </c>
    </row>
    <row r="9094">
      <c r="A9094" s="1" t="n">
        <v>9093</v>
      </c>
      <c r="B9094">
        <f>TEXT(9093, "[$-170000]yyyy-mm-dd")</f>
        <v/>
      </c>
      <c r="C9094">
        <f>TEXT(9093, "[$-060000]yyyy-mm-dd")</f>
        <v/>
      </c>
      <c r="D9094" t="inlineStr">
        <is>
          <t>1343-04-25</t>
        </is>
      </c>
    </row>
    <row r="9095">
      <c r="A9095" s="1" t="n">
        <v>9094</v>
      </c>
      <c r="B9095">
        <f>TEXT(9094, "[$-170000]yyyy-mm-dd")</f>
        <v/>
      </c>
      <c r="C9095">
        <f>TEXT(9094, "[$-060000]yyyy-mm-dd")</f>
        <v/>
      </c>
      <c r="D9095" t="inlineStr">
        <is>
          <t>1343-04-26</t>
        </is>
      </c>
    </row>
    <row r="9096">
      <c r="A9096" s="1" t="n">
        <v>9095</v>
      </c>
      <c r="B9096">
        <f>TEXT(9095, "[$-170000]yyyy-mm-dd")</f>
        <v/>
      </c>
      <c r="C9096">
        <f>TEXT(9095, "[$-060000]yyyy-mm-dd")</f>
        <v/>
      </c>
      <c r="D9096" t="inlineStr">
        <is>
          <t>1343-04-27</t>
        </is>
      </c>
    </row>
    <row r="9097">
      <c r="A9097" s="1" t="n">
        <v>9096</v>
      </c>
      <c r="B9097">
        <f>TEXT(9096, "[$-170000]yyyy-mm-dd")</f>
        <v/>
      </c>
      <c r="C9097">
        <f>TEXT(9096, "[$-060000]yyyy-mm-dd")</f>
        <v/>
      </c>
      <c r="D9097" t="inlineStr">
        <is>
          <t>1343-04-28</t>
        </is>
      </c>
    </row>
    <row r="9098">
      <c r="A9098" s="1" t="n">
        <v>9097</v>
      </c>
      <c r="B9098">
        <f>TEXT(9097, "[$-170000]yyyy-mm-dd")</f>
        <v/>
      </c>
      <c r="C9098">
        <f>TEXT(9097, "[$-060000]yyyy-mm-dd")</f>
        <v/>
      </c>
      <c r="D9098" t="inlineStr">
        <is>
          <t>1343-04-29</t>
        </is>
      </c>
    </row>
    <row r="9099">
      <c r="A9099" s="1" t="n">
        <v>9098</v>
      </c>
      <c r="B9099">
        <f>TEXT(9098, "[$-170000]yyyy-mm-dd")</f>
        <v/>
      </c>
      <c r="C9099">
        <f>TEXT(9098, "[$-060000]yyyy-mm-dd")</f>
        <v/>
      </c>
      <c r="D9099" t="inlineStr">
        <is>
          <t>1343-05-01</t>
        </is>
      </c>
    </row>
    <row r="9100">
      <c r="A9100" s="1" t="n">
        <v>9099</v>
      </c>
      <c r="B9100">
        <f>TEXT(9099, "[$-170000]yyyy-mm-dd")</f>
        <v/>
      </c>
      <c r="C9100">
        <f>TEXT(9099, "[$-060000]yyyy-mm-dd")</f>
        <v/>
      </c>
      <c r="D9100" t="inlineStr">
        <is>
          <t>1343-05-02</t>
        </is>
      </c>
    </row>
    <row r="9101">
      <c r="A9101" s="1" t="n">
        <v>9100</v>
      </c>
      <c r="B9101">
        <f>TEXT(9100, "[$-170000]yyyy-mm-dd")</f>
        <v/>
      </c>
      <c r="C9101">
        <f>TEXT(9100, "[$-060000]yyyy-mm-dd")</f>
        <v/>
      </c>
      <c r="D9101" t="inlineStr">
        <is>
          <t>1343-05-03</t>
        </is>
      </c>
    </row>
    <row r="9102">
      <c r="A9102" s="1" t="n">
        <v>9101</v>
      </c>
      <c r="B9102">
        <f>TEXT(9101, "[$-170000]yyyy-mm-dd")</f>
        <v/>
      </c>
      <c r="C9102">
        <f>TEXT(9101, "[$-060000]yyyy-mm-dd")</f>
        <v/>
      </c>
      <c r="D9102" t="inlineStr">
        <is>
          <t>1343-05-04</t>
        </is>
      </c>
    </row>
    <row r="9103">
      <c r="A9103" s="1" t="n">
        <v>9102</v>
      </c>
      <c r="B9103">
        <f>TEXT(9102, "[$-170000]yyyy-mm-dd")</f>
        <v/>
      </c>
      <c r="C9103">
        <f>TEXT(9102, "[$-060000]yyyy-mm-dd")</f>
        <v/>
      </c>
      <c r="D9103" t="inlineStr">
        <is>
          <t>1343-05-05</t>
        </is>
      </c>
    </row>
    <row r="9104">
      <c r="A9104" s="1" t="n">
        <v>9103</v>
      </c>
      <c r="B9104">
        <f>TEXT(9103, "[$-170000]yyyy-mm-dd")</f>
        <v/>
      </c>
      <c r="C9104">
        <f>TEXT(9103, "[$-060000]yyyy-mm-dd")</f>
        <v/>
      </c>
      <c r="D9104" t="inlineStr">
        <is>
          <t>1343-05-06</t>
        </is>
      </c>
    </row>
    <row r="9105">
      <c r="A9105" s="1" t="n">
        <v>9104</v>
      </c>
      <c r="B9105">
        <f>TEXT(9104, "[$-170000]yyyy-mm-dd")</f>
        <v/>
      </c>
      <c r="C9105">
        <f>TEXT(9104, "[$-060000]yyyy-mm-dd")</f>
        <v/>
      </c>
      <c r="D9105" t="inlineStr">
        <is>
          <t>1343-05-07</t>
        </is>
      </c>
    </row>
    <row r="9106">
      <c r="A9106" s="1" t="n">
        <v>9105</v>
      </c>
      <c r="B9106">
        <f>TEXT(9105, "[$-170000]yyyy-mm-dd")</f>
        <v/>
      </c>
      <c r="C9106">
        <f>TEXT(9105, "[$-060000]yyyy-mm-dd")</f>
        <v/>
      </c>
      <c r="D9106" t="inlineStr">
        <is>
          <t>1343-05-08</t>
        </is>
      </c>
    </row>
    <row r="9107">
      <c r="A9107" s="1" t="n">
        <v>9106</v>
      </c>
      <c r="B9107">
        <f>TEXT(9106, "[$-170000]yyyy-mm-dd")</f>
        <v/>
      </c>
      <c r="C9107">
        <f>TEXT(9106, "[$-060000]yyyy-mm-dd")</f>
        <v/>
      </c>
      <c r="D9107" t="inlineStr">
        <is>
          <t>1343-05-09</t>
        </is>
      </c>
    </row>
    <row r="9108">
      <c r="A9108" s="1" t="n">
        <v>9107</v>
      </c>
      <c r="B9108">
        <f>TEXT(9107, "[$-170000]yyyy-mm-dd")</f>
        <v/>
      </c>
      <c r="C9108">
        <f>TEXT(9107, "[$-060000]yyyy-mm-dd")</f>
        <v/>
      </c>
      <c r="D9108" t="inlineStr">
        <is>
          <t>1343-05-10</t>
        </is>
      </c>
    </row>
    <row r="9109">
      <c r="A9109" s="1" t="n">
        <v>9108</v>
      </c>
      <c r="B9109">
        <f>TEXT(9108, "[$-170000]yyyy-mm-dd")</f>
        <v/>
      </c>
      <c r="C9109">
        <f>TEXT(9108, "[$-060000]yyyy-mm-dd")</f>
        <v/>
      </c>
      <c r="D9109" t="inlineStr">
        <is>
          <t>1343-05-11</t>
        </is>
      </c>
    </row>
    <row r="9110">
      <c r="A9110" s="1" t="n">
        <v>9109</v>
      </c>
      <c r="B9110">
        <f>TEXT(9109, "[$-170000]yyyy-mm-dd")</f>
        <v/>
      </c>
      <c r="C9110">
        <f>TEXT(9109, "[$-060000]yyyy-mm-dd")</f>
        <v/>
      </c>
      <c r="D9110" t="inlineStr">
        <is>
          <t>1343-05-12</t>
        </is>
      </c>
    </row>
    <row r="9111">
      <c r="A9111" s="1" t="n">
        <v>9110</v>
      </c>
      <c r="B9111">
        <f>TEXT(9110, "[$-170000]yyyy-mm-dd")</f>
        <v/>
      </c>
      <c r="C9111">
        <f>TEXT(9110, "[$-060000]yyyy-mm-dd")</f>
        <v/>
      </c>
      <c r="D9111" t="inlineStr">
        <is>
          <t>1343-05-13</t>
        </is>
      </c>
    </row>
    <row r="9112">
      <c r="A9112" s="1" t="n">
        <v>9111</v>
      </c>
      <c r="B9112">
        <f>TEXT(9111, "[$-170000]yyyy-mm-dd")</f>
        <v/>
      </c>
      <c r="C9112">
        <f>TEXT(9111, "[$-060000]yyyy-mm-dd")</f>
        <v/>
      </c>
      <c r="D9112" t="inlineStr">
        <is>
          <t>1343-05-14</t>
        </is>
      </c>
    </row>
    <row r="9113">
      <c r="A9113" s="1" t="n">
        <v>9112</v>
      </c>
      <c r="B9113">
        <f>TEXT(9112, "[$-170000]yyyy-mm-dd")</f>
        <v/>
      </c>
      <c r="C9113">
        <f>TEXT(9112, "[$-060000]yyyy-mm-dd")</f>
        <v/>
      </c>
      <c r="D9113" t="inlineStr">
        <is>
          <t>1343-05-15</t>
        </is>
      </c>
    </row>
    <row r="9114">
      <c r="A9114" s="1" t="n">
        <v>9113</v>
      </c>
      <c r="B9114">
        <f>TEXT(9113, "[$-170000]yyyy-mm-dd")</f>
        <v/>
      </c>
      <c r="C9114">
        <f>TEXT(9113, "[$-060000]yyyy-mm-dd")</f>
        <v/>
      </c>
      <c r="D9114" t="inlineStr">
        <is>
          <t>1343-05-16</t>
        </is>
      </c>
    </row>
    <row r="9115">
      <c r="A9115" s="1" t="n">
        <v>9114</v>
      </c>
      <c r="B9115">
        <f>TEXT(9114, "[$-170000]yyyy-mm-dd")</f>
        <v/>
      </c>
      <c r="C9115">
        <f>TEXT(9114, "[$-060000]yyyy-mm-dd")</f>
        <v/>
      </c>
      <c r="D9115" t="inlineStr">
        <is>
          <t>1343-05-17</t>
        </is>
      </c>
    </row>
    <row r="9116">
      <c r="A9116" s="1" t="n">
        <v>9115</v>
      </c>
      <c r="B9116">
        <f>TEXT(9115, "[$-170000]yyyy-mm-dd")</f>
        <v/>
      </c>
      <c r="C9116">
        <f>TEXT(9115, "[$-060000]yyyy-mm-dd")</f>
        <v/>
      </c>
      <c r="D9116" t="inlineStr">
        <is>
          <t>1343-05-18</t>
        </is>
      </c>
    </row>
    <row r="9117">
      <c r="A9117" s="1" t="n">
        <v>9116</v>
      </c>
      <c r="B9117">
        <f>TEXT(9116, "[$-170000]yyyy-mm-dd")</f>
        <v/>
      </c>
      <c r="C9117">
        <f>TEXT(9116, "[$-060000]yyyy-mm-dd")</f>
        <v/>
      </c>
      <c r="D9117" t="inlineStr">
        <is>
          <t>1343-05-19</t>
        </is>
      </c>
    </row>
    <row r="9118">
      <c r="A9118" s="1" t="n">
        <v>9117</v>
      </c>
      <c r="B9118">
        <f>TEXT(9117, "[$-170000]yyyy-mm-dd")</f>
        <v/>
      </c>
      <c r="C9118">
        <f>TEXT(9117, "[$-060000]yyyy-mm-dd")</f>
        <v/>
      </c>
      <c r="D9118" t="inlineStr">
        <is>
          <t>1343-05-20</t>
        </is>
      </c>
    </row>
    <row r="9119">
      <c r="A9119" s="1" t="n">
        <v>9118</v>
      </c>
      <c r="B9119">
        <f>TEXT(9118, "[$-170000]yyyy-mm-dd")</f>
        <v/>
      </c>
      <c r="C9119">
        <f>TEXT(9118, "[$-060000]yyyy-mm-dd")</f>
        <v/>
      </c>
      <c r="D9119" t="inlineStr">
        <is>
          <t>1343-05-21</t>
        </is>
      </c>
    </row>
    <row r="9120">
      <c r="A9120" s="1" t="n">
        <v>9119</v>
      </c>
      <c r="B9120">
        <f>TEXT(9119, "[$-170000]yyyy-mm-dd")</f>
        <v/>
      </c>
      <c r="C9120">
        <f>TEXT(9119, "[$-060000]yyyy-mm-dd")</f>
        <v/>
      </c>
      <c r="D9120" t="inlineStr">
        <is>
          <t>1343-05-22</t>
        </is>
      </c>
    </row>
    <row r="9121">
      <c r="A9121" s="1" t="n">
        <v>9120</v>
      </c>
      <c r="B9121">
        <f>TEXT(9120, "[$-170000]yyyy-mm-dd")</f>
        <v/>
      </c>
      <c r="C9121">
        <f>TEXT(9120, "[$-060000]yyyy-mm-dd")</f>
        <v/>
      </c>
      <c r="D9121" t="inlineStr">
        <is>
          <t>1343-05-23</t>
        </is>
      </c>
    </row>
    <row r="9122">
      <c r="A9122" s="1" t="n">
        <v>9121</v>
      </c>
      <c r="B9122">
        <f>TEXT(9121, "[$-170000]yyyy-mm-dd")</f>
        <v/>
      </c>
      <c r="C9122">
        <f>TEXT(9121, "[$-060000]yyyy-mm-dd")</f>
        <v/>
      </c>
      <c r="D9122" t="inlineStr">
        <is>
          <t>1343-05-24</t>
        </is>
      </c>
    </row>
    <row r="9123">
      <c r="A9123" s="1" t="n">
        <v>9122</v>
      </c>
      <c r="B9123">
        <f>TEXT(9122, "[$-170000]yyyy-mm-dd")</f>
        <v/>
      </c>
      <c r="C9123">
        <f>TEXT(9122, "[$-060000]yyyy-mm-dd")</f>
        <v/>
      </c>
      <c r="D9123" t="inlineStr">
        <is>
          <t>1343-05-25</t>
        </is>
      </c>
    </row>
    <row r="9124">
      <c r="A9124" s="1" t="n">
        <v>9123</v>
      </c>
      <c r="B9124">
        <f>TEXT(9123, "[$-170000]yyyy-mm-dd")</f>
        <v/>
      </c>
      <c r="C9124">
        <f>TEXT(9123, "[$-060000]yyyy-mm-dd")</f>
        <v/>
      </c>
      <c r="D9124" t="inlineStr">
        <is>
          <t>1343-05-26</t>
        </is>
      </c>
    </row>
    <row r="9125">
      <c r="A9125" s="1" t="n">
        <v>9124</v>
      </c>
      <c r="B9125">
        <f>TEXT(9124, "[$-170000]yyyy-mm-dd")</f>
        <v/>
      </c>
      <c r="C9125">
        <f>TEXT(9124, "[$-060000]yyyy-mm-dd")</f>
        <v/>
      </c>
      <c r="D9125" t="inlineStr">
        <is>
          <t>1343-05-27</t>
        </is>
      </c>
    </row>
    <row r="9126">
      <c r="A9126" s="1" t="n">
        <v>9125</v>
      </c>
      <c r="B9126">
        <f>TEXT(9125, "[$-170000]yyyy-mm-dd")</f>
        <v/>
      </c>
      <c r="C9126">
        <f>TEXT(9125, "[$-060000]yyyy-mm-dd")</f>
        <v/>
      </c>
      <c r="D9126" t="inlineStr">
        <is>
          <t>1343-05-28</t>
        </is>
      </c>
    </row>
    <row r="9127">
      <c r="A9127" s="1" t="n">
        <v>9126</v>
      </c>
      <c r="B9127">
        <f>TEXT(9126, "[$-170000]yyyy-mm-dd")</f>
        <v/>
      </c>
      <c r="C9127">
        <f>TEXT(9126, "[$-060000]yyyy-mm-dd")</f>
        <v/>
      </c>
      <c r="D9127" t="inlineStr">
        <is>
          <t>1343-05-29</t>
        </is>
      </c>
    </row>
    <row r="9128">
      <c r="A9128" s="1" t="n">
        <v>9127</v>
      </c>
      <c r="B9128">
        <f>TEXT(9127, "[$-170000]yyyy-mm-dd")</f>
        <v/>
      </c>
      <c r="C9128">
        <f>TEXT(9127, "[$-060000]yyyy-mm-dd")</f>
        <v/>
      </c>
      <c r="D9128" t="inlineStr">
        <is>
          <t>1343-05-30</t>
        </is>
      </c>
    </row>
    <row r="9129">
      <c r="A9129" s="1" t="n">
        <v>9128</v>
      </c>
      <c r="B9129">
        <f>TEXT(9128, "[$-170000]yyyy-mm-dd")</f>
        <v/>
      </c>
      <c r="C9129">
        <f>TEXT(9128, "[$-060000]yyyy-mm-dd")</f>
        <v/>
      </c>
      <c r="D9129" t="inlineStr">
        <is>
          <t>1343-06-01</t>
        </is>
      </c>
    </row>
    <row r="9130">
      <c r="A9130" s="1" t="n">
        <v>9129</v>
      </c>
      <c r="B9130">
        <f>TEXT(9129, "[$-170000]yyyy-mm-dd")</f>
        <v/>
      </c>
      <c r="C9130">
        <f>TEXT(9129, "[$-060000]yyyy-mm-dd")</f>
        <v/>
      </c>
      <c r="D9130" t="inlineStr">
        <is>
          <t>1343-06-02</t>
        </is>
      </c>
    </row>
    <row r="9131">
      <c r="A9131" s="1" t="n">
        <v>9130</v>
      </c>
      <c r="B9131">
        <f>TEXT(9130, "[$-170000]yyyy-mm-dd")</f>
        <v/>
      </c>
      <c r="C9131">
        <f>TEXT(9130, "[$-060000]yyyy-mm-dd")</f>
        <v/>
      </c>
      <c r="D9131" t="inlineStr">
        <is>
          <t>1343-06-03</t>
        </is>
      </c>
    </row>
    <row r="9132">
      <c r="A9132" s="1" t="n">
        <v>9131</v>
      </c>
      <c r="B9132">
        <f>TEXT(9131, "[$-170000]yyyy-mm-dd")</f>
        <v/>
      </c>
      <c r="C9132">
        <f>TEXT(9131, "[$-060000]yyyy-mm-dd")</f>
        <v/>
      </c>
      <c r="D9132" t="inlineStr">
        <is>
          <t>1343-06-04</t>
        </is>
      </c>
    </row>
    <row r="9133">
      <c r="A9133" s="1" t="n">
        <v>9132</v>
      </c>
      <c r="B9133">
        <f>TEXT(9132, "[$-170000]yyyy-mm-dd")</f>
        <v/>
      </c>
      <c r="C9133">
        <f>TEXT(9132, "[$-060000]yyyy-mm-dd")</f>
        <v/>
      </c>
      <c r="D9133" t="inlineStr">
        <is>
          <t>1343-06-05</t>
        </is>
      </c>
    </row>
    <row r="9134">
      <c r="A9134" s="1" t="n">
        <v>9133</v>
      </c>
      <c r="B9134">
        <f>TEXT(9133, "[$-170000]yyyy-mm-dd")</f>
        <v/>
      </c>
      <c r="C9134">
        <f>TEXT(9133, "[$-060000]yyyy-mm-dd")</f>
        <v/>
      </c>
      <c r="D9134" t="inlineStr">
        <is>
          <t>1343-06-06</t>
        </is>
      </c>
    </row>
    <row r="9135">
      <c r="A9135" s="1" t="n">
        <v>9134</v>
      </c>
      <c r="B9135">
        <f>TEXT(9134, "[$-170000]yyyy-mm-dd")</f>
        <v/>
      </c>
      <c r="C9135">
        <f>TEXT(9134, "[$-060000]yyyy-mm-dd")</f>
        <v/>
      </c>
      <c r="D9135" t="inlineStr">
        <is>
          <t>1343-06-07</t>
        </is>
      </c>
    </row>
    <row r="9136">
      <c r="A9136" s="1" t="n">
        <v>9135</v>
      </c>
      <c r="B9136">
        <f>TEXT(9135, "[$-170000]yyyy-mm-dd")</f>
        <v/>
      </c>
      <c r="C9136">
        <f>TEXT(9135, "[$-060000]yyyy-mm-dd")</f>
        <v/>
      </c>
      <c r="D9136" t="inlineStr">
        <is>
          <t>1343-06-08</t>
        </is>
      </c>
    </row>
    <row r="9137">
      <c r="A9137" s="1" t="n">
        <v>9136</v>
      </c>
      <c r="B9137">
        <f>TEXT(9136, "[$-170000]yyyy-mm-dd")</f>
        <v/>
      </c>
      <c r="C9137">
        <f>TEXT(9136, "[$-060000]yyyy-mm-dd")</f>
        <v/>
      </c>
      <c r="D9137" t="inlineStr">
        <is>
          <t>1343-06-09</t>
        </is>
      </c>
    </row>
    <row r="9138">
      <c r="A9138" s="1" t="n">
        <v>9137</v>
      </c>
      <c r="B9138">
        <f>TEXT(9137, "[$-170000]yyyy-mm-dd")</f>
        <v/>
      </c>
      <c r="C9138">
        <f>TEXT(9137, "[$-060000]yyyy-mm-dd")</f>
        <v/>
      </c>
      <c r="D9138" t="inlineStr">
        <is>
          <t>1343-06-10</t>
        </is>
      </c>
    </row>
    <row r="9139">
      <c r="A9139" s="1" t="n">
        <v>9138</v>
      </c>
      <c r="B9139">
        <f>TEXT(9138, "[$-170000]yyyy-mm-dd")</f>
        <v/>
      </c>
      <c r="C9139">
        <f>TEXT(9138, "[$-060000]yyyy-mm-dd")</f>
        <v/>
      </c>
      <c r="D9139" t="inlineStr">
        <is>
          <t>1343-06-11</t>
        </is>
      </c>
    </row>
    <row r="9140">
      <c r="A9140" s="1" t="n">
        <v>9139</v>
      </c>
      <c r="B9140">
        <f>TEXT(9139, "[$-170000]yyyy-mm-dd")</f>
        <v/>
      </c>
      <c r="C9140">
        <f>TEXT(9139, "[$-060000]yyyy-mm-dd")</f>
        <v/>
      </c>
      <c r="D9140" t="inlineStr">
        <is>
          <t>1343-06-12</t>
        </is>
      </c>
    </row>
    <row r="9141">
      <c r="A9141" s="1" t="n">
        <v>9140</v>
      </c>
      <c r="B9141">
        <f>TEXT(9140, "[$-170000]yyyy-mm-dd")</f>
        <v/>
      </c>
      <c r="C9141">
        <f>TEXT(9140, "[$-060000]yyyy-mm-dd")</f>
        <v/>
      </c>
      <c r="D9141" t="inlineStr">
        <is>
          <t>1343-06-13</t>
        </is>
      </c>
    </row>
    <row r="9142">
      <c r="A9142" s="1" t="n">
        <v>9141</v>
      </c>
      <c r="B9142">
        <f>TEXT(9141, "[$-170000]yyyy-mm-dd")</f>
        <v/>
      </c>
      <c r="C9142">
        <f>TEXT(9141, "[$-060000]yyyy-mm-dd")</f>
        <v/>
      </c>
      <c r="D9142" t="inlineStr">
        <is>
          <t>1343-06-14</t>
        </is>
      </c>
    </row>
    <row r="9143">
      <c r="A9143" s="1" t="n">
        <v>9142</v>
      </c>
      <c r="B9143">
        <f>TEXT(9142, "[$-170000]yyyy-mm-dd")</f>
        <v/>
      </c>
      <c r="C9143">
        <f>TEXT(9142, "[$-060000]yyyy-mm-dd")</f>
        <v/>
      </c>
      <c r="D9143" t="inlineStr">
        <is>
          <t>1343-06-15</t>
        </is>
      </c>
    </row>
    <row r="9144">
      <c r="A9144" s="1" t="n">
        <v>9143</v>
      </c>
      <c r="B9144">
        <f>TEXT(9143, "[$-170000]yyyy-mm-dd")</f>
        <v/>
      </c>
      <c r="C9144">
        <f>TEXT(9143, "[$-060000]yyyy-mm-dd")</f>
        <v/>
      </c>
      <c r="D9144" t="inlineStr">
        <is>
          <t>1343-06-16</t>
        </is>
      </c>
    </row>
    <row r="9145">
      <c r="A9145" s="1" t="n">
        <v>9144</v>
      </c>
      <c r="B9145">
        <f>TEXT(9144, "[$-170000]yyyy-mm-dd")</f>
        <v/>
      </c>
      <c r="C9145">
        <f>TEXT(9144, "[$-060000]yyyy-mm-dd")</f>
        <v/>
      </c>
      <c r="D9145" t="inlineStr">
        <is>
          <t>1343-06-17</t>
        </is>
      </c>
    </row>
    <row r="9146">
      <c r="A9146" s="1" t="n">
        <v>9145</v>
      </c>
      <c r="B9146">
        <f>TEXT(9145, "[$-170000]yyyy-mm-dd")</f>
        <v/>
      </c>
      <c r="C9146">
        <f>TEXT(9145, "[$-060000]yyyy-mm-dd")</f>
        <v/>
      </c>
      <c r="D9146" t="inlineStr">
        <is>
          <t>1343-06-18</t>
        </is>
      </c>
    </row>
    <row r="9147">
      <c r="A9147" s="1" t="n">
        <v>9146</v>
      </c>
      <c r="B9147">
        <f>TEXT(9146, "[$-170000]yyyy-mm-dd")</f>
        <v/>
      </c>
      <c r="C9147">
        <f>TEXT(9146, "[$-060000]yyyy-mm-dd")</f>
        <v/>
      </c>
      <c r="D9147" t="inlineStr">
        <is>
          <t>1343-06-19</t>
        </is>
      </c>
    </row>
    <row r="9148">
      <c r="A9148" s="1" t="n">
        <v>9147</v>
      </c>
      <c r="B9148">
        <f>TEXT(9147, "[$-170000]yyyy-mm-dd")</f>
        <v/>
      </c>
      <c r="C9148">
        <f>TEXT(9147, "[$-060000]yyyy-mm-dd")</f>
        <v/>
      </c>
      <c r="D9148" t="inlineStr">
        <is>
          <t>1343-06-20</t>
        </is>
      </c>
    </row>
    <row r="9149">
      <c r="A9149" s="1" t="n">
        <v>9148</v>
      </c>
      <c r="B9149">
        <f>TEXT(9148, "[$-170000]yyyy-mm-dd")</f>
        <v/>
      </c>
      <c r="C9149">
        <f>TEXT(9148, "[$-060000]yyyy-mm-dd")</f>
        <v/>
      </c>
      <c r="D9149" t="inlineStr">
        <is>
          <t>1343-06-21</t>
        </is>
      </c>
    </row>
    <row r="9150">
      <c r="A9150" s="1" t="n">
        <v>9149</v>
      </c>
      <c r="B9150">
        <f>TEXT(9149, "[$-170000]yyyy-mm-dd")</f>
        <v/>
      </c>
      <c r="C9150">
        <f>TEXT(9149, "[$-060000]yyyy-mm-dd")</f>
        <v/>
      </c>
      <c r="D9150" t="inlineStr">
        <is>
          <t>1343-06-22</t>
        </is>
      </c>
    </row>
    <row r="9151">
      <c r="A9151" s="1" t="n">
        <v>9150</v>
      </c>
      <c r="B9151">
        <f>TEXT(9150, "[$-170000]yyyy-mm-dd")</f>
        <v/>
      </c>
      <c r="C9151">
        <f>TEXT(9150, "[$-060000]yyyy-mm-dd")</f>
        <v/>
      </c>
      <c r="D9151" t="inlineStr">
        <is>
          <t>1343-06-23</t>
        </is>
      </c>
    </row>
    <row r="9152">
      <c r="A9152" s="1" t="n">
        <v>9151</v>
      </c>
      <c r="B9152">
        <f>TEXT(9151, "[$-170000]yyyy-mm-dd")</f>
        <v/>
      </c>
      <c r="C9152">
        <f>TEXT(9151, "[$-060000]yyyy-mm-dd")</f>
        <v/>
      </c>
      <c r="D9152" t="inlineStr">
        <is>
          <t>1343-06-24</t>
        </is>
      </c>
    </row>
    <row r="9153">
      <c r="A9153" s="1" t="n">
        <v>9152</v>
      </c>
      <c r="B9153">
        <f>TEXT(9152, "[$-170000]yyyy-mm-dd")</f>
        <v/>
      </c>
      <c r="C9153">
        <f>TEXT(9152, "[$-060000]yyyy-mm-dd")</f>
        <v/>
      </c>
      <c r="D9153" t="inlineStr">
        <is>
          <t>1343-06-25</t>
        </is>
      </c>
    </row>
    <row r="9154">
      <c r="A9154" s="1" t="n">
        <v>9153</v>
      </c>
      <c r="B9154">
        <f>TEXT(9153, "[$-170000]yyyy-mm-dd")</f>
        <v/>
      </c>
      <c r="C9154">
        <f>TEXT(9153, "[$-060000]yyyy-mm-dd")</f>
        <v/>
      </c>
      <c r="D9154" t="inlineStr">
        <is>
          <t>1343-06-26</t>
        </is>
      </c>
    </row>
    <row r="9155">
      <c r="A9155" s="1" t="n">
        <v>9154</v>
      </c>
      <c r="B9155">
        <f>TEXT(9154, "[$-170000]yyyy-mm-dd")</f>
        <v/>
      </c>
      <c r="C9155">
        <f>TEXT(9154, "[$-060000]yyyy-mm-dd")</f>
        <v/>
      </c>
      <c r="D9155" t="inlineStr">
        <is>
          <t>1343-06-27</t>
        </is>
      </c>
    </row>
    <row r="9156">
      <c r="A9156" s="1" t="n">
        <v>9155</v>
      </c>
      <c r="B9156">
        <f>TEXT(9155, "[$-170000]yyyy-mm-dd")</f>
        <v/>
      </c>
      <c r="C9156">
        <f>TEXT(9155, "[$-060000]yyyy-mm-dd")</f>
        <v/>
      </c>
      <c r="D9156" t="inlineStr">
        <is>
          <t>1343-06-28</t>
        </is>
      </c>
    </row>
    <row r="9157">
      <c r="A9157" s="1" t="n">
        <v>9156</v>
      </c>
      <c r="B9157">
        <f>TEXT(9156, "[$-170000]yyyy-mm-dd")</f>
        <v/>
      </c>
      <c r="C9157">
        <f>TEXT(9156, "[$-060000]yyyy-mm-dd")</f>
        <v/>
      </c>
      <c r="D9157" t="inlineStr">
        <is>
          <t>1343-06-29</t>
        </is>
      </c>
    </row>
    <row r="9158">
      <c r="A9158" s="1" t="n">
        <v>9157</v>
      </c>
      <c r="B9158">
        <f>TEXT(9157, "[$-170000]yyyy-mm-dd")</f>
        <v/>
      </c>
      <c r="C9158">
        <f>TEXT(9157, "[$-060000]yyyy-mm-dd")</f>
        <v/>
      </c>
      <c r="D9158" t="inlineStr">
        <is>
          <t>1343-07-01</t>
        </is>
      </c>
    </row>
    <row r="9159">
      <c r="A9159" s="1" t="n">
        <v>9158</v>
      </c>
      <c r="B9159">
        <f>TEXT(9158, "[$-170000]yyyy-mm-dd")</f>
        <v/>
      </c>
      <c r="C9159">
        <f>TEXT(9158, "[$-060000]yyyy-mm-dd")</f>
        <v/>
      </c>
      <c r="D9159" t="inlineStr">
        <is>
          <t>1343-07-02</t>
        </is>
      </c>
    </row>
    <row r="9160">
      <c r="A9160" s="1" t="n">
        <v>9159</v>
      </c>
      <c r="B9160">
        <f>TEXT(9159, "[$-170000]yyyy-mm-dd")</f>
        <v/>
      </c>
      <c r="C9160">
        <f>TEXT(9159, "[$-060000]yyyy-mm-dd")</f>
        <v/>
      </c>
      <c r="D9160" t="inlineStr">
        <is>
          <t>1343-07-03</t>
        </is>
      </c>
    </row>
    <row r="9161">
      <c r="A9161" s="1" t="n">
        <v>9160</v>
      </c>
      <c r="B9161">
        <f>TEXT(9160, "[$-170000]yyyy-mm-dd")</f>
        <v/>
      </c>
      <c r="C9161">
        <f>TEXT(9160, "[$-060000]yyyy-mm-dd")</f>
        <v/>
      </c>
      <c r="D9161" t="inlineStr">
        <is>
          <t>1343-07-04</t>
        </is>
      </c>
    </row>
    <row r="9162">
      <c r="A9162" s="1" t="n">
        <v>9161</v>
      </c>
      <c r="B9162">
        <f>TEXT(9161, "[$-170000]yyyy-mm-dd")</f>
        <v/>
      </c>
      <c r="C9162">
        <f>TEXT(9161, "[$-060000]yyyy-mm-dd")</f>
        <v/>
      </c>
      <c r="D9162" t="inlineStr">
        <is>
          <t>1343-07-05</t>
        </is>
      </c>
    </row>
    <row r="9163">
      <c r="A9163" s="1" t="n">
        <v>9162</v>
      </c>
      <c r="B9163">
        <f>TEXT(9162, "[$-170000]yyyy-mm-dd")</f>
        <v/>
      </c>
      <c r="C9163">
        <f>TEXT(9162, "[$-060000]yyyy-mm-dd")</f>
        <v/>
      </c>
      <c r="D9163" t="inlineStr">
        <is>
          <t>1343-07-06</t>
        </is>
      </c>
    </row>
    <row r="9164">
      <c r="A9164" s="1" t="n">
        <v>9163</v>
      </c>
      <c r="B9164">
        <f>TEXT(9163, "[$-170000]yyyy-mm-dd")</f>
        <v/>
      </c>
      <c r="C9164">
        <f>TEXT(9163, "[$-060000]yyyy-mm-dd")</f>
        <v/>
      </c>
      <c r="D9164" t="inlineStr">
        <is>
          <t>1343-07-07</t>
        </is>
      </c>
    </row>
    <row r="9165">
      <c r="A9165" s="1" t="n">
        <v>9164</v>
      </c>
      <c r="B9165">
        <f>TEXT(9164, "[$-170000]yyyy-mm-dd")</f>
        <v/>
      </c>
      <c r="C9165">
        <f>TEXT(9164, "[$-060000]yyyy-mm-dd")</f>
        <v/>
      </c>
      <c r="D9165" t="inlineStr">
        <is>
          <t>1343-07-08</t>
        </is>
      </c>
    </row>
    <row r="9166">
      <c r="A9166" s="1" t="n">
        <v>9165</v>
      </c>
      <c r="B9166">
        <f>TEXT(9165, "[$-170000]yyyy-mm-dd")</f>
        <v/>
      </c>
      <c r="C9166">
        <f>TEXT(9165, "[$-060000]yyyy-mm-dd")</f>
        <v/>
      </c>
      <c r="D9166" t="inlineStr">
        <is>
          <t>1343-07-09</t>
        </is>
      </c>
    </row>
    <row r="9167">
      <c r="A9167" s="1" t="n">
        <v>9166</v>
      </c>
      <c r="B9167">
        <f>TEXT(9166, "[$-170000]yyyy-mm-dd")</f>
        <v/>
      </c>
      <c r="C9167">
        <f>TEXT(9166, "[$-060000]yyyy-mm-dd")</f>
        <v/>
      </c>
      <c r="D9167" t="inlineStr">
        <is>
          <t>1343-07-10</t>
        </is>
      </c>
    </row>
    <row r="9168">
      <c r="A9168" s="1" t="n">
        <v>9167</v>
      </c>
      <c r="B9168">
        <f>TEXT(9167, "[$-170000]yyyy-mm-dd")</f>
        <v/>
      </c>
      <c r="C9168">
        <f>TEXT(9167, "[$-060000]yyyy-mm-dd")</f>
        <v/>
      </c>
      <c r="D9168" t="inlineStr">
        <is>
          <t>1343-07-11</t>
        </is>
      </c>
    </row>
    <row r="9169">
      <c r="A9169" s="1" t="n">
        <v>9168</v>
      </c>
      <c r="B9169">
        <f>TEXT(9168, "[$-170000]yyyy-mm-dd")</f>
        <v/>
      </c>
      <c r="C9169">
        <f>TEXT(9168, "[$-060000]yyyy-mm-dd")</f>
        <v/>
      </c>
      <c r="D9169" t="inlineStr">
        <is>
          <t>1343-07-12</t>
        </is>
      </c>
    </row>
    <row r="9170">
      <c r="A9170" s="1" t="n">
        <v>9169</v>
      </c>
      <c r="B9170">
        <f>TEXT(9169, "[$-170000]yyyy-mm-dd")</f>
        <v/>
      </c>
      <c r="C9170">
        <f>TEXT(9169, "[$-060000]yyyy-mm-dd")</f>
        <v/>
      </c>
      <c r="D9170" t="inlineStr">
        <is>
          <t>1343-07-13</t>
        </is>
      </c>
    </row>
    <row r="9171">
      <c r="A9171" s="1" t="n">
        <v>9170</v>
      </c>
      <c r="B9171">
        <f>TEXT(9170, "[$-170000]yyyy-mm-dd")</f>
        <v/>
      </c>
      <c r="C9171">
        <f>TEXT(9170, "[$-060000]yyyy-mm-dd")</f>
        <v/>
      </c>
      <c r="D9171" t="inlineStr">
        <is>
          <t>1343-07-14</t>
        </is>
      </c>
    </row>
    <row r="9172">
      <c r="A9172" s="1" t="n">
        <v>9171</v>
      </c>
      <c r="B9172">
        <f>TEXT(9171, "[$-170000]yyyy-mm-dd")</f>
        <v/>
      </c>
      <c r="C9172">
        <f>TEXT(9171, "[$-060000]yyyy-mm-dd")</f>
        <v/>
      </c>
      <c r="D9172" t="inlineStr">
        <is>
          <t>1343-07-15</t>
        </is>
      </c>
    </row>
    <row r="9173">
      <c r="A9173" s="1" t="n">
        <v>9172</v>
      </c>
      <c r="B9173">
        <f>TEXT(9172, "[$-170000]yyyy-mm-dd")</f>
        <v/>
      </c>
      <c r="C9173">
        <f>TEXT(9172, "[$-060000]yyyy-mm-dd")</f>
        <v/>
      </c>
      <c r="D9173" t="inlineStr">
        <is>
          <t>1343-07-16</t>
        </is>
      </c>
    </row>
    <row r="9174">
      <c r="A9174" s="1" t="n">
        <v>9173</v>
      </c>
      <c r="B9174">
        <f>TEXT(9173, "[$-170000]yyyy-mm-dd")</f>
        <v/>
      </c>
      <c r="C9174">
        <f>TEXT(9173, "[$-060000]yyyy-mm-dd")</f>
        <v/>
      </c>
      <c r="D9174" t="inlineStr">
        <is>
          <t>1343-07-17</t>
        </is>
      </c>
    </row>
    <row r="9175">
      <c r="A9175" s="1" t="n">
        <v>9174</v>
      </c>
      <c r="B9175">
        <f>TEXT(9174, "[$-170000]yyyy-mm-dd")</f>
        <v/>
      </c>
      <c r="C9175">
        <f>TEXT(9174, "[$-060000]yyyy-mm-dd")</f>
        <v/>
      </c>
      <c r="D9175" t="inlineStr">
        <is>
          <t>1343-07-18</t>
        </is>
      </c>
    </row>
    <row r="9176">
      <c r="A9176" s="1" t="n">
        <v>9175</v>
      </c>
      <c r="B9176">
        <f>TEXT(9175, "[$-170000]yyyy-mm-dd")</f>
        <v/>
      </c>
      <c r="C9176">
        <f>TEXT(9175, "[$-060000]yyyy-mm-dd")</f>
        <v/>
      </c>
      <c r="D9176" t="inlineStr">
        <is>
          <t>1343-07-19</t>
        </is>
      </c>
    </row>
    <row r="9177">
      <c r="A9177" s="1" t="n">
        <v>9176</v>
      </c>
      <c r="B9177">
        <f>TEXT(9176, "[$-170000]yyyy-mm-dd")</f>
        <v/>
      </c>
      <c r="C9177">
        <f>TEXT(9176, "[$-060000]yyyy-mm-dd")</f>
        <v/>
      </c>
      <c r="D9177" t="inlineStr">
        <is>
          <t>1343-07-20</t>
        </is>
      </c>
    </row>
    <row r="9178">
      <c r="A9178" s="1" t="n">
        <v>9177</v>
      </c>
      <c r="B9178">
        <f>TEXT(9177, "[$-170000]yyyy-mm-dd")</f>
        <v/>
      </c>
      <c r="C9178">
        <f>TEXT(9177, "[$-060000]yyyy-mm-dd")</f>
        <v/>
      </c>
      <c r="D9178" t="inlineStr">
        <is>
          <t>1343-07-21</t>
        </is>
      </c>
    </row>
    <row r="9179">
      <c r="A9179" s="1" t="n">
        <v>9178</v>
      </c>
      <c r="B9179">
        <f>TEXT(9178, "[$-170000]yyyy-mm-dd")</f>
        <v/>
      </c>
      <c r="C9179">
        <f>TEXT(9178, "[$-060000]yyyy-mm-dd")</f>
        <v/>
      </c>
      <c r="D9179" t="inlineStr">
        <is>
          <t>1343-07-22</t>
        </is>
      </c>
    </row>
    <row r="9180">
      <c r="A9180" s="1" t="n">
        <v>9179</v>
      </c>
      <c r="B9180">
        <f>TEXT(9179, "[$-170000]yyyy-mm-dd")</f>
        <v/>
      </c>
      <c r="C9180">
        <f>TEXT(9179, "[$-060000]yyyy-mm-dd")</f>
        <v/>
      </c>
      <c r="D9180" t="inlineStr">
        <is>
          <t>1343-07-23</t>
        </is>
      </c>
    </row>
    <row r="9181">
      <c r="A9181" s="1" t="n">
        <v>9180</v>
      </c>
      <c r="B9181">
        <f>TEXT(9180, "[$-170000]yyyy-mm-dd")</f>
        <v/>
      </c>
      <c r="C9181">
        <f>TEXT(9180, "[$-060000]yyyy-mm-dd")</f>
        <v/>
      </c>
      <c r="D9181" t="inlineStr">
        <is>
          <t>1343-07-24</t>
        </is>
      </c>
    </row>
    <row r="9182">
      <c r="A9182" s="1" t="n">
        <v>9181</v>
      </c>
      <c r="B9182">
        <f>TEXT(9181, "[$-170000]yyyy-mm-dd")</f>
        <v/>
      </c>
      <c r="C9182">
        <f>TEXT(9181, "[$-060000]yyyy-mm-dd")</f>
        <v/>
      </c>
      <c r="D9182" t="inlineStr">
        <is>
          <t>1343-07-25</t>
        </is>
      </c>
    </row>
    <row r="9183">
      <c r="A9183" s="1" t="n">
        <v>9182</v>
      </c>
      <c r="B9183">
        <f>TEXT(9182, "[$-170000]yyyy-mm-dd")</f>
        <v/>
      </c>
      <c r="C9183">
        <f>TEXT(9182, "[$-060000]yyyy-mm-dd")</f>
        <v/>
      </c>
      <c r="D9183" t="inlineStr">
        <is>
          <t>1343-07-26</t>
        </is>
      </c>
    </row>
    <row r="9184">
      <c r="A9184" s="1" t="n">
        <v>9183</v>
      </c>
      <c r="B9184">
        <f>TEXT(9183, "[$-170000]yyyy-mm-dd")</f>
        <v/>
      </c>
      <c r="C9184">
        <f>TEXT(9183, "[$-060000]yyyy-mm-dd")</f>
        <v/>
      </c>
      <c r="D9184" t="inlineStr">
        <is>
          <t>1343-07-27</t>
        </is>
      </c>
    </row>
    <row r="9185">
      <c r="A9185" s="1" t="n">
        <v>9184</v>
      </c>
      <c r="B9185">
        <f>TEXT(9184, "[$-170000]yyyy-mm-dd")</f>
        <v/>
      </c>
      <c r="C9185">
        <f>TEXT(9184, "[$-060000]yyyy-mm-dd")</f>
        <v/>
      </c>
      <c r="D9185" t="inlineStr">
        <is>
          <t>1343-07-28</t>
        </is>
      </c>
    </row>
    <row r="9186">
      <c r="A9186" s="1" t="n">
        <v>9185</v>
      </c>
      <c r="B9186">
        <f>TEXT(9185, "[$-170000]yyyy-mm-dd")</f>
        <v/>
      </c>
      <c r="C9186">
        <f>TEXT(9185, "[$-060000]yyyy-mm-dd")</f>
        <v/>
      </c>
      <c r="D9186" t="inlineStr">
        <is>
          <t>1343-07-29</t>
        </is>
      </c>
    </row>
    <row r="9187">
      <c r="A9187" s="1" t="n">
        <v>9186</v>
      </c>
      <c r="B9187">
        <f>TEXT(9186, "[$-170000]yyyy-mm-dd")</f>
        <v/>
      </c>
      <c r="C9187">
        <f>TEXT(9186, "[$-060000]yyyy-mm-dd")</f>
        <v/>
      </c>
      <c r="D9187" t="inlineStr">
        <is>
          <t>1343-07-30</t>
        </is>
      </c>
    </row>
    <row r="9188">
      <c r="A9188" s="1" t="n">
        <v>9187</v>
      </c>
      <c r="B9188">
        <f>TEXT(9187, "[$-170000]yyyy-mm-dd")</f>
        <v/>
      </c>
      <c r="C9188">
        <f>TEXT(9187, "[$-060000]yyyy-mm-dd")</f>
        <v/>
      </c>
      <c r="D9188" t="inlineStr">
        <is>
          <t>1343-08-01</t>
        </is>
      </c>
    </row>
    <row r="9189">
      <c r="A9189" s="1" t="n">
        <v>9188</v>
      </c>
      <c r="B9189">
        <f>TEXT(9188, "[$-170000]yyyy-mm-dd")</f>
        <v/>
      </c>
      <c r="C9189">
        <f>TEXT(9188, "[$-060000]yyyy-mm-dd")</f>
        <v/>
      </c>
      <c r="D9189" t="inlineStr">
        <is>
          <t>1343-08-02</t>
        </is>
      </c>
    </row>
    <row r="9190">
      <c r="A9190" s="1" t="n">
        <v>9189</v>
      </c>
      <c r="B9190">
        <f>TEXT(9189, "[$-170000]yyyy-mm-dd")</f>
        <v/>
      </c>
      <c r="C9190">
        <f>TEXT(9189, "[$-060000]yyyy-mm-dd")</f>
        <v/>
      </c>
      <c r="D9190" t="inlineStr">
        <is>
          <t>1343-08-03</t>
        </is>
      </c>
    </row>
    <row r="9191">
      <c r="A9191" s="1" t="n">
        <v>9190</v>
      </c>
      <c r="B9191">
        <f>TEXT(9190, "[$-170000]yyyy-mm-dd")</f>
        <v/>
      </c>
      <c r="C9191">
        <f>TEXT(9190, "[$-060000]yyyy-mm-dd")</f>
        <v/>
      </c>
      <c r="D9191" t="inlineStr">
        <is>
          <t>1343-08-04</t>
        </is>
      </c>
    </row>
    <row r="9192">
      <c r="A9192" s="1" t="n">
        <v>9191</v>
      </c>
      <c r="B9192">
        <f>TEXT(9191, "[$-170000]yyyy-mm-dd")</f>
        <v/>
      </c>
      <c r="C9192">
        <f>TEXT(9191, "[$-060000]yyyy-mm-dd")</f>
        <v/>
      </c>
      <c r="D9192" t="inlineStr">
        <is>
          <t>1343-08-05</t>
        </is>
      </c>
    </row>
    <row r="9193">
      <c r="A9193" s="1" t="n">
        <v>9192</v>
      </c>
      <c r="B9193">
        <f>TEXT(9192, "[$-170000]yyyy-mm-dd")</f>
        <v/>
      </c>
      <c r="C9193">
        <f>TEXT(9192, "[$-060000]yyyy-mm-dd")</f>
        <v/>
      </c>
      <c r="D9193" t="inlineStr">
        <is>
          <t>1343-08-06</t>
        </is>
      </c>
    </row>
    <row r="9194">
      <c r="A9194" s="1" t="n">
        <v>9193</v>
      </c>
      <c r="B9194">
        <f>TEXT(9193, "[$-170000]yyyy-mm-dd")</f>
        <v/>
      </c>
      <c r="C9194">
        <f>TEXT(9193, "[$-060000]yyyy-mm-dd")</f>
        <v/>
      </c>
      <c r="D9194" t="inlineStr">
        <is>
          <t>1343-08-07</t>
        </is>
      </c>
    </row>
    <row r="9195">
      <c r="A9195" s="1" t="n">
        <v>9194</v>
      </c>
      <c r="B9195">
        <f>TEXT(9194, "[$-170000]yyyy-mm-dd")</f>
        <v/>
      </c>
      <c r="C9195">
        <f>TEXT(9194, "[$-060000]yyyy-mm-dd")</f>
        <v/>
      </c>
      <c r="D9195" t="inlineStr">
        <is>
          <t>1343-08-08</t>
        </is>
      </c>
    </row>
    <row r="9196">
      <c r="A9196" s="1" t="n">
        <v>9195</v>
      </c>
      <c r="B9196">
        <f>TEXT(9195, "[$-170000]yyyy-mm-dd")</f>
        <v/>
      </c>
      <c r="C9196">
        <f>TEXT(9195, "[$-060000]yyyy-mm-dd")</f>
        <v/>
      </c>
      <c r="D9196" t="inlineStr">
        <is>
          <t>1343-08-09</t>
        </is>
      </c>
    </row>
    <row r="9197">
      <c r="A9197" s="1" t="n">
        <v>9196</v>
      </c>
      <c r="B9197">
        <f>TEXT(9196, "[$-170000]yyyy-mm-dd")</f>
        <v/>
      </c>
      <c r="C9197">
        <f>TEXT(9196, "[$-060000]yyyy-mm-dd")</f>
        <v/>
      </c>
      <c r="D9197" t="inlineStr">
        <is>
          <t>1343-08-10</t>
        </is>
      </c>
    </row>
    <row r="9198">
      <c r="A9198" s="1" t="n">
        <v>9197</v>
      </c>
      <c r="B9198">
        <f>TEXT(9197, "[$-170000]yyyy-mm-dd")</f>
        <v/>
      </c>
      <c r="C9198">
        <f>TEXT(9197, "[$-060000]yyyy-mm-dd")</f>
        <v/>
      </c>
      <c r="D9198" t="inlineStr">
        <is>
          <t>1343-08-11</t>
        </is>
      </c>
    </row>
    <row r="9199">
      <c r="A9199" s="1" t="n">
        <v>9198</v>
      </c>
      <c r="B9199">
        <f>TEXT(9198, "[$-170000]yyyy-mm-dd")</f>
        <v/>
      </c>
      <c r="C9199">
        <f>TEXT(9198, "[$-060000]yyyy-mm-dd")</f>
        <v/>
      </c>
      <c r="D9199" t="inlineStr">
        <is>
          <t>1343-08-12</t>
        </is>
      </c>
    </row>
    <row r="9200">
      <c r="A9200" s="1" t="n">
        <v>9199</v>
      </c>
      <c r="B9200">
        <f>TEXT(9199, "[$-170000]yyyy-mm-dd")</f>
        <v/>
      </c>
      <c r="C9200">
        <f>TEXT(9199, "[$-060000]yyyy-mm-dd")</f>
        <v/>
      </c>
      <c r="D9200" t="inlineStr">
        <is>
          <t>1343-08-13</t>
        </is>
      </c>
    </row>
    <row r="9201">
      <c r="A9201" s="1" t="n">
        <v>9200</v>
      </c>
      <c r="B9201">
        <f>TEXT(9200, "[$-170000]yyyy-mm-dd")</f>
        <v/>
      </c>
      <c r="C9201">
        <f>TEXT(9200, "[$-060000]yyyy-mm-dd")</f>
        <v/>
      </c>
      <c r="D9201" t="inlineStr">
        <is>
          <t>1343-08-14</t>
        </is>
      </c>
    </row>
    <row r="9202">
      <c r="A9202" s="1" t="n">
        <v>9201</v>
      </c>
      <c r="B9202">
        <f>TEXT(9201, "[$-170000]yyyy-mm-dd")</f>
        <v/>
      </c>
      <c r="C9202">
        <f>TEXT(9201, "[$-060000]yyyy-mm-dd")</f>
        <v/>
      </c>
      <c r="D9202" t="inlineStr">
        <is>
          <t>1343-08-15</t>
        </is>
      </c>
    </row>
    <row r="9203">
      <c r="A9203" s="1" t="n">
        <v>9202</v>
      </c>
      <c r="B9203">
        <f>TEXT(9202, "[$-170000]yyyy-mm-dd")</f>
        <v/>
      </c>
      <c r="C9203">
        <f>TEXT(9202, "[$-060000]yyyy-mm-dd")</f>
        <v/>
      </c>
      <c r="D9203" t="inlineStr">
        <is>
          <t>1343-08-16</t>
        </is>
      </c>
    </row>
    <row r="9204">
      <c r="A9204" s="1" t="n">
        <v>9203</v>
      </c>
      <c r="B9204">
        <f>TEXT(9203, "[$-170000]yyyy-mm-dd")</f>
        <v/>
      </c>
      <c r="C9204">
        <f>TEXT(9203, "[$-060000]yyyy-mm-dd")</f>
        <v/>
      </c>
      <c r="D9204" t="inlineStr">
        <is>
          <t>1343-08-17</t>
        </is>
      </c>
    </row>
    <row r="9205">
      <c r="A9205" s="1" t="n">
        <v>9204</v>
      </c>
      <c r="B9205">
        <f>TEXT(9204, "[$-170000]yyyy-mm-dd")</f>
        <v/>
      </c>
      <c r="C9205">
        <f>TEXT(9204, "[$-060000]yyyy-mm-dd")</f>
        <v/>
      </c>
      <c r="D9205" t="inlineStr">
        <is>
          <t>1343-08-18</t>
        </is>
      </c>
    </row>
    <row r="9206">
      <c r="A9206" s="1" t="n">
        <v>9205</v>
      </c>
      <c r="B9206">
        <f>TEXT(9205, "[$-170000]yyyy-mm-dd")</f>
        <v/>
      </c>
      <c r="C9206">
        <f>TEXT(9205, "[$-060000]yyyy-mm-dd")</f>
        <v/>
      </c>
      <c r="D9206" t="inlineStr">
        <is>
          <t>1343-08-19</t>
        </is>
      </c>
    </row>
    <row r="9207">
      <c r="A9207" s="1" t="n">
        <v>9206</v>
      </c>
      <c r="B9207">
        <f>TEXT(9206, "[$-170000]yyyy-mm-dd")</f>
        <v/>
      </c>
      <c r="C9207">
        <f>TEXT(9206, "[$-060000]yyyy-mm-dd")</f>
        <v/>
      </c>
      <c r="D9207" t="inlineStr">
        <is>
          <t>1343-08-20</t>
        </is>
      </c>
    </row>
    <row r="9208">
      <c r="A9208" s="1" t="n">
        <v>9207</v>
      </c>
      <c r="B9208">
        <f>TEXT(9207, "[$-170000]yyyy-mm-dd")</f>
        <v/>
      </c>
      <c r="C9208">
        <f>TEXT(9207, "[$-060000]yyyy-mm-dd")</f>
        <v/>
      </c>
      <c r="D9208" t="inlineStr">
        <is>
          <t>1343-08-21</t>
        </is>
      </c>
    </row>
    <row r="9209">
      <c r="A9209" s="1" t="n">
        <v>9208</v>
      </c>
      <c r="B9209">
        <f>TEXT(9208, "[$-170000]yyyy-mm-dd")</f>
        <v/>
      </c>
      <c r="C9209">
        <f>TEXT(9208, "[$-060000]yyyy-mm-dd")</f>
        <v/>
      </c>
      <c r="D9209" t="inlineStr">
        <is>
          <t>1343-08-22</t>
        </is>
      </c>
    </row>
    <row r="9210">
      <c r="A9210" s="1" t="n">
        <v>9209</v>
      </c>
      <c r="B9210">
        <f>TEXT(9209, "[$-170000]yyyy-mm-dd")</f>
        <v/>
      </c>
      <c r="C9210">
        <f>TEXT(9209, "[$-060000]yyyy-mm-dd")</f>
        <v/>
      </c>
      <c r="D9210" t="inlineStr">
        <is>
          <t>1343-08-23</t>
        </is>
      </c>
    </row>
    <row r="9211">
      <c r="A9211" s="1" t="n">
        <v>9210</v>
      </c>
      <c r="B9211">
        <f>TEXT(9210, "[$-170000]yyyy-mm-dd")</f>
        <v/>
      </c>
      <c r="C9211">
        <f>TEXT(9210, "[$-060000]yyyy-mm-dd")</f>
        <v/>
      </c>
      <c r="D9211" t="inlineStr">
        <is>
          <t>1343-08-24</t>
        </is>
      </c>
    </row>
    <row r="9212">
      <c r="A9212" s="1" t="n">
        <v>9211</v>
      </c>
      <c r="B9212">
        <f>TEXT(9211, "[$-170000]yyyy-mm-dd")</f>
        <v/>
      </c>
      <c r="C9212">
        <f>TEXT(9211, "[$-060000]yyyy-mm-dd")</f>
        <v/>
      </c>
      <c r="D9212" t="inlineStr">
        <is>
          <t>1343-08-25</t>
        </is>
      </c>
    </row>
    <row r="9213">
      <c r="A9213" s="1" t="n">
        <v>9212</v>
      </c>
      <c r="B9213">
        <f>TEXT(9212, "[$-170000]yyyy-mm-dd")</f>
        <v/>
      </c>
      <c r="C9213">
        <f>TEXT(9212, "[$-060000]yyyy-mm-dd")</f>
        <v/>
      </c>
      <c r="D9213" t="inlineStr">
        <is>
          <t>1343-08-26</t>
        </is>
      </c>
    </row>
    <row r="9214">
      <c r="A9214" s="1" t="n">
        <v>9213</v>
      </c>
      <c r="B9214">
        <f>TEXT(9213, "[$-170000]yyyy-mm-dd")</f>
        <v/>
      </c>
      <c r="C9214">
        <f>TEXT(9213, "[$-060000]yyyy-mm-dd")</f>
        <v/>
      </c>
      <c r="D9214" t="inlineStr">
        <is>
          <t>1343-08-27</t>
        </is>
      </c>
    </row>
    <row r="9215">
      <c r="A9215" s="1" t="n">
        <v>9214</v>
      </c>
      <c r="B9215">
        <f>TEXT(9214, "[$-170000]yyyy-mm-dd")</f>
        <v/>
      </c>
      <c r="C9215">
        <f>TEXT(9214, "[$-060000]yyyy-mm-dd")</f>
        <v/>
      </c>
      <c r="D9215" t="inlineStr">
        <is>
          <t>1343-08-28</t>
        </is>
      </c>
    </row>
    <row r="9216">
      <c r="A9216" s="1" t="n">
        <v>9215</v>
      </c>
      <c r="B9216">
        <f>TEXT(9215, "[$-170000]yyyy-mm-dd")</f>
        <v/>
      </c>
      <c r="C9216">
        <f>TEXT(9215, "[$-060000]yyyy-mm-dd")</f>
        <v/>
      </c>
      <c r="D9216" t="inlineStr">
        <is>
          <t>1343-08-29</t>
        </is>
      </c>
    </row>
    <row r="9217">
      <c r="A9217" s="1" t="n">
        <v>9216</v>
      </c>
      <c r="B9217">
        <f>TEXT(9216, "[$-170000]yyyy-mm-dd")</f>
        <v/>
      </c>
      <c r="C9217">
        <f>TEXT(9216, "[$-060000]yyyy-mm-dd")</f>
        <v/>
      </c>
      <c r="D9217" t="inlineStr">
        <is>
          <t>1343-09-01</t>
        </is>
      </c>
    </row>
    <row r="9218">
      <c r="A9218" s="1" t="n">
        <v>9217</v>
      </c>
      <c r="B9218">
        <f>TEXT(9217, "[$-170000]yyyy-mm-dd")</f>
        <v/>
      </c>
      <c r="C9218">
        <f>TEXT(9217, "[$-060000]yyyy-mm-dd")</f>
        <v/>
      </c>
      <c r="D9218" t="inlineStr">
        <is>
          <t>1343-09-02</t>
        </is>
      </c>
    </row>
    <row r="9219">
      <c r="A9219" s="1" t="n">
        <v>9218</v>
      </c>
      <c r="B9219">
        <f>TEXT(9218, "[$-170000]yyyy-mm-dd")</f>
        <v/>
      </c>
      <c r="C9219">
        <f>TEXT(9218, "[$-060000]yyyy-mm-dd")</f>
        <v/>
      </c>
      <c r="D9219" t="inlineStr">
        <is>
          <t>1343-09-03</t>
        </is>
      </c>
    </row>
    <row r="9220">
      <c r="A9220" s="1" t="n">
        <v>9219</v>
      </c>
      <c r="B9220">
        <f>TEXT(9219, "[$-170000]yyyy-mm-dd")</f>
        <v/>
      </c>
      <c r="C9220">
        <f>TEXT(9219, "[$-060000]yyyy-mm-dd")</f>
        <v/>
      </c>
      <c r="D9220" t="inlineStr">
        <is>
          <t>1343-09-04</t>
        </is>
      </c>
    </row>
    <row r="9221">
      <c r="A9221" s="1" t="n">
        <v>9220</v>
      </c>
      <c r="B9221">
        <f>TEXT(9220, "[$-170000]yyyy-mm-dd")</f>
        <v/>
      </c>
      <c r="C9221">
        <f>TEXT(9220, "[$-060000]yyyy-mm-dd")</f>
        <v/>
      </c>
      <c r="D9221" t="inlineStr">
        <is>
          <t>1343-09-05</t>
        </is>
      </c>
    </row>
    <row r="9222">
      <c r="A9222" s="1" t="n">
        <v>9221</v>
      </c>
      <c r="B9222">
        <f>TEXT(9221, "[$-170000]yyyy-mm-dd")</f>
        <v/>
      </c>
      <c r="C9222">
        <f>TEXT(9221, "[$-060000]yyyy-mm-dd")</f>
        <v/>
      </c>
      <c r="D9222" t="inlineStr">
        <is>
          <t>1343-09-06</t>
        </is>
      </c>
    </row>
    <row r="9223">
      <c r="A9223" s="1" t="n">
        <v>9222</v>
      </c>
      <c r="B9223">
        <f>TEXT(9222, "[$-170000]yyyy-mm-dd")</f>
        <v/>
      </c>
      <c r="C9223">
        <f>TEXT(9222, "[$-060000]yyyy-mm-dd")</f>
        <v/>
      </c>
      <c r="D9223" t="inlineStr">
        <is>
          <t>1343-09-07</t>
        </is>
      </c>
    </row>
    <row r="9224">
      <c r="A9224" s="1" t="n">
        <v>9223</v>
      </c>
      <c r="B9224">
        <f>TEXT(9223, "[$-170000]yyyy-mm-dd")</f>
        <v/>
      </c>
      <c r="C9224">
        <f>TEXT(9223, "[$-060000]yyyy-mm-dd")</f>
        <v/>
      </c>
      <c r="D9224" t="inlineStr">
        <is>
          <t>1343-09-08</t>
        </is>
      </c>
    </row>
    <row r="9225">
      <c r="A9225" s="1" t="n">
        <v>9224</v>
      </c>
      <c r="B9225">
        <f>TEXT(9224, "[$-170000]yyyy-mm-dd")</f>
        <v/>
      </c>
      <c r="C9225">
        <f>TEXT(9224, "[$-060000]yyyy-mm-dd")</f>
        <v/>
      </c>
      <c r="D9225" t="inlineStr">
        <is>
          <t>1343-09-09</t>
        </is>
      </c>
    </row>
    <row r="9226">
      <c r="A9226" s="1" t="n">
        <v>9225</v>
      </c>
      <c r="B9226">
        <f>TEXT(9225, "[$-170000]yyyy-mm-dd")</f>
        <v/>
      </c>
      <c r="C9226">
        <f>TEXT(9225, "[$-060000]yyyy-mm-dd")</f>
        <v/>
      </c>
      <c r="D9226" t="inlineStr">
        <is>
          <t>1343-09-10</t>
        </is>
      </c>
    </row>
    <row r="9227">
      <c r="A9227" s="1" t="n">
        <v>9226</v>
      </c>
      <c r="B9227">
        <f>TEXT(9226, "[$-170000]yyyy-mm-dd")</f>
        <v/>
      </c>
      <c r="C9227">
        <f>TEXT(9226, "[$-060000]yyyy-mm-dd")</f>
        <v/>
      </c>
      <c r="D9227" t="inlineStr">
        <is>
          <t>1343-09-11</t>
        </is>
      </c>
    </row>
    <row r="9228">
      <c r="A9228" s="1" t="n">
        <v>9227</v>
      </c>
      <c r="B9228">
        <f>TEXT(9227, "[$-170000]yyyy-mm-dd")</f>
        <v/>
      </c>
      <c r="C9228">
        <f>TEXT(9227, "[$-060000]yyyy-mm-dd")</f>
        <v/>
      </c>
      <c r="D9228" t="inlineStr">
        <is>
          <t>1343-09-12</t>
        </is>
      </c>
    </row>
    <row r="9229">
      <c r="A9229" s="1" t="n">
        <v>9228</v>
      </c>
      <c r="B9229">
        <f>TEXT(9228, "[$-170000]yyyy-mm-dd")</f>
        <v/>
      </c>
      <c r="C9229">
        <f>TEXT(9228, "[$-060000]yyyy-mm-dd")</f>
        <v/>
      </c>
      <c r="D9229" t="inlineStr">
        <is>
          <t>1343-09-13</t>
        </is>
      </c>
    </row>
    <row r="9230">
      <c r="A9230" s="1" t="n">
        <v>9229</v>
      </c>
      <c r="B9230">
        <f>TEXT(9229, "[$-170000]yyyy-mm-dd")</f>
        <v/>
      </c>
      <c r="C9230">
        <f>TEXT(9229, "[$-060000]yyyy-mm-dd")</f>
        <v/>
      </c>
      <c r="D9230" t="inlineStr">
        <is>
          <t>1343-09-14</t>
        </is>
      </c>
    </row>
    <row r="9231">
      <c r="A9231" s="1" t="n">
        <v>9230</v>
      </c>
      <c r="B9231">
        <f>TEXT(9230, "[$-170000]yyyy-mm-dd")</f>
        <v/>
      </c>
      <c r="C9231">
        <f>TEXT(9230, "[$-060000]yyyy-mm-dd")</f>
        <v/>
      </c>
      <c r="D9231" t="inlineStr">
        <is>
          <t>1343-09-15</t>
        </is>
      </c>
    </row>
    <row r="9232">
      <c r="A9232" s="1" t="n">
        <v>9231</v>
      </c>
      <c r="B9232">
        <f>TEXT(9231, "[$-170000]yyyy-mm-dd")</f>
        <v/>
      </c>
      <c r="C9232">
        <f>TEXT(9231, "[$-060000]yyyy-mm-dd")</f>
        <v/>
      </c>
      <c r="D9232" t="inlineStr">
        <is>
          <t>1343-09-16</t>
        </is>
      </c>
    </row>
    <row r="9233">
      <c r="A9233" s="1" t="n">
        <v>9232</v>
      </c>
      <c r="B9233">
        <f>TEXT(9232, "[$-170000]yyyy-mm-dd")</f>
        <v/>
      </c>
      <c r="C9233">
        <f>TEXT(9232, "[$-060000]yyyy-mm-dd")</f>
        <v/>
      </c>
      <c r="D9233" t="inlineStr">
        <is>
          <t>1343-09-17</t>
        </is>
      </c>
    </row>
    <row r="9234">
      <c r="A9234" s="1" t="n">
        <v>9233</v>
      </c>
      <c r="B9234">
        <f>TEXT(9233, "[$-170000]yyyy-mm-dd")</f>
        <v/>
      </c>
      <c r="C9234">
        <f>TEXT(9233, "[$-060000]yyyy-mm-dd")</f>
        <v/>
      </c>
      <c r="D9234" t="inlineStr">
        <is>
          <t>1343-09-18</t>
        </is>
      </c>
    </row>
    <row r="9235">
      <c r="A9235" s="1" t="n">
        <v>9234</v>
      </c>
      <c r="B9235">
        <f>TEXT(9234, "[$-170000]yyyy-mm-dd")</f>
        <v/>
      </c>
      <c r="C9235">
        <f>TEXT(9234, "[$-060000]yyyy-mm-dd")</f>
        <v/>
      </c>
      <c r="D9235" t="inlineStr">
        <is>
          <t>1343-09-19</t>
        </is>
      </c>
    </row>
    <row r="9236">
      <c r="A9236" s="1" t="n">
        <v>9235</v>
      </c>
      <c r="B9236">
        <f>TEXT(9235, "[$-170000]yyyy-mm-dd")</f>
        <v/>
      </c>
      <c r="C9236">
        <f>TEXT(9235, "[$-060000]yyyy-mm-dd")</f>
        <v/>
      </c>
      <c r="D9236" t="inlineStr">
        <is>
          <t>1343-09-20</t>
        </is>
      </c>
    </row>
    <row r="9237">
      <c r="A9237" s="1" t="n">
        <v>9236</v>
      </c>
      <c r="B9237">
        <f>TEXT(9236, "[$-170000]yyyy-mm-dd")</f>
        <v/>
      </c>
      <c r="C9237">
        <f>TEXT(9236, "[$-060000]yyyy-mm-dd")</f>
        <v/>
      </c>
      <c r="D9237" t="inlineStr">
        <is>
          <t>1343-09-21</t>
        </is>
      </c>
    </row>
    <row r="9238">
      <c r="A9238" s="1" t="n">
        <v>9237</v>
      </c>
      <c r="B9238">
        <f>TEXT(9237, "[$-170000]yyyy-mm-dd")</f>
        <v/>
      </c>
      <c r="C9238">
        <f>TEXT(9237, "[$-060000]yyyy-mm-dd")</f>
        <v/>
      </c>
      <c r="D9238" t="inlineStr">
        <is>
          <t>1343-09-22</t>
        </is>
      </c>
    </row>
    <row r="9239">
      <c r="A9239" s="1" t="n">
        <v>9238</v>
      </c>
      <c r="B9239">
        <f>TEXT(9238, "[$-170000]yyyy-mm-dd")</f>
        <v/>
      </c>
      <c r="C9239">
        <f>TEXT(9238, "[$-060000]yyyy-mm-dd")</f>
        <v/>
      </c>
      <c r="D9239" t="inlineStr">
        <is>
          <t>1343-09-23</t>
        </is>
      </c>
    </row>
    <row r="9240">
      <c r="A9240" s="1" t="n">
        <v>9239</v>
      </c>
      <c r="B9240">
        <f>TEXT(9239, "[$-170000]yyyy-mm-dd")</f>
        <v/>
      </c>
      <c r="C9240">
        <f>TEXT(9239, "[$-060000]yyyy-mm-dd")</f>
        <v/>
      </c>
      <c r="D9240" t="inlineStr">
        <is>
          <t>1343-09-24</t>
        </is>
      </c>
    </row>
    <row r="9241">
      <c r="A9241" s="1" t="n">
        <v>9240</v>
      </c>
      <c r="B9241">
        <f>TEXT(9240, "[$-170000]yyyy-mm-dd")</f>
        <v/>
      </c>
      <c r="C9241">
        <f>TEXT(9240, "[$-060000]yyyy-mm-dd")</f>
        <v/>
      </c>
      <c r="D9241" t="inlineStr">
        <is>
          <t>1343-09-25</t>
        </is>
      </c>
    </row>
    <row r="9242">
      <c r="A9242" s="1" t="n">
        <v>9241</v>
      </c>
      <c r="B9242">
        <f>TEXT(9241, "[$-170000]yyyy-mm-dd")</f>
        <v/>
      </c>
      <c r="C9242">
        <f>TEXT(9241, "[$-060000]yyyy-mm-dd")</f>
        <v/>
      </c>
      <c r="D9242" t="inlineStr">
        <is>
          <t>1343-09-26</t>
        </is>
      </c>
    </row>
    <row r="9243">
      <c r="A9243" s="1" t="n">
        <v>9242</v>
      </c>
      <c r="B9243">
        <f>TEXT(9242, "[$-170000]yyyy-mm-dd")</f>
        <v/>
      </c>
      <c r="C9243">
        <f>TEXT(9242, "[$-060000]yyyy-mm-dd")</f>
        <v/>
      </c>
      <c r="D9243" t="inlineStr">
        <is>
          <t>1343-09-27</t>
        </is>
      </c>
    </row>
    <row r="9244">
      <c r="A9244" s="1" t="n">
        <v>9243</v>
      </c>
      <c r="B9244">
        <f>TEXT(9243, "[$-170000]yyyy-mm-dd")</f>
        <v/>
      </c>
      <c r="C9244">
        <f>TEXT(9243, "[$-060000]yyyy-mm-dd")</f>
        <v/>
      </c>
      <c r="D9244" t="inlineStr">
        <is>
          <t>1343-09-28</t>
        </is>
      </c>
    </row>
    <row r="9245">
      <c r="A9245" s="1" t="n">
        <v>9244</v>
      </c>
      <c r="B9245">
        <f>TEXT(9244, "[$-170000]yyyy-mm-dd")</f>
        <v/>
      </c>
      <c r="C9245">
        <f>TEXT(9244, "[$-060000]yyyy-mm-dd")</f>
        <v/>
      </c>
      <c r="D9245" t="inlineStr">
        <is>
          <t>1343-09-29</t>
        </is>
      </c>
    </row>
    <row r="9246">
      <c r="A9246" s="1" t="n">
        <v>9245</v>
      </c>
      <c r="B9246">
        <f>TEXT(9245, "[$-170000]yyyy-mm-dd")</f>
        <v/>
      </c>
      <c r="C9246">
        <f>TEXT(9245, "[$-060000]yyyy-mm-dd")</f>
        <v/>
      </c>
      <c r="D9246" t="inlineStr">
        <is>
          <t>1343-09-30</t>
        </is>
      </c>
    </row>
    <row r="9247">
      <c r="A9247" s="1" t="n">
        <v>9246</v>
      </c>
      <c r="B9247">
        <f>TEXT(9246, "[$-170000]yyyy-mm-dd")</f>
        <v/>
      </c>
      <c r="C9247">
        <f>TEXT(9246, "[$-060000]yyyy-mm-dd")</f>
        <v/>
      </c>
      <c r="D9247" t="inlineStr">
        <is>
          <t>1343-10-01</t>
        </is>
      </c>
    </row>
    <row r="9248">
      <c r="A9248" s="1" t="n">
        <v>9247</v>
      </c>
      <c r="B9248">
        <f>TEXT(9247, "[$-170000]yyyy-mm-dd")</f>
        <v/>
      </c>
      <c r="C9248">
        <f>TEXT(9247, "[$-060000]yyyy-mm-dd")</f>
        <v/>
      </c>
      <c r="D9248" t="inlineStr">
        <is>
          <t>1343-10-02</t>
        </is>
      </c>
    </row>
    <row r="9249">
      <c r="A9249" s="1" t="n">
        <v>9248</v>
      </c>
      <c r="B9249">
        <f>TEXT(9248, "[$-170000]yyyy-mm-dd")</f>
        <v/>
      </c>
      <c r="C9249">
        <f>TEXT(9248, "[$-060000]yyyy-mm-dd")</f>
        <v/>
      </c>
      <c r="D9249" t="inlineStr">
        <is>
          <t>1343-10-03</t>
        </is>
      </c>
    </row>
    <row r="9250">
      <c r="A9250" s="1" t="n">
        <v>9249</v>
      </c>
      <c r="B9250">
        <f>TEXT(9249, "[$-170000]yyyy-mm-dd")</f>
        <v/>
      </c>
      <c r="C9250">
        <f>TEXT(9249, "[$-060000]yyyy-mm-dd")</f>
        <v/>
      </c>
      <c r="D9250" t="inlineStr">
        <is>
          <t>1343-10-04</t>
        </is>
      </c>
    </row>
    <row r="9251">
      <c r="A9251" s="1" t="n">
        <v>9250</v>
      </c>
      <c r="B9251">
        <f>TEXT(9250, "[$-170000]yyyy-mm-dd")</f>
        <v/>
      </c>
      <c r="C9251">
        <f>TEXT(9250, "[$-060000]yyyy-mm-dd")</f>
        <v/>
      </c>
      <c r="D9251" t="inlineStr">
        <is>
          <t>1343-10-05</t>
        </is>
      </c>
    </row>
    <row r="9252">
      <c r="A9252" s="1" t="n">
        <v>9251</v>
      </c>
      <c r="B9252">
        <f>TEXT(9251, "[$-170000]yyyy-mm-dd")</f>
        <v/>
      </c>
      <c r="C9252">
        <f>TEXT(9251, "[$-060000]yyyy-mm-dd")</f>
        <v/>
      </c>
      <c r="D9252" t="inlineStr">
        <is>
          <t>1343-10-06</t>
        </is>
      </c>
    </row>
    <row r="9253">
      <c r="A9253" s="1" t="n">
        <v>9252</v>
      </c>
      <c r="B9253">
        <f>TEXT(9252, "[$-170000]yyyy-mm-dd")</f>
        <v/>
      </c>
      <c r="C9253">
        <f>TEXT(9252, "[$-060000]yyyy-mm-dd")</f>
        <v/>
      </c>
      <c r="D9253" t="inlineStr">
        <is>
          <t>1343-10-07</t>
        </is>
      </c>
    </row>
    <row r="9254">
      <c r="A9254" s="1" t="n">
        <v>9253</v>
      </c>
      <c r="B9254">
        <f>TEXT(9253, "[$-170000]yyyy-mm-dd")</f>
        <v/>
      </c>
      <c r="C9254">
        <f>TEXT(9253, "[$-060000]yyyy-mm-dd")</f>
        <v/>
      </c>
      <c r="D9254" t="inlineStr">
        <is>
          <t>1343-10-08</t>
        </is>
      </c>
    </row>
    <row r="9255">
      <c r="A9255" s="1" t="n">
        <v>9254</v>
      </c>
      <c r="B9255">
        <f>TEXT(9254, "[$-170000]yyyy-mm-dd")</f>
        <v/>
      </c>
      <c r="C9255">
        <f>TEXT(9254, "[$-060000]yyyy-mm-dd")</f>
        <v/>
      </c>
      <c r="D9255" t="inlineStr">
        <is>
          <t>1343-10-09</t>
        </is>
      </c>
    </row>
    <row r="9256">
      <c r="A9256" s="1" t="n">
        <v>9255</v>
      </c>
      <c r="B9256">
        <f>TEXT(9255, "[$-170000]yyyy-mm-dd")</f>
        <v/>
      </c>
      <c r="C9256">
        <f>TEXT(9255, "[$-060000]yyyy-mm-dd")</f>
        <v/>
      </c>
      <c r="D9256" t="inlineStr">
        <is>
          <t>1343-10-10</t>
        </is>
      </c>
    </row>
    <row r="9257">
      <c r="A9257" s="1" t="n">
        <v>9256</v>
      </c>
      <c r="B9257">
        <f>TEXT(9256, "[$-170000]yyyy-mm-dd")</f>
        <v/>
      </c>
      <c r="C9257">
        <f>TEXT(9256, "[$-060000]yyyy-mm-dd")</f>
        <v/>
      </c>
      <c r="D9257" t="inlineStr">
        <is>
          <t>1343-10-11</t>
        </is>
      </c>
    </row>
    <row r="9258">
      <c r="A9258" s="1" t="n">
        <v>9257</v>
      </c>
      <c r="B9258">
        <f>TEXT(9257, "[$-170000]yyyy-mm-dd")</f>
        <v/>
      </c>
      <c r="C9258">
        <f>TEXT(9257, "[$-060000]yyyy-mm-dd")</f>
        <v/>
      </c>
      <c r="D9258" t="inlineStr">
        <is>
          <t>1343-10-12</t>
        </is>
      </c>
    </row>
    <row r="9259">
      <c r="A9259" s="1" t="n">
        <v>9258</v>
      </c>
      <c r="B9259">
        <f>TEXT(9258, "[$-170000]yyyy-mm-dd")</f>
        <v/>
      </c>
      <c r="C9259">
        <f>TEXT(9258, "[$-060000]yyyy-mm-dd")</f>
        <v/>
      </c>
      <c r="D9259" t="inlineStr">
        <is>
          <t>1343-10-13</t>
        </is>
      </c>
    </row>
    <row r="9260">
      <c r="A9260" s="1" t="n">
        <v>9259</v>
      </c>
      <c r="B9260">
        <f>TEXT(9259, "[$-170000]yyyy-mm-dd")</f>
        <v/>
      </c>
      <c r="C9260">
        <f>TEXT(9259, "[$-060000]yyyy-mm-dd")</f>
        <v/>
      </c>
      <c r="D9260" t="inlineStr">
        <is>
          <t>1343-10-14</t>
        </is>
      </c>
    </row>
    <row r="9261">
      <c r="A9261" s="1" t="n">
        <v>9260</v>
      </c>
      <c r="B9261">
        <f>TEXT(9260, "[$-170000]yyyy-mm-dd")</f>
        <v/>
      </c>
      <c r="C9261">
        <f>TEXT(9260, "[$-060000]yyyy-mm-dd")</f>
        <v/>
      </c>
      <c r="D9261" t="inlineStr">
        <is>
          <t>1343-10-15</t>
        </is>
      </c>
    </row>
    <row r="9262">
      <c r="A9262" s="1" t="n">
        <v>9261</v>
      </c>
      <c r="B9262">
        <f>TEXT(9261, "[$-170000]yyyy-mm-dd")</f>
        <v/>
      </c>
      <c r="C9262">
        <f>TEXT(9261, "[$-060000]yyyy-mm-dd")</f>
        <v/>
      </c>
      <c r="D9262" t="inlineStr">
        <is>
          <t>1343-10-16</t>
        </is>
      </c>
    </row>
    <row r="9263">
      <c r="A9263" s="1" t="n">
        <v>9262</v>
      </c>
      <c r="B9263">
        <f>TEXT(9262, "[$-170000]yyyy-mm-dd")</f>
        <v/>
      </c>
      <c r="C9263">
        <f>TEXT(9262, "[$-060000]yyyy-mm-dd")</f>
        <v/>
      </c>
      <c r="D9263" t="inlineStr">
        <is>
          <t>1343-10-17</t>
        </is>
      </c>
    </row>
    <row r="9264">
      <c r="A9264" s="1" t="n">
        <v>9263</v>
      </c>
      <c r="B9264">
        <f>TEXT(9263, "[$-170000]yyyy-mm-dd")</f>
        <v/>
      </c>
      <c r="C9264">
        <f>TEXT(9263, "[$-060000]yyyy-mm-dd")</f>
        <v/>
      </c>
      <c r="D9264" t="inlineStr">
        <is>
          <t>1343-10-18</t>
        </is>
      </c>
    </row>
    <row r="9265">
      <c r="A9265" s="1" t="n">
        <v>9264</v>
      </c>
      <c r="B9265">
        <f>TEXT(9264, "[$-170000]yyyy-mm-dd")</f>
        <v/>
      </c>
      <c r="C9265">
        <f>TEXT(9264, "[$-060000]yyyy-mm-dd")</f>
        <v/>
      </c>
      <c r="D9265" t="inlineStr">
        <is>
          <t>1343-10-19</t>
        </is>
      </c>
    </row>
    <row r="9266">
      <c r="A9266" s="1" t="n">
        <v>9265</v>
      </c>
      <c r="B9266">
        <f>TEXT(9265, "[$-170000]yyyy-mm-dd")</f>
        <v/>
      </c>
      <c r="C9266">
        <f>TEXT(9265, "[$-060000]yyyy-mm-dd")</f>
        <v/>
      </c>
      <c r="D9266" t="inlineStr">
        <is>
          <t>1343-10-20</t>
        </is>
      </c>
    </row>
    <row r="9267">
      <c r="A9267" s="1" t="n">
        <v>9266</v>
      </c>
      <c r="B9267">
        <f>TEXT(9266, "[$-170000]yyyy-mm-dd")</f>
        <v/>
      </c>
      <c r="C9267">
        <f>TEXT(9266, "[$-060000]yyyy-mm-dd")</f>
        <v/>
      </c>
      <c r="D9267" t="inlineStr">
        <is>
          <t>1343-10-21</t>
        </is>
      </c>
    </row>
    <row r="9268">
      <c r="A9268" s="1" t="n">
        <v>9267</v>
      </c>
      <c r="B9268">
        <f>TEXT(9267, "[$-170000]yyyy-mm-dd")</f>
        <v/>
      </c>
      <c r="C9268">
        <f>TEXT(9267, "[$-060000]yyyy-mm-dd")</f>
        <v/>
      </c>
      <c r="D9268" t="inlineStr">
        <is>
          <t>1343-10-22</t>
        </is>
      </c>
    </row>
    <row r="9269">
      <c r="A9269" s="1" t="n">
        <v>9268</v>
      </c>
      <c r="B9269">
        <f>TEXT(9268, "[$-170000]yyyy-mm-dd")</f>
        <v/>
      </c>
      <c r="C9269">
        <f>TEXT(9268, "[$-060000]yyyy-mm-dd")</f>
        <v/>
      </c>
      <c r="D9269" t="inlineStr">
        <is>
          <t>1343-10-23</t>
        </is>
      </c>
    </row>
    <row r="9270">
      <c r="A9270" s="1" t="n">
        <v>9269</v>
      </c>
      <c r="B9270">
        <f>TEXT(9269, "[$-170000]yyyy-mm-dd")</f>
        <v/>
      </c>
      <c r="C9270">
        <f>TEXT(9269, "[$-060000]yyyy-mm-dd")</f>
        <v/>
      </c>
      <c r="D9270" t="inlineStr">
        <is>
          <t>1343-10-24</t>
        </is>
      </c>
    </row>
    <row r="9271">
      <c r="A9271" s="1" t="n">
        <v>9270</v>
      </c>
      <c r="B9271">
        <f>TEXT(9270, "[$-170000]yyyy-mm-dd")</f>
        <v/>
      </c>
      <c r="C9271">
        <f>TEXT(9270, "[$-060000]yyyy-mm-dd")</f>
        <v/>
      </c>
      <c r="D9271" t="inlineStr">
        <is>
          <t>1343-10-25</t>
        </is>
      </c>
    </row>
    <row r="9272">
      <c r="A9272" s="1" t="n">
        <v>9271</v>
      </c>
      <c r="B9272">
        <f>TEXT(9271, "[$-170000]yyyy-mm-dd")</f>
        <v/>
      </c>
      <c r="C9272">
        <f>TEXT(9271, "[$-060000]yyyy-mm-dd")</f>
        <v/>
      </c>
      <c r="D9272" t="inlineStr">
        <is>
          <t>1343-10-26</t>
        </is>
      </c>
    </row>
    <row r="9273">
      <c r="A9273" s="1" t="n">
        <v>9272</v>
      </c>
      <c r="B9273">
        <f>TEXT(9272, "[$-170000]yyyy-mm-dd")</f>
        <v/>
      </c>
      <c r="C9273">
        <f>TEXT(9272, "[$-060000]yyyy-mm-dd")</f>
        <v/>
      </c>
      <c r="D9273" t="inlineStr">
        <is>
          <t>1343-10-27</t>
        </is>
      </c>
    </row>
    <row r="9274">
      <c r="A9274" s="1" t="n">
        <v>9273</v>
      </c>
      <c r="B9274">
        <f>TEXT(9273, "[$-170000]yyyy-mm-dd")</f>
        <v/>
      </c>
      <c r="C9274">
        <f>TEXT(9273, "[$-060000]yyyy-mm-dd")</f>
        <v/>
      </c>
      <c r="D9274" t="inlineStr">
        <is>
          <t>1343-10-28</t>
        </is>
      </c>
    </row>
    <row r="9275">
      <c r="A9275" s="1" t="n">
        <v>9274</v>
      </c>
      <c r="B9275">
        <f>TEXT(9274, "[$-170000]yyyy-mm-dd")</f>
        <v/>
      </c>
      <c r="C9275">
        <f>TEXT(9274, "[$-060000]yyyy-mm-dd")</f>
        <v/>
      </c>
      <c r="D9275" t="inlineStr">
        <is>
          <t>1343-10-29</t>
        </is>
      </c>
    </row>
    <row r="9276">
      <c r="A9276" s="1" t="n">
        <v>9275</v>
      </c>
      <c r="B9276">
        <f>TEXT(9275, "[$-170000]yyyy-mm-dd")</f>
        <v/>
      </c>
      <c r="C9276">
        <f>TEXT(9275, "[$-060000]yyyy-mm-dd")</f>
        <v/>
      </c>
      <c r="D9276" t="inlineStr">
        <is>
          <t>1343-11-01</t>
        </is>
      </c>
    </row>
    <row r="9277">
      <c r="A9277" s="1" t="n">
        <v>9276</v>
      </c>
      <c r="B9277">
        <f>TEXT(9276, "[$-170000]yyyy-mm-dd")</f>
        <v/>
      </c>
      <c r="C9277">
        <f>TEXT(9276, "[$-060000]yyyy-mm-dd")</f>
        <v/>
      </c>
      <c r="D9277" t="inlineStr">
        <is>
          <t>1343-11-02</t>
        </is>
      </c>
    </row>
    <row r="9278">
      <c r="A9278" s="1" t="n">
        <v>9277</v>
      </c>
      <c r="B9278">
        <f>TEXT(9277, "[$-170000]yyyy-mm-dd")</f>
        <v/>
      </c>
      <c r="C9278">
        <f>TEXT(9277, "[$-060000]yyyy-mm-dd")</f>
        <v/>
      </c>
      <c r="D9278" t="inlineStr">
        <is>
          <t>1343-11-03</t>
        </is>
      </c>
    </row>
    <row r="9279">
      <c r="A9279" s="1" t="n">
        <v>9278</v>
      </c>
      <c r="B9279">
        <f>TEXT(9278, "[$-170000]yyyy-mm-dd")</f>
        <v/>
      </c>
      <c r="C9279">
        <f>TEXT(9278, "[$-060000]yyyy-mm-dd")</f>
        <v/>
      </c>
      <c r="D9279" t="inlineStr">
        <is>
          <t>1343-11-04</t>
        </is>
      </c>
    </row>
    <row r="9280">
      <c r="A9280" s="1" t="n">
        <v>9279</v>
      </c>
      <c r="B9280">
        <f>TEXT(9279, "[$-170000]yyyy-mm-dd")</f>
        <v/>
      </c>
      <c r="C9280">
        <f>TEXT(9279, "[$-060000]yyyy-mm-dd")</f>
        <v/>
      </c>
      <c r="D9280" t="inlineStr">
        <is>
          <t>1343-11-05</t>
        </is>
      </c>
    </row>
    <row r="9281">
      <c r="A9281" s="1" t="n">
        <v>9280</v>
      </c>
      <c r="B9281">
        <f>TEXT(9280, "[$-170000]yyyy-mm-dd")</f>
        <v/>
      </c>
      <c r="C9281">
        <f>TEXT(9280, "[$-060000]yyyy-mm-dd")</f>
        <v/>
      </c>
      <c r="D9281" t="inlineStr">
        <is>
          <t>1343-11-06</t>
        </is>
      </c>
    </row>
    <row r="9282">
      <c r="A9282" s="1" t="n">
        <v>9281</v>
      </c>
      <c r="B9282">
        <f>TEXT(9281, "[$-170000]yyyy-mm-dd")</f>
        <v/>
      </c>
      <c r="C9282">
        <f>TEXT(9281, "[$-060000]yyyy-mm-dd")</f>
        <v/>
      </c>
      <c r="D9282" t="inlineStr">
        <is>
          <t>1343-11-07</t>
        </is>
      </c>
    </row>
    <row r="9283">
      <c r="A9283" s="1" t="n">
        <v>9282</v>
      </c>
      <c r="B9283">
        <f>TEXT(9282, "[$-170000]yyyy-mm-dd")</f>
        <v/>
      </c>
      <c r="C9283">
        <f>TEXT(9282, "[$-060000]yyyy-mm-dd")</f>
        <v/>
      </c>
      <c r="D9283" t="inlineStr">
        <is>
          <t>1343-11-08</t>
        </is>
      </c>
    </row>
    <row r="9284">
      <c r="A9284" s="1" t="n">
        <v>9283</v>
      </c>
      <c r="B9284">
        <f>TEXT(9283, "[$-170000]yyyy-mm-dd")</f>
        <v/>
      </c>
      <c r="C9284">
        <f>TEXT(9283, "[$-060000]yyyy-mm-dd")</f>
        <v/>
      </c>
      <c r="D9284" t="inlineStr">
        <is>
          <t>1343-11-09</t>
        </is>
      </c>
    </row>
    <row r="9285">
      <c r="A9285" s="1" t="n">
        <v>9284</v>
      </c>
      <c r="B9285">
        <f>TEXT(9284, "[$-170000]yyyy-mm-dd")</f>
        <v/>
      </c>
      <c r="C9285">
        <f>TEXT(9284, "[$-060000]yyyy-mm-dd")</f>
        <v/>
      </c>
      <c r="D9285" t="inlineStr">
        <is>
          <t>1343-11-10</t>
        </is>
      </c>
    </row>
    <row r="9286">
      <c r="A9286" s="1" t="n">
        <v>9285</v>
      </c>
      <c r="B9286">
        <f>TEXT(9285, "[$-170000]yyyy-mm-dd")</f>
        <v/>
      </c>
      <c r="C9286">
        <f>TEXT(9285, "[$-060000]yyyy-mm-dd")</f>
        <v/>
      </c>
      <c r="D9286" t="inlineStr">
        <is>
          <t>1343-11-11</t>
        </is>
      </c>
    </row>
    <row r="9287">
      <c r="A9287" s="1" t="n">
        <v>9286</v>
      </c>
      <c r="B9287">
        <f>TEXT(9286, "[$-170000]yyyy-mm-dd")</f>
        <v/>
      </c>
      <c r="C9287">
        <f>TEXT(9286, "[$-060000]yyyy-mm-dd")</f>
        <v/>
      </c>
      <c r="D9287" t="inlineStr">
        <is>
          <t>1343-11-12</t>
        </is>
      </c>
    </row>
    <row r="9288">
      <c r="A9288" s="1" t="n">
        <v>9287</v>
      </c>
      <c r="B9288">
        <f>TEXT(9287, "[$-170000]yyyy-mm-dd")</f>
        <v/>
      </c>
      <c r="C9288">
        <f>TEXT(9287, "[$-060000]yyyy-mm-dd")</f>
        <v/>
      </c>
      <c r="D9288" t="inlineStr">
        <is>
          <t>1343-11-13</t>
        </is>
      </c>
    </row>
    <row r="9289">
      <c r="A9289" s="1" t="n">
        <v>9288</v>
      </c>
      <c r="B9289">
        <f>TEXT(9288, "[$-170000]yyyy-mm-dd")</f>
        <v/>
      </c>
      <c r="C9289">
        <f>TEXT(9288, "[$-060000]yyyy-mm-dd")</f>
        <v/>
      </c>
      <c r="D9289" t="inlineStr">
        <is>
          <t>1343-11-14</t>
        </is>
      </c>
    </row>
    <row r="9290">
      <c r="A9290" s="1" t="n">
        <v>9289</v>
      </c>
      <c r="B9290">
        <f>TEXT(9289, "[$-170000]yyyy-mm-dd")</f>
        <v/>
      </c>
      <c r="C9290">
        <f>TEXT(9289, "[$-060000]yyyy-mm-dd")</f>
        <v/>
      </c>
      <c r="D9290" t="inlineStr">
        <is>
          <t>1343-11-15</t>
        </is>
      </c>
    </row>
    <row r="9291">
      <c r="A9291" s="1" t="n">
        <v>9290</v>
      </c>
      <c r="B9291">
        <f>TEXT(9290, "[$-170000]yyyy-mm-dd")</f>
        <v/>
      </c>
      <c r="C9291">
        <f>TEXT(9290, "[$-060000]yyyy-mm-dd")</f>
        <v/>
      </c>
      <c r="D9291" t="inlineStr">
        <is>
          <t>1343-11-16</t>
        </is>
      </c>
    </row>
    <row r="9292">
      <c r="A9292" s="1" t="n">
        <v>9291</v>
      </c>
      <c r="B9292">
        <f>TEXT(9291, "[$-170000]yyyy-mm-dd")</f>
        <v/>
      </c>
      <c r="C9292">
        <f>TEXT(9291, "[$-060000]yyyy-mm-dd")</f>
        <v/>
      </c>
      <c r="D9292" t="inlineStr">
        <is>
          <t>1343-11-17</t>
        </is>
      </c>
    </row>
    <row r="9293">
      <c r="A9293" s="1" t="n">
        <v>9292</v>
      </c>
      <c r="B9293">
        <f>TEXT(9292, "[$-170000]yyyy-mm-dd")</f>
        <v/>
      </c>
      <c r="C9293">
        <f>TEXT(9292, "[$-060000]yyyy-mm-dd")</f>
        <v/>
      </c>
      <c r="D9293" t="inlineStr">
        <is>
          <t>1343-11-18</t>
        </is>
      </c>
    </row>
    <row r="9294">
      <c r="A9294" s="1" t="n">
        <v>9293</v>
      </c>
      <c r="B9294">
        <f>TEXT(9293, "[$-170000]yyyy-mm-dd")</f>
        <v/>
      </c>
      <c r="C9294">
        <f>TEXT(9293, "[$-060000]yyyy-mm-dd")</f>
        <v/>
      </c>
      <c r="D9294" t="inlineStr">
        <is>
          <t>1343-11-19</t>
        </is>
      </c>
    </row>
    <row r="9295">
      <c r="A9295" s="1" t="n">
        <v>9294</v>
      </c>
      <c r="B9295">
        <f>TEXT(9294, "[$-170000]yyyy-mm-dd")</f>
        <v/>
      </c>
      <c r="C9295">
        <f>TEXT(9294, "[$-060000]yyyy-mm-dd")</f>
        <v/>
      </c>
      <c r="D9295" t="inlineStr">
        <is>
          <t>1343-11-20</t>
        </is>
      </c>
    </row>
    <row r="9296">
      <c r="A9296" s="1" t="n">
        <v>9295</v>
      </c>
      <c r="B9296">
        <f>TEXT(9295, "[$-170000]yyyy-mm-dd")</f>
        <v/>
      </c>
      <c r="C9296">
        <f>TEXT(9295, "[$-060000]yyyy-mm-dd")</f>
        <v/>
      </c>
      <c r="D9296" t="inlineStr">
        <is>
          <t>1343-11-21</t>
        </is>
      </c>
    </row>
    <row r="9297">
      <c r="A9297" s="1" t="n">
        <v>9296</v>
      </c>
      <c r="B9297">
        <f>TEXT(9296, "[$-170000]yyyy-mm-dd")</f>
        <v/>
      </c>
      <c r="C9297">
        <f>TEXT(9296, "[$-060000]yyyy-mm-dd")</f>
        <v/>
      </c>
      <c r="D9297" t="inlineStr">
        <is>
          <t>1343-11-22</t>
        </is>
      </c>
    </row>
    <row r="9298">
      <c r="A9298" s="1" t="n">
        <v>9297</v>
      </c>
      <c r="B9298">
        <f>TEXT(9297, "[$-170000]yyyy-mm-dd")</f>
        <v/>
      </c>
      <c r="C9298">
        <f>TEXT(9297, "[$-060000]yyyy-mm-dd")</f>
        <v/>
      </c>
      <c r="D9298" t="inlineStr">
        <is>
          <t>1343-11-23</t>
        </is>
      </c>
    </row>
    <row r="9299">
      <c r="A9299" s="1" t="n">
        <v>9298</v>
      </c>
      <c r="B9299">
        <f>TEXT(9298, "[$-170000]yyyy-mm-dd")</f>
        <v/>
      </c>
      <c r="C9299">
        <f>TEXT(9298, "[$-060000]yyyy-mm-dd")</f>
        <v/>
      </c>
      <c r="D9299" t="inlineStr">
        <is>
          <t>1343-11-24</t>
        </is>
      </c>
    </row>
    <row r="9300">
      <c r="A9300" s="1" t="n">
        <v>9299</v>
      </c>
      <c r="B9300">
        <f>TEXT(9299, "[$-170000]yyyy-mm-dd")</f>
        <v/>
      </c>
      <c r="C9300">
        <f>TEXT(9299, "[$-060000]yyyy-mm-dd")</f>
        <v/>
      </c>
      <c r="D9300" t="inlineStr">
        <is>
          <t>1343-11-25</t>
        </is>
      </c>
    </row>
    <row r="9301">
      <c r="A9301" s="1" t="n">
        <v>9300</v>
      </c>
      <c r="B9301">
        <f>TEXT(9300, "[$-170000]yyyy-mm-dd")</f>
        <v/>
      </c>
      <c r="C9301">
        <f>TEXT(9300, "[$-060000]yyyy-mm-dd")</f>
        <v/>
      </c>
      <c r="D9301" t="inlineStr">
        <is>
          <t>1343-11-26</t>
        </is>
      </c>
    </row>
    <row r="9302">
      <c r="A9302" s="1" t="n">
        <v>9301</v>
      </c>
      <c r="B9302">
        <f>TEXT(9301, "[$-170000]yyyy-mm-dd")</f>
        <v/>
      </c>
      <c r="C9302">
        <f>TEXT(9301, "[$-060000]yyyy-mm-dd")</f>
        <v/>
      </c>
      <c r="D9302" t="inlineStr">
        <is>
          <t>1343-11-27</t>
        </is>
      </c>
    </row>
    <row r="9303">
      <c r="A9303" s="1" t="n">
        <v>9302</v>
      </c>
      <c r="B9303">
        <f>TEXT(9302, "[$-170000]yyyy-mm-dd")</f>
        <v/>
      </c>
      <c r="C9303">
        <f>TEXT(9302, "[$-060000]yyyy-mm-dd")</f>
        <v/>
      </c>
      <c r="D9303" t="inlineStr">
        <is>
          <t>1343-11-28</t>
        </is>
      </c>
    </row>
    <row r="9304">
      <c r="A9304" s="1" t="n">
        <v>9303</v>
      </c>
      <c r="B9304">
        <f>TEXT(9303, "[$-170000]yyyy-mm-dd")</f>
        <v/>
      </c>
      <c r="C9304">
        <f>TEXT(9303, "[$-060000]yyyy-mm-dd")</f>
        <v/>
      </c>
      <c r="D9304" t="inlineStr">
        <is>
          <t>1343-11-29</t>
        </is>
      </c>
    </row>
    <row r="9305">
      <c r="A9305" s="1" t="n">
        <v>9304</v>
      </c>
      <c r="B9305">
        <f>TEXT(9304, "[$-170000]yyyy-mm-dd")</f>
        <v/>
      </c>
      <c r="C9305">
        <f>TEXT(9304, "[$-060000]yyyy-mm-dd")</f>
        <v/>
      </c>
      <c r="D9305" t="inlineStr">
        <is>
          <t>1343-11-30</t>
        </is>
      </c>
    </row>
    <row r="9306">
      <c r="A9306" s="1" t="n">
        <v>9305</v>
      </c>
      <c r="B9306">
        <f>TEXT(9305, "[$-170000]yyyy-mm-dd")</f>
        <v/>
      </c>
      <c r="C9306">
        <f>TEXT(9305, "[$-060000]yyyy-mm-dd")</f>
        <v/>
      </c>
      <c r="D9306" t="inlineStr">
        <is>
          <t>1343-12-01</t>
        </is>
      </c>
    </row>
    <row r="9307">
      <c r="A9307" s="1" t="n">
        <v>9306</v>
      </c>
      <c r="B9307">
        <f>TEXT(9306, "[$-170000]yyyy-mm-dd")</f>
        <v/>
      </c>
      <c r="C9307">
        <f>TEXT(9306, "[$-060000]yyyy-mm-dd")</f>
        <v/>
      </c>
      <c r="D9307" t="inlineStr">
        <is>
          <t>1343-12-02</t>
        </is>
      </c>
    </row>
    <row r="9308">
      <c r="A9308" s="1" t="n">
        <v>9307</v>
      </c>
      <c r="B9308">
        <f>TEXT(9307, "[$-170000]yyyy-mm-dd")</f>
        <v/>
      </c>
      <c r="C9308">
        <f>TEXT(9307, "[$-060000]yyyy-mm-dd")</f>
        <v/>
      </c>
      <c r="D9308" t="inlineStr">
        <is>
          <t>1343-12-03</t>
        </is>
      </c>
    </row>
    <row r="9309">
      <c r="A9309" s="1" t="n">
        <v>9308</v>
      </c>
      <c r="B9309">
        <f>TEXT(9308, "[$-170000]yyyy-mm-dd")</f>
        <v/>
      </c>
      <c r="C9309">
        <f>TEXT(9308, "[$-060000]yyyy-mm-dd")</f>
        <v/>
      </c>
      <c r="D9309" t="inlineStr">
        <is>
          <t>1343-12-04</t>
        </is>
      </c>
    </row>
    <row r="9310">
      <c r="A9310" s="1" t="n">
        <v>9309</v>
      </c>
      <c r="B9310">
        <f>TEXT(9309, "[$-170000]yyyy-mm-dd")</f>
        <v/>
      </c>
      <c r="C9310">
        <f>TEXT(9309, "[$-060000]yyyy-mm-dd")</f>
        <v/>
      </c>
      <c r="D9310" t="inlineStr">
        <is>
          <t>1343-12-05</t>
        </is>
      </c>
    </row>
    <row r="9311">
      <c r="A9311" s="1" t="n">
        <v>9310</v>
      </c>
      <c r="B9311">
        <f>TEXT(9310, "[$-170000]yyyy-mm-dd")</f>
        <v/>
      </c>
      <c r="C9311">
        <f>TEXT(9310, "[$-060000]yyyy-mm-dd")</f>
        <v/>
      </c>
      <c r="D9311" t="inlineStr">
        <is>
          <t>1343-12-06</t>
        </is>
      </c>
    </row>
    <row r="9312">
      <c r="A9312" s="1" t="n">
        <v>9311</v>
      </c>
      <c r="B9312">
        <f>TEXT(9311, "[$-170000]yyyy-mm-dd")</f>
        <v/>
      </c>
      <c r="C9312">
        <f>TEXT(9311, "[$-060000]yyyy-mm-dd")</f>
        <v/>
      </c>
      <c r="D9312" t="inlineStr">
        <is>
          <t>1343-12-07</t>
        </is>
      </c>
    </row>
    <row r="9313">
      <c r="A9313" s="1" t="n">
        <v>9312</v>
      </c>
      <c r="B9313">
        <f>TEXT(9312, "[$-170000]yyyy-mm-dd")</f>
        <v/>
      </c>
      <c r="C9313">
        <f>TEXT(9312, "[$-060000]yyyy-mm-dd")</f>
        <v/>
      </c>
      <c r="D9313" t="inlineStr">
        <is>
          <t>1343-12-08</t>
        </is>
      </c>
    </row>
    <row r="9314">
      <c r="A9314" s="1" t="n">
        <v>9313</v>
      </c>
      <c r="B9314">
        <f>TEXT(9313, "[$-170000]yyyy-mm-dd")</f>
        <v/>
      </c>
      <c r="C9314">
        <f>TEXT(9313, "[$-060000]yyyy-mm-dd")</f>
        <v/>
      </c>
      <c r="D9314" t="inlineStr">
        <is>
          <t>1343-12-09</t>
        </is>
      </c>
    </row>
    <row r="9315">
      <c r="A9315" s="1" t="n">
        <v>9314</v>
      </c>
      <c r="B9315">
        <f>TEXT(9314, "[$-170000]yyyy-mm-dd")</f>
        <v/>
      </c>
      <c r="C9315">
        <f>TEXT(9314, "[$-060000]yyyy-mm-dd")</f>
        <v/>
      </c>
      <c r="D9315" t="inlineStr">
        <is>
          <t>1343-12-10</t>
        </is>
      </c>
    </row>
    <row r="9316">
      <c r="A9316" s="1" t="n">
        <v>9315</v>
      </c>
      <c r="B9316">
        <f>TEXT(9315, "[$-170000]yyyy-mm-dd")</f>
        <v/>
      </c>
      <c r="C9316">
        <f>TEXT(9315, "[$-060000]yyyy-mm-dd")</f>
        <v/>
      </c>
      <c r="D9316" t="inlineStr">
        <is>
          <t>1343-12-11</t>
        </is>
      </c>
    </row>
    <row r="9317">
      <c r="A9317" s="1" t="n">
        <v>9316</v>
      </c>
      <c r="B9317">
        <f>TEXT(9316, "[$-170000]yyyy-mm-dd")</f>
        <v/>
      </c>
      <c r="C9317">
        <f>TEXT(9316, "[$-060000]yyyy-mm-dd")</f>
        <v/>
      </c>
      <c r="D9317" t="inlineStr">
        <is>
          <t>1343-12-12</t>
        </is>
      </c>
    </row>
    <row r="9318">
      <c r="A9318" s="1" t="n">
        <v>9317</v>
      </c>
      <c r="B9318">
        <f>TEXT(9317, "[$-170000]yyyy-mm-dd")</f>
        <v/>
      </c>
      <c r="C9318">
        <f>TEXT(9317, "[$-060000]yyyy-mm-dd")</f>
        <v/>
      </c>
      <c r="D9318" t="inlineStr">
        <is>
          <t>1343-12-13</t>
        </is>
      </c>
    </row>
    <row r="9319">
      <c r="A9319" s="1" t="n">
        <v>9318</v>
      </c>
      <c r="B9319">
        <f>TEXT(9318, "[$-170000]yyyy-mm-dd")</f>
        <v/>
      </c>
      <c r="C9319">
        <f>TEXT(9318, "[$-060000]yyyy-mm-dd")</f>
        <v/>
      </c>
      <c r="D9319" t="inlineStr">
        <is>
          <t>1343-12-14</t>
        </is>
      </c>
    </row>
    <row r="9320">
      <c r="A9320" s="1" t="n">
        <v>9319</v>
      </c>
      <c r="B9320">
        <f>TEXT(9319, "[$-170000]yyyy-mm-dd")</f>
        <v/>
      </c>
      <c r="C9320">
        <f>TEXT(9319, "[$-060000]yyyy-mm-dd")</f>
        <v/>
      </c>
      <c r="D9320" t="inlineStr">
        <is>
          <t>1343-12-15</t>
        </is>
      </c>
    </row>
    <row r="9321">
      <c r="A9321" s="1" t="n">
        <v>9320</v>
      </c>
      <c r="B9321">
        <f>TEXT(9320, "[$-170000]yyyy-mm-dd")</f>
        <v/>
      </c>
      <c r="C9321">
        <f>TEXT(9320, "[$-060000]yyyy-mm-dd")</f>
        <v/>
      </c>
      <c r="D9321" t="inlineStr">
        <is>
          <t>1343-12-16</t>
        </is>
      </c>
    </row>
    <row r="9322">
      <c r="A9322" s="1" t="n">
        <v>9321</v>
      </c>
      <c r="B9322">
        <f>TEXT(9321, "[$-170000]yyyy-mm-dd")</f>
        <v/>
      </c>
      <c r="C9322">
        <f>TEXT(9321, "[$-060000]yyyy-mm-dd")</f>
        <v/>
      </c>
      <c r="D9322" t="inlineStr">
        <is>
          <t>1343-12-17</t>
        </is>
      </c>
    </row>
    <row r="9323">
      <c r="A9323" s="1" t="n">
        <v>9322</v>
      </c>
      <c r="B9323">
        <f>TEXT(9322, "[$-170000]yyyy-mm-dd")</f>
        <v/>
      </c>
      <c r="C9323">
        <f>TEXT(9322, "[$-060000]yyyy-mm-dd")</f>
        <v/>
      </c>
      <c r="D9323" t="inlineStr">
        <is>
          <t>1343-12-18</t>
        </is>
      </c>
    </row>
    <row r="9324">
      <c r="A9324" s="1" t="n">
        <v>9323</v>
      </c>
      <c r="B9324">
        <f>TEXT(9323, "[$-170000]yyyy-mm-dd")</f>
        <v/>
      </c>
      <c r="C9324">
        <f>TEXT(9323, "[$-060000]yyyy-mm-dd")</f>
        <v/>
      </c>
      <c r="D9324" t="inlineStr">
        <is>
          <t>1343-12-19</t>
        </is>
      </c>
    </row>
    <row r="9325">
      <c r="A9325" s="1" t="n">
        <v>9324</v>
      </c>
      <c r="B9325">
        <f>TEXT(9324, "[$-170000]yyyy-mm-dd")</f>
        <v/>
      </c>
      <c r="C9325">
        <f>TEXT(9324, "[$-060000]yyyy-mm-dd")</f>
        <v/>
      </c>
      <c r="D9325" t="inlineStr">
        <is>
          <t>1343-12-20</t>
        </is>
      </c>
    </row>
    <row r="9326">
      <c r="A9326" s="1" t="n">
        <v>9325</v>
      </c>
      <c r="B9326">
        <f>TEXT(9325, "[$-170000]yyyy-mm-dd")</f>
        <v/>
      </c>
      <c r="C9326">
        <f>TEXT(9325, "[$-060000]yyyy-mm-dd")</f>
        <v/>
      </c>
      <c r="D9326" t="inlineStr">
        <is>
          <t>1343-12-21</t>
        </is>
      </c>
    </row>
    <row r="9327">
      <c r="A9327" s="1" t="n">
        <v>9326</v>
      </c>
      <c r="B9327">
        <f>TEXT(9326, "[$-170000]yyyy-mm-dd")</f>
        <v/>
      </c>
      <c r="C9327">
        <f>TEXT(9326, "[$-060000]yyyy-mm-dd")</f>
        <v/>
      </c>
      <c r="D9327" t="inlineStr">
        <is>
          <t>1343-12-22</t>
        </is>
      </c>
    </row>
    <row r="9328">
      <c r="A9328" s="1" t="n">
        <v>9327</v>
      </c>
      <c r="B9328">
        <f>TEXT(9327, "[$-170000]yyyy-mm-dd")</f>
        <v/>
      </c>
      <c r="C9328">
        <f>TEXT(9327, "[$-060000]yyyy-mm-dd")</f>
        <v/>
      </c>
      <c r="D9328" t="inlineStr">
        <is>
          <t>1343-12-23</t>
        </is>
      </c>
    </row>
    <row r="9329">
      <c r="A9329" s="1" t="n">
        <v>9328</v>
      </c>
      <c r="B9329">
        <f>TEXT(9328, "[$-170000]yyyy-mm-dd")</f>
        <v/>
      </c>
      <c r="C9329">
        <f>TEXT(9328, "[$-060000]yyyy-mm-dd")</f>
        <v/>
      </c>
      <c r="D9329" t="inlineStr">
        <is>
          <t>1343-12-24</t>
        </is>
      </c>
    </row>
    <row r="9330">
      <c r="A9330" s="1" t="n">
        <v>9329</v>
      </c>
      <c r="B9330">
        <f>TEXT(9329, "[$-170000]yyyy-mm-dd")</f>
        <v/>
      </c>
      <c r="C9330">
        <f>TEXT(9329, "[$-060000]yyyy-mm-dd")</f>
        <v/>
      </c>
      <c r="D9330" t="inlineStr">
        <is>
          <t>1343-12-25</t>
        </is>
      </c>
    </row>
    <row r="9331">
      <c r="A9331" s="1" t="n">
        <v>9330</v>
      </c>
      <c r="B9331">
        <f>TEXT(9330, "[$-170000]yyyy-mm-dd")</f>
        <v/>
      </c>
      <c r="C9331">
        <f>TEXT(9330, "[$-060000]yyyy-mm-dd")</f>
        <v/>
      </c>
      <c r="D9331" t="inlineStr">
        <is>
          <t>1343-12-26</t>
        </is>
      </c>
    </row>
    <row r="9332">
      <c r="A9332" s="1" t="n">
        <v>9331</v>
      </c>
      <c r="B9332">
        <f>TEXT(9331, "[$-170000]yyyy-mm-dd")</f>
        <v/>
      </c>
      <c r="C9332">
        <f>TEXT(9331, "[$-060000]yyyy-mm-dd")</f>
        <v/>
      </c>
      <c r="D9332" t="inlineStr">
        <is>
          <t>1343-12-27</t>
        </is>
      </c>
    </row>
    <row r="9333">
      <c r="A9333" s="1" t="n">
        <v>9332</v>
      </c>
      <c r="B9333">
        <f>TEXT(9332, "[$-170000]yyyy-mm-dd")</f>
        <v/>
      </c>
      <c r="C9333">
        <f>TEXT(9332, "[$-060000]yyyy-mm-dd")</f>
        <v/>
      </c>
      <c r="D9333" t="inlineStr">
        <is>
          <t>1343-12-28</t>
        </is>
      </c>
    </row>
    <row r="9334">
      <c r="A9334" s="1" t="n">
        <v>9333</v>
      </c>
      <c r="B9334">
        <f>TEXT(9333, "[$-170000]yyyy-mm-dd")</f>
        <v/>
      </c>
      <c r="C9334">
        <f>TEXT(9333, "[$-060000]yyyy-mm-dd")</f>
        <v/>
      </c>
      <c r="D9334" t="inlineStr">
        <is>
          <t>1343-12-29</t>
        </is>
      </c>
    </row>
    <row r="9335">
      <c r="A9335" s="1" t="n">
        <v>9334</v>
      </c>
      <c r="B9335">
        <f>TEXT(9334, "[$-170000]yyyy-mm-dd")</f>
        <v/>
      </c>
      <c r="C9335">
        <f>TEXT(9334, "[$-060000]yyyy-mm-dd")</f>
        <v/>
      </c>
      <c r="D9335" t="inlineStr">
        <is>
          <t>1344-01-01</t>
        </is>
      </c>
    </row>
    <row r="9336">
      <c r="A9336" s="1" t="n">
        <v>9335</v>
      </c>
      <c r="B9336">
        <f>TEXT(9335, "[$-170000]yyyy-mm-dd")</f>
        <v/>
      </c>
      <c r="C9336">
        <f>TEXT(9335, "[$-060000]yyyy-mm-dd")</f>
        <v/>
      </c>
      <c r="D9336" t="inlineStr">
        <is>
          <t>1344-01-02</t>
        </is>
      </c>
    </row>
    <row r="9337">
      <c r="A9337" s="1" t="n">
        <v>9336</v>
      </c>
      <c r="B9337">
        <f>TEXT(9336, "[$-170000]yyyy-mm-dd")</f>
        <v/>
      </c>
      <c r="C9337">
        <f>TEXT(9336, "[$-060000]yyyy-mm-dd")</f>
        <v/>
      </c>
      <c r="D9337" t="inlineStr">
        <is>
          <t>1344-01-03</t>
        </is>
      </c>
    </row>
    <row r="9338">
      <c r="A9338" s="1" t="n">
        <v>9337</v>
      </c>
      <c r="B9338">
        <f>TEXT(9337, "[$-170000]yyyy-mm-dd")</f>
        <v/>
      </c>
      <c r="C9338">
        <f>TEXT(9337, "[$-060000]yyyy-mm-dd")</f>
        <v/>
      </c>
      <c r="D9338" t="inlineStr">
        <is>
          <t>1344-01-04</t>
        </is>
      </c>
    </row>
    <row r="9339">
      <c r="A9339" s="1" t="n">
        <v>9338</v>
      </c>
      <c r="B9339">
        <f>TEXT(9338, "[$-170000]yyyy-mm-dd")</f>
        <v/>
      </c>
      <c r="C9339">
        <f>TEXT(9338, "[$-060000]yyyy-mm-dd")</f>
        <v/>
      </c>
      <c r="D9339" t="inlineStr">
        <is>
          <t>1344-01-05</t>
        </is>
      </c>
    </row>
    <row r="9340">
      <c r="A9340" s="1" t="n">
        <v>9339</v>
      </c>
      <c r="B9340">
        <f>TEXT(9339, "[$-170000]yyyy-mm-dd")</f>
        <v/>
      </c>
      <c r="C9340">
        <f>TEXT(9339, "[$-060000]yyyy-mm-dd")</f>
        <v/>
      </c>
      <c r="D9340" t="inlineStr">
        <is>
          <t>1344-01-06</t>
        </is>
      </c>
    </row>
    <row r="9341">
      <c r="A9341" s="1" t="n">
        <v>9340</v>
      </c>
      <c r="B9341">
        <f>TEXT(9340, "[$-170000]yyyy-mm-dd")</f>
        <v/>
      </c>
      <c r="C9341">
        <f>TEXT(9340, "[$-060000]yyyy-mm-dd")</f>
        <v/>
      </c>
      <c r="D9341" t="inlineStr">
        <is>
          <t>1344-01-07</t>
        </is>
      </c>
    </row>
    <row r="9342">
      <c r="A9342" s="1" t="n">
        <v>9341</v>
      </c>
      <c r="B9342">
        <f>TEXT(9341, "[$-170000]yyyy-mm-dd")</f>
        <v/>
      </c>
      <c r="C9342">
        <f>TEXT(9341, "[$-060000]yyyy-mm-dd")</f>
        <v/>
      </c>
      <c r="D9342" t="inlineStr">
        <is>
          <t>1344-01-08</t>
        </is>
      </c>
    </row>
    <row r="9343">
      <c r="A9343" s="1" t="n">
        <v>9342</v>
      </c>
      <c r="B9343">
        <f>TEXT(9342, "[$-170000]yyyy-mm-dd")</f>
        <v/>
      </c>
      <c r="C9343">
        <f>TEXT(9342, "[$-060000]yyyy-mm-dd")</f>
        <v/>
      </c>
      <c r="D9343" t="inlineStr">
        <is>
          <t>1344-01-09</t>
        </is>
      </c>
    </row>
    <row r="9344">
      <c r="A9344" s="1" t="n">
        <v>9343</v>
      </c>
      <c r="B9344">
        <f>TEXT(9343, "[$-170000]yyyy-mm-dd")</f>
        <v/>
      </c>
      <c r="C9344">
        <f>TEXT(9343, "[$-060000]yyyy-mm-dd")</f>
        <v/>
      </c>
      <c r="D9344" t="inlineStr">
        <is>
          <t>1344-01-10</t>
        </is>
      </c>
    </row>
    <row r="9345">
      <c r="A9345" s="1" t="n">
        <v>9344</v>
      </c>
      <c r="B9345">
        <f>TEXT(9344, "[$-170000]yyyy-mm-dd")</f>
        <v/>
      </c>
      <c r="C9345">
        <f>TEXT(9344, "[$-060000]yyyy-mm-dd")</f>
        <v/>
      </c>
      <c r="D9345" t="inlineStr">
        <is>
          <t>1344-01-11</t>
        </is>
      </c>
    </row>
    <row r="9346">
      <c r="A9346" s="1" t="n">
        <v>9345</v>
      </c>
      <c r="B9346">
        <f>TEXT(9345, "[$-170000]yyyy-mm-dd")</f>
        <v/>
      </c>
      <c r="C9346">
        <f>TEXT(9345, "[$-060000]yyyy-mm-dd")</f>
        <v/>
      </c>
      <c r="D9346" t="inlineStr">
        <is>
          <t>1344-01-12</t>
        </is>
      </c>
    </row>
    <row r="9347">
      <c r="A9347" s="1" t="n">
        <v>9346</v>
      </c>
      <c r="B9347">
        <f>TEXT(9346, "[$-170000]yyyy-mm-dd")</f>
        <v/>
      </c>
      <c r="C9347">
        <f>TEXT(9346, "[$-060000]yyyy-mm-dd")</f>
        <v/>
      </c>
      <c r="D9347" t="inlineStr">
        <is>
          <t>1344-01-13</t>
        </is>
      </c>
    </row>
    <row r="9348">
      <c r="A9348" s="1" t="n">
        <v>9347</v>
      </c>
      <c r="B9348">
        <f>TEXT(9347, "[$-170000]yyyy-mm-dd")</f>
        <v/>
      </c>
      <c r="C9348">
        <f>TEXT(9347, "[$-060000]yyyy-mm-dd")</f>
        <v/>
      </c>
      <c r="D9348" t="inlineStr">
        <is>
          <t>1344-01-14</t>
        </is>
      </c>
    </row>
    <row r="9349">
      <c r="A9349" s="1" t="n">
        <v>9348</v>
      </c>
      <c r="B9349">
        <f>TEXT(9348, "[$-170000]yyyy-mm-dd")</f>
        <v/>
      </c>
      <c r="C9349">
        <f>TEXT(9348, "[$-060000]yyyy-mm-dd")</f>
        <v/>
      </c>
      <c r="D9349" t="inlineStr">
        <is>
          <t>1344-01-15</t>
        </is>
      </c>
    </row>
    <row r="9350">
      <c r="A9350" s="1" t="n">
        <v>9349</v>
      </c>
      <c r="B9350">
        <f>TEXT(9349, "[$-170000]yyyy-mm-dd")</f>
        <v/>
      </c>
      <c r="C9350">
        <f>TEXT(9349, "[$-060000]yyyy-mm-dd")</f>
        <v/>
      </c>
      <c r="D9350" t="inlineStr">
        <is>
          <t>1344-01-16</t>
        </is>
      </c>
    </row>
    <row r="9351">
      <c r="A9351" s="1" t="n">
        <v>9350</v>
      </c>
      <c r="B9351">
        <f>TEXT(9350, "[$-170000]yyyy-mm-dd")</f>
        <v/>
      </c>
      <c r="C9351">
        <f>TEXT(9350, "[$-060000]yyyy-mm-dd")</f>
        <v/>
      </c>
      <c r="D9351" t="inlineStr">
        <is>
          <t>1344-01-17</t>
        </is>
      </c>
    </row>
    <row r="9352">
      <c r="A9352" s="1" t="n">
        <v>9351</v>
      </c>
      <c r="B9352">
        <f>TEXT(9351, "[$-170000]yyyy-mm-dd")</f>
        <v/>
      </c>
      <c r="C9352">
        <f>TEXT(9351, "[$-060000]yyyy-mm-dd")</f>
        <v/>
      </c>
      <c r="D9352" t="inlineStr">
        <is>
          <t>1344-01-18</t>
        </is>
      </c>
    </row>
    <row r="9353">
      <c r="A9353" s="1" t="n">
        <v>9352</v>
      </c>
      <c r="B9353">
        <f>TEXT(9352, "[$-170000]yyyy-mm-dd")</f>
        <v/>
      </c>
      <c r="C9353">
        <f>TEXT(9352, "[$-060000]yyyy-mm-dd")</f>
        <v/>
      </c>
      <c r="D9353" t="inlineStr">
        <is>
          <t>1344-01-19</t>
        </is>
      </c>
    </row>
    <row r="9354">
      <c r="A9354" s="1" t="n">
        <v>9353</v>
      </c>
      <c r="B9354">
        <f>TEXT(9353, "[$-170000]yyyy-mm-dd")</f>
        <v/>
      </c>
      <c r="C9354">
        <f>TEXT(9353, "[$-060000]yyyy-mm-dd")</f>
        <v/>
      </c>
      <c r="D9354" t="inlineStr">
        <is>
          <t>1344-01-20</t>
        </is>
      </c>
    </row>
    <row r="9355">
      <c r="A9355" s="1" t="n">
        <v>9354</v>
      </c>
      <c r="B9355">
        <f>TEXT(9354, "[$-170000]yyyy-mm-dd")</f>
        <v/>
      </c>
      <c r="C9355">
        <f>TEXT(9354, "[$-060000]yyyy-mm-dd")</f>
        <v/>
      </c>
      <c r="D9355" t="inlineStr">
        <is>
          <t>1344-01-21</t>
        </is>
      </c>
    </row>
    <row r="9356">
      <c r="A9356" s="1" t="n">
        <v>9355</v>
      </c>
      <c r="B9356">
        <f>TEXT(9355, "[$-170000]yyyy-mm-dd")</f>
        <v/>
      </c>
      <c r="C9356">
        <f>TEXT(9355, "[$-060000]yyyy-mm-dd")</f>
        <v/>
      </c>
      <c r="D9356" t="inlineStr">
        <is>
          <t>1344-01-22</t>
        </is>
      </c>
    </row>
    <row r="9357">
      <c r="A9357" s="1" t="n">
        <v>9356</v>
      </c>
      <c r="B9357">
        <f>TEXT(9356, "[$-170000]yyyy-mm-dd")</f>
        <v/>
      </c>
      <c r="C9357">
        <f>TEXT(9356, "[$-060000]yyyy-mm-dd")</f>
        <v/>
      </c>
      <c r="D9357" t="inlineStr">
        <is>
          <t>1344-01-23</t>
        </is>
      </c>
    </row>
    <row r="9358">
      <c r="A9358" s="1" t="n">
        <v>9357</v>
      </c>
      <c r="B9358">
        <f>TEXT(9357, "[$-170000]yyyy-mm-dd")</f>
        <v/>
      </c>
      <c r="C9358">
        <f>TEXT(9357, "[$-060000]yyyy-mm-dd")</f>
        <v/>
      </c>
      <c r="D9358" t="inlineStr">
        <is>
          <t>1344-01-24</t>
        </is>
      </c>
    </row>
    <row r="9359">
      <c r="A9359" s="1" t="n">
        <v>9358</v>
      </c>
      <c r="B9359">
        <f>TEXT(9358, "[$-170000]yyyy-mm-dd")</f>
        <v/>
      </c>
      <c r="C9359">
        <f>TEXT(9358, "[$-060000]yyyy-mm-dd")</f>
        <v/>
      </c>
      <c r="D9359" t="inlineStr">
        <is>
          <t>1344-01-25</t>
        </is>
      </c>
    </row>
    <row r="9360">
      <c r="A9360" s="1" t="n">
        <v>9359</v>
      </c>
      <c r="B9360">
        <f>TEXT(9359, "[$-170000]yyyy-mm-dd")</f>
        <v/>
      </c>
      <c r="C9360">
        <f>TEXT(9359, "[$-060000]yyyy-mm-dd")</f>
        <v/>
      </c>
      <c r="D9360" t="inlineStr">
        <is>
          <t>1344-01-26</t>
        </is>
      </c>
    </row>
    <row r="9361">
      <c r="A9361" s="1" t="n">
        <v>9360</v>
      </c>
      <c r="B9361">
        <f>TEXT(9360, "[$-170000]yyyy-mm-dd")</f>
        <v/>
      </c>
      <c r="C9361">
        <f>TEXT(9360, "[$-060000]yyyy-mm-dd")</f>
        <v/>
      </c>
      <c r="D9361" t="inlineStr">
        <is>
          <t>1344-01-27</t>
        </is>
      </c>
    </row>
    <row r="9362">
      <c r="A9362" s="1" t="n">
        <v>9361</v>
      </c>
      <c r="B9362">
        <f>TEXT(9361, "[$-170000]yyyy-mm-dd")</f>
        <v/>
      </c>
      <c r="C9362">
        <f>TEXT(9361, "[$-060000]yyyy-mm-dd")</f>
        <v/>
      </c>
      <c r="D9362" t="inlineStr">
        <is>
          <t>1344-01-28</t>
        </is>
      </c>
    </row>
    <row r="9363">
      <c r="A9363" s="1" t="n">
        <v>9362</v>
      </c>
      <c r="B9363">
        <f>TEXT(9362, "[$-170000]yyyy-mm-dd")</f>
        <v/>
      </c>
      <c r="C9363">
        <f>TEXT(9362, "[$-060000]yyyy-mm-dd")</f>
        <v/>
      </c>
      <c r="D9363" t="inlineStr">
        <is>
          <t>1344-01-29</t>
        </is>
      </c>
    </row>
    <row r="9364">
      <c r="A9364" s="1" t="n">
        <v>9363</v>
      </c>
      <c r="B9364">
        <f>TEXT(9363, "[$-170000]yyyy-mm-dd")</f>
        <v/>
      </c>
      <c r="C9364">
        <f>TEXT(9363, "[$-060000]yyyy-mm-dd")</f>
        <v/>
      </c>
      <c r="D9364" t="inlineStr">
        <is>
          <t>1344-01-30</t>
        </is>
      </c>
    </row>
    <row r="9365">
      <c r="A9365" s="1" t="n">
        <v>9364</v>
      </c>
      <c r="B9365">
        <f>TEXT(9364, "[$-170000]yyyy-mm-dd")</f>
        <v/>
      </c>
      <c r="C9365">
        <f>TEXT(9364, "[$-060000]yyyy-mm-dd")</f>
        <v/>
      </c>
      <c r="D9365" t="inlineStr">
        <is>
          <t>1344-02-01</t>
        </is>
      </c>
    </row>
    <row r="9366">
      <c r="A9366" s="1" t="n">
        <v>9365</v>
      </c>
      <c r="B9366">
        <f>TEXT(9365, "[$-170000]yyyy-mm-dd")</f>
        <v/>
      </c>
      <c r="C9366">
        <f>TEXT(9365, "[$-060000]yyyy-mm-dd")</f>
        <v/>
      </c>
      <c r="D9366" t="inlineStr">
        <is>
          <t>1344-02-02</t>
        </is>
      </c>
    </row>
    <row r="9367">
      <c r="A9367" s="1" t="n">
        <v>9366</v>
      </c>
      <c r="B9367">
        <f>TEXT(9366, "[$-170000]yyyy-mm-dd")</f>
        <v/>
      </c>
      <c r="C9367">
        <f>TEXT(9366, "[$-060000]yyyy-mm-dd")</f>
        <v/>
      </c>
      <c r="D9367" t="inlineStr">
        <is>
          <t>1344-02-03</t>
        </is>
      </c>
    </row>
    <row r="9368">
      <c r="A9368" s="1" t="n">
        <v>9367</v>
      </c>
      <c r="B9368">
        <f>TEXT(9367, "[$-170000]yyyy-mm-dd")</f>
        <v/>
      </c>
      <c r="C9368">
        <f>TEXT(9367, "[$-060000]yyyy-mm-dd")</f>
        <v/>
      </c>
      <c r="D9368" t="inlineStr">
        <is>
          <t>1344-02-04</t>
        </is>
      </c>
    </row>
    <row r="9369">
      <c r="A9369" s="1" t="n">
        <v>9368</v>
      </c>
      <c r="B9369">
        <f>TEXT(9368, "[$-170000]yyyy-mm-dd")</f>
        <v/>
      </c>
      <c r="C9369">
        <f>TEXT(9368, "[$-060000]yyyy-mm-dd")</f>
        <v/>
      </c>
      <c r="D9369" t="inlineStr">
        <is>
          <t>1344-02-05</t>
        </is>
      </c>
    </row>
    <row r="9370">
      <c r="A9370" s="1" t="n">
        <v>9369</v>
      </c>
      <c r="B9370">
        <f>TEXT(9369, "[$-170000]yyyy-mm-dd")</f>
        <v/>
      </c>
      <c r="C9370">
        <f>TEXT(9369, "[$-060000]yyyy-mm-dd")</f>
        <v/>
      </c>
      <c r="D9370" t="inlineStr">
        <is>
          <t>1344-02-06</t>
        </is>
      </c>
    </row>
    <row r="9371">
      <c r="A9371" s="1" t="n">
        <v>9370</v>
      </c>
      <c r="B9371">
        <f>TEXT(9370, "[$-170000]yyyy-mm-dd")</f>
        <v/>
      </c>
      <c r="C9371">
        <f>TEXT(9370, "[$-060000]yyyy-mm-dd")</f>
        <v/>
      </c>
      <c r="D9371" t="inlineStr">
        <is>
          <t>1344-02-07</t>
        </is>
      </c>
    </row>
    <row r="9372">
      <c r="A9372" s="1" t="n">
        <v>9371</v>
      </c>
      <c r="B9372">
        <f>TEXT(9371, "[$-170000]yyyy-mm-dd")</f>
        <v/>
      </c>
      <c r="C9372">
        <f>TEXT(9371, "[$-060000]yyyy-mm-dd")</f>
        <v/>
      </c>
      <c r="D9372" t="inlineStr">
        <is>
          <t>1344-02-08</t>
        </is>
      </c>
    </row>
    <row r="9373">
      <c r="A9373" s="1" t="n">
        <v>9372</v>
      </c>
      <c r="B9373">
        <f>TEXT(9372, "[$-170000]yyyy-mm-dd")</f>
        <v/>
      </c>
      <c r="C9373">
        <f>TEXT(9372, "[$-060000]yyyy-mm-dd")</f>
        <v/>
      </c>
      <c r="D9373" t="inlineStr">
        <is>
          <t>1344-02-09</t>
        </is>
      </c>
    </row>
    <row r="9374">
      <c r="A9374" s="1" t="n">
        <v>9373</v>
      </c>
      <c r="B9374">
        <f>TEXT(9373, "[$-170000]yyyy-mm-dd")</f>
        <v/>
      </c>
      <c r="C9374">
        <f>TEXT(9373, "[$-060000]yyyy-mm-dd")</f>
        <v/>
      </c>
      <c r="D9374" t="inlineStr">
        <is>
          <t>1344-02-10</t>
        </is>
      </c>
    </row>
    <row r="9375">
      <c r="A9375" s="1" t="n">
        <v>9374</v>
      </c>
      <c r="B9375">
        <f>TEXT(9374, "[$-170000]yyyy-mm-dd")</f>
        <v/>
      </c>
      <c r="C9375">
        <f>TEXT(9374, "[$-060000]yyyy-mm-dd")</f>
        <v/>
      </c>
      <c r="D9375" t="inlineStr">
        <is>
          <t>1344-02-11</t>
        </is>
      </c>
    </row>
    <row r="9376">
      <c r="A9376" s="1" t="n">
        <v>9375</v>
      </c>
      <c r="B9376">
        <f>TEXT(9375, "[$-170000]yyyy-mm-dd")</f>
        <v/>
      </c>
      <c r="C9376">
        <f>TEXT(9375, "[$-060000]yyyy-mm-dd")</f>
        <v/>
      </c>
      <c r="D9376" t="inlineStr">
        <is>
          <t>1344-02-12</t>
        </is>
      </c>
    </row>
    <row r="9377">
      <c r="A9377" s="1" t="n">
        <v>9376</v>
      </c>
      <c r="B9377">
        <f>TEXT(9376, "[$-170000]yyyy-mm-dd")</f>
        <v/>
      </c>
      <c r="C9377">
        <f>TEXT(9376, "[$-060000]yyyy-mm-dd")</f>
        <v/>
      </c>
      <c r="D9377" t="inlineStr">
        <is>
          <t>1344-02-13</t>
        </is>
      </c>
    </row>
    <row r="9378">
      <c r="A9378" s="1" t="n">
        <v>9377</v>
      </c>
      <c r="B9378">
        <f>TEXT(9377, "[$-170000]yyyy-mm-dd")</f>
        <v/>
      </c>
      <c r="C9378">
        <f>TEXT(9377, "[$-060000]yyyy-mm-dd")</f>
        <v/>
      </c>
      <c r="D9378" t="inlineStr">
        <is>
          <t>1344-02-14</t>
        </is>
      </c>
    </row>
    <row r="9379">
      <c r="A9379" s="1" t="n">
        <v>9378</v>
      </c>
      <c r="B9379">
        <f>TEXT(9378, "[$-170000]yyyy-mm-dd")</f>
        <v/>
      </c>
      <c r="C9379">
        <f>TEXT(9378, "[$-060000]yyyy-mm-dd")</f>
        <v/>
      </c>
      <c r="D9379" t="inlineStr">
        <is>
          <t>1344-02-15</t>
        </is>
      </c>
    </row>
    <row r="9380">
      <c r="A9380" s="1" t="n">
        <v>9379</v>
      </c>
      <c r="B9380">
        <f>TEXT(9379, "[$-170000]yyyy-mm-dd")</f>
        <v/>
      </c>
      <c r="C9380">
        <f>TEXT(9379, "[$-060000]yyyy-mm-dd")</f>
        <v/>
      </c>
      <c r="D9380" t="inlineStr">
        <is>
          <t>1344-02-16</t>
        </is>
      </c>
    </row>
    <row r="9381">
      <c r="A9381" s="1" t="n">
        <v>9380</v>
      </c>
      <c r="B9381">
        <f>TEXT(9380, "[$-170000]yyyy-mm-dd")</f>
        <v/>
      </c>
      <c r="C9381">
        <f>TEXT(9380, "[$-060000]yyyy-mm-dd")</f>
        <v/>
      </c>
      <c r="D9381" t="inlineStr">
        <is>
          <t>1344-02-17</t>
        </is>
      </c>
    </row>
    <row r="9382">
      <c r="A9382" s="1" t="n">
        <v>9381</v>
      </c>
      <c r="B9382">
        <f>TEXT(9381, "[$-170000]yyyy-mm-dd")</f>
        <v/>
      </c>
      <c r="C9382">
        <f>TEXT(9381, "[$-060000]yyyy-mm-dd")</f>
        <v/>
      </c>
      <c r="D9382" t="inlineStr">
        <is>
          <t>1344-02-18</t>
        </is>
      </c>
    </row>
    <row r="9383">
      <c r="A9383" s="1" t="n">
        <v>9382</v>
      </c>
      <c r="B9383">
        <f>TEXT(9382, "[$-170000]yyyy-mm-dd")</f>
        <v/>
      </c>
      <c r="C9383">
        <f>TEXT(9382, "[$-060000]yyyy-mm-dd")</f>
        <v/>
      </c>
      <c r="D9383" t="inlineStr">
        <is>
          <t>1344-02-19</t>
        </is>
      </c>
    </row>
    <row r="9384">
      <c r="A9384" s="1" t="n">
        <v>9383</v>
      </c>
      <c r="B9384">
        <f>TEXT(9383, "[$-170000]yyyy-mm-dd")</f>
        <v/>
      </c>
      <c r="C9384">
        <f>TEXT(9383, "[$-060000]yyyy-mm-dd")</f>
        <v/>
      </c>
      <c r="D9384" t="inlineStr">
        <is>
          <t>1344-02-20</t>
        </is>
      </c>
    </row>
    <row r="9385">
      <c r="A9385" s="1" t="n">
        <v>9384</v>
      </c>
      <c r="B9385">
        <f>TEXT(9384, "[$-170000]yyyy-mm-dd")</f>
        <v/>
      </c>
      <c r="C9385">
        <f>TEXT(9384, "[$-060000]yyyy-mm-dd")</f>
        <v/>
      </c>
      <c r="D9385" t="inlineStr">
        <is>
          <t>1344-02-21</t>
        </is>
      </c>
    </row>
    <row r="9386">
      <c r="A9386" s="1" t="n">
        <v>9385</v>
      </c>
      <c r="B9386">
        <f>TEXT(9385, "[$-170000]yyyy-mm-dd")</f>
        <v/>
      </c>
      <c r="C9386">
        <f>TEXT(9385, "[$-060000]yyyy-mm-dd")</f>
        <v/>
      </c>
      <c r="D9386" t="inlineStr">
        <is>
          <t>1344-02-22</t>
        </is>
      </c>
    </row>
    <row r="9387">
      <c r="A9387" s="1" t="n">
        <v>9386</v>
      </c>
      <c r="B9387">
        <f>TEXT(9386, "[$-170000]yyyy-mm-dd")</f>
        <v/>
      </c>
      <c r="C9387">
        <f>TEXT(9386, "[$-060000]yyyy-mm-dd")</f>
        <v/>
      </c>
      <c r="D9387" t="inlineStr">
        <is>
          <t>1344-02-23</t>
        </is>
      </c>
    </row>
    <row r="9388">
      <c r="A9388" s="1" t="n">
        <v>9387</v>
      </c>
      <c r="B9388">
        <f>TEXT(9387, "[$-170000]yyyy-mm-dd")</f>
        <v/>
      </c>
      <c r="C9388">
        <f>TEXT(9387, "[$-060000]yyyy-mm-dd")</f>
        <v/>
      </c>
      <c r="D9388" t="inlineStr">
        <is>
          <t>1344-02-24</t>
        </is>
      </c>
    </row>
    <row r="9389">
      <c r="A9389" s="1" t="n">
        <v>9388</v>
      </c>
      <c r="B9389">
        <f>TEXT(9388, "[$-170000]yyyy-mm-dd")</f>
        <v/>
      </c>
      <c r="C9389">
        <f>TEXT(9388, "[$-060000]yyyy-mm-dd")</f>
        <v/>
      </c>
      <c r="D9389" t="inlineStr">
        <is>
          <t>1344-02-25</t>
        </is>
      </c>
    </row>
    <row r="9390">
      <c r="A9390" s="1" t="n">
        <v>9389</v>
      </c>
      <c r="B9390">
        <f>TEXT(9389, "[$-170000]yyyy-mm-dd")</f>
        <v/>
      </c>
      <c r="C9390">
        <f>TEXT(9389, "[$-060000]yyyy-mm-dd")</f>
        <v/>
      </c>
      <c r="D9390" t="inlineStr">
        <is>
          <t>1344-02-26</t>
        </is>
      </c>
    </row>
    <row r="9391">
      <c r="A9391" s="1" t="n">
        <v>9390</v>
      </c>
      <c r="B9391">
        <f>TEXT(9390, "[$-170000]yyyy-mm-dd")</f>
        <v/>
      </c>
      <c r="C9391">
        <f>TEXT(9390, "[$-060000]yyyy-mm-dd")</f>
        <v/>
      </c>
      <c r="D9391" t="inlineStr">
        <is>
          <t>1344-02-27</t>
        </is>
      </c>
    </row>
    <row r="9392">
      <c r="A9392" s="1" t="n">
        <v>9391</v>
      </c>
      <c r="B9392">
        <f>TEXT(9391, "[$-170000]yyyy-mm-dd")</f>
        <v/>
      </c>
      <c r="C9392">
        <f>TEXT(9391, "[$-060000]yyyy-mm-dd")</f>
        <v/>
      </c>
      <c r="D9392" t="inlineStr">
        <is>
          <t>1344-02-28</t>
        </is>
      </c>
    </row>
    <row r="9393">
      <c r="A9393" s="1" t="n">
        <v>9392</v>
      </c>
      <c r="B9393">
        <f>TEXT(9392, "[$-170000]yyyy-mm-dd")</f>
        <v/>
      </c>
      <c r="C9393">
        <f>TEXT(9392, "[$-060000]yyyy-mm-dd")</f>
        <v/>
      </c>
      <c r="D9393" t="inlineStr">
        <is>
          <t>1344-02-29</t>
        </is>
      </c>
    </row>
    <row r="9394">
      <c r="A9394" s="1" t="n">
        <v>9393</v>
      </c>
      <c r="B9394">
        <f>TEXT(9393, "[$-170000]yyyy-mm-dd")</f>
        <v/>
      </c>
      <c r="C9394">
        <f>TEXT(9393, "[$-060000]yyyy-mm-dd")</f>
        <v/>
      </c>
      <c r="D9394" t="inlineStr">
        <is>
          <t>1344-03-01</t>
        </is>
      </c>
    </row>
    <row r="9395">
      <c r="A9395" s="1" t="n">
        <v>9394</v>
      </c>
      <c r="B9395">
        <f>TEXT(9394, "[$-170000]yyyy-mm-dd")</f>
        <v/>
      </c>
      <c r="C9395">
        <f>TEXT(9394, "[$-060000]yyyy-mm-dd")</f>
        <v/>
      </c>
      <c r="D9395" t="inlineStr">
        <is>
          <t>1344-03-02</t>
        </is>
      </c>
    </row>
    <row r="9396">
      <c r="A9396" s="1" t="n">
        <v>9395</v>
      </c>
      <c r="B9396">
        <f>TEXT(9395, "[$-170000]yyyy-mm-dd")</f>
        <v/>
      </c>
      <c r="C9396">
        <f>TEXT(9395, "[$-060000]yyyy-mm-dd")</f>
        <v/>
      </c>
      <c r="D9396" t="inlineStr">
        <is>
          <t>1344-03-03</t>
        </is>
      </c>
    </row>
    <row r="9397">
      <c r="A9397" s="1" t="n">
        <v>9396</v>
      </c>
      <c r="B9397">
        <f>TEXT(9396, "[$-170000]yyyy-mm-dd")</f>
        <v/>
      </c>
      <c r="C9397">
        <f>TEXT(9396, "[$-060000]yyyy-mm-dd")</f>
        <v/>
      </c>
      <c r="D9397" t="inlineStr">
        <is>
          <t>1344-03-04</t>
        </is>
      </c>
    </row>
    <row r="9398">
      <c r="A9398" s="1" t="n">
        <v>9397</v>
      </c>
      <c r="B9398">
        <f>TEXT(9397, "[$-170000]yyyy-mm-dd")</f>
        <v/>
      </c>
      <c r="C9398">
        <f>TEXT(9397, "[$-060000]yyyy-mm-dd")</f>
        <v/>
      </c>
      <c r="D9398" t="inlineStr">
        <is>
          <t>1344-03-05</t>
        </is>
      </c>
    </row>
    <row r="9399">
      <c r="A9399" s="1" t="n">
        <v>9398</v>
      </c>
      <c r="B9399">
        <f>TEXT(9398, "[$-170000]yyyy-mm-dd")</f>
        <v/>
      </c>
      <c r="C9399">
        <f>TEXT(9398, "[$-060000]yyyy-mm-dd")</f>
        <v/>
      </c>
      <c r="D9399" t="inlineStr">
        <is>
          <t>1344-03-06</t>
        </is>
      </c>
    </row>
    <row r="9400">
      <c r="A9400" s="1" t="n">
        <v>9399</v>
      </c>
      <c r="B9400">
        <f>TEXT(9399, "[$-170000]yyyy-mm-dd")</f>
        <v/>
      </c>
      <c r="C9400">
        <f>TEXT(9399, "[$-060000]yyyy-mm-dd")</f>
        <v/>
      </c>
      <c r="D9400" t="inlineStr">
        <is>
          <t>1344-03-07</t>
        </is>
      </c>
    </row>
    <row r="9401">
      <c r="A9401" s="1" t="n">
        <v>9400</v>
      </c>
      <c r="B9401">
        <f>TEXT(9400, "[$-170000]yyyy-mm-dd")</f>
        <v/>
      </c>
      <c r="C9401">
        <f>TEXT(9400, "[$-060000]yyyy-mm-dd")</f>
        <v/>
      </c>
      <c r="D9401" t="inlineStr">
        <is>
          <t>1344-03-08</t>
        </is>
      </c>
    </row>
    <row r="9402">
      <c r="A9402" s="1" t="n">
        <v>9401</v>
      </c>
      <c r="B9402">
        <f>TEXT(9401, "[$-170000]yyyy-mm-dd")</f>
        <v/>
      </c>
      <c r="C9402">
        <f>TEXT(9401, "[$-060000]yyyy-mm-dd")</f>
        <v/>
      </c>
      <c r="D9402" t="inlineStr">
        <is>
          <t>1344-03-09</t>
        </is>
      </c>
    </row>
    <row r="9403">
      <c r="A9403" s="1" t="n">
        <v>9402</v>
      </c>
      <c r="B9403">
        <f>TEXT(9402, "[$-170000]yyyy-mm-dd")</f>
        <v/>
      </c>
      <c r="C9403">
        <f>TEXT(9402, "[$-060000]yyyy-mm-dd")</f>
        <v/>
      </c>
      <c r="D9403" t="inlineStr">
        <is>
          <t>1344-03-10</t>
        </is>
      </c>
    </row>
    <row r="9404">
      <c r="A9404" s="1" t="n">
        <v>9403</v>
      </c>
      <c r="B9404">
        <f>TEXT(9403, "[$-170000]yyyy-mm-dd")</f>
        <v/>
      </c>
      <c r="C9404">
        <f>TEXT(9403, "[$-060000]yyyy-mm-dd")</f>
        <v/>
      </c>
      <c r="D9404" t="inlineStr">
        <is>
          <t>1344-03-11</t>
        </is>
      </c>
    </row>
    <row r="9405">
      <c r="A9405" s="1" t="n">
        <v>9404</v>
      </c>
      <c r="B9405">
        <f>TEXT(9404, "[$-170000]yyyy-mm-dd")</f>
        <v/>
      </c>
      <c r="C9405">
        <f>TEXT(9404, "[$-060000]yyyy-mm-dd")</f>
        <v/>
      </c>
      <c r="D9405" t="inlineStr">
        <is>
          <t>1344-03-12</t>
        </is>
      </c>
    </row>
    <row r="9406">
      <c r="A9406" s="1" t="n">
        <v>9405</v>
      </c>
      <c r="B9406">
        <f>TEXT(9405, "[$-170000]yyyy-mm-dd")</f>
        <v/>
      </c>
      <c r="C9406">
        <f>TEXT(9405, "[$-060000]yyyy-mm-dd")</f>
        <v/>
      </c>
      <c r="D9406" t="inlineStr">
        <is>
          <t>1344-03-13</t>
        </is>
      </c>
    </row>
    <row r="9407">
      <c r="A9407" s="1" t="n">
        <v>9406</v>
      </c>
      <c r="B9407">
        <f>TEXT(9406, "[$-170000]yyyy-mm-dd")</f>
        <v/>
      </c>
      <c r="C9407">
        <f>TEXT(9406, "[$-060000]yyyy-mm-dd")</f>
        <v/>
      </c>
      <c r="D9407" t="inlineStr">
        <is>
          <t>1344-03-14</t>
        </is>
      </c>
    </row>
    <row r="9408">
      <c r="A9408" s="1" t="n">
        <v>9407</v>
      </c>
      <c r="B9408">
        <f>TEXT(9407, "[$-170000]yyyy-mm-dd")</f>
        <v/>
      </c>
      <c r="C9408">
        <f>TEXT(9407, "[$-060000]yyyy-mm-dd")</f>
        <v/>
      </c>
      <c r="D9408" t="inlineStr">
        <is>
          <t>1344-03-15</t>
        </is>
      </c>
    </row>
    <row r="9409">
      <c r="A9409" s="1" t="n">
        <v>9408</v>
      </c>
      <c r="B9409">
        <f>TEXT(9408, "[$-170000]yyyy-mm-dd")</f>
        <v/>
      </c>
      <c r="C9409">
        <f>TEXT(9408, "[$-060000]yyyy-mm-dd")</f>
        <v/>
      </c>
      <c r="D9409" t="inlineStr">
        <is>
          <t>1344-03-16</t>
        </is>
      </c>
    </row>
    <row r="9410">
      <c r="A9410" s="1" t="n">
        <v>9409</v>
      </c>
      <c r="B9410">
        <f>TEXT(9409, "[$-170000]yyyy-mm-dd")</f>
        <v/>
      </c>
      <c r="C9410">
        <f>TEXT(9409, "[$-060000]yyyy-mm-dd")</f>
        <v/>
      </c>
      <c r="D9410" t="inlineStr">
        <is>
          <t>1344-03-17</t>
        </is>
      </c>
    </row>
    <row r="9411">
      <c r="A9411" s="1" t="n">
        <v>9410</v>
      </c>
      <c r="B9411">
        <f>TEXT(9410, "[$-170000]yyyy-mm-dd")</f>
        <v/>
      </c>
      <c r="C9411">
        <f>TEXT(9410, "[$-060000]yyyy-mm-dd")</f>
        <v/>
      </c>
      <c r="D9411" t="inlineStr">
        <is>
          <t>1344-03-18</t>
        </is>
      </c>
    </row>
    <row r="9412">
      <c r="A9412" s="1" t="n">
        <v>9411</v>
      </c>
      <c r="B9412">
        <f>TEXT(9411, "[$-170000]yyyy-mm-dd")</f>
        <v/>
      </c>
      <c r="C9412">
        <f>TEXT(9411, "[$-060000]yyyy-mm-dd")</f>
        <v/>
      </c>
      <c r="D9412" t="inlineStr">
        <is>
          <t>1344-03-19</t>
        </is>
      </c>
    </row>
    <row r="9413">
      <c r="A9413" s="1" t="n">
        <v>9412</v>
      </c>
      <c r="B9413">
        <f>TEXT(9412, "[$-170000]yyyy-mm-dd")</f>
        <v/>
      </c>
      <c r="C9413">
        <f>TEXT(9412, "[$-060000]yyyy-mm-dd")</f>
        <v/>
      </c>
      <c r="D9413" t="inlineStr">
        <is>
          <t>1344-03-20</t>
        </is>
      </c>
    </row>
    <row r="9414">
      <c r="A9414" s="1" t="n">
        <v>9413</v>
      </c>
      <c r="B9414">
        <f>TEXT(9413, "[$-170000]yyyy-mm-dd")</f>
        <v/>
      </c>
      <c r="C9414">
        <f>TEXT(9413, "[$-060000]yyyy-mm-dd")</f>
        <v/>
      </c>
      <c r="D9414" t="inlineStr">
        <is>
          <t>1344-03-21</t>
        </is>
      </c>
    </row>
    <row r="9415">
      <c r="A9415" s="1" t="n">
        <v>9414</v>
      </c>
      <c r="B9415">
        <f>TEXT(9414, "[$-170000]yyyy-mm-dd")</f>
        <v/>
      </c>
      <c r="C9415">
        <f>TEXT(9414, "[$-060000]yyyy-mm-dd")</f>
        <v/>
      </c>
      <c r="D9415" t="inlineStr">
        <is>
          <t>1344-03-22</t>
        </is>
      </c>
    </row>
    <row r="9416">
      <c r="A9416" s="1" t="n">
        <v>9415</v>
      </c>
      <c r="B9416">
        <f>TEXT(9415, "[$-170000]yyyy-mm-dd")</f>
        <v/>
      </c>
      <c r="C9416">
        <f>TEXT(9415, "[$-060000]yyyy-mm-dd")</f>
        <v/>
      </c>
      <c r="D9416" t="inlineStr">
        <is>
          <t>1344-03-23</t>
        </is>
      </c>
    </row>
    <row r="9417">
      <c r="A9417" s="1" t="n">
        <v>9416</v>
      </c>
      <c r="B9417">
        <f>TEXT(9416, "[$-170000]yyyy-mm-dd")</f>
        <v/>
      </c>
      <c r="C9417">
        <f>TEXT(9416, "[$-060000]yyyy-mm-dd")</f>
        <v/>
      </c>
      <c r="D9417" t="inlineStr">
        <is>
          <t>1344-03-24</t>
        </is>
      </c>
    </row>
    <row r="9418">
      <c r="A9418" s="1" t="n">
        <v>9417</v>
      </c>
      <c r="B9418">
        <f>TEXT(9417, "[$-170000]yyyy-mm-dd")</f>
        <v/>
      </c>
      <c r="C9418">
        <f>TEXT(9417, "[$-060000]yyyy-mm-dd")</f>
        <v/>
      </c>
      <c r="D9418" t="inlineStr">
        <is>
          <t>1344-03-25</t>
        </is>
      </c>
    </row>
    <row r="9419">
      <c r="A9419" s="1" t="n">
        <v>9418</v>
      </c>
      <c r="B9419">
        <f>TEXT(9418, "[$-170000]yyyy-mm-dd")</f>
        <v/>
      </c>
      <c r="C9419">
        <f>TEXT(9418, "[$-060000]yyyy-mm-dd")</f>
        <v/>
      </c>
      <c r="D9419" t="inlineStr">
        <is>
          <t>1344-03-26</t>
        </is>
      </c>
    </row>
    <row r="9420">
      <c r="A9420" s="1" t="n">
        <v>9419</v>
      </c>
      <c r="B9420">
        <f>TEXT(9419, "[$-170000]yyyy-mm-dd")</f>
        <v/>
      </c>
      <c r="C9420">
        <f>TEXT(9419, "[$-060000]yyyy-mm-dd")</f>
        <v/>
      </c>
      <c r="D9420" t="inlineStr">
        <is>
          <t>1344-03-27</t>
        </is>
      </c>
    </row>
    <row r="9421">
      <c r="A9421" s="1" t="n">
        <v>9420</v>
      </c>
      <c r="B9421">
        <f>TEXT(9420, "[$-170000]yyyy-mm-dd")</f>
        <v/>
      </c>
      <c r="C9421">
        <f>TEXT(9420, "[$-060000]yyyy-mm-dd")</f>
        <v/>
      </c>
      <c r="D9421" t="inlineStr">
        <is>
          <t>1344-03-28</t>
        </is>
      </c>
    </row>
    <row r="9422">
      <c r="A9422" s="1" t="n">
        <v>9421</v>
      </c>
      <c r="B9422">
        <f>TEXT(9421, "[$-170000]yyyy-mm-dd")</f>
        <v/>
      </c>
      <c r="C9422">
        <f>TEXT(9421, "[$-060000]yyyy-mm-dd")</f>
        <v/>
      </c>
      <c r="D9422" t="inlineStr">
        <is>
          <t>1344-03-29</t>
        </is>
      </c>
    </row>
    <row r="9423">
      <c r="A9423" s="1" t="n">
        <v>9422</v>
      </c>
      <c r="B9423">
        <f>TEXT(9422, "[$-170000]yyyy-mm-dd")</f>
        <v/>
      </c>
      <c r="C9423">
        <f>TEXT(9422, "[$-060000]yyyy-mm-dd")</f>
        <v/>
      </c>
      <c r="D9423" t="inlineStr">
        <is>
          <t>1344-03-30</t>
        </is>
      </c>
    </row>
    <row r="9424">
      <c r="A9424" s="1" t="n">
        <v>9423</v>
      </c>
      <c r="B9424">
        <f>TEXT(9423, "[$-170000]yyyy-mm-dd")</f>
        <v/>
      </c>
      <c r="C9424">
        <f>TEXT(9423, "[$-060000]yyyy-mm-dd")</f>
        <v/>
      </c>
      <c r="D9424" t="inlineStr">
        <is>
          <t>1344-04-01</t>
        </is>
      </c>
    </row>
    <row r="9425">
      <c r="A9425" s="1" t="n">
        <v>9424</v>
      </c>
      <c r="B9425">
        <f>TEXT(9424, "[$-170000]yyyy-mm-dd")</f>
        <v/>
      </c>
      <c r="C9425">
        <f>TEXT(9424, "[$-060000]yyyy-mm-dd")</f>
        <v/>
      </c>
      <c r="D9425" t="inlineStr">
        <is>
          <t>1344-04-02</t>
        </is>
      </c>
    </row>
    <row r="9426">
      <c r="A9426" s="1" t="n">
        <v>9425</v>
      </c>
      <c r="B9426">
        <f>TEXT(9425, "[$-170000]yyyy-mm-dd")</f>
        <v/>
      </c>
      <c r="C9426">
        <f>TEXT(9425, "[$-060000]yyyy-mm-dd")</f>
        <v/>
      </c>
      <c r="D9426" t="inlineStr">
        <is>
          <t>1344-04-03</t>
        </is>
      </c>
    </row>
    <row r="9427">
      <c r="A9427" s="1" t="n">
        <v>9426</v>
      </c>
      <c r="B9427">
        <f>TEXT(9426, "[$-170000]yyyy-mm-dd")</f>
        <v/>
      </c>
      <c r="C9427">
        <f>TEXT(9426, "[$-060000]yyyy-mm-dd")</f>
        <v/>
      </c>
      <c r="D9427" t="inlineStr">
        <is>
          <t>1344-04-04</t>
        </is>
      </c>
    </row>
    <row r="9428">
      <c r="A9428" s="1" t="n">
        <v>9427</v>
      </c>
      <c r="B9428">
        <f>TEXT(9427, "[$-170000]yyyy-mm-dd")</f>
        <v/>
      </c>
      <c r="C9428">
        <f>TEXT(9427, "[$-060000]yyyy-mm-dd")</f>
        <v/>
      </c>
      <c r="D9428" t="inlineStr">
        <is>
          <t>1344-04-05</t>
        </is>
      </c>
    </row>
    <row r="9429">
      <c r="A9429" s="1" t="n">
        <v>9428</v>
      </c>
      <c r="B9429">
        <f>TEXT(9428, "[$-170000]yyyy-mm-dd")</f>
        <v/>
      </c>
      <c r="C9429">
        <f>TEXT(9428, "[$-060000]yyyy-mm-dd")</f>
        <v/>
      </c>
      <c r="D9429" t="inlineStr">
        <is>
          <t>1344-04-06</t>
        </is>
      </c>
    </row>
    <row r="9430">
      <c r="A9430" s="1" t="n">
        <v>9429</v>
      </c>
      <c r="B9430">
        <f>TEXT(9429, "[$-170000]yyyy-mm-dd")</f>
        <v/>
      </c>
      <c r="C9430">
        <f>TEXT(9429, "[$-060000]yyyy-mm-dd")</f>
        <v/>
      </c>
      <c r="D9430" t="inlineStr">
        <is>
          <t>1344-04-07</t>
        </is>
      </c>
    </row>
    <row r="9431">
      <c r="A9431" s="1" t="n">
        <v>9430</v>
      </c>
      <c r="B9431">
        <f>TEXT(9430, "[$-170000]yyyy-mm-dd")</f>
        <v/>
      </c>
      <c r="C9431">
        <f>TEXT(9430, "[$-060000]yyyy-mm-dd")</f>
        <v/>
      </c>
      <c r="D9431" t="inlineStr">
        <is>
          <t>1344-04-08</t>
        </is>
      </c>
    </row>
    <row r="9432">
      <c r="A9432" s="1" t="n">
        <v>9431</v>
      </c>
      <c r="B9432">
        <f>TEXT(9431, "[$-170000]yyyy-mm-dd")</f>
        <v/>
      </c>
      <c r="C9432">
        <f>TEXT(9431, "[$-060000]yyyy-mm-dd")</f>
        <v/>
      </c>
      <c r="D9432" t="inlineStr">
        <is>
          <t>1344-04-09</t>
        </is>
      </c>
    </row>
    <row r="9433">
      <c r="A9433" s="1" t="n">
        <v>9432</v>
      </c>
      <c r="B9433">
        <f>TEXT(9432, "[$-170000]yyyy-mm-dd")</f>
        <v/>
      </c>
      <c r="C9433">
        <f>TEXT(9432, "[$-060000]yyyy-mm-dd")</f>
        <v/>
      </c>
      <c r="D9433" t="inlineStr">
        <is>
          <t>1344-04-10</t>
        </is>
      </c>
    </row>
    <row r="9434">
      <c r="A9434" s="1" t="n">
        <v>9433</v>
      </c>
      <c r="B9434">
        <f>TEXT(9433, "[$-170000]yyyy-mm-dd")</f>
        <v/>
      </c>
      <c r="C9434">
        <f>TEXT(9433, "[$-060000]yyyy-mm-dd")</f>
        <v/>
      </c>
      <c r="D9434" t="inlineStr">
        <is>
          <t>1344-04-11</t>
        </is>
      </c>
    </row>
    <row r="9435">
      <c r="A9435" s="1" t="n">
        <v>9434</v>
      </c>
      <c r="B9435">
        <f>TEXT(9434, "[$-170000]yyyy-mm-dd")</f>
        <v/>
      </c>
      <c r="C9435">
        <f>TEXT(9434, "[$-060000]yyyy-mm-dd")</f>
        <v/>
      </c>
      <c r="D9435" t="inlineStr">
        <is>
          <t>1344-04-12</t>
        </is>
      </c>
    </row>
    <row r="9436">
      <c r="A9436" s="1" t="n">
        <v>9435</v>
      </c>
      <c r="B9436">
        <f>TEXT(9435, "[$-170000]yyyy-mm-dd")</f>
        <v/>
      </c>
      <c r="C9436">
        <f>TEXT(9435, "[$-060000]yyyy-mm-dd")</f>
        <v/>
      </c>
      <c r="D9436" t="inlineStr">
        <is>
          <t>1344-04-13</t>
        </is>
      </c>
    </row>
    <row r="9437">
      <c r="A9437" s="1" t="n">
        <v>9436</v>
      </c>
      <c r="B9437">
        <f>TEXT(9436, "[$-170000]yyyy-mm-dd")</f>
        <v/>
      </c>
      <c r="C9437">
        <f>TEXT(9436, "[$-060000]yyyy-mm-dd")</f>
        <v/>
      </c>
      <c r="D9437" t="inlineStr">
        <is>
          <t>1344-04-14</t>
        </is>
      </c>
    </row>
    <row r="9438">
      <c r="A9438" s="1" t="n">
        <v>9437</v>
      </c>
      <c r="B9438">
        <f>TEXT(9437, "[$-170000]yyyy-mm-dd")</f>
        <v/>
      </c>
      <c r="C9438">
        <f>TEXT(9437, "[$-060000]yyyy-mm-dd")</f>
        <v/>
      </c>
      <c r="D9438" t="inlineStr">
        <is>
          <t>1344-04-15</t>
        </is>
      </c>
    </row>
    <row r="9439">
      <c r="A9439" s="1" t="n">
        <v>9438</v>
      </c>
      <c r="B9439">
        <f>TEXT(9438, "[$-170000]yyyy-mm-dd")</f>
        <v/>
      </c>
      <c r="C9439">
        <f>TEXT(9438, "[$-060000]yyyy-mm-dd")</f>
        <v/>
      </c>
      <c r="D9439" t="inlineStr">
        <is>
          <t>1344-04-16</t>
        </is>
      </c>
    </row>
    <row r="9440">
      <c r="A9440" s="1" t="n">
        <v>9439</v>
      </c>
      <c r="B9440">
        <f>TEXT(9439, "[$-170000]yyyy-mm-dd")</f>
        <v/>
      </c>
      <c r="C9440">
        <f>TEXT(9439, "[$-060000]yyyy-mm-dd")</f>
        <v/>
      </c>
      <c r="D9440" t="inlineStr">
        <is>
          <t>1344-04-17</t>
        </is>
      </c>
    </row>
    <row r="9441">
      <c r="A9441" s="1" t="n">
        <v>9440</v>
      </c>
      <c r="B9441">
        <f>TEXT(9440, "[$-170000]yyyy-mm-dd")</f>
        <v/>
      </c>
      <c r="C9441">
        <f>TEXT(9440, "[$-060000]yyyy-mm-dd")</f>
        <v/>
      </c>
      <c r="D9441" t="inlineStr">
        <is>
          <t>1344-04-18</t>
        </is>
      </c>
    </row>
    <row r="9442">
      <c r="A9442" s="1" t="n">
        <v>9441</v>
      </c>
      <c r="B9442">
        <f>TEXT(9441, "[$-170000]yyyy-mm-dd")</f>
        <v/>
      </c>
      <c r="C9442">
        <f>TEXT(9441, "[$-060000]yyyy-mm-dd")</f>
        <v/>
      </c>
      <c r="D9442" t="inlineStr">
        <is>
          <t>1344-04-19</t>
        </is>
      </c>
    </row>
    <row r="9443">
      <c r="A9443" s="1" t="n">
        <v>9442</v>
      </c>
      <c r="B9443">
        <f>TEXT(9442, "[$-170000]yyyy-mm-dd")</f>
        <v/>
      </c>
      <c r="C9443">
        <f>TEXT(9442, "[$-060000]yyyy-mm-dd")</f>
        <v/>
      </c>
      <c r="D9443" t="inlineStr">
        <is>
          <t>1344-04-20</t>
        </is>
      </c>
    </row>
    <row r="9444">
      <c r="A9444" s="1" t="n">
        <v>9443</v>
      </c>
      <c r="B9444">
        <f>TEXT(9443, "[$-170000]yyyy-mm-dd")</f>
        <v/>
      </c>
      <c r="C9444">
        <f>TEXT(9443, "[$-060000]yyyy-mm-dd")</f>
        <v/>
      </c>
      <c r="D9444" t="inlineStr">
        <is>
          <t>1344-04-21</t>
        </is>
      </c>
    </row>
    <row r="9445">
      <c r="A9445" s="1" t="n">
        <v>9444</v>
      </c>
      <c r="B9445">
        <f>TEXT(9444, "[$-170000]yyyy-mm-dd")</f>
        <v/>
      </c>
      <c r="C9445">
        <f>TEXT(9444, "[$-060000]yyyy-mm-dd")</f>
        <v/>
      </c>
      <c r="D9445" t="inlineStr">
        <is>
          <t>1344-04-22</t>
        </is>
      </c>
    </row>
    <row r="9446">
      <c r="A9446" s="1" t="n">
        <v>9445</v>
      </c>
      <c r="B9446">
        <f>TEXT(9445, "[$-170000]yyyy-mm-dd")</f>
        <v/>
      </c>
      <c r="C9446">
        <f>TEXT(9445, "[$-060000]yyyy-mm-dd")</f>
        <v/>
      </c>
      <c r="D9446" t="inlineStr">
        <is>
          <t>1344-04-23</t>
        </is>
      </c>
    </row>
    <row r="9447">
      <c r="A9447" s="1" t="n">
        <v>9446</v>
      </c>
      <c r="B9447">
        <f>TEXT(9446, "[$-170000]yyyy-mm-dd")</f>
        <v/>
      </c>
      <c r="C9447">
        <f>TEXT(9446, "[$-060000]yyyy-mm-dd")</f>
        <v/>
      </c>
      <c r="D9447" t="inlineStr">
        <is>
          <t>1344-04-24</t>
        </is>
      </c>
    </row>
    <row r="9448">
      <c r="A9448" s="1" t="n">
        <v>9447</v>
      </c>
      <c r="B9448">
        <f>TEXT(9447, "[$-170000]yyyy-mm-dd")</f>
        <v/>
      </c>
      <c r="C9448">
        <f>TEXT(9447, "[$-060000]yyyy-mm-dd")</f>
        <v/>
      </c>
      <c r="D9448" t="inlineStr">
        <is>
          <t>1344-04-25</t>
        </is>
      </c>
    </row>
    <row r="9449">
      <c r="A9449" s="1" t="n">
        <v>9448</v>
      </c>
      <c r="B9449">
        <f>TEXT(9448, "[$-170000]yyyy-mm-dd")</f>
        <v/>
      </c>
      <c r="C9449">
        <f>TEXT(9448, "[$-060000]yyyy-mm-dd")</f>
        <v/>
      </c>
      <c r="D9449" t="inlineStr">
        <is>
          <t>1344-04-26</t>
        </is>
      </c>
    </row>
    <row r="9450">
      <c r="A9450" s="1" t="n">
        <v>9449</v>
      </c>
      <c r="B9450">
        <f>TEXT(9449, "[$-170000]yyyy-mm-dd")</f>
        <v/>
      </c>
      <c r="C9450">
        <f>TEXT(9449, "[$-060000]yyyy-mm-dd")</f>
        <v/>
      </c>
      <c r="D9450" t="inlineStr">
        <is>
          <t>1344-04-27</t>
        </is>
      </c>
    </row>
    <row r="9451">
      <c r="A9451" s="1" t="n">
        <v>9450</v>
      </c>
      <c r="B9451">
        <f>TEXT(9450, "[$-170000]yyyy-mm-dd")</f>
        <v/>
      </c>
      <c r="C9451">
        <f>TEXT(9450, "[$-060000]yyyy-mm-dd")</f>
        <v/>
      </c>
      <c r="D9451" t="inlineStr">
        <is>
          <t>1344-04-28</t>
        </is>
      </c>
    </row>
    <row r="9452">
      <c r="A9452" s="1" t="n">
        <v>9451</v>
      </c>
      <c r="B9452">
        <f>TEXT(9451, "[$-170000]yyyy-mm-dd")</f>
        <v/>
      </c>
      <c r="C9452">
        <f>TEXT(9451, "[$-060000]yyyy-mm-dd")</f>
        <v/>
      </c>
      <c r="D9452" t="inlineStr">
        <is>
          <t>1344-04-29</t>
        </is>
      </c>
    </row>
    <row r="9453">
      <c r="A9453" s="1" t="n">
        <v>9452</v>
      </c>
      <c r="B9453">
        <f>TEXT(9452, "[$-170000]yyyy-mm-dd")</f>
        <v/>
      </c>
      <c r="C9453">
        <f>TEXT(9452, "[$-060000]yyyy-mm-dd")</f>
        <v/>
      </c>
      <c r="D9453" t="inlineStr">
        <is>
          <t>1344-05-01</t>
        </is>
      </c>
    </row>
    <row r="9454">
      <c r="A9454" s="1" t="n">
        <v>9453</v>
      </c>
      <c r="B9454">
        <f>TEXT(9453, "[$-170000]yyyy-mm-dd")</f>
        <v/>
      </c>
      <c r="C9454">
        <f>TEXT(9453, "[$-060000]yyyy-mm-dd")</f>
        <v/>
      </c>
      <c r="D9454" t="inlineStr">
        <is>
          <t>1344-05-02</t>
        </is>
      </c>
    </row>
    <row r="9455">
      <c r="A9455" s="1" t="n">
        <v>9454</v>
      </c>
      <c r="B9455">
        <f>TEXT(9454, "[$-170000]yyyy-mm-dd")</f>
        <v/>
      </c>
      <c r="C9455">
        <f>TEXT(9454, "[$-060000]yyyy-mm-dd")</f>
        <v/>
      </c>
      <c r="D9455" t="inlineStr">
        <is>
          <t>1344-05-03</t>
        </is>
      </c>
    </row>
    <row r="9456">
      <c r="A9456" s="1" t="n">
        <v>9455</v>
      </c>
      <c r="B9456">
        <f>TEXT(9455, "[$-170000]yyyy-mm-dd")</f>
        <v/>
      </c>
      <c r="C9456">
        <f>TEXT(9455, "[$-060000]yyyy-mm-dd")</f>
        <v/>
      </c>
      <c r="D9456" t="inlineStr">
        <is>
          <t>1344-05-04</t>
        </is>
      </c>
    </row>
    <row r="9457">
      <c r="A9457" s="1" t="n">
        <v>9456</v>
      </c>
      <c r="B9457">
        <f>TEXT(9456, "[$-170000]yyyy-mm-dd")</f>
        <v/>
      </c>
      <c r="C9457">
        <f>TEXT(9456, "[$-060000]yyyy-mm-dd")</f>
        <v/>
      </c>
      <c r="D9457" t="inlineStr">
        <is>
          <t>1344-05-05</t>
        </is>
      </c>
    </row>
    <row r="9458">
      <c r="A9458" s="1" t="n">
        <v>9457</v>
      </c>
      <c r="B9458">
        <f>TEXT(9457, "[$-170000]yyyy-mm-dd")</f>
        <v/>
      </c>
      <c r="C9458">
        <f>TEXT(9457, "[$-060000]yyyy-mm-dd")</f>
        <v/>
      </c>
      <c r="D9458" t="inlineStr">
        <is>
          <t>1344-05-06</t>
        </is>
      </c>
    </row>
    <row r="9459">
      <c r="A9459" s="1" t="n">
        <v>9458</v>
      </c>
      <c r="B9459">
        <f>TEXT(9458, "[$-170000]yyyy-mm-dd")</f>
        <v/>
      </c>
      <c r="C9459">
        <f>TEXT(9458, "[$-060000]yyyy-mm-dd")</f>
        <v/>
      </c>
      <c r="D9459" t="inlineStr">
        <is>
          <t>1344-05-07</t>
        </is>
      </c>
    </row>
    <row r="9460">
      <c r="A9460" s="1" t="n">
        <v>9459</v>
      </c>
      <c r="B9460">
        <f>TEXT(9459, "[$-170000]yyyy-mm-dd")</f>
        <v/>
      </c>
      <c r="C9460">
        <f>TEXT(9459, "[$-060000]yyyy-mm-dd")</f>
        <v/>
      </c>
      <c r="D9460" t="inlineStr">
        <is>
          <t>1344-05-08</t>
        </is>
      </c>
    </row>
    <row r="9461">
      <c r="A9461" s="1" t="n">
        <v>9460</v>
      </c>
      <c r="B9461">
        <f>TEXT(9460, "[$-170000]yyyy-mm-dd")</f>
        <v/>
      </c>
      <c r="C9461">
        <f>TEXT(9460, "[$-060000]yyyy-mm-dd")</f>
        <v/>
      </c>
      <c r="D9461" t="inlineStr">
        <is>
          <t>1344-05-09</t>
        </is>
      </c>
    </row>
    <row r="9462">
      <c r="A9462" s="1" t="n">
        <v>9461</v>
      </c>
      <c r="B9462">
        <f>TEXT(9461, "[$-170000]yyyy-mm-dd")</f>
        <v/>
      </c>
      <c r="C9462">
        <f>TEXT(9461, "[$-060000]yyyy-mm-dd")</f>
        <v/>
      </c>
      <c r="D9462" t="inlineStr">
        <is>
          <t>1344-05-10</t>
        </is>
      </c>
    </row>
    <row r="9463">
      <c r="A9463" s="1" t="n">
        <v>9462</v>
      </c>
      <c r="B9463">
        <f>TEXT(9462, "[$-170000]yyyy-mm-dd")</f>
        <v/>
      </c>
      <c r="C9463">
        <f>TEXT(9462, "[$-060000]yyyy-mm-dd")</f>
        <v/>
      </c>
      <c r="D9463" t="inlineStr">
        <is>
          <t>1344-05-11</t>
        </is>
      </c>
    </row>
    <row r="9464">
      <c r="A9464" s="1" t="n">
        <v>9463</v>
      </c>
      <c r="B9464">
        <f>TEXT(9463, "[$-170000]yyyy-mm-dd")</f>
        <v/>
      </c>
      <c r="C9464">
        <f>TEXT(9463, "[$-060000]yyyy-mm-dd")</f>
        <v/>
      </c>
      <c r="D9464" t="inlineStr">
        <is>
          <t>1344-05-12</t>
        </is>
      </c>
    </row>
    <row r="9465">
      <c r="A9465" s="1" t="n">
        <v>9464</v>
      </c>
      <c r="B9465">
        <f>TEXT(9464, "[$-170000]yyyy-mm-dd")</f>
        <v/>
      </c>
      <c r="C9465">
        <f>TEXT(9464, "[$-060000]yyyy-mm-dd")</f>
        <v/>
      </c>
      <c r="D9465" t="inlineStr">
        <is>
          <t>1344-05-13</t>
        </is>
      </c>
    </row>
    <row r="9466">
      <c r="A9466" s="1" t="n">
        <v>9465</v>
      </c>
      <c r="B9466">
        <f>TEXT(9465, "[$-170000]yyyy-mm-dd")</f>
        <v/>
      </c>
      <c r="C9466">
        <f>TEXT(9465, "[$-060000]yyyy-mm-dd")</f>
        <v/>
      </c>
      <c r="D9466" t="inlineStr">
        <is>
          <t>1344-05-14</t>
        </is>
      </c>
    </row>
    <row r="9467">
      <c r="A9467" s="1" t="n">
        <v>9466</v>
      </c>
      <c r="B9467">
        <f>TEXT(9466, "[$-170000]yyyy-mm-dd")</f>
        <v/>
      </c>
      <c r="C9467">
        <f>TEXT(9466, "[$-060000]yyyy-mm-dd")</f>
        <v/>
      </c>
      <c r="D9467" t="inlineStr">
        <is>
          <t>1344-05-15</t>
        </is>
      </c>
    </row>
    <row r="9468">
      <c r="A9468" s="1" t="n">
        <v>9467</v>
      </c>
      <c r="B9468">
        <f>TEXT(9467, "[$-170000]yyyy-mm-dd")</f>
        <v/>
      </c>
      <c r="C9468">
        <f>TEXT(9467, "[$-060000]yyyy-mm-dd")</f>
        <v/>
      </c>
      <c r="D9468" t="inlineStr">
        <is>
          <t>1344-05-16</t>
        </is>
      </c>
    </row>
    <row r="9469">
      <c r="A9469" s="1" t="n">
        <v>9468</v>
      </c>
      <c r="B9469">
        <f>TEXT(9468, "[$-170000]yyyy-mm-dd")</f>
        <v/>
      </c>
      <c r="C9469">
        <f>TEXT(9468, "[$-060000]yyyy-mm-dd")</f>
        <v/>
      </c>
      <c r="D9469" t="inlineStr">
        <is>
          <t>1344-05-17</t>
        </is>
      </c>
    </row>
    <row r="9470">
      <c r="A9470" s="1" t="n">
        <v>9469</v>
      </c>
      <c r="B9470">
        <f>TEXT(9469, "[$-170000]yyyy-mm-dd")</f>
        <v/>
      </c>
      <c r="C9470">
        <f>TEXT(9469, "[$-060000]yyyy-mm-dd")</f>
        <v/>
      </c>
      <c r="D9470" t="inlineStr">
        <is>
          <t>1344-05-18</t>
        </is>
      </c>
    </row>
    <row r="9471">
      <c r="A9471" s="1" t="n">
        <v>9470</v>
      </c>
      <c r="B9471">
        <f>TEXT(9470, "[$-170000]yyyy-mm-dd")</f>
        <v/>
      </c>
      <c r="C9471">
        <f>TEXT(9470, "[$-060000]yyyy-mm-dd")</f>
        <v/>
      </c>
      <c r="D9471" t="inlineStr">
        <is>
          <t>1344-05-19</t>
        </is>
      </c>
    </row>
    <row r="9472">
      <c r="A9472" s="1" t="n">
        <v>9471</v>
      </c>
      <c r="B9472">
        <f>TEXT(9471, "[$-170000]yyyy-mm-dd")</f>
        <v/>
      </c>
      <c r="C9472">
        <f>TEXT(9471, "[$-060000]yyyy-mm-dd")</f>
        <v/>
      </c>
      <c r="D9472" t="inlineStr">
        <is>
          <t>1344-05-20</t>
        </is>
      </c>
    </row>
    <row r="9473">
      <c r="A9473" s="1" t="n">
        <v>9472</v>
      </c>
      <c r="B9473">
        <f>TEXT(9472, "[$-170000]yyyy-mm-dd")</f>
        <v/>
      </c>
      <c r="C9473">
        <f>TEXT(9472, "[$-060000]yyyy-mm-dd")</f>
        <v/>
      </c>
      <c r="D9473" t="inlineStr">
        <is>
          <t>1344-05-21</t>
        </is>
      </c>
    </row>
    <row r="9474">
      <c r="A9474" s="1" t="n">
        <v>9473</v>
      </c>
      <c r="B9474">
        <f>TEXT(9473, "[$-170000]yyyy-mm-dd")</f>
        <v/>
      </c>
      <c r="C9474">
        <f>TEXT(9473, "[$-060000]yyyy-mm-dd")</f>
        <v/>
      </c>
      <c r="D9474" t="inlineStr">
        <is>
          <t>1344-05-22</t>
        </is>
      </c>
    </row>
    <row r="9475">
      <c r="A9475" s="1" t="n">
        <v>9474</v>
      </c>
      <c r="B9475">
        <f>TEXT(9474, "[$-170000]yyyy-mm-dd")</f>
        <v/>
      </c>
      <c r="C9475">
        <f>TEXT(9474, "[$-060000]yyyy-mm-dd")</f>
        <v/>
      </c>
      <c r="D9475" t="inlineStr">
        <is>
          <t>1344-05-23</t>
        </is>
      </c>
    </row>
    <row r="9476">
      <c r="A9476" s="1" t="n">
        <v>9475</v>
      </c>
      <c r="B9476">
        <f>TEXT(9475, "[$-170000]yyyy-mm-dd")</f>
        <v/>
      </c>
      <c r="C9476">
        <f>TEXT(9475, "[$-060000]yyyy-mm-dd")</f>
        <v/>
      </c>
      <c r="D9476" t="inlineStr">
        <is>
          <t>1344-05-24</t>
        </is>
      </c>
    </row>
    <row r="9477">
      <c r="A9477" s="1" t="n">
        <v>9476</v>
      </c>
      <c r="B9477">
        <f>TEXT(9476, "[$-170000]yyyy-mm-dd")</f>
        <v/>
      </c>
      <c r="C9477">
        <f>TEXT(9476, "[$-060000]yyyy-mm-dd")</f>
        <v/>
      </c>
      <c r="D9477" t="inlineStr">
        <is>
          <t>1344-05-25</t>
        </is>
      </c>
    </row>
    <row r="9478">
      <c r="A9478" s="1" t="n">
        <v>9477</v>
      </c>
      <c r="B9478">
        <f>TEXT(9477, "[$-170000]yyyy-mm-dd")</f>
        <v/>
      </c>
      <c r="C9478">
        <f>TEXT(9477, "[$-060000]yyyy-mm-dd")</f>
        <v/>
      </c>
      <c r="D9478" t="inlineStr">
        <is>
          <t>1344-05-26</t>
        </is>
      </c>
    </row>
    <row r="9479">
      <c r="A9479" s="1" t="n">
        <v>9478</v>
      </c>
      <c r="B9479">
        <f>TEXT(9478, "[$-170000]yyyy-mm-dd")</f>
        <v/>
      </c>
      <c r="C9479">
        <f>TEXT(9478, "[$-060000]yyyy-mm-dd")</f>
        <v/>
      </c>
      <c r="D9479" t="inlineStr">
        <is>
          <t>1344-05-27</t>
        </is>
      </c>
    </row>
    <row r="9480">
      <c r="A9480" s="1" t="n">
        <v>9479</v>
      </c>
      <c r="B9480">
        <f>TEXT(9479, "[$-170000]yyyy-mm-dd")</f>
        <v/>
      </c>
      <c r="C9480">
        <f>TEXT(9479, "[$-060000]yyyy-mm-dd")</f>
        <v/>
      </c>
      <c r="D9480" t="inlineStr">
        <is>
          <t>1344-05-28</t>
        </is>
      </c>
    </row>
    <row r="9481">
      <c r="A9481" s="1" t="n">
        <v>9480</v>
      </c>
      <c r="B9481">
        <f>TEXT(9480, "[$-170000]yyyy-mm-dd")</f>
        <v/>
      </c>
      <c r="C9481">
        <f>TEXT(9480, "[$-060000]yyyy-mm-dd")</f>
        <v/>
      </c>
      <c r="D9481" t="inlineStr">
        <is>
          <t>1344-05-29</t>
        </is>
      </c>
    </row>
    <row r="9482">
      <c r="A9482" s="1" t="n">
        <v>9481</v>
      </c>
      <c r="B9482">
        <f>TEXT(9481, "[$-170000]yyyy-mm-dd")</f>
        <v/>
      </c>
      <c r="C9482">
        <f>TEXT(9481, "[$-060000]yyyy-mm-dd")</f>
        <v/>
      </c>
      <c r="D9482" t="inlineStr">
        <is>
          <t>1344-05-30</t>
        </is>
      </c>
    </row>
    <row r="9483">
      <c r="A9483" s="1" t="n">
        <v>9482</v>
      </c>
      <c r="B9483">
        <f>TEXT(9482, "[$-170000]yyyy-mm-dd")</f>
        <v/>
      </c>
      <c r="C9483">
        <f>TEXT(9482, "[$-060000]yyyy-mm-dd")</f>
        <v/>
      </c>
      <c r="D9483" t="inlineStr">
        <is>
          <t>1344-06-01</t>
        </is>
      </c>
    </row>
    <row r="9484">
      <c r="A9484" s="1" t="n">
        <v>9483</v>
      </c>
      <c r="B9484">
        <f>TEXT(9483, "[$-170000]yyyy-mm-dd")</f>
        <v/>
      </c>
      <c r="C9484">
        <f>TEXT(9483, "[$-060000]yyyy-mm-dd")</f>
        <v/>
      </c>
      <c r="D9484" t="inlineStr">
        <is>
          <t>1344-06-02</t>
        </is>
      </c>
    </row>
    <row r="9485">
      <c r="A9485" s="1" t="n">
        <v>9484</v>
      </c>
      <c r="B9485">
        <f>TEXT(9484, "[$-170000]yyyy-mm-dd")</f>
        <v/>
      </c>
      <c r="C9485">
        <f>TEXT(9484, "[$-060000]yyyy-mm-dd")</f>
        <v/>
      </c>
      <c r="D9485" t="inlineStr">
        <is>
          <t>1344-06-03</t>
        </is>
      </c>
    </row>
    <row r="9486">
      <c r="A9486" s="1" t="n">
        <v>9485</v>
      </c>
      <c r="B9486">
        <f>TEXT(9485, "[$-170000]yyyy-mm-dd")</f>
        <v/>
      </c>
      <c r="C9486">
        <f>TEXT(9485, "[$-060000]yyyy-mm-dd")</f>
        <v/>
      </c>
      <c r="D9486" t="inlineStr">
        <is>
          <t>1344-06-04</t>
        </is>
      </c>
    </row>
    <row r="9487">
      <c r="A9487" s="1" t="n">
        <v>9486</v>
      </c>
      <c r="B9487">
        <f>TEXT(9486, "[$-170000]yyyy-mm-dd")</f>
        <v/>
      </c>
      <c r="C9487">
        <f>TEXT(9486, "[$-060000]yyyy-mm-dd")</f>
        <v/>
      </c>
      <c r="D9487" t="inlineStr">
        <is>
          <t>1344-06-05</t>
        </is>
      </c>
    </row>
    <row r="9488">
      <c r="A9488" s="1" t="n">
        <v>9487</v>
      </c>
      <c r="B9488">
        <f>TEXT(9487, "[$-170000]yyyy-mm-dd")</f>
        <v/>
      </c>
      <c r="C9488">
        <f>TEXT(9487, "[$-060000]yyyy-mm-dd")</f>
        <v/>
      </c>
      <c r="D9488" t="inlineStr">
        <is>
          <t>1344-06-06</t>
        </is>
      </c>
    </row>
    <row r="9489">
      <c r="A9489" s="1" t="n">
        <v>9488</v>
      </c>
      <c r="B9489">
        <f>TEXT(9488, "[$-170000]yyyy-mm-dd")</f>
        <v/>
      </c>
      <c r="C9489">
        <f>TEXT(9488, "[$-060000]yyyy-mm-dd")</f>
        <v/>
      </c>
      <c r="D9489" t="inlineStr">
        <is>
          <t>1344-06-07</t>
        </is>
      </c>
    </row>
    <row r="9490">
      <c r="A9490" s="1" t="n">
        <v>9489</v>
      </c>
      <c r="B9490">
        <f>TEXT(9489, "[$-170000]yyyy-mm-dd")</f>
        <v/>
      </c>
      <c r="C9490">
        <f>TEXT(9489, "[$-060000]yyyy-mm-dd")</f>
        <v/>
      </c>
      <c r="D9490" t="inlineStr">
        <is>
          <t>1344-06-08</t>
        </is>
      </c>
    </row>
    <row r="9491">
      <c r="A9491" s="1" t="n">
        <v>9490</v>
      </c>
      <c r="B9491">
        <f>TEXT(9490, "[$-170000]yyyy-mm-dd")</f>
        <v/>
      </c>
      <c r="C9491">
        <f>TEXT(9490, "[$-060000]yyyy-mm-dd")</f>
        <v/>
      </c>
      <c r="D9491" t="inlineStr">
        <is>
          <t>1344-06-09</t>
        </is>
      </c>
    </row>
    <row r="9492">
      <c r="A9492" s="1" t="n">
        <v>9491</v>
      </c>
      <c r="B9492">
        <f>TEXT(9491, "[$-170000]yyyy-mm-dd")</f>
        <v/>
      </c>
      <c r="C9492">
        <f>TEXT(9491, "[$-060000]yyyy-mm-dd")</f>
        <v/>
      </c>
      <c r="D9492" t="inlineStr">
        <is>
          <t>1344-06-10</t>
        </is>
      </c>
    </row>
    <row r="9493">
      <c r="A9493" s="1" t="n">
        <v>9492</v>
      </c>
      <c r="B9493">
        <f>TEXT(9492, "[$-170000]yyyy-mm-dd")</f>
        <v/>
      </c>
      <c r="C9493">
        <f>TEXT(9492, "[$-060000]yyyy-mm-dd")</f>
        <v/>
      </c>
      <c r="D9493" t="inlineStr">
        <is>
          <t>1344-06-11</t>
        </is>
      </c>
    </row>
    <row r="9494">
      <c r="A9494" s="1" t="n">
        <v>9493</v>
      </c>
      <c r="B9494">
        <f>TEXT(9493, "[$-170000]yyyy-mm-dd")</f>
        <v/>
      </c>
      <c r="C9494">
        <f>TEXT(9493, "[$-060000]yyyy-mm-dd")</f>
        <v/>
      </c>
      <c r="D9494" t="inlineStr">
        <is>
          <t>1344-06-12</t>
        </is>
      </c>
    </row>
    <row r="9495">
      <c r="A9495" s="1" t="n">
        <v>9494</v>
      </c>
      <c r="B9495">
        <f>TEXT(9494, "[$-170000]yyyy-mm-dd")</f>
        <v/>
      </c>
      <c r="C9495">
        <f>TEXT(9494, "[$-060000]yyyy-mm-dd")</f>
        <v/>
      </c>
      <c r="D9495" t="inlineStr">
        <is>
          <t>1344-06-13</t>
        </is>
      </c>
    </row>
    <row r="9496">
      <c r="A9496" s="1" t="n">
        <v>9495</v>
      </c>
      <c r="B9496">
        <f>TEXT(9495, "[$-170000]yyyy-mm-dd")</f>
        <v/>
      </c>
      <c r="C9496">
        <f>TEXT(9495, "[$-060000]yyyy-mm-dd")</f>
        <v/>
      </c>
      <c r="D9496" t="inlineStr">
        <is>
          <t>1344-06-14</t>
        </is>
      </c>
    </row>
    <row r="9497">
      <c r="A9497" s="1" t="n">
        <v>9496</v>
      </c>
      <c r="B9497">
        <f>TEXT(9496, "[$-170000]yyyy-mm-dd")</f>
        <v/>
      </c>
      <c r="C9497">
        <f>TEXT(9496, "[$-060000]yyyy-mm-dd")</f>
        <v/>
      </c>
      <c r="D9497" t="inlineStr">
        <is>
          <t>1344-06-15</t>
        </is>
      </c>
    </row>
    <row r="9498">
      <c r="A9498" s="1" t="n">
        <v>9497</v>
      </c>
      <c r="B9498">
        <f>TEXT(9497, "[$-170000]yyyy-mm-dd")</f>
        <v/>
      </c>
      <c r="C9498">
        <f>TEXT(9497, "[$-060000]yyyy-mm-dd")</f>
        <v/>
      </c>
      <c r="D9498" t="inlineStr">
        <is>
          <t>1344-06-16</t>
        </is>
      </c>
    </row>
    <row r="9499">
      <c r="A9499" s="1" t="n">
        <v>9498</v>
      </c>
      <c r="B9499">
        <f>TEXT(9498, "[$-170000]yyyy-mm-dd")</f>
        <v/>
      </c>
      <c r="C9499">
        <f>TEXT(9498, "[$-060000]yyyy-mm-dd")</f>
        <v/>
      </c>
      <c r="D9499" t="inlineStr">
        <is>
          <t>1344-06-17</t>
        </is>
      </c>
    </row>
    <row r="9500">
      <c r="A9500" s="1" t="n">
        <v>9499</v>
      </c>
      <c r="B9500">
        <f>TEXT(9499, "[$-170000]yyyy-mm-dd")</f>
        <v/>
      </c>
      <c r="C9500">
        <f>TEXT(9499, "[$-060000]yyyy-mm-dd")</f>
        <v/>
      </c>
      <c r="D9500" t="inlineStr">
        <is>
          <t>1344-06-18</t>
        </is>
      </c>
    </row>
    <row r="9501">
      <c r="A9501" s="1" t="n">
        <v>9500</v>
      </c>
      <c r="B9501">
        <f>TEXT(9500, "[$-170000]yyyy-mm-dd")</f>
        <v/>
      </c>
      <c r="C9501">
        <f>TEXT(9500, "[$-060000]yyyy-mm-dd")</f>
        <v/>
      </c>
      <c r="D9501" t="inlineStr">
        <is>
          <t>1344-06-19</t>
        </is>
      </c>
    </row>
    <row r="9502">
      <c r="A9502" s="1" t="n">
        <v>9501</v>
      </c>
      <c r="B9502">
        <f>TEXT(9501, "[$-170000]yyyy-mm-dd")</f>
        <v/>
      </c>
      <c r="C9502">
        <f>TEXT(9501, "[$-060000]yyyy-mm-dd")</f>
        <v/>
      </c>
      <c r="D9502" t="inlineStr">
        <is>
          <t>1344-06-20</t>
        </is>
      </c>
    </row>
    <row r="9503">
      <c r="A9503" s="1" t="n">
        <v>9502</v>
      </c>
      <c r="B9503">
        <f>TEXT(9502, "[$-170000]yyyy-mm-dd")</f>
        <v/>
      </c>
      <c r="C9503">
        <f>TEXT(9502, "[$-060000]yyyy-mm-dd")</f>
        <v/>
      </c>
      <c r="D9503" t="inlineStr">
        <is>
          <t>1344-06-21</t>
        </is>
      </c>
    </row>
    <row r="9504">
      <c r="A9504" s="1" t="n">
        <v>9503</v>
      </c>
      <c r="B9504">
        <f>TEXT(9503, "[$-170000]yyyy-mm-dd")</f>
        <v/>
      </c>
      <c r="C9504">
        <f>TEXT(9503, "[$-060000]yyyy-mm-dd")</f>
        <v/>
      </c>
      <c r="D9504" t="inlineStr">
        <is>
          <t>1344-06-22</t>
        </is>
      </c>
    </row>
    <row r="9505">
      <c r="A9505" s="1" t="n">
        <v>9504</v>
      </c>
      <c r="B9505">
        <f>TEXT(9504, "[$-170000]yyyy-mm-dd")</f>
        <v/>
      </c>
      <c r="C9505">
        <f>TEXT(9504, "[$-060000]yyyy-mm-dd")</f>
        <v/>
      </c>
      <c r="D9505" t="inlineStr">
        <is>
          <t>1344-06-23</t>
        </is>
      </c>
    </row>
    <row r="9506">
      <c r="A9506" s="1" t="n">
        <v>9505</v>
      </c>
      <c r="B9506">
        <f>TEXT(9505, "[$-170000]yyyy-mm-dd")</f>
        <v/>
      </c>
      <c r="C9506">
        <f>TEXT(9505, "[$-060000]yyyy-mm-dd")</f>
        <v/>
      </c>
      <c r="D9506" t="inlineStr">
        <is>
          <t>1344-06-24</t>
        </is>
      </c>
    </row>
    <row r="9507">
      <c r="A9507" s="1" t="n">
        <v>9506</v>
      </c>
      <c r="B9507">
        <f>TEXT(9506, "[$-170000]yyyy-mm-dd")</f>
        <v/>
      </c>
      <c r="C9507">
        <f>TEXT(9506, "[$-060000]yyyy-mm-dd")</f>
        <v/>
      </c>
      <c r="D9507" t="inlineStr">
        <is>
          <t>1344-06-25</t>
        </is>
      </c>
    </row>
    <row r="9508">
      <c r="A9508" s="1" t="n">
        <v>9507</v>
      </c>
      <c r="B9508">
        <f>TEXT(9507, "[$-170000]yyyy-mm-dd")</f>
        <v/>
      </c>
      <c r="C9508">
        <f>TEXT(9507, "[$-060000]yyyy-mm-dd")</f>
        <v/>
      </c>
      <c r="D9508" t="inlineStr">
        <is>
          <t>1344-06-26</t>
        </is>
      </c>
    </row>
    <row r="9509">
      <c r="A9509" s="1" t="n">
        <v>9508</v>
      </c>
      <c r="B9509">
        <f>TEXT(9508, "[$-170000]yyyy-mm-dd")</f>
        <v/>
      </c>
      <c r="C9509">
        <f>TEXT(9508, "[$-060000]yyyy-mm-dd")</f>
        <v/>
      </c>
      <c r="D9509" t="inlineStr">
        <is>
          <t>1344-06-27</t>
        </is>
      </c>
    </row>
    <row r="9510">
      <c r="A9510" s="1" t="n">
        <v>9509</v>
      </c>
      <c r="B9510">
        <f>TEXT(9509, "[$-170000]yyyy-mm-dd")</f>
        <v/>
      </c>
      <c r="C9510">
        <f>TEXT(9509, "[$-060000]yyyy-mm-dd")</f>
        <v/>
      </c>
      <c r="D9510" t="inlineStr">
        <is>
          <t>1344-06-28</t>
        </is>
      </c>
    </row>
    <row r="9511">
      <c r="A9511" s="1" t="n">
        <v>9510</v>
      </c>
      <c r="B9511">
        <f>TEXT(9510, "[$-170000]yyyy-mm-dd")</f>
        <v/>
      </c>
      <c r="C9511">
        <f>TEXT(9510, "[$-060000]yyyy-mm-dd")</f>
        <v/>
      </c>
      <c r="D9511" t="inlineStr">
        <is>
          <t>1344-06-29</t>
        </is>
      </c>
    </row>
    <row r="9512">
      <c r="A9512" s="1" t="n">
        <v>9511</v>
      </c>
      <c r="B9512">
        <f>TEXT(9511, "[$-170000]yyyy-mm-dd")</f>
        <v/>
      </c>
      <c r="C9512">
        <f>TEXT(9511, "[$-060000]yyyy-mm-dd")</f>
        <v/>
      </c>
      <c r="D9512" t="inlineStr">
        <is>
          <t>1344-07-01</t>
        </is>
      </c>
    </row>
    <row r="9513">
      <c r="A9513" s="1" t="n">
        <v>9512</v>
      </c>
      <c r="B9513">
        <f>TEXT(9512, "[$-170000]yyyy-mm-dd")</f>
        <v/>
      </c>
      <c r="C9513">
        <f>TEXT(9512, "[$-060000]yyyy-mm-dd")</f>
        <v/>
      </c>
      <c r="D9513" t="inlineStr">
        <is>
          <t>1344-07-02</t>
        </is>
      </c>
    </row>
    <row r="9514">
      <c r="A9514" s="1" t="n">
        <v>9513</v>
      </c>
      <c r="B9514">
        <f>TEXT(9513, "[$-170000]yyyy-mm-dd")</f>
        <v/>
      </c>
      <c r="C9514">
        <f>TEXT(9513, "[$-060000]yyyy-mm-dd")</f>
        <v/>
      </c>
      <c r="D9514" t="inlineStr">
        <is>
          <t>1344-07-03</t>
        </is>
      </c>
    </row>
    <row r="9515">
      <c r="A9515" s="1" t="n">
        <v>9514</v>
      </c>
      <c r="B9515">
        <f>TEXT(9514, "[$-170000]yyyy-mm-dd")</f>
        <v/>
      </c>
      <c r="C9515">
        <f>TEXT(9514, "[$-060000]yyyy-mm-dd")</f>
        <v/>
      </c>
      <c r="D9515" t="inlineStr">
        <is>
          <t>1344-07-04</t>
        </is>
      </c>
    </row>
    <row r="9516">
      <c r="A9516" s="1" t="n">
        <v>9515</v>
      </c>
      <c r="B9516">
        <f>TEXT(9515, "[$-170000]yyyy-mm-dd")</f>
        <v/>
      </c>
      <c r="C9516">
        <f>TEXT(9515, "[$-060000]yyyy-mm-dd")</f>
        <v/>
      </c>
      <c r="D9516" t="inlineStr">
        <is>
          <t>1344-07-05</t>
        </is>
      </c>
    </row>
    <row r="9517">
      <c r="A9517" s="1" t="n">
        <v>9516</v>
      </c>
      <c r="B9517">
        <f>TEXT(9516, "[$-170000]yyyy-mm-dd")</f>
        <v/>
      </c>
      <c r="C9517">
        <f>TEXT(9516, "[$-060000]yyyy-mm-dd")</f>
        <v/>
      </c>
      <c r="D9517" t="inlineStr">
        <is>
          <t>1344-07-06</t>
        </is>
      </c>
    </row>
    <row r="9518">
      <c r="A9518" s="1" t="n">
        <v>9517</v>
      </c>
      <c r="B9518">
        <f>TEXT(9517, "[$-170000]yyyy-mm-dd")</f>
        <v/>
      </c>
      <c r="C9518">
        <f>TEXT(9517, "[$-060000]yyyy-mm-dd")</f>
        <v/>
      </c>
      <c r="D9518" t="inlineStr">
        <is>
          <t>1344-07-07</t>
        </is>
      </c>
    </row>
    <row r="9519">
      <c r="A9519" s="1" t="n">
        <v>9518</v>
      </c>
      <c r="B9519">
        <f>TEXT(9518, "[$-170000]yyyy-mm-dd")</f>
        <v/>
      </c>
      <c r="C9519">
        <f>TEXT(9518, "[$-060000]yyyy-mm-dd")</f>
        <v/>
      </c>
      <c r="D9519" t="inlineStr">
        <is>
          <t>1344-07-08</t>
        </is>
      </c>
    </row>
    <row r="9520">
      <c r="A9520" s="1" t="n">
        <v>9519</v>
      </c>
      <c r="B9520">
        <f>TEXT(9519, "[$-170000]yyyy-mm-dd")</f>
        <v/>
      </c>
      <c r="C9520">
        <f>TEXT(9519, "[$-060000]yyyy-mm-dd")</f>
        <v/>
      </c>
      <c r="D9520" t="inlineStr">
        <is>
          <t>1344-07-09</t>
        </is>
      </c>
    </row>
    <row r="9521">
      <c r="A9521" s="1" t="n">
        <v>9520</v>
      </c>
      <c r="B9521">
        <f>TEXT(9520, "[$-170000]yyyy-mm-dd")</f>
        <v/>
      </c>
      <c r="C9521">
        <f>TEXT(9520, "[$-060000]yyyy-mm-dd")</f>
        <v/>
      </c>
      <c r="D9521" t="inlineStr">
        <is>
          <t>1344-07-10</t>
        </is>
      </c>
    </row>
    <row r="9522">
      <c r="A9522" s="1" t="n">
        <v>9521</v>
      </c>
      <c r="B9522">
        <f>TEXT(9521, "[$-170000]yyyy-mm-dd")</f>
        <v/>
      </c>
      <c r="C9522">
        <f>TEXT(9521, "[$-060000]yyyy-mm-dd")</f>
        <v/>
      </c>
      <c r="D9522" t="inlineStr">
        <is>
          <t>1344-07-11</t>
        </is>
      </c>
    </row>
    <row r="9523">
      <c r="A9523" s="1" t="n">
        <v>9522</v>
      </c>
      <c r="B9523">
        <f>TEXT(9522, "[$-170000]yyyy-mm-dd")</f>
        <v/>
      </c>
      <c r="C9523">
        <f>TEXT(9522, "[$-060000]yyyy-mm-dd")</f>
        <v/>
      </c>
      <c r="D9523" t="inlineStr">
        <is>
          <t>1344-07-12</t>
        </is>
      </c>
    </row>
    <row r="9524">
      <c r="A9524" s="1" t="n">
        <v>9523</v>
      </c>
      <c r="B9524">
        <f>TEXT(9523, "[$-170000]yyyy-mm-dd")</f>
        <v/>
      </c>
      <c r="C9524">
        <f>TEXT(9523, "[$-060000]yyyy-mm-dd")</f>
        <v/>
      </c>
      <c r="D9524" t="inlineStr">
        <is>
          <t>1344-07-13</t>
        </is>
      </c>
    </row>
    <row r="9525">
      <c r="A9525" s="1" t="n">
        <v>9524</v>
      </c>
      <c r="B9525">
        <f>TEXT(9524, "[$-170000]yyyy-mm-dd")</f>
        <v/>
      </c>
      <c r="C9525">
        <f>TEXT(9524, "[$-060000]yyyy-mm-dd")</f>
        <v/>
      </c>
      <c r="D9525" t="inlineStr">
        <is>
          <t>1344-07-14</t>
        </is>
      </c>
    </row>
    <row r="9526">
      <c r="A9526" s="1" t="n">
        <v>9525</v>
      </c>
      <c r="B9526">
        <f>TEXT(9525, "[$-170000]yyyy-mm-dd")</f>
        <v/>
      </c>
      <c r="C9526">
        <f>TEXT(9525, "[$-060000]yyyy-mm-dd")</f>
        <v/>
      </c>
      <c r="D9526" t="inlineStr">
        <is>
          <t>1344-07-15</t>
        </is>
      </c>
    </row>
    <row r="9527">
      <c r="A9527" s="1" t="n">
        <v>9526</v>
      </c>
      <c r="B9527">
        <f>TEXT(9526, "[$-170000]yyyy-mm-dd")</f>
        <v/>
      </c>
      <c r="C9527">
        <f>TEXT(9526, "[$-060000]yyyy-mm-dd")</f>
        <v/>
      </c>
      <c r="D9527" t="inlineStr">
        <is>
          <t>1344-07-16</t>
        </is>
      </c>
    </row>
    <row r="9528">
      <c r="A9528" s="1" t="n">
        <v>9527</v>
      </c>
      <c r="B9528">
        <f>TEXT(9527, "[$-170000]yyyy-mm-dd")</f>
        <v/>
      </c>
      <c r="C9528">
        <f>TEXT(9527, "[$-060000]yyyy-mm-dd")</f>
        <v/>
      </c>
      <c r="D9528" t="inlineStr">
        <is>
          <t>1344-07-17</t>
        </is>
      </c>
    </row>
    <row r="9529">
      <c r="A9529" s="1" t="n">
        <v>9528</v>
      </c>
      <c r="B9529">
        <f>TEXT(9528, "[$-170000]yyyy-mm-dd")</f>
        <v/>
      </c>
      <c r="C9529">
        <f>TEXT(9528, "[$-060000]yyyy-mm-dd")</f>
        <v/>
      </c>
      <c r="D9529" t="inlineStr">
        <is>
          <t>1344-07-18</t>
        </is>
      </c>
    </row>
    <row r="9530">
      <c r="A9530" s="1" t="n">
        <v>9529</v>
      </c>
      <c r="B9530">
        <f>TEXT(9529, "[$-170000]yyyy-mm-dd")</f>
        <v/>
      </c>
      <c r="C9530">
        <f>TEXT(9529, "[$-060000]yyyy-mm-dd")</f>
        <v/>
      </c>
      <c r="D9530" t="inlineStr">
        <is>
          <t>1344-07-19</t>
        </is>
      </c>
    </row>
    <row r="9531">
      <c r="A9531" s="1" t="n">
        <v>9530</v>
      </c>
      <c r="B9531">
        <f>TEXT(9530, "[$-170000]yyyy-mm-dd")</f>
        <v/>
      </c>
      <c r="C9531">
        <f>TEXT(9530, "[$-060000]yyyy-mm-dd")</f>
        <v/>
      </c>
      <c r="D9531" t="inlineStr">
        <is>
          <t>1344-07-20</t>
        </is>
      </c>
    </row>
    <row r="9532">
      <c r="A9532" s="1" t="n">
        <v>9531</v>
      </c>
      <c r="B9532">
        <f>TEXT(9531, "[$-170000]yyyy-mm-dd")</f>
        <v/>
      </c>
      <c r="C9532">
        <f>TEXT(9531, "[$-060000]yyyy-mm-dd")</f>
        <v/>
      </c>
      <c r="D9532" t="inlineStr">
        <is>
          <t>1344-07-21</t>
        </is>
      </c>
    </row>
    <row r="9533">
      <c r="A9533" s="1" t="n">
        <v>9532</v>
      </c>
      <c r="B9533">
        <f>TEXT(9532, "[$-170000]yyyy-mm-dd")</f>
        <v/>
      </c>
      <c r="C9533">
        <f>TEXT(9532, "[$-060000]yyyy-mm-dd")</f>
        <v/>
      </c>
      <c r="D9533" t="inlineStr">
        <is>
          <t>1344-07-22</t>
        </is>
      </c>
    </row>
    <row r="9534">
      <c r="A9534" s="1" t="n">
        <v>9533</v>
      </c>
      <c r="B9534">
        <f>TEXT(9533, "[$-170000]yyyy-mm-dd")</f>
        <v/>
      </c>
      <c r="C9534">
        <f>TEXT(9533, "[$-060000]yyyy-mm-dd")</f>
        <v/>
      </c>
      <c r="D9534" t="inlineStr">
        <is>
          <t>1344-07-23</t>
        </is>
      </c>
    </row>
    <row r="9535">
      <c r="A9535" s="1" t="n">
        <v>9534</v>
      </c>
      <c r="B9535">
        <f>TEXT(9534, "[$-170000]yyyy-mm-dd")</f>
        <v/>
      </c>
      <c r="C9535">
        <f>TEXT(9534, "[$-060000]yyyy-mm-dd")</f>
        <v/>
      </c>
      <c r="D9535" t="inlineStr">
        <is>
          <t>1344-07-24</t>
        </is>
      </c>
    </row>
    <row r="9536">
      <c r="A9536" s="1" t="n">
        <v>9535</v>
      </c>
      <c r="B9536">
        <f>TEXT(9535, "[$-170000]yyyy-mm-dd")</f>
        <v/>
      </c>
      <c r="C9536">
        <f>TEXT(9535, "[$-060000]yyyy-mm-dd")</f>
        <v/>
      </c>
      <c r="D9536" t="inlineStr">
        <is>
          <t>1344-07-25</t>
        </is>
      </c>
    </row>
    <row r="9537">
      <c r="A9537" s="1" t="n">
        <v>9536</v>
      </c>
      <c r="B9537">
        <f>TEXT(9536, "[$-170000]yyyy-mm-dd")</f>
        <v/>
      </c>
      <c r="C9537">
        <f>TEXT(9536, "[$-060000]yyyy-mm-dd")</f>
        <v/>
      </c>
      <c r="D9537" t="inlineStr">
        <is>
          <t>1344-07-26</t>
        </is>
      </c>
    </row>
    <row r="9538">
      <c r="A9538" s="1" t="n">
        <v>9537</v>
      </c>
      <c r="B9538">
        <f>TEXT(9537, "[$-170000]yyyy-mm-dd")</f>
        <v/>
      </c>
      <c r="C9538">
        <f>TEXT(9537, "[$-060000]yyyy-mm-dd")</f>
        <v/>
      </c>
      <c r="D9538" t="inlineStr">
        <is>
          <t>1344-07-27</t>
        </is>
      </c>
    </row>
    <row r="9539">
      <c r="A9539" s="1" t="n">
        <v>9538</v>
      </c>
      <c r="B9539">
        <f>TEXT(9538, "[$-170000]yyyy-mm-dd")</f>
        <v/>
      </c>
      <c r="C9539">
        <f>TEXT(9538, "[$-060000]yyyy-mm-dd")</f>
        <v/>
      </c>
      <c r="D9539" t="inlineStr">
        <is>
          <t>1344-07-28</t>
        </is>
      </c>
    </row>
    <row r="9540">
      <c r="A9540" s="1" t="n">
        <v>9539</v>
      </c>
      <c r="B9540">
        <f>TEXT(9539, "[$-170000]yyyy-mm-dd")</f>
        <v/>
      </c>
      <c r="C9540">
        <f>TEXT(9539, "[$-060000]yyyy-mm-dd")</f>
        <v/>
      </c>
      <c r="D9540" t="inlineStr">
        <is>
          <t>1344-07-29</t>
        </is>
      </c>
    </row>
    <row r="9541">
      <c r="A9541" s="1" t="n">
        <v>9540</v>
      </c>
      <c r="B9541">
        <f>TEXT(9540, "[$-170000]yyyy-mm-dd")</f>
        <v/>
      </c>
      <c r="C9541">
        <f>TEXT(9540, "[$-060000]yyyy-mm-dd")</f>
        <v/>
      </c>
      <c r="D9541" t="inlineStr">
        <is>
          <t>1344-07-30</t>
        </is>
      </c>
    </row>
    <row r="9542">
      <c r="A9542" s="1" t="n">
        <v>9541</v>
      </c>
      <c r="B9542">
        <f>TEXT(9541, "[$-170000]yyyy-mm-dd")</f>
        <v/>
      </c>
      <c r="C9542">
        <f>TEXT(9541, "[$-060000]yyyy-mm-dd")</f>
        <v/>
      </c>
      <c r="D9542" t="inlineStr">
        <is>
          <t>1344-08-01</t>
        </is>
      </c>
    </row>
    <row r="9543">
      <c r="A9543" s="1" t="n">
        <v>9542</v>
      </c>
      <c r="B9543">
        <f>TEXT(9542, "[$-170000]yyyy-mm-dd")</f>
        <v/>
      </c>
      <c r="C9543">
        <f>TEXT(9542, "[$-060000]yyyy-mm-dd")</f>
        <v/>
      </c>
      <c r="D9543" t="inlineStr">
        <is>
          <t>1344-08-02</t>
        </is>
      </c>
    </row>
    <row r="9544">
      <c r="A9544" s="1" t="n">
        <v>9543</v>
      </c>
      <c r="B9544">
        <f>TEXT(9543, "[$-170000]yyyy-mm-dd")</f>
        <v/>
      </c>
      <c r="C9544">
        <f>TEXT(9543, "[$-060000]yyyy-mm-dd")</f>
        <v/>
      </c>
      <c r="D9544" t="inlineStr">
        <is>
          <t>1344-08-03</t>
        </is>
      </c>
    </row>
    <row r="9545">
      <c r="A9545" s="1" t="n">
        <v>9544</v>
      </c>
      <c r="B9545">
        <f>TEXT(9544, "[$-170000]yyyy-mm-dd")</f>
        <v/>
      </c>
      <c r="C9545">
        <f>TEXT(9544, "[$-060000]yyyy-mm-dd")</f>
        <v/>
      </c>
      <c r="D9545" t="inlineStr">
        <is>
          <t>1344-08-04</t>
        </is>
      </c>
    </row>
    <row r="9546">
      <c r="A9546" s="1" t="n">
        <v>9545</v>
      </c>
      <c r="B9546">
        <f>TEXT(9545, "[$-170000]yyyy-mm-dd")</f>
        <v/>
      </c>
      <c r="C9546">
        <f>TEXT(9545, "[$-060000]yyyy-mm-dd")</f>
        <v/>
      </c>
      <c r="D9546" t="inlineStr">
        <is>
          <t>1344-08-05</t>
        </is>
      </c>
    </row>
    <row r="9547">
      <c r="A9547" s="1" t="n">
        <v>9546</v>
      </c>
      <c r="B9547">
        <f>TEXT(9546, "[$-170000]yyyy-mm-dd")</f>
        <v/>
      </c>
      <c r="C9547">
        <f>TEXT(9546, "[$-060000]yyyy-mm-dd")</f>
        <v/>
      </c>
      <c r="D9547" t="inlineStr">
        <is>
          <t>1344-08-06</t>
        </is>
      </c>
    </row>
    <row r="9548">
      <c r="A9548" s="1" t="n">
        <v>9547</v>
      </c>
      <c r="B9548">
        <f>TEXT(9547, "[$-170000]yyyy-mm-dd")</f>
        <v/>
      </c>
      <c r="C9548">
        <f>TEXT(9547, "[$-060000]yyyy-mm-dd")</f>
        <v/>
      </c>
      <c r="D9548" t="inlineStr">
        <is>
          <t>1344-08-07</t>
        </is>
      </c>
    </row>
    <row r="9549">
      <c r="A9549" s="1" t="n">
        <v>9548</v>
      </c>
      <c r="B9549">
        <f>TEXT(9548, "[$-170000]yyyy-mm-dd")</f>
        <v/>
      </c>
      <c r="C9549">
        <f>TEXT(9548, "[$-060000]yyyy-mm-dd")</f>
        <v/>
      </c>
      <c r="D9549" t="inlineStr">
        <is>
          <t>1344-08-08</t>
        </is>
      </c>
    </row>
    <row r="9550">
      <c r="A9550" s="1" t="n">
        <v>9549</v>
      </c>
      <c r="B9550">
        <f>TEXT(9549, "[$-170000]yyyy-mm-dd")</f>
        <v/>
      </c>
      <c r="C9550">
        <f>TEXT(9549, "[$-060000]yyyy-mm-dd")</f>
        <v/>
      </c>
      <c r="D9550" t="inlineStr">
        <is>
          <t>1344-08-09</t>
        </is>
      </c>
    </row>
    <row r="9551">
      <c r="A9551" s="1" t="n">
        <v>9550</v>
      </c>
      <c r="B9551">
        <f>TEXT(9550, "[$-170000]yyyy-mm-dd")</f>
        <v/>
      </c>
      <c r="C9551">
        <f>TEXT(9550, "[$-060000]yyyy-mm-dd")</f>
        <v/>
      </c>
      <c r="D9551" t="inlineStr">
        <is>
          <t>1344-08-10</t>
        </is>
      </c>
    </row>
    <row r="9552">
      <c r="A9552" s="1" t="n">
        <v>9551</v>
      </c>
      <c r="B9552">
        <f>TEXT(9551, "[$-170000]yyyy-mm-dd")</f>
        <v/>
      </c>
      <c r="C9552">
        <f>TEXT(9551, "[$-060000]yyyy-mm-dd")</f>
        <v/>
      </c>
      <c r="D9552" t="inlineStr">
        <is>
          <t>1344-08-11</t>
        </is>
      </c>
    </row>
    <row r="9553">
      <c r="A9553" s="1" t="n">
        <v>9552</v>
      </c>
      <c r="B9553">
        <f>TEXT(9552, "[$-170000]yyyy-mm-dd")</f>
        <v/>
      </c>
      <c r="C9553">
        <f>TEXT(9552, "[$-060000]yyyy-mm-dd")</f>
        <v/>
      </c>
      <c r="D9553" t="inlineStr">
        <is>
          <t>1344-08-12</t>
        </is>
      </c>
    </row>
    <row r="9554">
      <c r="A9554" s="1" t="n">
        <v>9553</v>
      </c>
      <c r="B9554">
        <f>TEXT(9553, "[$-170000]yyyy-mm-dd")</f>
        <v/>
      </c>
      <c r="C9554">
        <f>TEXT(9553, "[$-060000]yyyy-mm-dd")</f>
        <v/>
      </c>
      <c r="D9554" t="inlineStr">
        <is>
          <t>1344-08-13</t>
        </is>
      </c>
    </row>
    <row r="9555">
      <c r="A9555" s="1" t="n">
        <v>9554</v>
      </c>
      <c r="B9555">
        <f>TEXT(9554, "[$-170000]yyyy-mm-dd")</f>
        <v/>
      </c>
      <c r="C9555">
        <f>TEXT(9554, "[$-060000]yyyy-mm-dd")</f>
        <v/>
      </c>
      <c r="D9555" t="inlineStr">
        <is>
          <t>1344-08-14</t>
        </is>
      </c>
    </row>
    <row r="9556">
      <c r="A9556" s="1" t="n">
        <v>9555</v>
      </c>
      <c r="B9556">
        <f>TEXT(9555, "[$-170000]yyyy-mm-dd")</f>
        <v/>
      </c>
      <c r="C9556">
        <f>TEXT(9555, "[$-060000]yyyy-mm-dd")</f>
        <v/>
      </c>
      <c r="D9556" t="inlineStr">
        <is>
          <t>1344-08-15</t>
        </is>
      </c>
    </row>
    <row r="9557">
      <c r="A9557" s="1" t="n">
        <v>9556</v>
      </c>
      <c r="B9557">
        <f>TEXT(9556, "[$-170000]yyyy-mm-dd")</f>
        <v/>
      </c>
      <c r="C9557">
        <f>TEXT(9556, "[$-060000]yyyy-mm-dd")</f>
        <v/>
      </c>
      <c r="D9557" t="inlineStr">
        <is>
          <t>1344-08-16</t>
        </is>
      </c>
    </row>
    <row r="9558">
      <c r="A9558" s="1" t="n">
        <v>9557</v>
      </c>
      <c r="B9558">
        <f>TEXT(9557, "[$-170000]yyyy-mm-dd")</f>
        <v/>
      </c>
      <c r="C9558">
        <f>TEXT(9557, "[$-060000]yyyy-mm-dd")</f>
        <v/>
      </c>
      <c r="D9558" t="inlineStr">
        <is>
          <t>1344-08-17</t>
        </is>
      </c>
    </row>
    <row r="9559">
      <c r="A9559" s="1" t="n">
        <v>9558</v>
      </c>
      <c r="B9559">
        <f>TEXT(9558, "[$-170000]yyyy-mm-dd")</f>
        <v/>
      </c>
      <c r="C9559">
        <f>TEXT(9558, "[$-060000]yyyy-mm-dd")</f>
        <v/>
      </c>
      <c r="D9559" t="inlineStr">
        <is>
          <t>1344-08-18</t>
        </is>
      </c>
    </row>
    <row r="9560">
      <c r="A9560" s="1" t="n">
        <v>9559</v>
      </c>
      <c r="B9560">
        <f>TEXT(9559, "[$-170000]yyyy-mm-dd")</f>
        <v/>
      </c>
      <c r="C9560">
        <f>TEXT(9559, "[$-060000]yyyy-mm-dd")</f>
        <v/>
      </c>
      <c r="D9560" t="inlineStr">
        <is>
          <t>1344-08-19</t>
        </is>
      </c>
    </row>
    <row r="9561">
      <c r="A9561" s="1" t="n">
        <v>9560</v>
      </c>
      <c r="B9561">
        <f>TEXT(9560, "[$-170000]yyyy-mm-dd")</f>
        <v/>
      </c>
      <c r="C9561">
        <f>TEXT(9560, "[$-060000]yyyy-mm-dd")</f>
        <v/>
      </c>
      <c r="D9561" t="inlineStr">
        <is>
          <t>1344-08-20</t>
        </is>
      </c>
    </row>
    <row r="9562">
      <c r="A9562" s="1" t="n">
        <v>9561</v>
      </c>
      <c r="B9562">
        <f>TEXT(9561, "[$-170000]yyyy-mm-dd")</f>
        <v/>
      </c>
      <c r="C9562">
        <f>TEXT(9561, "[$-060000]yyyy-mm-dd")</f>
        <v/>
      </c>
      <c r="D9562" t="inlineStr">
        <is>
          <t>1344-08-21</t>
        </is>
      </c>
    </row>
    <row r="9563">
      <c r="A9563" s="1" t="n">
        <v>9562</v>
      </c>
      <c r="B9563">
        <f>TEXT(9562, "[$-170000]yyyy-mm-dd")</f>
        <v/>
      </c>
      <c r="C9563">
        <f>TEXT(9562, "[$-060000]yyyy-mm-dd")</f>
        <v/>
      </c>
      <c r="D9563" t="inlineStr">
        <is>
          <t>1344-08-22</t>
        </is>
      </c>
    </row>
    <row r="9564">
      <c r="A9564" s="1" t="n">
        <v>9563</v>
      </c>
      <c r="B9564">
        <f>TEXT(9563, "[$-170000]yyyy-mm-dd")</f>
        <v/>
      </c>
      <c r="C9564">
        <f>TEXT(9563, "[$-060000]yyyy-mm-dd")</f>
        <v/>
      </c>
      <c r="D9564" t="inlineStr">
        <is>
          <t>1344-08-23</t>
        </is>
      </c>
    </row>
    <row r="9565">
      <c r="A9565" s="1" t="n">
        <v>9564</v>
      </c>
      <c r="B9565">
        <f>TEXT(9564, "[$-170000]yyyy-mm-dd")</f>
        <v/>
      </c>
      <c r="C9565">
        <f>TEXT(9564, "[$-060000]yyyy-mm-dd")</f>
        <v/>
      </c>
      <c r="D9565" t="inlineStr">
        <is>
          <t>1344-08-24</t>
        </is>
      </c>
    </row>
    <row r="9566">
      <c r="A9566" s="1" t="n">
        <v>9565</v>
      </c>
      <c r="B9566">
        <f>TEXT(9565, "[$-170000]yyyy-mm-dd")</f>
        <v/>
      </c>
      <c r="C9566">
        <f>TEXT(9565, "[$-060000]yyyy-mm-dd")</f>
        <v/>
      </c>
      <c r="D9566" t="inlineStr">
        <is>
          <t>1344-08-25</t>
        </is>
      </c>
    </row>
    <row r="9567">
      <c r="A9567" s="1" t="n">
        <v>9566</v>
      </c>
      <c r="B9567">
        <f>TEXT(9566, "[$-170000]yyyy-mm-dd")</f>
        <v/>
      </c>
      <c r="C9567">
        <f>TEXT(9566, "[$-060000]yyyy-mm-dd")</f>
        <v/>
      </c>
      <c r="D9567" t="inlineStr">
        <is>
          <t>1344-08-26</t>
        </is>
      </c>
    </row>
    <row r="9568">
      <c r="A9568" s="1" t="n">
        <v>9567</v>
      </c>
      <c r="B9568">
        <f>TEXT(9567, "[$-170000]yyyy-mm-dd")</f>
        <v/>
      </c>
      <c r="C9568">
        <f>TEXT(9567, "[$-060000]yyyy-mm-dd")</f>
        <v/>
      </c>
      <c r="D9568" t="inlineStr">
        <is>
          <t>1344-08-27</t>
        </is>
      </c>
    </row>
    <row r="9569">
      <c r="A9569" s="1" t="n">
        <v>9568</v>
      </c>
      <c r="B9569">
        <f>TEXT(9568, "[$-170000]yyyy-mm-dd")</f>
        <v/>
      </c>
      <c r="C9569">
        <f>TEXT(9568, "[$-060000]yyyy-mm-dd")</f>
        <v/>
      </c>
      <c r="D9569" t="inlineStr">
        <is>
          <t>1344-08-28</t>
        </is>
      </c>
    </row>
    <row r="9570">
      <c r="A9570" s="1" t="n">
        <v>9569</v>
      </c>
      <c r="B9570">
        <f>TEXT(9569, "[$-170000]yyyy-mm-dd")</f>
        <v/>
      </c>
      <c r="C9570">
        <f>TEXT(9569, "[$-060000]yyyy-mm-dd")</f>
        <v/>
      </c>
      <c r="D9570" t="inlineStr">
        <is>
          <t>1344-08-29</t>
        </is>
      </c>
    </row>
    <row r="9571">
      <c r="A9571" s="1" t="n">
        <v>9570</v>
      </c>
      <c r="B9571">
        <f>TEXT(9570, "[$-170000]yyyy-mm-dd")</f>
        <v/>
      </c>
      <c r="C9571">
        <f>TEXT(9570, "[$-060000]yyyy-mm-dd")</f>
        <v/>
      </c>
      <c r="D9571" t="inlineStr">
        <is>
          <t>1344-09-01</t>
        </is>
      </c>
    </row>
    <row r="9572">
      <c r="A9572" s="1" t="n">
        <v>9571</v>
      </c>
      <c r="B9572">
        <f>TEXT(9571, "[$-170000]yyyy-mm-dd")</f>
        <v/>
      </c>
      <c r="C9572">
        <f>TEXT(9571, "[$-060000]yyyy-mm-dd")</f>
        <v/>
      </c>
      <c r="D9572" t="inlineStr">
        <is>
          <t>1344-09-02</t>
        </is>
      </c>
    </row>
    <row r="9573">
      <c r="A9573" s="1" t="n">
        <v>9572</v>
      </c>
      <c r="B9573">
        <f>TEXT(9572, "[$-170000]yyyy-mm-dd")</f>
        <v/>
      </c>
      <c r="C9573">
        <f>TEXT(9572, "[$-060000]yyyy-mm-dd")</f>
        <v/>
      </c>
      <c r="D9573" t="inlineStr">
        <is>
          <t>1344-09-03</t>
        </is>
      </c>
    </row>
    <row r="9574">
      <c r="A9574" s="1" t="n">
        <v>9573</v>
      </c>
      <c r="B9574">
        <f>TEXT(9573, "[$-170000]yyyy-mm-dd")</f>
        <v/>
      </c>
      <c r="C9574">
        <f>TEXT(9573, "[$-060000]yyyy-mm-dd")</f>
        <v/>
      </c>
      <c r="D9574" t="inlineStr">
        <is>
          <t>1344-09-04</t>
        </is>
      </c>
    </row>
    <row r="9575">
      <c r="A9575" s="1" t="n">
        <v>9574</v>
      </c>
      <c r="B9575">
        <f>TEXT(9574, "[$-170000]yyyy-mm-dd")</f>
        <v/>
      </c>
      <c r="C9575">
        <f>TEXT(9574, "[$-060000]yyyy-mm-dd")</f>
        <v/>
      </c>
      <c r="D9575" t="inlineStr">
        <is>
          <t>1344-09-05</t>
        </is>
      </c>
    </row>
    <row r="9576">
      <c r="A9576" s="1" t="n">
        <v>9575</v>
      </c>
      <c r="B9576">
        <f>TEXT(9575, "[$-170000]yyyy-mm-dd")</f>
        <v/>
      </c>
      <c r="C9576">
        <f>TEXT(9575, "[$-060000]yyyy-mm-dd")</f>
        <v/>
      </c>
      <c r="D9576" t="inlineStr">
        <is>
          <t>1344-09-06</t>
        </is>
      </c>
    </row>
    <row r="9577">
      <c r="A9577" s="1" t="n">
        <v>9576</v>
      </c>
      <c r="B9577">
        <f>TEXT(9576, "[$-170000]yyyy-mm-dd")</f>
        <v/>
      </c>
      <c r="C9577">
        <f>TEXT(9576, "[$-060000]yyyy-mm-dd")</f>
        <v/>
      </c>
      <c r="D9577" t="inlineStr">
        <is>
          <t>1344-09-07</t>
        </is>
      </c>
    </row>
    <row r="9578">
      <c r="A9578" s="1" t="n">
        <v>9577</v>
      </c>
      <c r="B9578">
        <f>TEXT(9577, "[$-170000]yyyy-mm-dd")</f>
        <v/>
      </c>
      <c r="C9578">
        <f>TEXT(9577, "[$-060000]yyyy-mm-dd")</f>
        <v/>
      </c>
      <c r="D9578" t="inlineStr">
        <is>
          <t>1344-09-08</t>
        </is>
      </c>
    </row>
    <row r="9579">
      <c r="A9579" s="1" t="n">
        <v>9578</v>
      </c>
      <c r="B9579">
        <f>TEXT(9578, "[$-170000]yyyy-mm-dd")</f>
        <v/>
      </c>
      <c r="C9579">
        <f>TEXT(9578, "[$-060000]yyyy-mm-dd")</f>
        <v/>
      </c>
      <c r="D9579" t="inlineStr">
        <is>
          <t>1344-09-09</t>
        </is>
      </c>
    </row>
    <row r="9580">
      <c r="A9580" s="1" t="n">
        <v>9579</v>
      </c>
      <c r="B9580">
        <f>TEXT(9579, "[$-170000]yyyy-mm-dd")</f>
        <v/>
      </c>
      <c r="C9580">
        <f>TEXT(9579, "[$-060000]yyyy-mm-dd")</f>
        <v/>
      </c>
      <c r="D9580" t="inlineStr">
        <is>
          <t>1344-09-10</t>
        </is>
      </c>
    </row>
    <row r="9581">
      <c r="A9581" s="1" t="n">
        <v>9580</v>
      </c>
      <c r="B9581">
        <f>TEXT(9580, "[$-170000]yyyy-mm-dd")</f>
        <v/>
      </c>
      <c r="C9581">
        <f>TEXT(9580, "[$-060000]yyyy-mm-dd")</f>
        <v/>
      </c>
      <c r="D9581" t="inlineStr">
        <is>
          <t>1344-09-11</t>
        </is>
      </c>
    </row>
    <row r="9582">
      <c r="A9582" s="1" t="n">
        <v>9581</v>
      </c>
      <c r="B9582">
        <f>TEXT(9581, "[$-170000]yyyy-mm-dd")</f>
        <v/>
      </c>
      <c r="C9582">
        <f>TEXT(9581, "[$-060000]yyyy-mm-dd")</f>
        <v/>
      </c>
      <c r="D9582" t="inlineStr">
        <is>
          <t>1344-09-12</t>
        </is>
      </c>
    </row>
    <row r="9583">
      <c r="A9583" s="1" t="n">
        <v>9582</v>
      </c>
      <c r="B9583">
        <f>TEXT(9582, "[$-170000]yyyy-mm-dd")</f>
        <v/>
      </c>
      <c r="C9583">
        <f>TEXT(9582, "[$-060000]yyyy-mm-dd")</f>
        <v/>
      </c>
      <c r="D9583" t="inlineStr">
        <is>
          <t>1344-09-13</t>
        </is>
      </c>
    </row>
    <row r="9584">
      <c r="A9584" s="1" t="n">
        <v>9583</v>
      </c>
      <c r="B9584">
        <f>TEXT(9583, "[$-170000]yyyy-mm-dd")</f>
        <v/>
      </c>
      <c r="C9584">
        <f>TEXT(9583, "[$-060000]yyyy-mm-dd")</f>
        <v/>
      </c>
      <c r="D9584" t="inlineStr">
        <is>
          <t>1344-09-14</t>
        </is>
      </c>
    </row>
    <row r="9585">
      <c r="A9585" s="1" t="n">
        <v>9584</v>
      </c>
      <c r="B9585">
        <f>TEXT(9584, "[$-170000]yyyy-mm-dd")</f>
        <v/>
      </c>
      <c r="C9585">
        <f>TEXT(9584, "[$-060000]yyyy-mm-dd")</f>
        <v/>
      </c>
      <c r="D9585" t="inlineStr">
        <is>
          <t>1344-09-15</t>
        </is>
      </c>
    </row>
    <row r="9586">
      <c r="A9586" s="1" t="n">
        <v>9585</v>
      </c>
      <c r="B9586">
        <f>TEXT(9585, "[$-170000]yyyy-mm-dd")</f>
        <v/>
      </c>
      <c r="C9586">
        <f>TEXT(9585, "[$-060000]yyyy-mm-dd")</f>
        <v/>
      </c>
      <c r="D9586" t="inlineStr">
        <is>
          <t>1344-09-16</t>
        </is>
      </c>
    </row>
    <row r="9587">
      <c r="A9587" s="1" t="n">
        <v>9586</v>
      </c>
      <c r="B9587">
        <f>TEXT(9586, "[$-170000]yyyy-mm-dd")</f>
        <v/>
      </c>
      <c r="C9587">
        <f>TEXT(9586, "[$-060000]yyyy-mm-dd")</f>
        <v/>
      </c>
      <c r="D9587" t="inlineStr">
        <is>
          <t>1344-09-17</t>
        </is>
      </c>
    </row>
    <row r="9588">
      <c r="A9588" s="1" t="n">
        <v>9587</v>
      </c>
      <c r="B9588">
        <f>TEXT(9587, "[$-170000]yyyy-mm-dd")</f>
        <v/>
      </c>
      <c r="C9588">
        <f>TEXT(9587, "[$-060000]yyyy-mm-dd")</f>
        <v/>
      </c>
      <c r="D9588" t="inlineStr">
        <is>
          <t>1344-09-18</t>
        </is>
      </c>
    </row>
    <row r="9589">
      <c r="A9589" s="1" t="n">
        <v>9588</v>
      </c>
      <c r="B9589">
        <f>TEXT(9588, "[$-170000]yyyy-mm-dd")</f>
        <v/>
      </c>
      <c r="C9589">
        <f>TEXT(9588, "[$-060000]yyyy-mm-dd")</f>
        <v/>
      </c>
      <c r="D9589" t="inlineStr">
        <is>
          <t>1344-09-19</t>
        </is>
      </c>
    </row>
    <row r="9590">
      <c r="A9590" s="1" t="n">
        <v>9589</v>
      </c>
      <c r="B9590">
        <f>TEXT(9589, "[$-170000]yyyy-mm-dd")</f>
        <v/>
      </c>
      <c r="C9590">
        <f>TEXT(9589, "[$-060000]yyyy-mm-dd")</f>
        <v/>
      </c>
      <c r="D9590" t="inlineStr">
        <is>
          <t>1344-09-20</t>
        </is>
      </c>
    </row>
    <row r="9591">
      <c r="A9591" s="1" t="n">
        <v>9590</v>
      </c>
      <c r="B9591">
        <f>TEXT(9590, "[$-170000]yyyy-mm-dd")</f>
        <v/>
      </c>
      <c r="C9591">
        <f>TEXT(9590, "[$-060000]yyyy-mm-dd")</f>
        <v/>
      </c>
      <c r="D9591" t="inlineStr">
        <is>
          <t>1344-09-21</t>
        </is>
      </c>
    </row>
    <row r="9592">
      <c r="A9592" s="1" t="n">
        <v>9591</v>
      </c>
      <c r="B9592">
        <f>TEXT(9591, "[$-170000]yyyy-mm-dd")</f>
        <v/>
      </c>
      <c r="C9592">
        <f>TEXT(9591, "[$-060000]yyyy-mm-dd")</f>
        <v/>
      </c>
      <c r="D9592" t="inlineStr">
        <is>
          <t>1344-09-22</t>
        </is>
      </c>
    </row>
    <row r="9593">
      <c r="A9593" s="1" t="n">
        <v>9592</v>
      </c>
      <c r="B9593">
        <f>TEXT(9592, "[$-170000]yyyy-mm-dd")</f>
        <v/>
      </c>
      <c r="C9593">
        <f>TEXT(9592, "[$-060000]yyyy-mm-dd")</f>
        <v/>
      </c>
      <c r="D9593" t="inlineStr">
        <is>
          <t>1344-09-23</t>
        </is>
      </c>
    </row>
    <row r="9594">
      <c r="A9594" s="1" t="n">
        <v>9593</v>
      </c>
      <c r="B9594">
        <f>TEXT(9593, "[$-170000]yyyy-mm-dd")</f>
        <v/>
      </c>
      <c r="C9594">
        <f>TEXT(9593, "[$-060000]yyyy-mm-dd")</f>
        <v/>
      </c>
      <c r="D9594" t="inlineStr">
        <is>
          <t>1344-09-24</t>
        </is>
      </c>
    </row>
    <row r="9595">
      <c r="A9595" s="1" t="n">
        <v>9594</v>
      </c>
      <c r="B9595">
        <f>TEXT(9594, "[$-170000]yyyy-mm-dd")</f>
        <v/>
      </c>
      <c r="C9595">
        <f>TEXT(9594, "[$-060000]yyyy-mm-dd")</f>
        <v/>
      </c>
      <c r="D9595" t="inlineStr">
        <is>
          <t>1344-09-25</t>
        </is>
      </c>
    </row>
    <row r="9596">
      <c r="A9596" s="1" t="n">
        <v>9595</v>
      </c>
      <c r="B9596">
        <f>TEXT(9595, "[$-170000]yyyy-mm-dd")</f>
        <v/>
      </c>
      <c r="C9596">
        <f>TEXT(9595, "[$-060000]yyyy-mm-dd")</f>
        <v/>
      </c>
      <c r="D9596" t="inlineStr">
        <is>
          <t>1344-09-26</t>
        </is>
      </c>
    </row>
    <row r="9597">
      <c r="A9597" s="1" t="n">
        <v>9596</v>
      </c>
      <c r="B9597">
        <f>TEXT(9596, "[$-170000]yyyy-mm-dd")</f>
        <v/>
      </c>
      <c r="C9597">
        <f>TEXT(9596, "[$-060000]yyyy-mm-dd")</f>
        <v/>
      </c>
      <c r="D9597" t="inlineStr">
        <is>
          <t>1344-09-27</t>
        </is>
      </c>
    </row>
    <row r="9598">
      <c r="A9598" s="1" t="n">
        <v>9597</v>
      </c>
      <c r="B9598">
        <f>TEXT(9597, "[$-170000]yyyy-mm-dd")</f>
        <v/>
      </c>
      <c r="C9598">
        <f>TEXT(9597, "[$-060000]yyyy-mm-dd")</f>
        <v/>
      </c>
      <c r="D9598" t="inlineStr">
        <is>
          <t>1344-09-28</t>
        </is>
      </c>
    </row>
    <row r="9599">
      <c r="A9599" s="1" t="n">
        <v>9598</v>
      </c>
      <c r="B9599">
        <f>TEXT(9598, "[$-170000]yyyy-mm-dd")</f>
        <v/>
      </c>
      <c r="C9599">
        <f>TEXT(9598, "[$-060000]yyyy-mm-dd")</f>
        <v/>
      </c>
      <c r="D9599" t="inlineStr">
        <is>
          <t>1344-09-29</t>
        </is>
      </c>
    </row>
    <row r="9600">
      <c r="A9600" s="1" t="n">
        <v>9599</v>
      </c>
      <c r="B9600">
        <f>TEXT(9599, "[$-170000]yyyy-mm-dd")</f>
        <v/>
      </c>
      <c r="C9600">
        <f>TEXT(9599, "[$-060000]yyyy-mm-dd")</f>
        <v/>
      </c>
      <c r="D9600" t="inlineStr">
        <is>
          <t>1344-09-30</t>
        </is>
      </c>
    </row>
    <row r="9601">
      <c r="A9601" s="1" t="n">
        <v>9600</v>
      </c>
      <c r="B9601">
        <f>TEXT(9600, "[$-170000]yyyy-mm-dd")</f>
        <v/>
      </c>
      <c r="C9601">
        <f>TEXT(9600, "[$-060000]yyyy-mm-dd")</f>
        <v/>
      </c>
      <c r="D9601" t="inlineStr">
        <is>
          <t>1344-10-01</t>
        </is>
      </c>
    </row>
    <row r="9602">
      <c r="A9602" s="1" t="n">
        <v>9601</v>
      </c>
      <c r="B9602">
        <f>TEXT(9601, "[$-170000]yyyy-mm-dd")</f>
        <v/>
      </c>
      <c r="C9602">
        <f>TEXT(9601, "[$-060000]yyyy-mm-dd")</f>
        <v/>
      </c>
      <c r="D9602" t="inlineStr">
        <is>
          <t>1344-10-02</t>
        </is>
      </c>
    </row>
    <row r="9603">
      <c r="A9603" s="1" t="n">
        <v>9602</v>
      </c>
      <c r="B9603">
        <f>TEXT(9602, "[$-170000]yyyy-mm-dd")</f>
        <v/>
      </c>
      <c r="C9603">
        <f>TEXT(9602, "[$-060000]yyyy-mm-dd")</f>
        <v/>
      </c>
      <c r="D9603" t="inlineStr">
        <is>
          <t>1344-10-03</t>
        </is>
      </c>
    </row>
    <row r="9604">
      <c r="A9604" s="1" t="n">
        <v>9603</v>
      </c>
      <c r="B9604">
        <f>TEXT(9603, "[$-170000]yyyy-mm-dd")</f>
        <v/>
      </c>
      <c r="C9604">
        <f>TEXT(9603, "[$-060000]yyyy-mm-dd")</f>
        <v/>
      </c>
      <c r="D9604" t="inlineStr">
        <is>
          <t>1344-10-04</t>
        </is>
      </c>
    </row>
    <row r="9605">
      <c r="A9605" s="1" t="n">
        <v>9604</v>
      </c>
      <c r="B9605">
        <f>TEXT(9604, "[$-170000]yyyy-mm-dd")</f>
        <v/>
      </c>
      <c r="C9605">
        <f>TEXT(9604, "[$-060000]yyyy-mm-dd")</f>
        <v/>
      </c>
      <c r="D9605" t="inlineStr">
        <is>
          <t>1344-10-05</t>
        </is>
      </c>
    </row>
    <row r="9606">
      <c r="A9606" s="1" t="n">
        <v>9605</v>
      </c>
      <c r="B9606">
        <f>TEXT(9605, "[$-170000]yyyy-mm-dd")</f>
        <v/>
      </c>
      <c r="C9606">
        <f>TEXT(9605, "[$-060000]yyyy-mm-dd")</f>
        <v/>
      </c>
      <c r="D9606" t="inlineStr">
        <is>
          <t>1344-10-06</t>
        </is>
      </c>
    </row>
    <row r="9607">
      <c r="A9607" s="1" t="n">
        <v>9606</v>
      </c>
      <c r="B9607">
        <f>TEXT(9606, "[$-170000]yyyy-mm-dd")</f>
        <v/>
      </c>
      <c r="C9607">
        <f>TEXT(9606, "[$-060000]yyyy-mm-dd")</f>
        <v/>
      </c>
      <c r="D9607" t="inlineStr">
        <is>
          <t>1344-10-07</t>
        </is>
      </c>
    </row>
    <row r="9608">
      <c r="A9608" s="1" t="n">
        <v>9607</v>
      </c>
      <c r="B9608">
        <f>TEXT(9607, "[$-170000]yyyy-mm-dd")</f>
        <v/>
      </c>
      <c r="C9608">
        <f>TEXT(9607, "[$-060000]yyyy-mm-dd")</f>
        <v/>
      </c>
      <c r="D9608" t="inlineStr">
        <is>
          <t>1344-10-08</t>
        </is>
      </c>
    </row>
    <row r="9609">
      <c r="A9609" s="1" t="n">
        <v>9608</v>
      </c>
      <c r="B9609">
        <f>TEXT(9608, "[$-170000]yyyy-mm-dd")</f>
        <v/>
      </c>
      <c r="C9609">
        <f>TEXT(9608, "[$-060000]yyyy-mm-dd")</f>
        <v/>
      </c>
      <c r="D9609" t="inlineStr">
        <is>
          <t>1344-10-09</t>
        </is>
      </c>
    </row>
    <row r="9610">
      <c r="A9610" s="1" t="n">
        <v>9609</v>
      </c>
      <c r="B9610">
        <f>TEXT(9609, "[$-170000]yyyy-mm-dd")</f>
        <v/>
      </c>
      <c r="C9610">
        <f>TEXT(9609, "[$-060000]yyyy-mm-dd")</f>
        <v/>
      </c>
      <c r="D9610" t="inlineStr">
        <is>
          <t>1344-10-10</t>
        </is>
      </c>
    </row>
    <row r="9611">
      <c r="A9611" s="1" t="n">
        <v>9610</v>
      </c>
      <c r="B9611">
        <f>TEXT(9610, "[$-170000]yyyy-mm-dd")</f>
        <v/>
      </c>
      <c r="C9611">
        <f>TEXT(9610, "[$-060000]yyyy-mm-dd")</f>
        <v/>
      </c>
      <c r="D9611" t="inlineStr">
        <is>
          <t>1344-10-11</t>
        </is>
      </c>
    </row>
    <row r="9612">
      <c r="A9612" s="1" t="n">
        <v>9611</v>
      </c>
      <c r="B9612">
        <f>TEXT(9611, "[$-170000]yyyy-mm-dd")</f>
        <v/>
      </c>
      <c r="C9612">
        <f>TEXT(9611, "[$-060000]yyyy-mm-dd")</f>
        <v/>
      </c>
      <c r="D9612" t="inlineStr">
        <is>
          <t>1344-10-12</t>
        </is>
      </c>
    </row>
    <row r="9613">
      <c r="A9613" s="1" t="n">
        <v>9612</v>
      </c>
      <c r="B9613">
        <f>TEXT(9612, "[$-170000]yyyy-mm-dd")</f>
        <v/>
      </c>
      <c r="C9613">
        <f>TEXT(9612, "[$-060000]yyyy-mm-dd")</f>
        <v/>
      </c>
      <c r="D9613" t="inlineStr">
        <is>
          <t>1344-10-13</t>
        </is>
      </c>
    </row>
    <row r="9614">
      <c r="A9614" s="1" t="n">
        <v>9613</v>
      </c>
      <c r="B9614">
        <f>TEXT(9613, "[$-170000]yyyy-mm-dd")</f>
        <v/>
      </c>
      <c r="C9614">
        <f>TEXT(9613, "[$-060000]yyyy-mm-dd")</f>
        <v/>
      </c>
      <c r="D9614" t="inlineStr">
        <is>
          <t>1344-10-14</t>
        </is>
      </c>
    </row>
    <row r="9615">
      <c r="A9615" s="1" t="n">
        <v>9614</v>
      </c>
      <c r="B9615">
        <f>TEXT(9614, "[$-170000]yyyy-mm-dd")</f>
        <v/>
      </c>
      <c r="C9615">
        <f>TEXT(9614, "[$-060000]yyyy-mm-dd")</f>
        <v/>
      </c>
      <c r="D9615" t="inlineStr">
        <is>
          <t>1344-10-15</t>
        </is>
      </c>
    </row>
    <row r="9616">
      <c r="A9616" s="1" t="n">
        <v>9615</v>
      </c>
      <c r="B9616">
        <f>TEXT(9615, "[$-170000]yyyy-mm-dd")</f>
        <v/>
      </c>
      <c r="C9616">
        <f>TEXT(9615, "[$-060000]yyyy-mm-dd")</f>
        <v/>
      </c>
      <c r="D9616" t="inlineStr">
        <is>
          <t>1344-10-16</t>
        </is>
      </c>
    </row>
    <row r="9617">
      <c r="A9617" s="1" t="n">
        <v>9616</v>
      </c>
      <c r="B9617">
        <f>TEXT(9616, "[$-170000]yyyy-mm-dd")</f>
        <v/>
      </c>
      <c r="C9617">
        <f>TEXT(9616, "[$-060000]yyyy-mm-dd")</f>
        <v/>
      </c>
      <c r="D9617" t="inlineStr">
        <is>
          <t>1344-10-17</t>
        </is>
      </c>
    </row>
    <row r="9618">
      <c r="A9618" s="1" t="n">
        <v>9617</v>
      </c>
      <c r="B9618">
        <f>TEXT(9617, "[$-170000]yyyy-mm-dd")</f>
        <v/>
      </c>
      <c r="C9618">
        <f>TEXT(9617, "[$-060000]yyyy-mm-dd")</f>
        <v/>
      </c>
      <c r="D9618" t="inlineStr">
        <is>
          <t>1344-10-18</t>
        </is>
      </c>
    </row>
    <row r="9619">
      <c r="A9619" s="1" t="n">
        <v>9618</v>
      </c>
      <c r="B9619">
        <f>TEXT(9618, "[$-170000]yyyy-mm-dd")</f>
        <v/>
      </c>
      <c r="C9619">
        <f>TEXT(9618, "[$-060000]yyyy-mm-dd")</f>
        <v/>
      </c>
      <c r="D9619" t="inlineStr">
        <is>
          <t>1344-10-19</t>
        </is>
      </c>
    </row>
    <row r="9620">
      <c r="A9620" s="1" t="n">
        <v>9619</v>
      </c>
      <c r="B9620">
        <f>TEXT(9619, "[$-170000]yyyy-mm-dd")</f>
        <v/>
      </c>
      <c r="C9620">
        <f>TEXT(9619, "[$-060000]yyyy-mm-dd")</f>
        <v/>
      </c>
      <c r="D9620" t="inlineStr">
        <is>
          <t>1344-10-20</t>
        </is>
      </c>
    </row>
    <row r="9621">
      <c r="A9621" s="1" t="n">
        <v>9620</v>
      </c>
      <c r="B9621">
        <f>TEXT(9620, "[$-170000]yyyy-mm-dd")</f>
        <v/>
      </c>
      <c r="C9621">
        <f>TEXT(9620, "[$-060000]yyyy-mm-dd")</f>
        <v/>
      </c>
      <c r="D9621" t="inlineStr">
        <is>
          <t>1344-10-21</t>
        </is>
      </c>
    </row>
    <row r="9622">
      <c r="A9622" s="1" t="n">
        <v>9621</v>
      </c>
      <c r="B9622">
        <f>TEXT(9621, "[$-170000]yyyy-mm-dd")</f>
        <v/>
      </c>
      <c r="C9622">
        <f>TEXT(9621, "[$-060000]yyyy-mm-dd")</f>
        <v/>
      </c>
      <c r="D9622" t="inlineStr">
        <is>
          <t>1344-10-22</t>
        </is>
      </c>
    </row>
    <row r="9623">
      <c r="A9623" s="1" t="n">
        <v>9622</v>
      </c>
      <c r="B9623">
        <f>TEXT(9622, "[$-170000]yyyy-mm-dd")</f>
        <v/>
      </c>
      <c r="C9623">
        <f>TEXT(9622, "[$-060000]yyyy-mm-dd")</f>
        <v/>
      </c>
      <c r="D9623" t="inlineStr">
        <is>
          <t>1344-10-23</t>
        </is>
      </c>
    </row>
    <row r="9624">
      <c r="A9624" s="1" t="n">
        <v>9623</v>
      </c>
      <c r="B9624">
        <f>TEXT(9623, "[$-170000]yyyy-mm-dd")</f>
        <v/>
      </c>
      <c r="C9624">
        <f>TEXT(9623, "[$-060000]yyyy-mm-dd")</f>
        <v/>
      </c>
      <c r="D9624" t="inlineStr">
        <is>
          <t>1344-10-24</t>
        </is>
      </c>
    </row>
    <row r="9625">
      <c r="A9625" s="1" t="n">
        <v>9624</v>
      </c>
      <c r="B9625">
        <f>TEXT(9624, "[$-170000]yyyy-mm-dd")</f>
        <v/>
      </c>
      <c r="C9625">
        <f>TEXT(9624, "[$-060000]yyyy-mm-dd")</f>
        <v/>
      </c>
      <c r="D9625" t="inlineStr">
        <is>
          <t>1344-10-25</t>
        </is>
      </c>
    </row>
    <row r="9626">
      <c r="A9626" s="1" t="n">
        <v>9625</v>
      </c>
      <c r="B9626">
        <f>TEXT(9625, "[$-170000]yyyy-mm-dd")</f>
        <v/>
      </c>
      <c r="C9626">
        <f>TEXT(9625, "[$-060000]yyyy-mm-dd")</f>
        <v/>
      </c>
      <c r="D9626" t="inlineStr">
        <is>
          <t>1344-10-26</t>
        </is>
      </c>
    </row>
    <row r="9627">
      <c r="A9627" s="1" t="n">
        <v>9626</v>
      </c>
      <c r="B9627">
        <f>TEXT(9626, "[$-170000]yyyy-mm-dd")</f>
        <v/>
      </c>
      <c r="C9627">
        <f>TEXT(9626, "[$-060000]yyyy-mm-dd")</f>
        <v/>
      </c>
      <c r="D9627" t="inlineStr">
        <is>
          <t>1344-10-27</t>
        </is>
      </c>
    </row>
    <row r="9628">
      <c r="A9628" s="1" t="n">
        <v>9627</v>
      </c>
      <c r="B9628">
        <f>TEXT(9627, "[$-170000]yyyy-mm-dd")</f>
        <v/>
      </c>
      <c r="C9628">
        <f>TEXT(9627, "[$-060000]yyyy-mm-dd")</f>
        <v/>
      </c>
      <c r="D9628" t="inlineStr">
        <is>
          <t>1344-10-28</t>
        </is>
      </c>
    </row>
    <row r="9629">
      <c r="A9629" s="1" t="n">
        <v>9628</v>
      </c>
      <c r="B9629">
        <f>TEXT(9628, "[$-170000]yyyy-mm-dd")</f>
        <v/>
      </c>
      <c r="C9629">
        <f>TEXT(9628, "[$-060000]yyyy-mm-dd")</f>
        <v/>
      </c>
      <c r="D9629" t="inlineStr">
        <is>
          <t>1344-10-29</t>
        </is>
      </c>
    </row>
    <row r="9630">
      <c r="A9630" s="1" t="n">
        <v>9629</v>
      </c>
      <c r="B9630">
        <f>TEXT(9629, "[$-170000]yyyy-mm-dd")</f>
        <v/>
      </c>
      <c r="C9630">
        <f>TEXT(9629, "[$-060000]yyyy-mm-dd")</f>
        <v/>
      </c>
      <c r="D9630" t="inlineStr">
        <is>
          <t>1344-11-01</t>
        </is>
      </c>
    </row>
    <row r="9631">
      <c r="A9631" s="1" t="n">
        <v>9630</v>
      </c>
      <c r="B9631">
        <f>TEXT(9630, "[$-170000]yyyy-mm-dd")</f>
        <v/>
      </c>
      <c r="C9631">
        <f>TEXT(9630, "[$-060000]yyyy-mm-dd")</f>
        <v/>
      </c>
      <c r="D9631" t="inlineStr">
        <is>
          <t>1344-11-02</t>
        </is>
      </c>
    </row>
    <row r="9632">
      <c r="A9632" s="1" t="n">
        <v>9631</v>
      </c>
      <c r="B9632">
        <f>TEXT(9631, "[$-170000]yyyy-mm-dd")</f>
        <v/>
      </c>
      <c r="C9632">
        <f>TEXT(9631, "[$-060000]yyyy-mm-dd")</f>
        <v/>
      </c>
      <c r="D9632" t="inlineStr">
        <is>
          <t>1344-11-03</t>
        </is>
      </c>
    </row>
    <row r="9633">
      <c r="A9633" s="1" t="n">
        <v>9632</v>
      </c>
      <c r="B9633">
        <f>TEXT(9632, "[$-170000]yyyy-mm-dd")</f>
        <v/>
      </c>
      <c r="C9633">
        <f>TEXT(9632, "[$-060000]yyyy-mm-dd")</f>
        <v/>
      </c>
      <c r="D9633" t="inlineStr">
        <is>
          <t>1344-11-04</t>
        </is>
      </c>
    </row>
    <row r="9634">
      <c r="A9634" s="1" t="n">
        <v>9633</v>
      </c>
      <c r="B9634">
        <f>TEXT(9633, "[$-170000]yyyy-mm-dd")</f>
        <v/>
      </c>
      <c r="C9634">
        <f>TEXT(9633, "[$-060000]yyyy-mm-dd")</f>
        <v/>
      </c>
      <c r="D9634" t="inlineStr">
        <is>
          <t>1344-11-05</t>
        </is>
      </c>
    </row>
    <row r="9635">
      <c r="A9635" s="1" t="n">
        <v>9634</v>
      </c>
      <c r="B9635">
        <f>TEXT(9634, "[$-170000]yyyy-mm-dd")</f>
        <v/>
      </c>
      <c r="C9635">
        <f>TEXT(9634, "[$-060000]yyyy-mm-dd")</f>
        <v/>
      </c>
      <c r="D9635" t="inlineStr">
        <is>
          <t>1344-11-06</t>
        </is>
      </c>
    </row>
    <row r="9636">
      <c r="A9636" s="1" t="n">
        <v>9635</v>
      </c>
      <c r="B9636">
        <f>TEXT(9635, "[$-170000]yyyy-mm-dd")</f>
        <v/>
      </c>
      <c r="C9636">
        <f>TEXT(9635, "[$-060000]yyyy-mm-dd")</f>
        <v/>
      </c>
      <c r="D9636" t="inlineStr">
        <is>
          <t>1344-11-07</t>
        </is>
      </c>
    </row>
    <row r="9637">
      <c r="A9637" s="1" t="n">
        <v>9636</v>
      </c>
      <c r="B9637">
        <f>TEXT(9636, "[$-170000]yyyy-mm-dd")</f>
        <v/>
      </c>
      <c r="C9637">
        <f>TEXT(9636, "[$-060000]yyyy-mm-dd")</f>
        <v/>
      </c>
      <c r="D9637" t="inlineStr">
        <is>
          <t>1344-11-08</t>
        </is>
      </c>
    </row>
    <row r="9638">
      <c r="A9638" s="1" t="n">
        <v>9637</v>
      </c>
      <c r="B9638">
        <f>TEXT(9637, "[$-170000]yyyy-mm-dd")</f>
        <v/>
      </c>
      <c r="C9638">
        <f>TEXT(9637, "[$-060000]yyyy-mm-dd")</f>
        <v/>
      </c>
      <c r="D9638" t="inlineStr">
        <is>
          <t>1344-11-09</t>
        </is>
      </c>
    </row>
    <row r="9639">
      <c r="A9639" s="1" t="n">
        <v>9638</v>
      </c>
      <c r="B9639">
        <f>TEXT(9638, "[$-170000]yyyy-mm-dd")</f>
        <v/>
      </c>
      <c r="C9639">
        <f>TEXT(9638, "[$-060000]yyyy-mm-dd")</f>
        <v/>
      </c>
      <c r="D9639" t="inlineStr">
        <is>
          <t>1344-11-10</t>
        </is>
      </c>
    </row>
    <row r="9640">
      <c r="A9640" s="1" t="n">
        <v>9639</v>
      </c>
      <c r="B9640">
        <f>TEXT(9639, "[$-170000]yyyy-mm-dd")</f>
        <v/>
      </c>
      <c r="C9640">
        <f>TEXT(9639, "[$-060000]yyyy-mm-dd")</f>
        <v/>
      </c>
      <c r="D9640" t="inlineStr">
        <is>
          <t>1344-11-11</t>
        </is>
      </c>
    </row>
    <row r="9641">
      <c r="A9641" s="1" t="n">
        <v>9640</v>
      </c>
      <c r="B9641">
        <f>TEXT(9640, "[$-170000]yyyy-mm-dd")</f>
        <v/>
      </c>
      <c r="C9641">
        <f>TEXT(9640, "[$-060000]yyyy-mm-dd")</f>
        <v/>
      </c>
      <c r="D9641" t="inlineStr">
        <is>
          <t>1344-11-12</t>
        </is>
      </c>
    </row>
    <row r="9642">
      <c r="A9642" s="1" t="n">
        <v>9641</v>
      </c>
      <c r="B9642">
        <f>TEXT(9641, "[$-170000]yyyy-mm-dd")</f>
        <v/>
      </c>
      <c r="C9642">
        <f>TEXT(9641, "[$-060000]yyyy-mm-dd")</f>
        <v/>
      </c>
      <c r="D9642" t="inlineStr">
        <is>
          <t>1344-11-13</t>
        </is>
      </c>
    </row>
    <row r="9643">
      <c r="A9643" s="1" t="n">
        <v>9642</v>
      </c>
      <c r="B9643">
        <f>TEXT(9642, "[$-170000]yyyy-mm-dd")</f>
        <v/>
      </c>
      <c r="C9643">
        <f>TEXT(9642, "[$-060000]yyyy-mm-dd")</f>
        <v/>
      </c>
      <c r="D9643" t="inlineStr">
        <is>
          <t>1344-11-14</t>
        </is>
      </c>
    </row>
    <row r="9644">
      <c r="A9644" s="1" t="n">
        <v>9643</v>
      </c>
      <c r="B9644">
        <f>TEXT(9643, "[$-170000]yyyy-mm-dd")</f>
        <v/>
      </c>
      <c r="C9644">
        <f>TEXT(9643, "[$-060000]yyyy-mm-dd")</f>
        <v/>
      </c>
      <c r="D9644" t="inlineStr">
        <is>
          <t>1344-11-15</t>
        </is>
      </c>
    </row>
    <row r="9645">
      <c r="A9645" s="1" t="n">
        <v>9644</v>
      </c>
      <c r="B9645">
        <f>TEXT(9644, "[$-170000]yyyy-mm-dd")</f>
        <v/>
      </c>
      <c r="C9645">
        <f>TEXT(9644, "[$-060000]yyyy-mm-dd")</f>
        <v/>
      </c>
      <c r="D9645" t="inlineStr">
        <is>
          <t>1344-11-16</t>
        </is>
      </c>
    </row>
    <row r="9646">
      <c r="A9646" s="1" t="n">
        <v>9645</v>
      </c>
      <c r="B9646">
        <f>TEXT(9645, "[$-170000]yyyy-mm-dd")</f>
        <v/>
      </c>
      <c r="C9646">
        <f>TEXT(9645, "[$-060000]yyyy-mm-dd")</f>
        <v/>
      </c>
      <c r="D9646" t="inlineStr">
        <is>
          <t>1344-11-17</t>
        </is>
      </c>
    </row>
    <row r="9647">
      <c r="A9647" s="1" t="n">
        <v>9646</v>
      </c>
      <c r="B9647">
        <f>TEXT(9646, "[$-170000]yyyy-mm-dd")</f>
        <v/>
      </c>
      <c r="C9647">
        <f>TEXT(9646, "[$-060000]yyyy-mm-dd")</f>
        <v/>
      </c>
      <c r="D9647" t="inlineStr">
        <is>
          <t>1344-11-18</t>
        </is>
      </c>
    </row>
    <row r="9648">
      <c r="A9648" s="1" t="n">
        <v>9647</v>
      </c>
      <c r="B9648">
        <f>TEXT(9647, "[$-170000]yyyy-mm-dd")</f>
        <v/>
      </c>
      <c r="C9648">
        <f>TEXT(9647, "[$-060000]yyyy-mm-dd")</f>
        <v/>
      </c>
      <c r="D9648" t="inlineStr">
        <is>
          <t>1344-11-19</t>
        </is>
      </c>
    </row>
    <row r="9649">
      <c r="A9649" s="1" t="n">
        <v>9648</v>
      </c>
      <c r="B9649">
        <f>TEXT(9648, "[$-170000]yyyy-mm-dd")</f>
        <v/>
      </c>
      <c r="C9649">
        <f>TEXT(9648, "[$-060000]yyyy-mm-dd")</f>
        <v/>
      </c>
      <c r="D9649" t="inlineStr">
        <is>
          <t>1344-11-20</t>
        </is>
      </c>
    </row>
    <row r="9650">
      <c r="A9650" s="1" t="n">
        <v>9649</v>
      </c>
      <c r="B9650">
        <f>TEXT(9649, "[$-170000]yyyy-mm-dd")</f>
        <v/>
      </c>
      <c r="C9650">
        <f>TEXT(9649, "[$-060000]yyyy-mm-dd")</f>
        <v/>
      </c>
      <c r="D9650" t="inlineStr">
        <is>
          <t>1344-11-21</t>
        </is>
      </c>
    </row>
    <row r="9651">
      <c r="A9651" s="1" t="n">
        <v>9650</v>
      </c>
      <c r="B9651">
        <f>TEXT(9650, "[$-170000]yyyy-mm-dd")</f>
        <v/>
      </c>
      <c r="C9651">
        <f>TEXT(9650, "[$-060000]yyyy-mm-dd")</f>
        <v/>
      </c>
      <c r="D9651" t="inlineStr">
        <is>
          <t>1344-11-22</t>
        </is>
      </c>
    </row>
    <row r="9652">
      <c r="A9652" s="1" t="n">
        <v>9651</v>
      </c>
      <c r="B9652">
        <f>TEXT(9651, "[$-170000]yyyy-mm-dd")</f>
        <v/>
      </c>
      <c r="C9652">
        <f>TEXT(9651, "[$-060000]yyyy-mm-dd")</f>
        <v/>
      </c>
      <c r="D9652" t="inlineStr">
        <is>
          <t>1344-11-23</t>
        </is>
      </c>
    </row>
    <row r="9653">
      <c r="A9653" s="1" t="n">
        <v>9652</v>
      </c>
      <c r="B9653">
        <f>TEXT(9652, "[$-170000]yyyy-mm-dd")</f>
        <v/>
      </c>
      <c r="C9653">
        <f>TEXT(9652, "[$-060000]yyyy-mm-dd")</f>
        <v/>
      </c>
      <c r="D9653" t="inlineStr">
        <is>
          <t>1344-11-24</t>
        </is>
      </c>
    </row>
    <row r="9654">
      <c r="A9654" s="1" t="n">
        <v>9653</v>
      </c>
      <c r="B9654">
        <f>TEXT(9653, "[$-170000]yyyy-mm-dd")</f>
        <v/>
      </c>
      <c r="C9654">
        <f>TEXT(9653, "[$-060000]yyyy-mm-dd")</f>
        <v/>
      </c>
      <c r="D9654" t="inlineStr">
        <is>
          <t>1344-11-25</t>
        </is>
      </c>
    </row>
    <row r="9655">
      <c r="A9655" s="1" t="n">
        <v>9654</v>
      </c>
      <c r="B9655">
        <f>TEXT(9654, "[$-170000]yyyy-mm-dd")</f>
        <v/>
      </c>
      <c r="C9655">
        <f>TEXT(9654, "[$-060000]yyyy-mm-dd")</f>
        <v/>
      </c>
      <c r="D9655" t="inlineStr">
        <is>
          <t>1344-11-26</t>
        </is>
      </c>
    </row>
    <row r="9656">
      <c r="A9656" s="1" t="n">
        <v>9655</v>
      </c>
      <c r="B9656">
        <f>TEXT(9655, "[$-170000]yyyy-mm-dd")</f>
        <v/>
      </c>
      <c r="C9656">
        <f>TEXT(9655, "[$-060000]yyyy-mm-dd")</f>
        <v/>
      </c>
      <c r="D9656" t="inlineStr">
        <is>
          <t>1344-11-27</t>
        </is>
      </c>
    </row>
    <row r="9657">
      <c r="A9657" s="1" t="n">
        <v>9656</v>
      </c>
      <c r="B9657">
        <f>TEXT(9656, "[$-170000]yyyy-mm-dd")</f>
        <v/>
      </c>
      <c r="C9657">
        <f>TEXT(9656, "[$-060000]yyyy-mm-dd")</f>
        <v/>
      </c>
      <c r="D9657" t="inlineStr">
        <is>
          <t>1344-11-28</t>
        </is>
      </c>
    </row>
    <row r="9658">
      <c r="A9658" s="1" t="n">
        <v>9657</v>
      </c>
      <c r="B9658">
        <f>TEXT(9657, "[$-170000]yyyy-mm-dd")</f>
        <v/>
      </c>
      <c r="C9658">
        <f>TEXT(9657, "[$-060000]yyyy-mm-dd")</f>
        <v/>
      </c>
      <c r="D9658" t="inlineStr">
        <is>
          <t>1344-11-29</t>
        </is>
      </c>
    </row>
    <row r="9659">
      <c r="A9659" s="1" t="n">
        <v>9658</v>
      </c>
      <c r="B9659">
        <f>TEXT(9658, "[$-170000]yyyy-mm-dd")</f>
        <v/>
      </c>
      <c r="C9659">
        <f>TEXT(9658, "[$-060000]yyyy-mm-dd")</f>
        <v/>
      </c>
      <c r="D9659" t="inlineStr">
        <is>
          <t>1344-11-30</t>
        </is>
      </c>
    </row>
    <row r="9660">
      <c r="A9660" s="1" t="n">
        <v>9659</v>
      </c>
      <c r="B9660">
        <f>TEXT(9659, "[$-170000]yyyy-mm-dd")</f>
        <v/>
      </c>
      <c r="C9660">
        <f>TEXT(9659, "[$-060000]yyyy-mm-dd")</f>
        <v/>
      </c>
      <c r="D9660" t="inlineStr">
        <is>
          <t>1344-12-01</t>
        </is>
      </c>
    </row>
    <row r="9661">
      <c r="A9661" s="1" t="n">
        <v>9660</v>
      </c>
      <c r="B9661">
        <f>TEXT(9660, "[$-170000]yyyy-mm-dd")</f>
        <v/>
      </c>
      <c r="C9661">
        <f>TEXT(9660, "[$-060000]yyyy-mm-dd")</f>
        <v/>
      </c>
      <c r="D9661" t="inlineStr">
        <is>
          <t>1344-12-02</t>
        </is>
      </c>
    </row>
    <row r="9662">
      <c r="A9662" s="1" t="n">
        <v>9661</v>
      </c>
      <c r="B9662">
        <f>TEXT(9661, "[$-170000]yyyy-mm-dd")</f>
        <v/>
      </c>
      <c r="C9662">
        <f>TEXT(9661, "[$-060000]yyyy-mm-dd")</f>
        <v/>
      </c>
      <c r="D9662" t="inlineStr">
        <is>
          <t>1344-12-03</t>
        </is>
      </c>
    </row>
    <row r="9663">
      <c r="A9663" s="1" t="n">
        <v>9662</v>
      </c>
      <c r="B9663">
        <f>TEXT(9662, "[$-170000]yyyy-mm-dd")</f>
        <v/>
      </c>
      <c r="C9663">
        <f>TEXT(9662, "[$-060000]yyyy-mm-dd")</f>
        <v/>
      </c>
      <c r="D9663" t="inlineStr">
        <is>
          <t>1344-12-04</t>
        </is>
      </c>
    </row>
    <row r="9664">
      <c r="A9664" s="1" t="n">
        <v>9663</v>
      </c>
      <c r="B9664">
        <f>TEXT(9663, "[$-170000]yyyy-mm-dd")</f>
        <v/>
      </c>
      <c r="C9664">
        <f>TEXT(9663, "[$-060000]yyyy-mm-dd")</f>
        <v/>
      </c>
      <c r="D9664" t="inlineStr">
        <is>
          <t>1344-12-05</t>
        </is>
      </c>
    </row>
    <row r="9665">
      <c r="A9665" s="1" t="n">
        <v>9664</v>
      </c>
      <c r="B9665">
        <f>TEXT(9664, "[$-170000]yyyy-mm-dd")</f>
        <v/>
      </c>
      <c r="C9665">
        <f>TEXT(9664, "[$-060000]yyyy-mm-dd")</f>
        <v/>
      </c>
      <c r="D9665" t="inlineStr">
        <is>
          <t>1344-12-06</t>
        </is>
      </c>
    </row>
    <row r="9666">
      <c r="A9666" s="1" t="n">
        <v>9665</v>
      </c>
      <c r="B9666">
        <f>TEXT(9665, "[$-170000]yyyy-mm-dd")</f>
        <v/>
      </c>
      <c r="C9666">
        <f>TEXT(9665, "[$-060000]yyyy-mm-dd")</f>
        <v/>
      </c>
      <c r="D9666" t="inlineStr">
        <is>
          <t>1344-12-07</t>
        </is>
      </c>
    </row>
    <row r="9667">
      <c r="A9667" s="1" t="n">
        <v>9666</v>
      </c>
      <c r="B9667">
        <f>TEXT(9666, "[$-170000]yyyy-mm-dd")</f>
        <v/>
      </c>
      <c r="C9667">
        <f>TEXT(9666, "[$-060000]yyyy-mm-dd")</f>
        <v/>
      </c>
      <c r="D9667" t="inlineStr">
        <is>
          <t>1344-12-08</t>
        </is>
      </c>
    </row>
    <row r="9668">
      <c r="A9668" s="1" t="n">
        <v>9667</v>
      </c>
      <c r="B9668">
        <f>TEXT(9667, "[$-170000]yyyy-mm-dd")</f>
        <v/>
      </c>
      <c r="C9668">
        <f>TEXT(9667, "[$-060000]yyyy-mm-dd")</f>
        <v/>
      </c>
      <c r="D9668" t="inlineStr">
        <is>
          <t>1344-12-09</t>
        </is>
      </c>
    </row>
    <row r="9669">
      <c r="A9669" s="1" t="n">
        <v>9668</v>
      </c>
      <c r="B9669">
        <f>TEXT(9668, "[$-170000]yyyy-mm-dd")</f>
        <v/>
      </c>
      <c r="C9669">
        <f>TEXT(9668, "[$-060000]yyyy-mm-dd")</f>
        <v/>
      </c>
      <c r="D9669" t="inlineStr">
        <is>
          <t>1344-12-10</t>
        </is>
      </c>
    </row>
    <row r="9670">
      <c r="A9670" s="1" t="n">
        <v>9669</v>
      </c>
      <c r="B9670">
        <f>TEXT(9669, "[$-170000]yyyy-mm-dd")</f>
        <v/>
      </c>
      <c r="C9670">
        <f>TEXT(9669, "[$-060000]yyyy-mm-dd")</f>
        <v/>
      </c>
      <c r="D9670" t="inlineStr">
        <is>
          <t>1344-12-11</t>
        </is>
      </c>
    </row>
    <row r="9671">
      <c r="A9671" s="1" t="n">
        <v>9670</v>
      </c>
      <c r="B9671">
        <f>TEXT(9670, "[$-170000]yyyy-mm-dd")</f>
        <v/>
      </c>
      <c r="C9671">
        <f>TEXT(9670, "[$-060000]yyyy-mm-dd")</f>
        <v/>
      </c>
      <c r="D9671" t="inlineStr">
        <is>
          <t>1344-12-12</t>
        </is>
      </c>
    </row>
    <row r="9672">
      <c r="A9672" s="1" t="n">
        <v>9671</v>
      </c>
      <c r="B9672">
        <f>TEXT(9671, "[$-170000]yyyy-mm-dd")</f>
        <v/>
      </c>
      <c r="C9672">
        <f>TEXT(9671, "[$-060000]yyyy-mm-dd")</f>
        <v/>
      </c>
      <c r="D9672" t="inlineStr">
        <is>
          <t>1344-12-13</t>
        </is>
      </c>
    </row>
    <row r="9673">
      <c r="A9673" s="1" t="n">
        <v>9672</v>
      </c>
      <c r="B9673">
        <f>TEXT(9672, "[$-170000]yyyy-mm-dd")</f>
        <v/>
      </c>
      <c r="C9673">
        <f>TEXT(9672, "[$-060000]yyyy-mm-dd")</f>
        <v/>
      </c>
      <c r="D9673" t="inlineStr">
        <is>
          <t>1344-12-14</t>
        </is>
      </c>
    </row>
    <row r="9674">
      <c r="A9674" s="1" t="n">
        <v>9673</v>
      </c>
      <c r="B9674">
        <f>TEXT(9673, "[$-170000]yyyy-mm-dd")</f>
        <v/>
      </c>
      <c r="C9674">
        <f>TEXT(9673, "[$-060000]yyyy-mm-dd")</f>
        <v/>
      </c>
      <c r="D9674" t="inlineStr">
        <is>
          <t>1344-12-15</t>
        </is>
      </c>
    </row>
    <row r="9675">
      <c r="A9675" s="1" t="n">
        <v>9674</v>
      </c>
      <c r="B9675">
        <f>TEXT(9674, "[$-170000]yyyy-mm-dd")</f>
        <v/>
      </c>
      <c r="C9675">
        <f>TEXT(9674, "[$-060000]yyyy-mm-dd")</f>
        <v/>
      </c>
      <c r="D9675" t="inlineStr">
        <is>
          <t>1344-12-16</t>
        </is>
      </c>
    </row>
    <row r="9676">
      <c r="A9676" s="1" t="n">
        <v>9675</v>
      </c>
      <c r="B9676">
        <f>TEXT(9675, "[$-170000]yyyy-mm-dd")</f>
        <v/>
      </c>
      <c r="C9676">
        <f>TEXT(9675, "[$-060000]yyyy-mm-dd")</f>
        <v/>
      </c>
      <c r="D9676" t="inlineStr">
        <is>
          <t>1344-12-17</t>
        </is>
      </c>
    </row>
    <row r="9677">
      <c r="A9677" s="1" t="n">
        <v>9676</v>
      </c>
      <c r="B9677">
        <f>TEXT(9676, "[$-170000]yyyy-mm-dd")</f>
        <v/>
      </c>
      <c r="C9677">
        <f>TEXT(9676, "[$-060000]yyyy-mm-dd")</f>
        <v/>
      </c>
      <c r="D9677" t="inlineStr">
        <is>
          <t>1344-12-18</t>
        </is>
      </c>
    </row>
    <row r="9678">
      <c r="A9678" s="1" t="n">
        <v>9677</v>
      </c>
      <c r="B9678">
        <f>TEXT(9677, "[$-170000]yyyy-mm-dd")</f>
        <v/>
      </c>
      <c r="C9678">
        <f>TEXT(9677, "[$-060000]yyyy-mm-dd")</f>
        <v/>
      </c>
      <c r="D9678" t="inlineStr">
        <is>
          <t>1344-12-19</t>
        </is>
      </c>
    </row>
    <row r="9679">
      <c r="A9679" s="1" t="n">
        <v>9678</v>
      </c>
      <c r="B9679">
        <f>TEXT(9678, "[$-170000]yyyy-mm-dd")</f>
        <v/>
      </c>
      <c r="C9679">
        <f>TEXT(9678, "[$-060000]yyyy-mm-dd")</f>
        <v/>
      </c>
      <c r="D9679" t="inlineStr">
        <is>
          <t>1344-12-20</t>
        </is>
      </c>
    </row>
    <row r="9680">
      <c r="A9680" s="1" t="n">
        <v>9679</v>
      </c>
      <c r="B9680">
        <f>TEXT(9679, "[$-170000]yyyy-mm-dd")</f>
        <v/>
      </c>
      <c r="C9680">
        <f>TEXT(9679, "[$-060000]yyyy-mm-dd")</f>
        <v/>
      </c>
      <c r="D9680" t="inlineStr">
        <is>
          <t>1344-12-21</t>
        </is>
      </c>
    </row>
    <row r="9681">
      <c r="A9681" s="1" t="n">
        <v>9680</v>
      </c>
      <c r="B9681">
        <f>TEXT(9680, "[$-170000]yyyy-mm-dd")</f>
        <v/>
      </c>
      <c r="C9681">
        <f>TEXT(9680, "[$-060000]yyyy-mm-dd")</f>
        <v/>
      </c>
      <c r="D9681" t="inlineStr">
        <is>
          <t>1344-12-22</t>
        </is>
      </c>
    </row>
    <row r="9682">
      <c r="A9682" s="1" t="n">
        <v>9681</v>
      </c>
      <c r="B9682">
        <f>TEXT(9681, "[$-170000]yyyy-mm-dd")</f>
        <v/>
      </c>
      <c r="C9682">
        <f>TEXT(9681, "[$-060000]yyyy-mm-dd")</f>
        <v/>
      </c>
      <c r="D9682" t="inlineStr">
        <is>
          <t>1344-12-23</t>
        </is>
      </c>
    </row>
    <row r="9683">
      <c r="A9683" s="1" t="n">
        <v>9682</v>
      </c>
      <c r="B9683">
        <f>TEXT(9682, "[$-170000]yyyy-mm-dd")</f>
        <v/>
      </c>
      <c r="C9683">
        <f>TEXT(9682, "[$-060000]yyyy-mm-dd")</f>
        <v/>
      </c>
      <c r="D9683" t="inlineStr">
        <is>
          <t>1344-12-24</t>
        </is>
      </c>
    </row>
    <row r="9684">
      <c r="A9684" s="1" t="n">
        <v>9683</v>
      </c>
      <c r="B9684">
        <f>TEXT(9683, "[$-170000]yyyy-mm-dd")</f>
        <v/>
      </c>
      <c r="C9684">
        <f>TEXT(9683, "[$-060000]yyyy-mm-dd")</f>
        <v/>
      </c>
      <c r="D9684" t="inlineStr">
        <is>
          <t>1344-12-25</t>
        </is>
      </c>
    </row>
    <row r="9685">
      <c r="A9685" s="1" t="n">
        <v>9684</v>
      </c>
      <c r="B9685">
        <f>TEXT(9684, "[$-170000]yyyy-mm-dd")</f>
        <v/>
      </c>
      <c r="C9685">
        <f>TEXT(9684, "[$-060000]yyyy-mm-dd")</f>
        <v/>
      </c>
      <c r="D9685" t="inlineStr">
        <is>
          <t>1344-12-26</t>
        </is>
      </c>
    </row>
    <row r="9686">
      <c r="A9686" s="1" t="n">
        <v>9685</v>
      </c>
      <c r="B9686">
        <f>TEXT(9685, "[$-170000]yyyy-mm-dd")</f>
        <v/>
      </c>
      <c r="C9686">
        <f>TEXT(9685, "[$-060000]yyyy-mm-dd")</f>
        <v/>
      </c>
      <c r="D9686" t="inlineStr">
        <is>
          <t>1344-12-27</t>
        </is>
      </c>
    </row>
    <row r="9687">
      <c r="A9687" s="1" t="n">
        <v>9686</v>
      </c>
      <c r="B9687">
        <f>TEXT(9686, "[$-170000]yyyy-mm-dd")</f>
        <v/>
      </c>
      <c r="C9687">
        <f>TEXT(9686, "[$-060000]yyyy-mm-dd")</f>
        <v/>
      </c>
      <c r="D9687" t="inlineStr">
        <is>
          <t>1344-12-28</t>
        </is>
      </c>
    </row>
    <row r="9688">
      <c r="A9688" s="1" t="n">
        <v>9687</v>
      </c>
      <c r="B9688">
        <f>TEXT(9687, "[$-170000]yyyy-mm-dd")</f>
        <v/>
      </c>
      <c r="C9688">
        <f>TEXT(9687, "[$-060000]yyyy-mm-dd")</f>
        <v/>
      </c>
      <c r="D9688" t="inlineStr">
        <is>
          <t>1344-12-29</t>
        </is>
      </c>
    </row>
    <row r="9689">
      <c r="A9689" s="1" t="n">
        <v>9688</v>
      </c>
      <c r="B9689">
        <f>TEXT(9688, "[$-170000]yyyy-mm-dd")</f>
        <v/>
      </c>
      <c r="C9689">
        <f>TEXT(9688, "[$-060000]yyyy-mm-dd")</f>
        <v/>
      </c>
      <c r="D9689" t="inlineStr">
        <is>
          <t>1344-12-30</t>
        </is>
      </c>
    </row>
    <row r="9690">
      <c r="A9690" s="1" t="n">
        <v>9689</v>
      </c>
      <c r="B9690">
        <f>TEXT(9689, "[$-170000]yyyy-mm-dd")</f>
        <v/>
      </c>
      <c r="C9690">
        <f>TEXT(9689, "[$-060000]yyyy-mm-dd")</f>
        <v/>
      </c>
      <c r="D9690" t="inlineStr">
        <is>
          <t>1345-01-01</t>
        </is>
      </c>
    </row>
    <row r="9691">
      <c r="A9691" s="1" t="n">
        <v>9690</v>
      </c>
      <c r="B9691">
        <f>TEXT(9690, "[$-170000]yyyy-mm-dd")</f>
        <v/>
      </c>
      <c r="C9691">
        <f>TEXT(9690, "[$-060000]yyyy-mm-dd")</f>
        <v/>
      </c>
      <c r="D9691" t="inlineStr">
        <is>
          <t>1345-01-02</t>
        </is>
      </c>
    </row>
    <row r="9692">
      <c r="A9692" s="1" t="n">
        <v>9691</v>
      </c>
      <c r="B9692">
        <f>TEXT(9691, "[$-170000]yyyy-mm-dd")</f>
        <v/>
      </c>
      <c r="C9692">
        <f>TEXT(9691, "[$-060000]yyyy-mm-dd")</f>
        <v/>
      </c>
      <c r="D9692" t="inlineStr">
        <is>
          <t>1345-01-03</t>
        </is>
      </c>
    </row>
    <row r="9693">
      <c r="A9693" s="1" t="n">
        <v>9692</v>
      </c>
      <c r="B9693">
        <f>TEXT(9692, "[$-170000]yyyy-mm-dd")</f>
        <v/>
      </c>
      <c r="C9693">
        <f>TEXT(9692, "[$-060000]yyyy-mm-dd")</f>
        <v/>
      </c>
      <c r="D9693" t="inlineStr">
        <is>
          <t>1345-01-04</t>
        </is>
      </c>
    </row>
    <row r="9694">
      <c r="A9694" s="1" t="n">
        <v>9693</v>
      </c>
      <c r="B9694">
        <f>TEXT(9693, "[$-170000]yyyy-mm-dd")</f>
        <v/>
      </c>
      <c r="C9694">
        <f>TEXT(9693, "[$-060000]yyyy-mm-dd")</f>
        <v/>
      </c>
      <c r="D9694" t="inlineStr">
        <is>
          <t>1345-01-05</t>
        </is>
      </c>
    </row>
    <row r="9695">
      <c r="A9695" s="1" t="n">
        <v>9694</v>
      </c>
      <c r="B9695">
        <f>TEXT(9694, "[$-170000]yyyy-mm-dd")</f>
        <v/>
      </c>
      <c r="C9695">
        <f>TEXT(9694, "[$-060000]yyyy-mm-dd")</f>
        <v/>
      </c>
      <c r="D9695" t="inlineStr">
        <is>
          <t>1345-01-06</t>
        </is>
      </c>
    </row>
    <row r="9696">
      <c r="A9696" s="1" t="n">
        <v>9695</v>
      </c>
      <c r="B9696">
        <f>TEXT(9695, "[$-170000]yyyy-mm-dd")</f>
        <v/>
      </c>
      <c r="C9696">
        <f>TEXT(9695, "[$-060000]yyyy-mm-dd")</f>
        <v/>
      </c>
      <c r="D9696" t="inlineStr">
        <is>
          <t>1345-01-07</t>
        </is>
      </c>
    </row>
    <row r="9697">
      <c r="A9697" s="1" t="n">
        <v>9696</v>
      </c>
      <c r="B9697">
        <f>TEXT(9696, "[$-170000]yyyy-mm-dd")</f>
        <v/>
      </c>
      <c r="C9697">
        <f>TEXT(9696, "[$-060000]yyyy-mm-dd")</f>
        <v/>
      </c>
      <c r="D9697" t="inlineStr">
        <is>
          <t>1345-01-08</t>
        </is>
      </c>
    </row>
    <row r="9698">
      <c r="A9698" s="1" t="n">
        <v>9697</v>
      </c>
      <c r="B9698">
        <f>TEXT(9697, "[$-170000]yyyy-mm-dd")</f>
        <v/>
      </c>
      <c r="C9698">
        <f>TEXT(9697, "[$-060000]yyyy-mm-dd")</f>
        <v/>
      </c>
      <c r="D9698" t="inlineStr">
        <is>
          <t>1345-01-09</t>
        </is>
      </c>
    </row>
    <row r="9699">
      <c r="A9699" s="1" t="n">
        <v>9698</v>
      </c>
      <c r="B9699">
        <f>TEXT(9698, "[$-170000]yyyy-mm-dd")</f>
        <v/>
      </c>
      <c r="C9699">
        <f>TEXT(9698, "[$-060000]yyyy-mm-dd")</f>
        <v/>
      </c>
      <c r="D9699" t="inlineStr">
        <is>
          <t>1345-01-10</t>
        </is>
      </c>
    </row>
    <row r="9700">
      <c r="A9700" s="1" t="n">
        <v>9699</v>
      </c>
      <c r="B9700">
        <f>TEXT(9699, "[$-170000]yyyy-mm-dd")</f>
        <v/>
      </c>
      <c r="C9700">
        <f>TEXT(9699, "[$-060000]yyyy-mm-dd")</f>
        <v/>
      </c>
      <c r="D9700" t="inlineStr">
        <is>
          <t>1345-01-11</t>
        </is>
      </c>
    </row>
    <row r="9701">
      <c r="A9701" s="1" t="n">
        <v>9700</v>
      </c>
      <c r="B9701">
        <f>TEXT(9700, "[$-170000]yyyy-mm-dd")</f>
        <v/>
      </c>
      <c r="C9701">
        <f>TEXT(9700, "[$-060000]yyyy-mm-dd")</f>
        <v/>
      </c>
      <c r="D9701" t="inlineStr">
        <is>
          <t>1345-01-12</t>
        </is>
      </c>
    </row>
    <row r="9702">
      <c r="A9702" s="1" t="n">
        <v>9701</v>
      </c>
      <c r="B9702">
        <f>TEXT(9701, "[$-170000]yyyy-mm-dd")</f>
        <v/>
      </c>
      <c r="C9702">
        <f>TEXT(9701, "[$-060000]yyyy-mm-dd")</f>
        <v/>
      </c>
      <c r="D9702" t="inlineStr">
        <is>
          <t>1345-01-13</t>
        </is>
      </c>
    </row>
    <row r="9703">
      <c r="A9703" s="1" t="n">
        <v>9702</v>
      </c>
      <c r="B9703">
        <f>TEXT(9702, "[$-170000]yyyy-mm-dd")</f>
        <v/>
      </c>
      <c r="C9703">
        <f>TEXT(9702, "[$-060000]yyyy-mm-dd")</f>
        <v/>
      </c>
      <c r="D9703" t="inlineStr">
        <is>
          <t>1345-01-14</t>
        </is>
      </c>
    </row>
    <row r="9704">
      <c r="A9704" s="1" t="n">
        <v>9703</v>
      </c>
      <c r="B9704">
        <f>TEXT(9703, "[$-170000]yyyy-mm-dd")</f>
        <v/>
      </c>
      <c r="C9704">
        <f>TEXT(9703, "[$-060000]yyyy-mm-dd")</f>
        <v/>
      </c>
      <c r="D9704" t="inlineStr">
        <is>
          <t>1345-01-15</t>
        </is>
      </c>
    </row>
    <row r="9705">
      <c r="A9705" s="1" t="n">
        <v>9704</v>
      </c>
      <c r="B9705">
        <f>TEXT(9704, "[$-170000]yyyy-mm-dd")</f>
        <v/>
      </c>
      <c r="C9705">
        <f>TEXT(9704, "[$-060000]yyyy-mm-dd")</f>
        <v/>
      </c>
      <c r="D9705" t="inlineStr">
        <is>
          <t>1345-01-16</t>
        </is>
      </c>
    </row>
    <row r="9706">
      <c r="A9706" s="1" t="n">
        <v>9705</v>
      </c>
      <c r="B9706">
        <f>TEXT(9705, "[$-170000]yyyy-mm-dd")</f>
        <v/>
      </c>
      <c r="C9706">
        <f>TEXT(9705, "[$-060000]yyyy-mm-dd")</f>
        <v/>
      </c>
      <c r="D9706" t="inlineStr">
        <is>
          <t>1345-01-17</t>
        </is>
      </c>
    </row>
    <row r="9707">
      <c r="A9707" s="1" t="n">
        <v>9706</v>
      </c>
      <c r="B9707">
        <f>TEXT(9706, "[$-170000]yyyy-mm-dd")</f>
        <v/>
      </c>
      <c r="C9707">
        <f>TEXT(9706, "[$-060000]yyyy-mm-dd")</f>
        <v/>
      </c>
      <c r="D9707" t="inlineStr">
        <is>
          <t>1345-01-18</t>
        </is>
      </c>
    </row>
    <row r="9708">
      <c r="A9708" s="1" t="n">
        <v>9707</v>
      </c>
      <c r="B9708">
        <f>TEXT(9707, "[$-170000]yyyy-mm-dd")</f>
        <v/>
      </c>
      <c r="C9708">
        <f>TEXT(9707, "[$-060000]yyyy-mm-dd")</f>
        <v/>
      </c>
      <c r="D9708" t="inlineStr">
        <is>
          <t>1345-01-19</t>
        </is>
      </c>
    </row>
    <row r="9709">
      <c r="A9709" s="1" t="n">
        <v>9708</v>
      </c>
      <c r="B9709">
        <f>TEXT(9708, "[$-170000]yyyy-mm-dd")</f>
        <v/>
      </c>
      <c r="C9709">
        <f>TEXT(9708, "[$-060000]yyyy-mm-dd")</f>
        <v/>
      </c>
      <c r="D9709" t="inlineStr">
        <is>
          <t>1345-01-20</t>
        </is>
      </c>
    </row>
    <row r="9710">
      <c r="A9710" s="1" t="n">
        <v>9709</v>
      </c>
      <c r="B9710">
        <f>TEXT(9709, "[$-170000]yyyy-mm-dd")</f>
        <v/>
      </c>
      <c r="C9710">
        <f>TEXT(9709, "[$-060000]yyyy-mm-dd")</f>
        <v/>
      </c>
      <c r="D9710" t="inlineStr">
        <is>
          <t>1345-01-21</t>
        </is>
      </c>
    </row>
    <row r="9711">
      <c r="A9711" s="1" t="n">
        <v>9710</v>
      </c>
      <c r="B9711">
        <f>TEXT(9710, "[$-170000]yyyy-mm-dd")</f>
        <v/>
      </c>
      <c r="C9711">
        <f>TEXT(9710, "[$-060000]yyyy-mm-dd")</f>
        <v/>
      </c>
      <c r="D9711" t="inlineStr">
        <is>
          <t>1345-01-22</t>
        </is>
      </c>
    </row>
    <row r="9712">
      <c r="A9712" s="1" t="n">
        <v>9711</v>
      </c>
      <c r="B9712">
        <f>TEXT(9711, "[$-170000]yyyy-mm-dd")</f>
        <v/>
      </c>
      <c r="C9712">
        <f>TEXT(9711, "[$-060000]yyyy-mm-dd")</f>
        <v/>
      </c>
      <c r="D9712" t="inlineStr">
        <is>
          <t>1345-01-23</t>
        </is>
      </c>
    </row>
    <row r="9713">
      <c r="A9713" s="1" t="n">
        <v>9712</v>
      </c>
      <c r="B9713">
        <f>TEXT(9712, "[$-170000]yyyy-mm-dd")</f>
        <v/>
      </c>
      <c r="C9713">
        <f>TEXT(9712, "[$-060000]yyyy-mm-dd")</f>
        <v/>
      </c>
      <c r="D9713" t="inlineStr">
        <is>
          <t>1345-01-24</t>
        </is>
      </c>
    </row>
    <row r="9714">
      <c r="A9714" s="1" t="n">
        <v>9713</v>
      </c>
      <c r="B9714">
        <f>TEXT(9713, "[$-170000]yyyy-mm-dd")</f>
        <v/>
      </c>
      <c r="C9714">
        <f>TEXT(9713, "[$-060000]yyyy-mm-dd")</f>
        <v/>
      </c>
      <c r="D9714" t="inlineStr">
        <is>
          <t>1345-01-25</t>
        </is>
      </c>
    </row>
    <row r="9715">
      <c r="A9715" s="1" t="n">
        <v>9714</v>
      </c>
      <c r="B9715">
        <f>TEXT(9714, "[$-170000]yyyy-mm-dd")</f>
        <v/>
      </c>
      <c r="C9715">
        <f>TEXT(9714, "[$-060000]yyyy-mm-dd")</f>
        <v/>
      </c>
      <c r="D9715" t="inlineStr">
        <is>
          <t>1345-01-26</t>
        </is>
      </c>
    </row>
    <row r="9716">
      <c r="A9716" s="1" t="n">
        <v>9715</v>
      </c>
      <c r="B9716">
        <f>TEXT(9715, "[$-170000]yyyy-mm-dd")</f>
        <v/>
      </c>
      <c r="C9716">
        <f>TEXT(9715, "[$-060000]yyyy-mm-dd")</f>
        <v/>
      </c>
      <c r="D9716" t="inlineStr">
        <is>
          <t>1345-01-27</t>
        </is>
      </c>
    </row>
    <row r="9717">
      <c r="A9717" s="1" t="n">
        <v>9716</v>
      </c>
      <c r="B9717">
        <f>TEXT(9716, "[$-170000]yyyy-mm-dd")</f>
        <v/>
      </c>
      <c r="C9717">
        <f>TEXT(9716, "[$-060000]yyyy-mm-dd")</f>
        <v/>
      </c>
      <c r="D9717" t="inlineStr">
        <is>
          <t>1345-01-28</t>
        </is>
      </c>
    </row>
    <row r="9718">
      <c r="A9718" s="1" t="n">
        <v>9717</v>
      </c>
      <c r="B9718">
        <f>TEXT(9717, "[$-170000]yyyy-mm-dd")</f>
        <v/>
      </c>
      <c r="C9718">
        <f>TEXT(9717, "[$-060000]yyyy-mm-dd")</f>
        <v/>
      </c>
      <c r="D9718" t="inlineStr">
        <is>
          <t>1345-01-29</t>
        </is>
      </c>
    </row>
    <row r="9719">
      <c r="A9719" s="1" t="n">
        <v>9718</v>
      </c>
      <c r="B9719">
        <f>TEXT(9718, "[$-170000]yyyy-mm-dd")</f>
        <v/>
      </c>
      <c r="C9719">
        <f>TEXT(9718, "[$-060000]yyyy-mm-dd")</f>
        <v/>
      </c>
      <c r="D9719" t="inlineStr">
        <is>
          <t>1345-01-30</t>
        </is>
      </c>
    </row>
    <row r="9720">
      <c r="A9720" s="1" t="n">
        <v>9719</v>
      </c>
      <c r="B9720">
        <f>TEXT(9719, "[$-170000]yyyy-mm-dd")</f>
        <v/>
      </c>
      <c r="C9720">
        <f>TEXT(9719, "[$-060000]yyyy-mm-dd")</f>
        <v/>
      </c>
      <c r="D9720" t="inlineStr">
        <is>
          <t>1345-02-01</t>
        </is>
      </c>
    </row>
    <row r="9721">
      <c r="A9721" s="1" t="n">
        <v>9720</v>
      </c>
      <c r="B9721">
        <f>TEXT(9720, "[$-170000]yyyy-mm-dd")</f>
        <v/>
      </c>
      <c r="C9721">
        <f>TEXT(9720, "[$-060000]yyyy-mm-dd")</f>
        <v/>
      </c>
      <c r="D9721" t="inlineStr">
        <is>
          <t>1345-02-02</t>
        </is>
      </c>
    </row>
    <row r="9722">
      <c r="A9722" s="1" t="n">
        <v>9721</v>
      </c>
      <c r="B9722">
        <f>TEXT(9721, "[$-170000]yyyy-mm-dd")</f>
        <v/>
      </c>
      <c r="C9722">
        <f>TEXT(9721, "[$-060000]yyyy-mm-dd")</f>
        <v/>
      </c>
      <c r="D9722" t="inlineStr">
        <is>
          <t>1345-02-03</t>
        </is>
      </c>
    </row>
    <row r="9723">
      <c r="A9723" s="1" t="n">
        <v>9722</v>
      </c>
      <c r="B9723">
        <f>TEXT(9722, "[$-170000]yyyy-mm-dd")</f>
        <v/>
      </c>
      <c r="C9723">
        <f>TEXT(9722, "[$-060000]yyyy-mm-dd")</f>
        <v/>
      </c>
      <c r="D9723" t="inlineStr">
        <is>
          <t>1345-02-04</t>
        </is>
      </c>
    </row>
    <row r="9724">
      <c r="A9724" s="1" t="n">
        <v>9723</v>
      </c>
      <c r="B9724">
        <f>TEXT(9723, "[$-170000]yyyy-mm-dd")</f>
        <v/>
      </c>
      <c r="C9724">
        <f>TEXT(9723, "[$-060000]yyyy-mm-dd")</f>
        <v/>
      </c>
      <c r="D9724" t="inlineStr">
        <is>
          <t>1345-02-05</t>
        </is>
      </c>
    </row>
    <row r="9725">
      <c r="A9725" s="1" t="n">
        <v>9724</v>
      </c>
      <c r="B9725">
        <f>TEXT(9724, "[$-170000]yyyy-mm-dd")</f>
        <v/>
      </c>
      <c r="C9725">
        <f>TEXT(9724, "[$-060000]yyyy-mm-dd")</f>
        <v/>
      </c>
      <c r="D9725" t="inlineStr">
        <is>
          <t>1345-02-06</t>
        </is>
      </c>
    </row>
    <row r="9726">
      <c r="A9726" s="1" t="n">
        <v>9725</v>
      </c>
      <c r="B9726">
        <f>TEXT(9725, "[$-170000]yyyy-mm-dd")</f>
        <v/>
      </c>
      <c r="C9726">
        <f>TEXT(9725, "[$-060000]yyyy-mm-dd")</f>
        <v/>
      </c>
      <c r="D9726" t="inlineStr">
        <is>
          <t>1345-02-07</t>
        </is>
      </c>
    </row>
    <row r="9727">
      <c r="A9727" s="1" t="n">
        <v>9726</v>
      </c>
      <c r="B9727">
        <f>TEXT(9726, "[$-170000]yyyy-mm-dd")</f>
        <v/>
      </c>
      <c r="C9727">
        <f>TEXT(9726, "[$-060000]yyyy-mm-dd")</f>
        <v/>
      </c>
      <c r="D9727" t="inlineStr">
        <is>
          <t>1345-02-08</t>
        </is>
      </c>
    </row>
    <row r="9728">
      <c r="A9728" s="1" t="n">
        <v>9727</v>
      </c>
      <c r="B9728">
        <f>TEXT(9727, "[$-170000]yyyy-mm-dd")</f>
        <v/>
      </c>
      <c r="C9728">
        <f>TEXT(9727, "[$-060000]yyyy-mm-dd")</f>
        <v/>
      </c>
      <c r="D9728" t="inlineStr">
        <is>
          <t>1345-02-09</t>
        </is>
      </c>
    </row>
    <row r="9729">
      <c r="A9729" s="1" t="n">
        <v>9728</v>
      </c>
      <c r="B9729">
        <f>TEXT(9728, "[$-170000]yyyy-mm-dd")</f>
        <v/>
      </c>
      <c r="C9729">
        <f>TEXT(9728, "[$-060000]yyyy-mm-dd")</f>
        <v/>
      </c>
      <c r="D9729" t="inlineStr">
        <is>
          <t>1345-02-10</t>
        </is>
      </c>
    </row>
    <row r="9730">
      <c r="A9730" s="1" t="n">
        <v>9729</v>
      </c>
      <c r="B9730">
        <f>TEXT(9729, "[$-170000]yyyy-mm-dd")</f>
        <v/>
      </c>
      <c r="C9730">
        <f>TEXT(9729, "[$-060000]yyyy-mm-dd")</f>
        <v/>
      </c>
      <c r="D9730" t="inlineStr">
        <is>
          <t>1345-02-11</t>
        </is>
      </c>
    </row>
    <row r="9731">
      <c r="A9731" s="1" t="n">
        <v>9730</v>
      </c>
      <c r="B9731">
        <f>TEXT(9730, "[$-170000]yyyy-mm-dd")</f>
        <v/>
      </c>
      <c r="C9731">
        <f>TEXT(9730, "[$-060000]yyyy-mm-dd")</f>
        <v/>
      </c>
      <c r="D9731" t="inlineStr">
        <is>
          <t>1345-02-12</t>
        </is>
      </c>
    </row>
    <row r="9732">
      <c r="A9732" s="1" t="n">
        <v>9731</v>
      </c>
      <c r="B9732">
        <f>TEXT(9731, "[$-170000]yyyy-mm-dd")</f>
        <v/>
      </c>
      <c r="C9732">
        <f>TEXT(9731, "[$-060000]yyyy-mm-dd")</f>
        <v/>
      </c>
      <c r="D9732" t="inlineStr">
        <is>
          <t>1345-02-13</t>
        </is>
      </c>
    </row>
    <row r="9733">
      <c r="A9733" s="1" t="n">
        <v>9732</v>
      </c>
      <c r="B9733">
        <f>TEXT(9732, "[$-170000]yyyy-mm-dd")</f>
        <v/>
      </c>
      <c r="C9733">
        <f>TEXT(9732, "[$-060000]yyyy-mm-dd")</f>
        <v/>
      </c>
      <c r="D9733" t="inlineStr">
        <is>
          <t>1345-02-14</t>
        </is>
      </c>
    </row>
    <row r="9734">
      <c r="A9734" s="1" t="n">
        <v>9733</v>
      </c>
      <c r="B9734">
        <f>TEXT(9733, "[$-170000]yyyy-mm-dd")</f>
        <v/>
      </c>
      <c r="C9734">
        <f>TEXT(9733, "[$-060000]yyyy-mm-dd")</f>
        <v/>
      </c>
      <c r="D9734" t="inlineStr">
        <is>
          <t>1345-02-15</t>
        </is>
      </c>
    </row>
    <row r="9735">
      <c r="A9735" s="1" t="n">
        <v>9734</v>
      </c>
      <c r="B9735">
        <f>TEXT(9734, "[$-170000]yyyy-mm-dd")</f>
        <v/>
      </c>
      <c r="C9735">
        <f>TEXT(9734, "[$-060000]yyyy-mm-dd")</f>
        <v/>
      </c>
      <c r="D9735" t="inlineStr">
        <is>
          <t>1345-02-16</t>
        </is>
      </c>
    </row>
    <row r="9736">
      <c r="A9736" s="1" t="n">
        <v>9735</v>
      </c>
      <c r="B9736">
        <f>TEXT(9735, "[$-170000]yyyy-mm-dd")</f>
        <v/>
      </c>
      <c r="C9736">
        <f>TEXT(9735, "[$-060000]yyyy-mm-dd")</f>
        <v/>
      </c>
      <c r="D9736" t="inlineStr">
        <is>
          <t>1345-02-17</t>
        </is>
      </c>
    </row>
    <row r="9737">
      <c r="A9737" s="1" t="n">
        <v>9736</v>
      </c>
      <c r="B9737">
        <f>TEXT(9736, "[$-170000]yyyy-mm-dd")</f>
        <v/>
      </c>
      <c r="C9737">
        <f>TEXT(9736, "[$-060000]yyyy-mm-dd")</f>
        <v/>
      </c>
      <c r="D9737" t="inlineStr">
        <is>
          <t>1345-02-18</t>
        </is>
      </c>
    </row>
    <row r="9738">
      <c r="A9738" s="1" t="n">
        <v>9737</v>
      </c>
      <c r="B9738">
        <f>TEXT(9737, "[$-170000]yyyy-mm-dd")</f>
        <v/>
      </c>
      <c r="C9738">
        <f>TEXT(9737, "[$-060000]yyyy-mm-dd")</f>
        <v/>
      </c>
      <c r="D9738" t="inlineStr">
        <is>
          <t>1345-02-19</t>
        </is>
      </c>
    </row>
    <row r="9739">
      <c r="A9739" s="1" t="n">
        <v>9738</v>
      </c>
      <c r="B9739">
        <f>TEXT(9738, "[$-170000]yyyy-mm-dd")</f>
        <v/>
      </c>
      <c r="C9739">
        <f>TEXT(9738, "[$-060000]yyyy-mm-dd")</f>
        <v/>
      </c>
      <c r="D9739" t="inlineStr">
        <is>
          <t>1345-02-20</t>
        </is>
      </c>
    </row>
    <row r="9740">
      <c r="A9740" s="1" t="n">
        <v>9739</v>
      </c>
      <c r="B9740">
        <f>TEXT(9739, "[$-170000]yyyy-mm-dd")</f>
        <v/>
      </c>
      <c r="C9740">
        <f>TEXT(9739, "[$-060000]yyyy-mm-dd")</f>
        <v/>
      </c>
      <c r="D9740" t="inlineStr">
        <is>
          <t>1345-02-21</t>
        </is>
      </c>
    </row>
    <row r="9741">
      <c r="A9741" s="1" t="n">
        <v>9740</v>
      </c>
      <c r="B9741">
        <f>TEXT(9740, "[$-170000]yyyy-mm-dd")</f>
        <v/>
      </c>
      <c r="C9741">
        <f>TEXT(9740, "[$-060000]yyyy-mm-dd")</f>
        <v/>
      </c>
      <c r="D9741" t="inlineStr">
        <is>
          <t>1345-02-22</t>
        </is>
      </c>
    </row>
    <row r="9742">
      <c r="A9742" s="1" t="n">
        <v>9741</v>
      </c>
      <c r="B9742">
        <f>TEXT(9741, "[$-170000]yyyy-mm-dd")</f>
        <v/>
      </c>
      <c r="C9742">
        <f>TEXT(9741, "[$-060000]yyyy-mm-dd")</f>
        <v/>
      </c>
      <c r="D9742" t="inlineStr">
        <is>
          <t>1345-02-23</t>
        </is>
      </c>
    </row>
    <row r="9743">
      <c r="A9743" s="1" t="n">
        <v>9742</v>
      </c>
      <c r="B9743">
        <f>TEXT(9742, "[$-170000]yyyy-mm-dd")</f>
        <v/>
      </c>
      <c r="C9743">
        <f>TEXT(9742, "[$-060000]yyyy-mm-dd")</f>
        <v/>
      </c>
      <c r="D9743" t="inlineStr">
        <is>
          <t>1345-02-24</t>
        </is>
      </c>
    </row>
    <row r="9744">
      <c r="A9744" s="1" t="n">
        <v>9743</v>
      </c>
      <c r="B9744">
        <f>TEXT(9743, "[$-170000]yyyy-mm-dd")</f>
        <v/>
      </c>
      <c r="C9744">
        <f>TEXT(9743, "[$-060000]yyyy-mm-dd")</f>
        <v/>
      </c>
      <c r="D9744" t="inlineStr">
        <is>
          <t>1345-02-25</t>
        </is>
      </c>
    </row>
    <row r="9745">
      <c r="A9745" s="1" t="n">
        <v>9744</v>
      </c>
      <c r="B9745">
        <f>TEXT(9744, "[$-170000]yyyy-mm-dd")</f>
        <v/>
      </c>
      <c r="C9745">
        <f>TEXT(9744, "[$-060000]yyyy-mm-dd")</f>
        <v/>
      </c>
      <c r="D9745" t="inlineStr">
        <is>
          <t>1345-02-26</t>
        </is>
      </c>
    </row>
    <row r="9746">
      <c r="A9746" s="1" t="n">
        <v>9745</v>
      </c>
      <c r="B9746">
        <f>TEXT(9745, "[$-170000]yyyy-mm-dd")</f>
        <v/>
      </c>
      <c r="C9746">
        <f>TEXT(9745, "[$-060000]yyyy-mm-dd")</f>
        <v/>
      </c>
      <c r="D9746" t="inlineStr">
        <is>
          <t>1345-02-27</t>
        </is>
      </c>
    </row>
    <row r="9747">
      <c r="A9747" s="1" t="n">
        <v>9746</v>
      </c>
      <c r="B9747">
        <f>TEXT(9746, "[$-170000]yyyy-mm-dd")</f>
        <v/>
      </c>
      <c r="C9747">
        <f>TEXT(9746, "[$-060000]yyyy-mm-dd")</f>
        <v/>
      </c>
      <c r="D9747" t="inlineStr">
        <is>
          <t>1345-02-28</t>
        </is>
      </c>
    </row>
    <row r="9748">
      <c r="A9748" s="1" t="n">
        <v>9747</v>
      </c>
      <c r="B9748">
        <f>TEXT(9747, "[$-170000]yyyy-mm-dd")</f>
        <v/>
      </c>
      <c r="C9748">
        <f>TEXT(9747, "[$-060000]yyyy-mm-dd")</f>
        <v/>
      </c>
      <c r="D9748" t="inlineStr">
        <is>
          <t>1345-02-29</t>
        </is>
      </c>
    </row>
    <row r="9749">
      <c r="A9749" s="1" t="n">
        <v>9748</v>
      </c>
      <c r="B9749">
        <f>TEXT(9748, "[$-170000]yyyy-mm-dd")</f>
        <v/>
      </c>
      <c r="C9749">
        <f>TEXT(9748, "[$-060000]yyyy-mm-dd")</f>
        <v/>
      </c>
      <c r="D9749" t="inlineStr">
        <is>
          <t>1345-03-01</t>
        </is>
      </c>
    </row>
    <row r="9750">
      <c r="A9750" s="1" t="n">
        <v>9749</v>
      </c>
      <c r="B9750">
        <f>TEXT(9749, "[$-170000]yyyy-mm-dd")</f>
        <v/>
      </c>
      <c r="C9750">
        <f>TEXT(9749, "[$-060000]yyyy-mm-dd")</f>
        <v/>
      </c>
      <c r="D9750" t="inlineStr">
        <is>
          <t>1345-03-02</t>
        </is>
      </c>
    </row>
    <row r="9751">
      <c r="A9751" s="1" t="n">
        <v>9750</v>
      </c>
      <c r="B9751">
        <f>TEXT(9750, "[$-170000]yyyy-mm-dd")</f>
        <v/>
      </c>
      <c r="C9751">
        <f>TEXT(9750, "[$-060000]yyyy-mm-dd")</f>
        <v/>
      </c>
      <c r="D9751" t="inlineStr">
        <is>
          <t>1345-03-03</t>
        </is>
      </c>
    </row>
    <row r="9752">
      <c r="A9752" s="1" t="n">
        <v>9751</v>
      </c>
      <c r="B9752">
        <f>TEXT(9751, "[$-170000]yyyy-mm-dd")</f>
        <v/>
      </c>
      <c r="C9752">
        <f>TEXT(9751, "[$-060000]yyyy-mm-dd")</f>
        <v/>
      </c>
      <c r="D9752" t="inlineStr">
        <is>
          <t>1345-03-04</t>
        </is>
      </c>
    </row>
    <row r="9753">
      <c r="A9753" s="1" t="n">
        <v>9752</v>
      </c>
      <c r="B9753">
        <f>TEXT(9752, "[$-170000]yyyy-mm-dd")</f>
        <v/>
      </c>
      <c r="C9753">
        <f>TEXT(9752, "[$-060000]yyyy-mm-dd")</f>
        <v/>
      </c>
      <c r="D9753" t="inlineStr">
        <is>
          <t>1345-03-05</t>
        </is>
      </c>
    </row>
    <row r="9754">
      <c r="A9754" s="1" t="n">
        <v>9753</v>
      </c>
      <c r="B9754">
        <f>TEXT(9753, "[$-170000]yyyy-mm-dd")</f>
        <v/>
      </c>
      <c r="C9754">
        <f>TEXT(9753, "[$-060000]yyyy-mm-dd")</f>
        <v/>
      </c>
      <c r="D9754" t="inlineStr">
        <is>
          <t>1345-03-06</t>
        </is>
      </c>
    </row>
    <row r="9755">
      <c r="A9755" s="1" t="n">
        <v>9754</v>
      </c>
      <c r="B9755">
        <f>TEXT(9754, "[$-170000]yyyy-mm-dd")</f>
        <v/>
      </c>
      <c r="C9755">
        <f>TEXT(9754, "[$-060000]yyyy-mm-dd")</f>
        <v/>
      </c>
      <c r="D9755" t="inlineStr">
        <is>
          <t>1345-03-07</t>
        </is>
      </c>
    </row>
    <row r="9756">
      <c r="A9756" s="1" t="n">
        <v>9755</v>
      </c>
      <c r="B9756">
        <f>TEXT(9755, "[$-170000]yyyy-mm-dd")</f>
        <v/>
      </c>
      <c r="C9756">
        <f>TEXT(9755, "[$-060000]yyyy-mm-dd")</f>
        <v/>
      </c>
      <c r="D9756" t="inlineStr">
        <is>
          <t>1345-03-08</t>
        </is>
      </c>
    </row>
    <row r="9757">
      <c r="A9757" s="1" t="n">
        <v>9756</v>
      </c>
      <c r="B9757">
        <f>TEXT(9756, "[$-170000]yyyy-mm-dd")</f>
        <v/>
      </c>
      <c r="C9757">
        <f>TEXT(9756, "[$-060000]yyyy-mm-dd")</f>
        <v/>
      </c>
      <c r="D9757" t="inlineStr">
        <is>
          <t>1345-03-09</t>
        </is>
      </c>
    </row>
    <row r="9758">
      <c r="A9758" s="1" t="n">
        <v>9757</v>
      </c>
      <c r="B9758">
        <f>TEXT(9757, "[$-170000]yyyy-mm-dd")</f>
        <v/>
      </c>
      <c r="C9758">
        <f>TEXT(9757, "[$-060000]yyyy-mm-dd")</f>
        <v/>
      </c>
      <c r="D9758" t="inlineStr">
        <is>
          <t>1345-03-10</t>
        </is>
      </c>
    </row>
    <row r="9759">
      <c r="A9759" s="1" t="n">
        <v>9758</v>
      </c>
      <c r="B9759">
        <f>TEXT(9758, "[$-170000]yyyy-mm-dd")</f>
        <v/>
      </c>
      <c r="C9759">
        <f>TEXT(9758, "[$-060000]yyyy-mm-dd")</f>
        <v/>
      </c>
      <c r="D9759" t="inlineStr">
        <is>
          <t>1345-03-11</t>
        </is>
      </c>
    </row>
    <row r="9760">
      <c r="A9760" s="1" t="n">
        <v>9759</v>
      </c>
      <c r="B9760">
        <f>TEXT(9759, "[$-170000]yyyy-mm-dd")</f>
        <v/>
      </c>
      <c r="C9760">
        <f>TEXT(9759, "[$-060000]yyyy-mm-dd")</f>
        <v/>
      </c>
      <c r="D9760" t="inlineStr">
        <is>
          <t>1345-03-12</t>
        </is>
      </c>
    </row>
    <row r="9761">
      <c r="A9761" s="1" t="n">
        <v>9760</v>
      </c>
      <c r="B9761">
        <f>TEXT(9760, "[$-170000]yyyy-mm-dd")</f>
        <v/>
      </c>
      <c r="C9761">
        <f>TEXT(9760, "[$-060000]yyyy-mm-dd")</f>
        <v/>
      </c>
      <c r="D9761" t="inlineStr">
        <is>
          <t>1345-03-13</t>
        </is>
      </c>
    </row>
    <row r="9762">
      <c r="A9762" s="1" t="n">
        <v>9761</v>
      </c>
      <c r="B9762">
        <f>TEXT(9761, "[$-170000]yyyy-mm-dd")</f>
        <v/>
      </c>
      <c r="C9762">
        <f>TEXT(9761, "[$-060000]yyyy-mm-dd")</f>
        <v/>
      </c>
      <c r="D9762" t="inlineStr">
        <is>
          <t>1345-03-14</t>
        </is>
      </c>
    </row>
    <row r="9763">
      <c r="A9763" s="1" t="n">
        <v>9762</v>
      </c>
      <c r="B9763">
        <f>TEXT(9762, "[$-170000]yyyy-mm-dd")</f>
        <v/>
      </c>
      <c r="C9763">
        <f>TEXT(9762, "[$-060000]yyyy-mm-dd")</f>
        <v/>
      </c>
      <c r="D9763" t="inlineStr">
        <is>
          <t>1345-03-15</t>
        </is>
      </c>
    </row>
    <row r="9764">
      <c r="A9764" s="1" t="n">
        <v>9763</v>
      </c>
      <c r="B9764">
        <f>TEXT(9763, "[$-170000]yyyy-mm-dd")</f>
        <v/>
      </c>
      <c r="C9764">
        <f>TEXT(9763, "[$-060000]yyyy-mm-dd")</f>
        <v/>
      </c>
      <c r="D9764" t="inlineStr">
        <is>
          <t>1345-03-16</t>
        </is>
      </c>
    </row>
    <row r="9765">
      <c r="A9765" s="1" t="n">
        <v>9764</v>
      </c>
      <c r="B9765">
        <f>TEXT(9764, "[$-170000]yyyy-mm-dd")</f>
        <v/>
      </c>
      <c r="C9765">
        <f>TEXT(9764, "[$-060000]yyyy-mm-dd")</f>
        <v/>
      </c>
      <c r="D9765" t="inlineStr">
        <is>
          <t>1345-03-17</t>
        </is>
      </c>
    </row>
    <row r="9766">
      <c r="A9766" s="1" t="n">
        <v>9765</v>
      </c>
      <c r="B9766">
        <f>TEXT(9765, "[$-170000]yyyy-mm-dd")</f>
        <v/>
      </c>
      <c r="C9766">
        <f>TEXT(9765, "[$-060000]yyyy-mm-dd")</f>
        <v/>
      </c>
      <c r="D9766" t="inlineStr">
        <is>
          <t>1345-03-18</t>
        </is>
      </c>
    </row>
    <row r="9767">
      <c r="A9767" s="1" t="n">
        <v>9766</v>
      </c>
      <c r="B9767">
        <f>TEXT(9766, "[$-170000]yyyy-mm-dd")</f>
        <v/>
      </c>
      <c r="C9767">
        <f>TEXT(9766, "[$-060000]yyyy-mm-dd")</f>
        <v/>
      </c>
      <c r="D9767" t="inlineStr">
        <is>
          <t>1345-03-19</t>
        </is>
      </c>
    </row>
    <row r="9768">
      <c r="A9768" s="1" t="n">
        <v>9767</v>
      </c>
      <c r="B9768">
        <f>TEXT(9767, "[$-170000]yyyy-mm-dd")</f>
        <v/>
      </c>
      <c r="C9768">
        <f>TEXT(9767, "[$-060000]yyyy-mm-dd")</f>
        <v/>
      </c>
      <c r="D9768" t="inlineStr">
        <is>
          <t>1345-03-20</t>
        </is>
      </c>
    </row>
    <row r="9769">
      <c r="A9769" s="1" t="n">
        <v>9768</v>
      </c>
      <c r="B9769">
        <f>TEXT(9768, "[$-170000]yyyy-mm-dd")</f>
        <v/>
      </c>
      <c r="C9769">
        <f>TEXT(9768, "[$-060000]yyyy-mm-dd")</f>
        <v/>
      </c>
      <c r="D9769" t="inlineStr">
        <is>
          <t>1345-03-21</t>
        </is>
      </c>
    </row>
    <row r="9770">
      <c r="A9770" s="1" t="n">
        <v>9769</v>
      </c>
      <c r="B9770">
        <f>TEXT(9769, "[$-170000]yyyy-mm-dd")</f>
        <v/>
      </c>
      <c r="C9770">
        <f>TEXT(9769, "[$-060000]yyyy-mm-dd")</f>
        <v/>
      </c>
      <c r="D9770" t="inlineStr">
        <is>
          <t>1345-03-22</t>
        </is>
      </c>
    </row>
    <row r="9771">
      <c r="A9771" s="1" t="n">
        <v>9770</v>
      </c>
      <c r="B9771">
        <f>TEXT(9770, "[$-170000]yyyy-mm-dd")</f>
        <v/>
      </c>
      <c r="C9771">
        <f>TEXT(9770, "[$-060000]yyyy-mm-dd")</f>
        <v/>
      </c>
      <c r="D9771" t="inlineStr">
        <is>
          <t>1345-03-23</t>
        </is>
      </c>
    </row>
    <row r="9772">
      <c r="A9772" s="1" t="n">
        <v>9771</v>
      </c>
      <c r="B9772">
        <f>TEXT(9771, "[$-170000]yyyy-mm-dd")</f>
        <v/>
      </c>
      <c r="C9772">
        <f>TEXT(9771, "[$-060000]yyyy-mm-dd")</f>
        <v/>
      </c>
      <c r="D9772" t="inlineStr">
        <is>
          <t>1345-03-24</t>
        </is>
      </c>
    </row>
    <row r="9773">
      <c r="A9773" s="1" t="n">
        <v>9772</v>
      </c>
      <c r="B9773">
        <f>TEXT(9772, "[$-170000]yyyy-mm-dd")</f>
        <v/>
      </c>
      <c r="C9773">
        <f>TEXT(9772, "[$-060000]yyyy-mm-dd")</f>
        <v/>
      </c>
      <c r="D9773" t="inlineStr">
        <is>
          <t>1345-03-25</t>
        </is>
      </c>
    </row>
    <row r="9774">
      <c r="A9774" s="1" t="n">
        <v>9773</v>
      </c>
      <c r="B9774">
        <f>TEXT(9773, "[$-170000]yyyy-mm-dd")</f>
        <v/>
      </c>
      <c r="C9774">
        <f>TEXT(9773, "[$-060000]yyyy-mm-dd")</f>
        <v/>
      </c>
      <c r="D9774" t="inlineStr">
        <is>
          <t>1345-03-26</t>
        </is>
      </c>
    </row>
    <row r="9775">
      <c r="A9775" s="1" t="n">
        <v>9774</v>
      </c>
      <c r="B9775">
        <f>TEXT(9774, "[$-170000]yyyy-mm-dd")</f>
        <v/>
      </c>
      <c r="C9775">
        <f>TEXT(9774, "[$-060000]yyyy-mm-dd")</f>
        <v/>
      </c>
      <c r="D9775" t="inlineStr">
        <is>
          <t>1345-03-27</t>
        </is>
      </c>
    </row>
    <row r="9776">
      <c r="A9776" s="1" t="n">
        <v>9775</v>
      </c>
      <c r="B9776">
        <f>TEXT(9775, "[$-170000]yyyy-mm-dd")</f>
        <v/>
      </c>
      <c r="C9776">
        <f>TEXT(9775, "[$-060000]yyyy-mm-dd")</f>
        <v/>
      </c>
      <c r="D9776" t="inlineStr">
        <is>
          <t>1345-03-28</t>
        </is>
      </c>
    </row>
    <row r="9777">
      <c r="A9777" s="1" t="n">
        <v>9776</v>
      </c>
      <c r="B9777">
        <f>TEXT(9776, "[$-170000]yyyy-mm-dd")</f>
        <v/>
      </c>
      <c r="C9777">
        <f>TEXT(9776, "[$-060000]yyyy-mm-dd")</f>
        <v/>
      </c>
      <c r="D9777" t="inlineStr">
        <is>
          <t>1345-03-29</t>
        </is>
      </c>
    </row>
    <row r="9778">
      <c r="A9778" s="1" t="n">
        <v>9777</v>
      </c>
      <c r="B9778">
        <f>TEXT(9777, "[$-170000]yyyy-mm-dd")</f>
        <v/>
      </c>
      <c r="C9778">
        <f>TEXT(9777, "[$-060000]yyyy-mm-dd")</f>
        <v/>
      </c>
      <c r="D9778" t="inlineStr">
        <is>
          <t>1345-03-30</t>
        </is>
      </c>
    </row>
    <row r="9779">
      <c r="A9779" s="1" t="n">
        <v>9778</v>
      </c>
      <c r="B9779">
        <f>TEXT(9778, "[$-170000]yyyy-mm-dd")</f>
        <v/>
      </c>
      <c r="C9779">
        <f>TEXT(9778, "[$-060000]yyyy-mm-dd")</f>
        <v/>
      </c>
      <c r="D9779" t="inlineStr">
        <is>
          <t>1345-04-01</t>
        </is>
      </c>
    </row>
    <row r="9780">
      <c r="A9780" s="1" t="n">
        <v>9779</v>
      </c>
      <c r="B9780">
        <f>TEXT(9779, "[$-170000]yyyy-mm-dd")</f>
        <v/>
      </c>
      <c r="C9780">
        <f>TEXT(9779, "[$-060000]yyyy-mm-dd")</f>
        <v/>
      </c>
      <c r="D9780" t="inlineStr">
        <is>
          <t>1345-04-02</t>
        </is>
      </c>
    </row>
    <row r="9781">
      <c r="A9781" s="1" t="n">
        <v>9780</v>
      </c>
      <c r="B9781">
        <f>TEXT(9780, "[$-170000]yyyy-mm-dd")</f>
        <v/>
      </c>
      <c r="C9781">
        <f>TEXT(9780, "[$-060000]yyyy-mm-dd")</f>
        <v/>
      </c>
      <c r="D9781" t="inlineStr">
        <is>
          <t>1345-04-03</t>
        </is>
      </c>
    </row>
    <row r="9782">
      <c r="A9782" s="1" t="n">
        <v>9781</v>
      </c>
      <c r="B9782">
        <f>TEXT(9781, "[$-170000]yyyy-mm-dd")</f>
        <v/>
      </c>
      <c r="C9782">
        <f>TEXT(9781, "[$-060000]yyyy-mm-dd")</f>
        <v/>
      </c>
      <c r="D9782" t="inlineStr">
        <is>
          <t>1345-04-04</t>
        </is>
      </c>
    </row>
    <row r="9783">
      <c r="A9783" s="1" t="n">
        <v>9782</v>
      </c>
      <c r="B9783">
        <f>TEXT(9782, "[$-170000]yyyy-mm-dd")</f>
        <v/>
      </c>
      <c r="C9783">
        <f>TEXT(9782, "[$-060000]yyyy-mm-dd")</f>
        <v/>
      </c>
      <c r="D9783" t="inlineStr">
        <is>
          <t>1345-04-05</t>
        </is>
      </c>
    </row>
    <row r="9784">
      <c r="A9784" s="1" t="n">
        <v>9783</v>
      </c>
      <c r="B9784">
        <f>TEXT(9783, "[$-170000]yyyy-mm-dd")</f>
        <v/>
      </c>
      <c r="C9784">
        <f>TEXT(9783, "[$-060000]yyyy-mm-dd")</f>
        <v/>
      </c>
      <c r="D9784" t="inlineStr">
        <is>
          <t>1345-04-06</t>
        </is>
      </c>
    </row>
    <row r="9785">
      <c r="A9785" s="1" t="n">
        <v>9784</v>
      </c>
      <c r="B9785">
        <f>TEXT(9784, "[$-170000]yyyy-mm-dd")</f>
        <v/>
      </c>
      <c r="C9785">
        <f>TEXT(9784, "[$-060000]yyyy-mm-dd")</f>
        <v/>
      </c>
      <c r="D9785" t="inlineStr">
        <is>
          <t>1345-04-07</t>
        </is>
      </c>
    </row>
    <row r="9786">
      <c r="A9786" s="1" t="n">
        <v>9785</v>
      </c>
      <c r="B9786">
        <f>TEXT(9785, "[$-170000]yyyy-mm-dd")</f>
        <v/>
      </c>
      <c r="C9786">
        <f>TEXT(9785, "[$-060000]yyyy-mm-dd")</f>
        <v/>
      </c>
      <c r="D9786" t="inlineStr">
        <is>
          <t>1345-04-08</t>
        </is>
      </c>
    </row>
    <row r="9787">
      <c r="A9787" s="1" t="n">
        <v>9786</v>
      </c>
      <c r="B9787">
        <f>TEXT(9786, "[$-170000]yyyy-mm-dd")</f>
        <v/>
      </c>
      <c r="C9787">
        <f>TEXT(9786, "[$-060000]yyyy-mm-dd")</f>
        <v/>
      </c>
      <c r="D9787" t="inlineStr">
        <is>
          <t>1345-04-09</t>
        </is>
      </c>
    </row>
    <row r="9788">
      <c r="A9788" s="1" t="n">
        <v>9787</v>
      </c>
      <c r="B9788">
        <f>TEXT(9787, "[$-170000]yyyy-mm-dd")</f>
        <v/>
      </c>
      <c r="C9788">
        <f>TEXT(9787, "[$-060000]yyyy-mm-dd")</f>
        <v/>
      </c>
      <c r="D9788" t="inlineStr">
        <is>
          <t>1345-04-10</t>
        </is>
      </c>
    </row>
    <row r="9789">
      <c r="A9789" s="1" t="n">
        <v>9788</v>
      </c>
      <c r="B9789">
        <f>TEXT(9788, "[$-170000]yyyy-mm-dd")</f>
        <v/>
      </c>
      <c r="C9789">
        <f>TEXT(9788, "[$-060000]yyyy-mm-dd")</f>
        <v/>
      </c>
      <c r="D9789" t="inlineStr">
        <is>
          <t>1345-04-11</t>
        </is>
      </c>
    </row>
    <row r="9790">
      <c r="A9790" s="1" t="n">
        <v>9789</v>
      </c>
      <c r="B9790">
        <f>TEXT(9789, "[$-170000]yyyy-mm-dd")</f>
        <v/>
      </c>
      <c r="C9790">
        <f>TEXT(9789, "[$-060000]yyyy-mm-dd")</f>
        <v/>
      </c>
      <c r="D9790" t="inlineStr">
        <is>
          <t>1345-04-12</t>
        </is>
      </c>
    </row>
    <row r="9791">
      <c r="A9791" s="1" t="n">
        <v>9790</v>
      </c>
      <c r="B9791">
        <f>TEXT(9790, "[$-170000]yyyy-mm-dd")</f>
        <v/>
      </c>
      <c r="C9791">
        <f>TEXT(9790, "[$-060000]yyyy-mm-dd")</f>
        <v/>
      </c>
      <c r="D9791" t="inlineStr">
        <is>
          <t>1345-04-13</t>
        </is>
      </c>
    </row>
    <row r="9792">
      <c r="A9792" s="1" t="n">
        <v>9791</v>
      </c>
      <c r="B9792">
        <f>TEXT(9791, "[$-170000]yyyy-mm-dd")</f>
        <v/>
      </c>
      <c r="C9792">
        <f>TEXT(9791, "[$-060000]yyyy-mm-dd")</f>
        <v/>
      </c>
      <c r="D9792" t="inlineStr">
        <is>
          <t>1345-04-14</t>
        </is>
      </c>
    </row>
    <row r="9793">
      <c r="A9793" s="1" t="n">
        <v>9792</v>
      </c>
      <c r="B9793">
        <f>TEXT(9792, "[$-170000]yyyy-mm-dd")</f>
        <v/>
      </c>
      <c r="C9793">
        <f>TEXT(9792, "[$-060000]yyyy-mm-dd")</f>
        <v/>
      </c>
      <c r="D9793" t="inlineStr">
        <is>
          <t>1345-04-15</t>
        </is>
      </c>
    </row>
    <row r="9794">
      <c r="A9794" s="1" t="n">
        <v>9793</v>
      </c>
      <c r="B9794">
        <f>TEXT(9793, "[$-170000]yyyy-mm-dd")</f>
        <v/>
      </c>
      <c r="C9794">
        <f>TEXT(9793, "[$-060000]yyyy-mm-dd")</f>
        <v/>
      </c>
      <c r="D9794" t="inlineStr">
        <is>
          <t>1345-04-16</t>
        </is>
      </c>
    </row>
    <row r="9795">
      <c r="A9795" s="1" t="n">
        <v>9794</v>
      </c>
      <c r="B9795">
        <f>TEXT(9794, "[$-170000]yyyy-mm-dd")</f>
        <v/>
      </c>
      <c r="C9795">
        <f>TEXT(9794, "[$-060000]yyyy-mm-dd")</f>
        <v/>
      </c>
      <c r="D9795" t="inlineStr">
        <is>
          <t>1345-04-17</t>
        </is>
      </c>
    </row>
    <row r="9796">
      <c r="A9796" s="1" t="n">
        <v>9795</v>
      </c>
      <c r="B9796">
        <f>TEXT(9795, "[$-170000]yyyy-mm-dd")</f>
        <v/>
      </c>
      <c r="C9796">
        <f>TEXT(9795, "[$-060000]yyyy-mm-dd")</f>
        <v/>
      </c>
      <c r="D9796" t="inlineStr">
        <is>
          <t>1345-04-18</t>
        </is>
      </c>
    </row>
    <row r="9797">
      <c r="A9797" s="1" t="n">
        <v>9796</v>
      </c>
      <c r="B9797">
        <f>TEXT(9796, "[$-170000]yyyy-mm-dd")</f>
        <v/>
      </c>
      <c r="C9797">
        <f>TEXT(9796, "[$-060000]yyyy-mm-dd")</f>
        <v/>
      </c>
      <c r="D9797" t="inlineStr">
        <is>
          <t>1345-04-19</t>
        </is>
      </c>
    </row>
    <row r="9798">
      <c r="A9798" s="1" t="n">
        <v>9797</v>
      </c>
      <c r="B9798">
        <f>TEXT(9797, "[$-170000]yyyy-mm-dd")</f>
        <v/>
      </c>
      <c r="C9798">
        <f>TEXT(9797, "[$-060000]yyyy-mm-dd")</f>
        <v/>
      </c>
      <c r="D9798" t="inlineStr">
        <is>
          <t>1345-04-20</t>
        </is>
      </c>
    </row>
    <row r="9799">
      <c r="A9799" s="1" t="n">
        <v>9798</v>
      </c>
      <c r="B9799">
        <f>TEXT(9798, "[$-170000]yyyy-mm-dd")</f>
        <v/>
      </c>
      <c r="C9799">
        <f>TEXT(9798, "[$-060000]yyyy-mm-dd")</f>
        <v/>
      </c>
      <c r="D9799" t="inlineStr">
        <is>
          <t>1345-04-21</t>
        </is>
      </c>
    </row>
    <row r="9800">
      <c r="A9800" s="1" t="n">
        <v>9799</v>
      </c>
      <c r="B9800">
        <f>TEXT(9799, "[$-170000]yyyy-mm-dd")</f>
        <v/>
      </c>
      <c r="C9800">
        <f>TEXT(9799, "[$-060000]yyyy-mm-dd")</f>
        <v/>
      </c>
      <c r="D9800" t="inlineStr">
        <is>
          <t>1345-04-22</t>
        </is>
      </c>
    </row>
    <row r="9801">
      <c r="A9801" s="1" t="n">
        <v>9800</v>
      </c>
      <c r="B9801">
        <f>TEXT(9800, "[$-170000]yyyy-mm-dd")</f>
        <v/>
      </c>
      <c r="C9801">
        <f>TEXT(9800, "[$-060000]yyyy-mm-dd")</f>
        <v/>
      </c>
      <c r="D9801" t="inlineStr">
        <is>
          <t>1345-04-23</t>
        </is>
      </c>
    </row>
    <row r="9802">
      <c r="A9802" s="1" t="n">
        <v>9801</v>
      </c>
      <c r="B9802">
        <f>TEXT(9801, "[$-170000]yyyy-mm-dd")</f>
        <v/>
      </c>
      <c r="C9802">
        <f>TEXT(9801, "[$-060000]yyyy-mm-dd")</f>
        <v/>
      </c>
      <c r="D9802" t="inlineStr">
        <is>
          <t>1345-04-24</t>
        </is>
      </c>
    </row>
    <row r="9803">
      <c r="A9803" s="1" t="n">
        <v>9802</v>
      </c>
      <c r="B9803">
        <f>TEXT(9802, "[$-170000]yyyy-mm-dd")</f>
        <v/>
      </c>
      <c r="C9803">
        <f>TEXT(9802, "[$-060000]yyyy-mm-dd")</f>
        <v/>
      </c>
      <c r="D9803" t="inlineStr">
        <is>
          <t>1345-04-25</t>
        </is>
      </c>
    </row>
    <row r="9804">
      <c r="A9804" s="1" t="n">
        <v>9803</v>
      </c>
      <c r="B9804">
        <f>TEXT(9803, "[$-170000]yyyy-mm-dd")</f>
        <v/>
      </c>
      <c r="C9804">
        <f>TEXT(9803, "[$-060000]yyyy-mm-dd")</f>
        <v/>
      </c>
      <c r="D9804" t="inlineStr">
        <is>
          <t>1345-04-26</t>
        </is>
      </c>
    </row>
    <row r="9805">
      <c r="A9805" s="1" t="n">
        <v>9804</v>
      </c>
      <c r="B9805">
        <f>TEXT(9804, "[$-170000]yyyy-mm-dd")</f>
        <v/>
      </c>
      <c r="C9805">
        <f>TEXT(9804, "[$-060000]yyyy-mm-dd")</f>
        <v/>
      </c>
      <c r="D9805" t="inlineStr">
        <is>
          <t>1345-04-27</t>
        </is>
      </c>
    </row>
    <row r="9806">
      <c r="A9806" s="1" t="n">
        <v>9805</v>
      </c>
      <c r="B9806">
        <f>TEXT(9805, "[$-170000]yyyy-mm-dd")</f>
        <v/>
      </c>
      <c r="C9806">
        <f>TEXT(9805, "[$-060000]yyyy-mm-dd")</f>
        <v/>
      </c>
      <c r="D9806" t="inlineStr">
        <is>
          <t>1345-04-28</t>
        </is>
      </c>
    </row>
    <row r="9807">
      <c r="A9807" s="1" t="n">
        <v>9806</v>
      </c>
      <c r="B9807">
        <f>TEXT(9806, "[$-170000]yyyy-mm-dd")</f>
        <v/>
      </c>
      <c r="C9807">
        <f>TEXT(9806, "[$-060000]yyyy-mm-dd")</f>
        <v/>
      </c>
      <c r="D9807" t="inlineStr">
        <is>
          <t>1345-04-29</t>
        </is>
      </c>
    </row>
    <row r="9808">
      <c r="A9808" s="1" t="n">
        <v>9807</v>
      </c>
      <c r="B9808">
        <f>TEXT(9807, "[$-170000]yyyy-mm-dd")</f>
        <v/>
      </c>
      <c r="C9808">
        <f>TEXT(9807, "[$-060000]yyyy-mm-dd")</f>
        <v/>
      </c>
      <c r="D9808" t="inlineStr">
        <is>
          <t>1345-05-01</t>
        </is>
      </c>
    </row>
    <row r="9809">
      <c r="A9809" s="1" t="n">
        <v>9808</v>
      </c>
      <c r="B9809">
        <f>TEXT(9808, "[$-170000]yyyy-mm-dd")</f>
        <v/>
      </c>
      <c r="C9809">
        <f>TEXT(9808, "[$-060000]yyyy-mm-dd")</f>
        <v/>
      </c>
      <c r="D9809" t="inlineStr">
        <is>
          <t>1345-05-02</t>
        </is>
      </c>
    </row>
    <row r="9810">
      <c r="A9810" s="1" t="n">
        <v>9809</v>
      </c>
      <c r="B9810">
        <f>TEXT(9809, "[$-170000]yyyy-mm-dd")</f>
        <v/>
      </c>
      <c r="C9810">
        <f>TEXT(9809, "[$-060000]yyyy-mm-dd")</f>
        <v/>
      </c>
      <c r="D9810" t="inlineStr">
        <is>
          <t>1345-05-03</t>
        </is>
      </c>
    </row>
    <row r="9811">
      <c r="A9811" s="1" t="n">
        <v>9810</v>
      </c>
      <c r="B9811">
        <f>TEXT(9810, "[$-170000]yyyy-mm-dd")</f>
        <v/>
      </c>
      <c r="C9811">
        <f>TEXT(9810, "[$-060000]yyyy-mm-dd")</f>
        <v/>
      </c>
      <c r="D9811" t="inlineStr">
        <is>
          <t>1345-05-04</t>
        </is>
      </c>
    </row>
    <row r="9812">
      <c r="A9812" s="1" t="n">
        <v>9811</v>
      </c>
      <c r="B9812">
        <f>TEXT(9811, "[$-170000]yyyy-mm-dd")</f>
        <v/>
      </c>
      <c r="C9812">
        <f>TEXT(9811, "[$-060000]yyyy-mm-dd")</f>
        <v/>
      </c>
      <c r="D9812" t="inlineStr">
        <is>
          <t>1345-05-05</t>
        </is>
      </c>
    </row>
    <row r="9813">
      <c r="A9813" s="1" t="n">
        <v>9812</v>
      </c>
      <c r="B9813">
        <f>TEXT(9812, "[$-170000]yyyy-mm-dd")</f>
        <v/>
      </c>
      <c r="C9813">
        <f>TEXT(9812, "[$-060000]yyyy-mm-dd")</f>
        <v/>
      </c>
      <c r="D9813" t="inlineStr">
        <is>
          <t>1345-05-06</t>
        </is>
      </c>
    </row>
    <row r="9814">
      <c r="A9814" s="1" t="n">
        <v>9813</v>
      </c>
      <c r="B9814">
        <f>TEXT(9813, "[$-170000]yyyy-mm-dd")</f>
        <v/>
      </c>
      <c r="C9814">
        <f>TEXT(9813, "[$-060000]yyyy-mm-dd")</f>
        <v/>
      </c>
      <c r="D9814" t="inlineStr">
        <is>
          <t>1345-05-07</t>
        </is>
      </c>
    </row>
    <row r="9815">
      <c r="A9815" s="1" t="n">
        <v>9814</v>
      </c>
      <c r="B9815">
        <f>TEXT(9814, "[$-170000]yyyy-mm-dd")</f>
        <v/>
      </c>
      <c r="C9815">
        <f>TEXT(9814, "[$-060000]yyyy-mm-dd")</f>
        <v/>
      </c>
      <c r="D9815" t="inlineStr">
        <is>
          <t>1345-05-08</t>
        </is>
      </c>
    </row>
    <row r="9816">
      <c r="A9816" s="1" t="n">
        <v>9815</v>
      </c>
      <c r="B9816">
        <f>TEXT(9815, "[$-170000]yyyy-mm-dd")</f>
        <v/>
      </c>
      <c r="C9816">
        <f>TEXT(9815, "[$-060000]yyyy-mm-dd")</f>
        <v/>
      </c>
      <c r="D9816" t="inlineStr">
        <is>
          <t>1345-05-09</t>
        </is>
      </c>
    </row>
    <row r="9817">
      <c r="A9817" s="1" t="n">
        <v>9816</v>
      </c>
      <c r="B9817">
        <f>TEXT(9816, "[$-170000]yyyy-mm-dd")</f>
        <v/>
      </c>
      <c r="C9817">
        <f>TEXT(9816, "[$-060000]yyyy-mm-dd")</f>
        <v/>
      </c>
      <c r="D9817" t="inlineStr">
        <is>
          <t>1345-05-10</t>
        </is>
      </c>
    </row>
    <row r="9818">
      <c r="A9818" s="1" t="n">
        <v>9817</v>
      </c>
      <c r="B9818">
        <f>TEXT(9817, "[$-170000]yyyy-mm-dd")</f>
        <v/>
      </c>
      <c r="C9818">
        <f>TEXT(9817, "[$-060000]yyyy-mm-dd")</f>
        <v/>
      </c>
      <c r="D9818" t="inlineStr">
        <is>
          <t>1345-05-11</t>
        </is>
      </c>
    </row>
    <row r="9819">
      <c r="A9819" s="1" t="n">
        <v>9818</v>
      </c>
      <c r="B9819">
        <f>TEXT(9818, "[$-170000]yyyy-mm-dd")</f>
        <v/>
      </c>
      <c r="C9819">
        <f>TEXT(9818, "[$-060000]yyyy-mm-dd")</f>
        <v/>
      </c>
      <c r="D9819" t="inlineStr">
        <is>
          <t>1345-05-12</t>
        </is>
      </c>
    </row>
    <row r="9820">
      <c r="A9820" s="1" t="n">
        <v>9819</v>
      </c>
      <c r="B9820">
        <f>TEXT(9819, "[$-170000]yyyy-mm-dd")</f>
        <v/>
      </c>
      <c r="C9820">
        <f>TEXT(9819, "[$-060000]yyyy-mm-dd")</f>
        <v/>
      </c>
      <c r="D9820" t="inlineStr">
        <is>
          <t>1345-05-13</t>
        </is>
      </c>
    </row>
    <row r="9821">
      <c r="A9821" s="1" t="n">
        <v>9820</v>
      </c>
      <c r="B9821">
        <f>TEXT(9820, "[$-170000]yyyy-mm-dd")</f>
        <v/>
      </c>
      <c r="C9821">
        <f>TEXT(9820, "[$-060000]yyyy-mm-dd")</f>
        <v/>
      </c>
      <c r="D9821" t="inlineStr">
        <is>
          <t>1345-05-14</t>
        </is>
      </c>
    </row>
    <row r="9822">
      <c r="A9822" s="1" t="n">
        <v>9821</v>
      </c>
      <c r="B9822">
        <f>TEXT(9821, "[$-170000]yyyy-mm-dd")</f>
        <v/>
      </c>
      <c r="C9822">
        <f>TEXT(9821, "[$-060000]yyyy-mm-dd")</f>
        <v/>
      </c>
      <c r="D9822" t="inlineStr">
        <is>
          <t>1345-05-15</t>
        </is>
      </c>
    </row>
    <row r="9823">
      <c r="A9823" s="1" t="n">
        <v>9822</v>
      </c>
      <c r="B9823">
        <f>TEXT(9822, "[$-170000]yyyy-mm-dd")</f>
        <v/>
      </c>
      <c r="C9823">
        <f>TEXT(9822, "[$-060000]yyyy-mm-dd")</f>
        <v/>
      </c>
      <c r="D9823" t="inlineStr">
        <is>
          <t>1345-05-16</t>
        </is>
      </c>
    </row>
    <row r="9824">
      <c r="A9824" s="1" t="n">
        <v>9823</v>
      </c>
      <c r="B9824">
        <f>TEXT(9823, "[$-170000]yyyy-mm-dd")</f>
        <v/>
      </c>
      <c r="C9824">
        <f>TEXT(9823, "[$-060000]yyyy-mm-dd")</f>
        <v/>
      </c>
      <c r="D9824" t="inlineStr">
        <is>
          <t>1345-05-17</t>
        </is>
      </c>
    </row>
    <row r="9825">
      <c r="A9825" s="1" t="n">
        <v>9824</v>
      </c>
      <c r="B9825">
        <f>TEXT(9824, "[$-170000]yyyy-mm-dd")</f>
        <v/>
      </c>
      <c r="C9825">
        <f>TEXT(9824, "[$-060000]yyyy-mm-dd")</f>
        <v/>
      </c>
      <c r="D9825" t="inlineStr">
        <is>
          <t>1345-05-18</t>
        </is>
      </c>
    </row>
    <row r="9826">
      <c r="A9826" s="1" t="n">
        <v>9825</v>
      </c>
      <c r="B9826">
        <f>TEXT(9825, "[$-170000]yyyy-mm-dd")</f>
        <v/>
      </c>
      <c r="C9826">
        <f>TEXT(9825, "[$-060000]yyyy-mm-dd")</f>
        <v/>
      </c>
      <c r="D9826" t="inlineStr">
        <is>
          <t>1345-05-19</t>
        </is>
      </c>
    </row>
    <row r="9827">
      <c r="A9827" s="1" t="n">
        <v>9826</v>
      </c>
      <c r="B9827">
        <f>TEXT(9826, "[$-170000]yyyy-mm-dd")</f>
        <v/>
      </c>
      <c r="C9827">
        <f>TEXT(9826, "[$-060000]yyyy-mm-dd")</f>
        <v/>
      </c>
      <c r="D9827" t="inlineStr">
        <is>
          <t>1345-05-20</t>
        </is>
      </c>
    </row>
    <row r="9828">
      <c r="A9828" s="1" t="n">
        <v>9827</v>
      </c>
      <c r="B9828">
        <f>TEXT(9827, "[$-170000]yyyy-mm-dd")</f>
        <v/>
      </c>
      <c r="C9828">
        <f>TEXT(9827, "[$-060000]yyyy-mm-dd")</f>
        <v/>
      </c>
      <c r="D9828" t="inlineStr">
        <is>
          <t>1345-05-21</t>
        </is>
      </c>
    </row>
    <row r="9829">
      <c r="A9829" s="1" t="n">
        <v>9828</v>
      </c>
      <c r="B9829">
        <f>TEXT(9828, "[$-170000]yyyy-mm-dd")</f>
        <v/>
      </c>
      <c r="C9829">
        <f>TEXT(9828, "[$-060000]yyyy-mm-dd")</f>
        <v/>
      </c>
      <c r="D9829" t="inlineStr">
        <is>
          <t>1345-05-22</t>
        </is>
      </c>
    </row>
    <row r="9830">
      <c r="A9830" s="1" t="n">
        <v>9829</v>
      </c>
      <c r="B9830">
        <f>TEXT(9829, "[$-170000]yyyy-mm-dd")</f>
        <v/>
      </c>
      <c r="C9830">
        <f>TEXT(9829, "[$-060000]yyyy-mm-dd")</f>
        <v/>
      </c>
      <c r="D9830" t="inlineStr">
        <is>
          <t>1345-05-23</t>
        </is>
      </c>
    </row>
    <row r="9831">
      <c r="A9831" s="1" t="n">
        <v>9830</v>
      </c>
      <c r="B9831">
        <f>TEXT(9830, "[$-170000]yyyy-mm-dd")</f>
        <v/>
      </c>
      <c r="C9831">
        <f>TEXT(9830, "[$-060000]yyyy-mm-dd")</f>
        <v/>
      </c>
      <c r="D9831" t="inlineStr">
        <is>
          <t>1345-05-24</t>
        </is>
      </c>
    </row>
    <row r="9832">
      <c r="A9832" s="1" t="n">
        <v>9831</v>
      </c>
      <c r="B9832">
        <f>TEXT(9831, "[$-170000]yyyy-mm-dd")</f>
        <v/>
      </c>
      <c r="C9832">
        <f>TEXT(9831, "[$-060000]yyyy-mm-dd")</f>
        <v/>
      </c>
      <c r="D9832" t="inlineStr">
        <is>
          <t>1345-05-25</t>
        </is>
      </c>
    </row>
    <row r="9833">
      <c r="A9833" s="1" t="n">
        <v>9832</v>
      </c>
      <c r="B9833">
        <f>TEXT(9832, "[$-170000]yyyy-mm-dd")</f>
        <v/>
      </c>
      <c r="C9833">
        <f>TEXT(9832, "[$-060000]yyyy-mm-dd")</f>
        <v/>
      </c>
      <c r="D9833" t="inlineStr">
        <is>
          <t>1345-05-26</t>
        </is>
      </c>
    </row>
    <row r="9834">
      <c r="A9834" s="1" t="n">
        <v>9833</v>
      </c>
      <c r="B9834">
        <f>TEXT(9833, "[$-170000]yyyy-mm-dd")</f>
        <v/>
      </c>
      <c r="C9834">
        <f>TEXT(9833, "[$-060000]yyyy-mm-dd")</f>
        <v/>
      </c>
      <c r="D9834" t="inlineStr">
        <is>
          <t>1345-05-27</t>
        </is>
      </c>
    </row>
    <row r="9835">
      <c r="A9835" s="1" t="n">
        <v>9834</v>
      </c>
      <c r="B9835">
        <f>TEXT(9834, "[$-170000]yyyy-mm-dd")</f>
        <v/>
      </c>
      <c r="C9835">
        <f>TEXT(9834, "[$-060000]yyyy-mm-dd")</f>
        <v/>
      </c>
      <c r="D9835" t="inlineStr">
        <is>
          <t>1345-05-28</t>
        </is>
      </c>
    </row>
    <row r="9836">
      <c r="A9836" s="1" t="n">
        <v>9835</v>
      </c>
      <c r="B9836">
        <f>TEXT(9835, "[$-170000]yyyy-mm-dd")</f>
        <v/>
      </c>
      <c r="C9836">
        <f>TEXT(9835, "[$-060000]yyyy-mm-dd")</f>
        <v/>
      </c>
      <c r="D9836" t="inlineStr">
        <is>
          <t>1345-05-29</t>
        </is>
      </c>
    </row>
    <row r="9837">
      <c r="A9837" s="1" t="n">
        <v>9836</v>
      </c>
      <c r="B9837">
        <f>TEXT(9836, "[$-170000]yyyy-mm-dd")</f>
        <v/>
      </c>
      <c r="C9837">
        <f>TEXT(9836, "[$-060000]yyyy-mm-dd")</f>
        <v/>
      </c>
      <c r="D9837" t="inlineStr">
        <is>
          <t>1345-05-30</t>
        </is>
      </c>
    </row>
    <row r="9838">
      <c r="A9838" s="1" t="n">
        <v>9837</v>
      </c>
      <c r="B9838">
        <f>TEXT(9837, "[$-170000]yyyy-mm-dd")</f>
        <v/>
      </c>
      <c r="C9838">
        <f>TEXT(9837, "[$-060000]yyyy-mm-dd")</f>
        <v/>
      </c>
      <c r="D9838" t="inlineStr">
        <is>
          <t>1345-06-01</t>
        </is>
      </c>
    </row>
    <row r="9839">
      <c r="A9839" s="1" t="n">
        <v>9838</v>
      </c>
      <c r="B9839">
        <f>TEXT(9838, "[$-170000]yyyy-mm-dd")</f>
        <v/>
      </c>
      <c r="C9839">
        <f>TEXT(9838, "[$-060000]yyyy-mm-dd")</f>
        <v/>
      </c>
      <c r="D9839" t="inlineStr">
        <is>
          <t>1345-06-02</t>
        </is>
      </c>
    </row>
    <row r="9840">
      <c r="A9840" s="1" t="n">
        <v>9839</v>
      </c>
      <c r="B9840">
        <f>TEXT(9839, "[$-170000]yyyy-mm-dd")</f>
        <v/>
      </c>
      <c r="C9840">
        <f>TEXT(9839, "[$-060000]yyyy-mm-dd")</f>
        <v/>
      </c>
      <c r="D9840" t="inlineStr">
        <is>
          <t>1345-06-03</t>
        </is>
      </c>
    </row>
    <row r="9841">
      <c r="A9841" s="1" t="n">
        <v>9840</v>
      </c>
      <c r="B9841">
        <f>TEXT(9840, "[$-170000]yyyy-mm-dd")</f>
        <v/>
      </c>
      <c r="C9841">
        <f>TEXT(9840, "[$-060000]yyyy-mm-dd")</f>
        <v/>
      </c>
      <c r="D9841" t="inlineStr">
        <is>
          <t>1345-06-04</t>
        </is>
      </c>
    </row>
    <row r="9842">
      <c r="A9842" s="1" t="n">
        <v>9841</v>
      </c>
      <c r="B9842">
        <f>TEXT(9841, "[$-170000]yyyy-mm-dd")</f>
        <v/>
      </c>
      <c r="C9842">
        <f>TEXT(9841, "[$-060000]yyyy-mm-dd")</f>
        <v/>
      </c>
      <c r="D9842" t="inlineStr">
        <is>
          <t>1345-06-05</t>
        </is>
      </c>
    </row>
    <row r="9843">
      <c r="A9843" s="1" t="n">
        <v>9842</v>
      </c>
      <c r="B9843">
        <f>TEXT(9842, "[$-170000]yyyy-mm-dd")</f>
        <v/>
      </c>
      <c r="C9843">
        <f>TEXT(9842, "[$-060000]yyyy-mm-dd")</f>
        <v/>
      </c>
      <c r="D9843" t="inlineStr">
        <is>
          <t>1345-06-06</t>
        </is>
      </c>
    </row>
    <row r="9844">
      <c r="A9844" s="1" t="n">
        <v>9843</v>
      </c>
      <c r="B9844">
        <f>TEXT(9843, "[$-170000]yyyy-mm-dd")</f>
        <v/>
      </c>
      <c r="C9844">
        <f>TEXT(9843, "[$-060000]yyyy-mm-dd")</f>
        <v/>
      </c>
      <c r="D9844" t="inlineStr">
        <is>
          <t>1345-06-07</t>
        </is>
      </c>
    </row>
    <row r="9845">
      <c r="A9845" s="1" t="n">
        <v>9844</v>
      </c>
      <c r="B9845">
        <f>TEXT(9844, "[$-170000]yyyy-mm-dd")</f>
        <v/>
      </c>
      <c r="C9845">
        <f>TEXT(9844, "[$-060000]yyyy-mm-dd")</f>
        <v/>
      </c>
      <c r="D9845" t="inlineStr">
        <is>
          <t>1345-06-08</t>
        </is>
      </c>
    </row>
    <row r="9846">
      <c r="A9846" s="1" t="n">
        <v>9845</v>
      </c>
      <c r="B9846">
        <f>TEXT(9845, "[$-170000]yyyy-mm-dd")</f>
        <v/>
      </c>
      <c r="C9846">
        <f>TEXT(9845, "[$-060000]yyyy-mm-dd")</f>
        <v/>
      </c>
      <c r="D9846" t="inlineStr">
        <is>
          <t>1345-06-09</t>
        </is>
      </c>
    </row>
    <row r="9847">
      <c r="A9847" s="1" t="n">
        <v>9846</v>
      </c>
      <c r="B9847">
        <f>TEXT(9846, "[$-170000]yyyy-mm-dd")</f>
        <v/>
      </c>
      <c r="C9847">
        <f>TEXT(9846, "[$-060000]yyyy-mm-dd")</f>
        <v/>
      </c>
      <c r="D9847" t="inlineStr">
        <is>
          <t>1345-06-10</t>
        </is>
      </c>
    </row>
    <row r="9848">
      <c r="A9848" s="1" t="n">
        <v>9847</v>
      </c>
      <c r="B9848">
        <f>TEXT(9847, "[$-170000]yyyy-mm-dd")</f>
        <v/>
      </c>
      <c r="C9848">
        <f>TEXT(9847, "[$-060000]yyyy-mm-dd")</f>
        <v/>
      </c>
      <c r="D9848" t="inlineStr">
        <is>
          <t>1345-06-11</t>
        </is>
      </c>
    </row>
    <row r="9849">
      <c r="A9849" s="1" t="n">
        <v>9848</v>
      </c>
      <c r="B9849">
        <f>TEXT(9848, "[$-170000]yyyy-mm-dd")</f>
        <v/>
      </c>
      <c r="C9849">
        <f>TEXT(9848, "[$-060000]yyyy-mm-dd")</f>
        <v/>
      </c>
      <c r="D9849" t="inlineStr">
        <is>
          <t>1345-06-12</t>
        </is>
      </c>
    </row>
    <row r="9850">
      <c r="A9850" s="1" t="n">
        <v>9849</v>
      </c>
      <c r="B9850">
        <f>TEXT(9849, "[$-170000]yyyy-mm-dd")</f>
        <v/>
      </c>
      <c r="C9850">
        <f>TEXT(9849, "[$-060000]yyyy-mm-dd")</f>
        <v/>
      </c>
      <c r="D9850" t="inlineStr">
        <is>
          <t>1345-06-13</t>
        </is>
      </c>
    </row>
    <row r="9851">
      <c r="A9851" s="1" t="n">
        <v>9850</v>
      </c>
      <c r="B9851">
        <f>TEXT(9850, "[$-170000]yyyy-mm-dd")</f>
        <v/>
      </c>
      <c r="C9851">
        <f>TEXT(9850, "[$-060000]yyyy-mm-dd")</f>
        <v/>
      </c>
      <c r="D9851" t="inlineStr">
        <is>
          <t>1345-06-14</t>
        </is>
      </c>
    </row>
    <row r="9852">
      <c r="A9852" s="1" t="n">
        <v>9851</v>
      </c>
      <c r="B9852">
        <f>TEXT(9851, "[$-170000]yyyy-mm-dd")</f>
        <v/>
      </c>
      <c r="C9852">
        <f>TEXT(9851, "[$-060000]yyyy-mm-dd")</f>
        <v/>
      </c>
      <c r="D9852" t="inlineStr">
        <is>
          <t>1345-06-15</t>
        </is>
      </c>
    </row>
    <row r="9853">
      <c r="A9853" s="1" t="n">
        <v>9852</v>
      </c>
      <c r="B9853">
        <f>TEXT(9852, "[$-170000]yyyy-mm-dd")</f>
        <v/>
      </c>
      <c r="C9853">
        <f>TEXT(9852, "[$-060000]yyyy-mm-dd")</f>
        <v/>
      </c>
      <c r="D9853" t="inlineStr">
        <is>
          <t>1345-06-16</t>
        </is>
      </c>
    </row>
    <row r="9854">
      <c r="A9854" s="1" t="n">
        <v>9853</v>
      </c>
      <c r="B9854">
        <f>TEXT(9853, "[$-170000]yyyy-mm-dd")</f>
        <v/>
      </c>
      <c r="C9854">
        <f>TEXT(9853, "[$-060000]yyyy-mm-dd")</f>
        <v/>
      </c>
      <c r="D9854" t="inlineStr">
        <is>
          <t>1345-06-17</t>
        </is>
      </c>
    </row>
    <row r="9855">
      <c r="A9855" s="1" t="n">
        <v>9854</v>
      </c>
      <c r="B9855">
        <f>TEXT(9854, "[$-170000]yyyy-mm-dd")</f>
        <v/>
      </c>
      <c r="C9855">
        <f>TEXT(9854, "[$-060000]yyyy-mm-dd")</f>
        <v/>
      </c>
      <c r="D9855" t="inlineStr">
        <is>
          <t>1345-06-18</t>
        </is>
      </c>
    </row>
    <row r="9856">
      <c r="A9856" s="1" t="n">
        <v>9855</v>
      </c>
      <c r="B9856">
        <f>TEXT(9855, "[$-170000]yyyy-mm-dd")</f>
        <v/>
      </c>
      <c r="C9856">
        <f>TEXT(9855, "[$-060000]yyyy-mm-dd")</f>
        <v/>
      </c>
      <c r="D9856" t="inlineStr">
        <is>
          <t>1345-06-19</t>
        </is>
      </c>
    </row>
    <row r="9857">
      <c r="A9857" s="1" t="n">
        <v>9856</v>
      </c>
      <c r="B9857">
        <f>TEXT(9856, "[$-170000]yyyy-mm-dd")</f>
        <v/>
      </c>
      <c r="C9857">
        <f>TEXT(9856, "[$-060000]yyyy-mm-dd")</f>
        <v/>
      </c>
      <c r="D9857" t="inlineStr">
        <is>
          <t>1345-06-20</t>
        </is>
      </c>
    </row>
    <row r="9858">
      <c r="A9858" s="1" t="n">
        <v>9857</v>
      </c>
      <c r="B9858">
        <f>TEXT(9857, "[$-170000]yyyy-mm-dd")</f>
        <v/>
      </c>
      <c r="C9858">
        <f>TEXT(9857, "[$-060000]yyyy-mm-dd")</f>
        <v/>
      </c>
      <c r="D9858" t="inlineStr">
        <is>
          <t>1345-06-21</t>
        </is>
      </c>
    </row>
    <row r="9859">
      <c r="A9859" s="1" t="n">
        <v>9858</v>
      </c>
      <c r="B9859">
        <f>TEXT(9858, "[$-170000]yyyy-mm-dd")</f>
        <v/>
      </c>
      <c r="C9859">
        <f>TEXT(9858, "[$-060000]yyyy-mm-dd")</f>
        <v/>
      </c>
      <c r="D9859" t="inlineStr">
        <is>
          <t>1345-06-22</t>
        </is>
      </c>
    </row>
    <row r="9860">
      <c r="A9860" s="1" t="n">
        <v>9859</v>
      </c>
      <c r="B9860">
        <f>TEXT(9859, "[$-170000]yyyy-mm-dd")</f>
        <v/>
      </c>
      <c r="C9860">
        <f>TEXT(9859, "[$-060000]yyyy-mm-dd")</f>
        <v/>
      </c>
      <c r="D9860" t="inlineStr">
        <is>
          <t>1345-06-23</t>
        </is>
      </c>
    </row>
    <row r="9861">
      <c r="A9861" s="1" t="n">
        <v>9860</v>
      </c>
      <c r="B9861">
        <f>TEXT(9860, "[$-170000]yyyy-mm-dd")</f>
        <v/>
      </c>
      <c r="C9861">
        <f>TEXT(9860, "[$-060000]yyyy-mm-dd")</f>
        <v/>
      </c>
      <c r="D9861" t="inlineStr">
        <is>
          <t>1345-06-24</t>
        </is>
      </c>
    </row>
    <row r="9862">
      <c r="A9862" s="1" t="n">
        <v>9861</v>
      </c>
      <c r="B9862">
        <f>TEXT(9861, "[$-170000]yyyy-mm-dd")</f>
        <v/>
      </c>
      <c r="C9862">
        <f>TEXT(9861, "[$-060000]yyyy-mm-dd")</f>
        <v/>
      </c>
      <c r="D9862" t="inlineStr">
        <is>
          <t>1345-06-25</t>
        </is>
      </c>
    </row>
    <row r="9863">
      <c r="A9863" s="1" t="n">
        <v>9862</v>
      </c>
      <c r="B9863">
        <f>TEXT(9862, "[$-170000]yyyy-mm-dd")</f>
        <v/>
      </c>
      <c r="C9863">
        <f>TEXT(9862, "[$-060000]yyyy-mm-dd")</f>
        <v/>
      </c>
      <c r="D9863" t="inlineStr">
        <is>
          <t>1345-06-26</t>
        </is>
      </c>
    </row>
    <row r="9864">
      <c r="A9864" s="1" t="n">
        <v>9863</v>
      </c>
      <c r="B9864">
        <f>TEXT(9863, "[$-170000]yyyy-mm-dd")</f>
        <v/>
      </c>
      <c r="C9864">
        <f>TEXT(9863, "[$-060000]yyyy-mm-dd")</f>
        <v/>
      </c>
      <c r="D9864" t="inlineStr">
        <is>
          <t>1345-06-27</t>
        </is>
      </c>
    </row>
    <row r="9865">
      <c r="A9865" s="1" t="n">
        <v>9864</v>
      </c>
      <c r="B9865">
        <f>TEXT(9864, "[$-170000]yyyy-mm-dd")</f>
        <v/>
      </c>
      <c r="C9865">
        <f>TEXT(9864, "[$-060000]yyyy-mm-dd")</f>
        <v/>
      </c>
      <c r="D9865" t="inlineStr">
        <is>
          <t>1345-06-28</t>
        </is>
      </c>
    </row>
    <row r="9866">
      <c r="A9866" s="1" t="n">
        <v>9865</v>
      </c>
      <c r="B9866">
        <f>TEXT(9865, "[$-170000]yyyy-mm-dd")</f>
        <v/>
      </c>
      <c r="C9866">
        <f>TEXT(9865, "[$-060000]yyyy-mm-dd")</f>
        <v/>
      </c>
      <c r="D9866" t="inlineStr">
        <is>
          <t>1345-06-29</t>
        </is>
      </c>
    </row>
    <row r="9867">
      <c r="A9867" s="1" t="n">
        <v>9866</v>
      </c>
      <c r="B9867">
        <f>TEXT(9866, "[$-170000]yyyy-mm-dd")</f>
        <v/>
      </c>
      <c r="C9867">
        <f>TEXT(9866, "[$-060000]yyyy-mm-dd")</f>
        <v/>
      </c>
      <c r="D9867" t="inlineStr">
        <is>
          <t>1345-07-01</t>
        </is>
      </c>
    </row>
    <row r="9868">
      <c r="A9868" s="1" t="n">
        <v>9867</v>
      </c>
      <c r="B9868">
        <f>TEXT(9867, "[$-170000]yyyy-mm-dd")</f>
        <v/>
      </c>
      <c r="C9868">
        <f>TEXT(9867, "[$-060000]yyyy-mm-dd")</f>
        <v/>
      </c>
      <c r="D9868" t="inlineStr">
        <is>
          <t>1345-07-02</t>
        </is>
      </c>
    </row>
    <row r="9869">
      <c r="A9869" s="1" t="n">
        <v>9868</v>
      </c>
      <c r="B9869">
        <f>TEXT(9868, "[$-170000]yyyy-mm-dd")</f>
        <v/>
      </c>
      <c r="C9869">
        <f>TEXT(9868, "[$-060000]yyyy-mm-dd")</f>
        <v/>
      </c>
      <c r="D9869" t="inlineStr">
        <is>
          <t>1345-07-03</t>
        </is>
      </c>
    </row>
    <row r="9870">
      <c r="A9870" s="1" t="n">
        <v>9869</v>
      </c>
      <c r="B9870">
        <f>TEXT(9869, "[$-170000]yyyy-mm-dd")</f>
        <v/>
      </c>
      <c r="C9870">
        <f>TEXT(9869, "[$-060000]yyyy-mm-dd")</f>
        <v/>
      </c>
      <c r="D9870" t="inlineStr">
        <is>
          <t>1345-07-04</t>
        </is>
      </c>
    </row>
    <row r="9871">
      <c r="A9871" s="1" t="n">
        <v>9870</v>
      </c>
      <c r="B9871">
        <f>TEXT(9870, "[$-170000]yyyy-mm-dd")</f>
        <v/>
      </c>
      <c r="C9871">
        <f>TEXT(9870, "[$-060000]yyyy-mm-dd")</f>
        <v/>
      </c>
      <c r="D9871" t="inlineStr">
        <is>
          <t>1345-07-05</t>
        </is>
      </c>
    </row>
    <row r="9872">
      <c r="A9872" s="1" t="n">
        <v>9871</v>
      </c>
      <c r="B9872">
        <f>TEXT(9871, "[$-170000]yyyy-mm-dd")</f>
        <v/>
      </c>
      <c r="C9872">
        <f>TEXT(9871, "[$-060000]yyyy-mm-dd")</f>
        <v/>
      </c>
      <c r="D9872" t="inlineStr">
        <is>
          <t>1345-07-06</t>
        </is>
      </c>
    </row>
    <row r="9873">
      <c r="A9873" s="1" t="n">
        <v>9872</v>
      </c>
      <c r="B9873">
        <f>TEXT(9872, "[$-170000]yyyy-mm-dd")</f>
        <v/>
      </c>
      <c r="C9873">
        <f>TEXT(9872, "[$-060000]yyyy-mm-dd")</f>
        <v/>
      </c>
      <c r="D9873" t="inlineStr">
        <is>
          <t>1345-07-07</t>
        </is>
      </c>
    </row>
    <row r="9874">
      <c r="A9874" s="1" t="n">
        <v>9873</v>
      </c>
      <c r="B9874">
        <f>TEXT(9873, "[$-170000]yyyy-mm-dd")</f>
        <v/>
      </c>
      <c r="C9874">
        <f>TEXT(9873, "[$-060000]yyyy-mm-dd")</f>
        <v/>
      </c>
      <c r="D9874" t="inlineStr">
        <is>
          <t>1345-07-08</t>
        </is>
      </c>
    </row>
    <row r="9875">
      <c r="A9875" s="1" t="n">
        <v>9874</v>
      </c>
      <c r="B9875">
        <f>TEXT(9874, "[$-170000]yyyy-mm-dd")</f>
        <v/>
      </c>
      <c r="C9875">
        <f>TEXT(9874, "[$-060000]yyyy-mm-dd")</f>
        <v/>
      </c>
      <c r="D9875" t="inlineStr">
        <is>
          <t>1345-07-09</t>
        </is>
      </c>
    </row>
    <row r="9876">
      <c r="A9876" s="1" t="n">
        <v>9875</v>
      </c>
      <c r="B9876">
        <f>TEXT(9875, "[$-170000]yyyy-mm-dd")</f>
        <v/>
      </c>
      <c r="C9876">
        <f>TEXT(9875, "[$-060000]yyyy-mm-dd")</f>
        <v/>
      </c>
      <c r="D9876" t="inlineStr">
        <is>
          <t>1345-07-10</t>
        </is>
      </c>
    </row>
    <row r="9877">
      <c r="A9877" s="1" t="n">
        <v>9876</v>
      </c>
      <c r="B9877">
        <f>TEXT(9876, "[$-170000]yyyy-mm-dd")</f>
        <v/>
      </c>
      <c r="C9877">
        <f>TEXT(9876, "[$-060000]yyyy-mm-dd")</f>
        <v/>
      </c>
      <c r="D9877" t="inlineStr">
        <is>
          <t>1345-07-11</t>
        </is>
      </c>
    </row>
    <row r="9878">
      <c r="A9878" s="1" t="n">
        <v>9877</v>
      </c>
      <c r="B9878">
        <f>TEXT(9877, "[$-170000]yyyy-mm-dd")</f>
        <v/>
      </c>
      <c r="C9878">
        <f>TEXT(9877, "[$-060000]yyyy-mm-dd")</f>
        <v/>
      </c>
      <c r="D9878" t="inlineStr">
        <is>
          <t>1345-07-12</t>
        </is>
      </c>
    </row>
    <row r="9879">
      <c r="A9879" s="1" t="n">
        <v>9878</v>
      </c>
      <c r="B9879">
        <f>TEXT(9878, "[$-170000]yyyy-mm-dd")</f>
        <v/>
      </c>
      <c r="C9879">
        <f>TEXT(9878, "[$-060000]yyyy-mm-dd")</f>
        <v/>
      </c>
      <c r="D9879" t="inlineStr">
        <is>
          <t>1345-07-13</t>
        </is>
      </c>
    </row>
    <row r="9880">
      <c r="A9880" s="1" t="n">
        <v>9879</v>
      </c>
      <c r="B9880">
        <f>TEXT(9879, "[$-170000]yyyy-mm-dd")</f>
        <v/>
      </c>
      <c r="C9880">
        <f>TEXT(9879, "[$-060000]yyyy-mm-dd")</f>
        <v/>
      </c>
      <c r="D9880" t="inlineStr">
        <is>
          <t>1345-07-14</t>
        </is>
      </c>
    </row>
    <row r="9881">
      <c r="A9881" s="1" t="n">
        <v>9880</v>
      </c>
      <c r="B9881">
        <f>TEXT(9880, "[$-170000]yyyy-mm-dd")</f>
        <v/>
      </c>
      <c r="C9881">
        <f>TEXT(9880, "[$-060000]yyyy-mm-dd")</f>
        <v/>
      </c>
      <c r="D9881" t="inlineStr">
        <is>
          <t>1345-07-15</t>
        </is>
      </c>
    </row>
    <row r="9882">
      <c r="A9882" s="1" t="n">
        <v>9881</v>
      </c>
      <c r="B9882">
        <f>TEXT(9881, "[$-170000]yyyy-mm-dd")</f>
        <v/>
      </c>
      <c r="C9882">
        <f>TEXT(9881, "[$-060000]yyyy-mm-dd")</f>
        <v/>
      </c>
      <c r="D9882" t="inlineStr">
        <is>
          <t>1345-07-16</t>
        </is>
      </c>
    </row>
    <row r="9883">
      <c r="A9883" s="1" t="n">
        <v>9882</v>
      </c>
      <c r="B9883">
        <f>TEXT(9882, "[$-170000]yyyy-mm-dd")</f>
        <v/>
      </c>
      <c r="C9883">
        <f>TEXT(9882, "[$-060000]yyyy-mm-dd")</f>
        <v/>
      </c>
      <c r="D9883" t="inlineStr">
        <is>
          <t>1345-07-17</t>
        </is>
      </c>
    </row>
    <row r="9884">
      <c r="A9884" s="1" t="n">
        <v>9883</v>
      </c>
      <c r="B9884">
        <f>TEXT(9883, "[$-170000]yyyy-mm-dd")</f>
        <v/>
      </c>
      <c r="C9884">
        <f>TEXT(9883, "[$-060000]yyyy-mm-dd")</f>
        <v/>
      </c>
      <c r="D9884" t="inlineStr">
        <is>
          <t>1345-07-18</t>
        </is>
      </c>
    </row>
    <row r="9885">
      <c r="A9885" s="1" t="n">
        <v>9884</v>
      </c>
      <c r="B9885">
        <f>TEXT(9884, "[$-170000]yyyy-mm-dd")</f>
        <v/>
      </c>
      <c r="C9885">
        <f>TEXT(9884, "[$-060000]yyyy-mm-dd")</f>
        <v/>
      </c>
      <c r="D9885" t="inlineStr">
        <is>
          <t>1345-07-19</t>
        </is>
      </c>
    </row>
    <row r="9886">
      <c r="A9886" s="1" t="n">
        <v>9885</v>
      </c>
      <c r="B9886">
        <f>TEXT(9885, "[$-170000]yyyy-mm-dd")</f>
        <v/>
      </c>
      <c r="C9886">
        <f>TEXT(9885, "[$-060000]yyyy-mm-dd")</f>
        <v/>
      </c>
      <c r="D9886" t="inlineStr">
        <is>
          <t>1345-07-20</t>
        </is>
      </c>
    </row>
    <row r="9887">
      <c r="A9887" s="1" t="n">
        <v>9886</v>
      </c>
      <c r="B9887">
        <f>TEXT(9886, "[$-170000]yyyy-mm-dd")</f>
        <v/>
      </c>
      <c r="C9887">
        <f>TEXT(9886, "[$-060000]yyyy-mm-dd")</f>
        <v/>
      </c>
      <c r="D9887" t="inlineStr">
        <is>
          <t>1345-07-21</t>
        </is>
      </c>
    </row>
    <row r="9888">
      <c r="A9888" s="1" t="n">
        <v>9887</v>
      </c>
      <c r="B9888">
        <f>TEXT(9887, "[$-170000]yyyy-mm-dd")</f>
        <v/>
      </c>
      <c r="C9888">
        <f>TEXT(9887, "[$-060000]yyyy-mm-dd")</f>
        <v/>
      </c>
      <c r="D9888" t="inlineStr">
        <is>
          <t>1345-07-22</t>
        </is>
      </c>
    </row>
    <row r="9889">
      <c r="A9889" s="1" t="n">
        <v>9888</v>
      </c>
      <c r="B9889">
        <f>TEXT(9888, "[$-170000]yyyy-mm-dd")</f>
        <v/>
      </c>
      <c r="C9889">
        <f>TEXT(9888, "[$-060000]yyyy-mm-dd")</f>
        <v/>
      </c>
      <c r="D9889" t="inlineStr">
        <is>
          <t>1345-07-23</t>
        </is>
      </c>
    </row>
    <row r="9890">
      <c r="A9890" s="1" t="n">
        <v>9889</v>
      </c>
      <c r="B9890">
        <f>TEXT(9889, "[$-170000]yyyy-mm-dd")</f>
        <v/>
      </c>
      <c r="C9890">
        <f>TEXT(9889, "[$-060000]yyyy-mm-dd")</f>
        <v/>
      </c>
      <c r="D9890" t="inlineStr">
        <is>
          <t>1345-07-24</t>
        </is>
      </c>
    </row>
    <row r="9891">
      <c r="A9891" s="1" t="n">
        <v>9890</v>
      </c>
      <c r="B9891">
        <f>TEXT(9890, "[$-170000]yyyy-mm-dd")</f>
        <v/>
      </c>
      <c r="C9891">
        <f>TEXT(9890, "[$-060000]yyyy-mm-dd")</f>
        <v/>
      </c>
      <c r="D9891" t="inlineStr">
        <is>
          <t>1345-07-25</t>
        </is>
      </c>
    </row>
    <row r="9892">
      <c r="A9892" s="1" t="n">
        <v>9891</v>
      </c>
      <c r="B9892">
        <f>TEXT(9891, "[$-170000]yyyy-mm-dd")</f>
        <v/>
      </c>
      <c r="C9892">
        <f>TEXT(9891, "[$-060000]yyyy-mm-dd")</f>
        <v/>
      </c>
      <c r="D9892" t="inlineStr">
        <is>
          <t>1345-07-26</t>
        </is>
      </c>
    </row>
    <row r="9893">
      <c r="A9893" s="1" t="n">
        <v>9892</v>
      </c>
      <c r="B9893">
        <f>TEXT(9892, "[$-170000]yyyy-mm-dd")</f>
        <v/>
      </c>
      <c r="C9893">
        <f>TEXT(9892, "[$-060000]yyyy-mm-dd")</f>
        <v/>
      </c>
      <c r="D9893" t="inlineStr">
        <is>
          <t>1345-07-27</t>
        </is>
      </c>
    </row>
    <row r="9894">
      <c r="A9894" s="1" t="n">
        <v>9893</v>
      </c>
      <c r="B9894">
        <f>TEXT(9893, "[$-170000]yyyy-mm-dd")</f>
        <v/>
      </c>
      <c r="C9894">
        <f>TEXT(9893, "[$-060000]yyyy-mm-dd")</f>
        <v/>
      </c>
      <c r="D9894" t="inlineStr">
        <is>
          <t>1345-07-28</t>
        </is>
      </c>
    </row>
    <row r="9895">
      <c r="A9895" s="1" t="n">
        <v>9894</v>
      </c>
      <c r="B9895">
        <f>TEXT(9894, "[$-170000]yyyy-mm-dd")</f>
        <v/>
      </c>
      <c r="C9895">
        <f>TEXT(9894, "[$-060000]yyyy-mm-dd")</f>
        <v/>
      </c>
      <c r="D9895" t="inlineStr">
        <is>
          <t>1345-07-29</t>
        </is>
      </c>
    </row>
    <row r="9896">
      <c r="A9896" s="1" t="n">
        <v>9895</v>
      </c>
      <c r="B9896">
        <f>TEXT(9895, "[$-170000]yyyy-mm-dd")</f>
        <v/>
      </c>
      <c r="C9896">
        <f>TEXT(9895, "[$-060000]yyyy-mm-dd")</f>
        <v/>
      </c>
      <c r="D9896" t="inlineStr">
        <is>
          <t>1345-07-30</t>
        </is>
      </c>
    </row>
    <row r="9897">
      <c r="A9897" s="1" t="n">
        <v>9896</v>
      </c>
      <c r="B9897">
        <f>TEXT(9896, "[$-170000]yyyy-mm-dd")</f>
        <v/>
      </c>
      <c r="C9897">
        <f>TEXT(9896, "[$-060000]yyyy-mm-dd")</f>
        <v/>
      </c>
      <c r="D9897" t="inlineStr">
        <is>
          <t>1345-08-01</t>
        </is>
      </c>
    </row>
    <row r="9898">
      <c r="A9898" s="1" t="n">
        <v>9897</v>
      </c>
      <c r="B9898">
        <f>TEXT(9897, "[$-170000]yyyy-mm-dd")</f>
        <v/>
      </c>
      <c r="C9898">
        <f>TEXT(9897, "[$-060000]yyyy-mm-dd")</f>
        <v/>
      </c>
      <c r="D9898" t="inlineStr">
        <is>
          <t>1345-08-02</t>
        </is>
      </c>
    </row>
    <row r="9899">
      <c r="A9899" s="1" t="n">
        <v>9898</v>
      </c>
      <c r="B9899">
        <f>TEXT(9898, "[$-170000]yyyy-mm-dd")</f>
        <v/>
      </c>
      <c r="C9899">
        <f>TEXT(9898, "[$-060000]yyyy-mm-dd")</f>
        <v/>
      </c>
      <c r="D9899" t="inlineStr">
        <is>
          <t>1345-08-03</t>
        </is>
      </c>
    </row>
    <row r="9900">
      <c r="A9900" s="1" t="n">
        <v>9899</v>
      </c>
      <c r="B9900">
        <f>TEXT(9899, "[$-170000]yyyy-mm-dd")</f>
        <v/>
      </c>
      <c r="C9900">
        <f>TEXT(9899, "[$-060000]yyyy-mm-dd")</f>
        <v/>
      </c>
      <c r="D9900" t="inlineStr">
        <is>
          <t>1345-08-04</t>
        </is>
      </c>
    </row>
    <row r="9901">
      <c r="A9901" s="1" t="n">
        <v>9900</v>
      </c>
      <c r="B9901">
        <f>TEXT(9900, "[$-170000]yyyy-mm-dd")</f>
        <v/>
      </c>
      <c r="C9901">
        <f>TEXT(9900, "[$-060000]yyyy-mm-dd")</f>
        <v/>
      </c>
      <c r="D9901" t="inlineStr">
        <is>
          <t>1345-08-05</t>
        </is>
      </c>
    </row>
    <row r="9902">
      <c r="A9902" s="1" t="n">
        <v>9901</v>
      </c>
      <c r="B9902">
        <f>TEXT(9901, "[$-170000]yyyy-mm-dd")</f>
        <v/>
      </c>
      <c r="C9902">
        <f>TEXT(9901, "[$-060000]yyyy-mm-dd")</f>
        <v/>
      </c>
      <c r="D9902" t="inlineStr">
        <is>
          <t>1345-08-06</t>
        </is>
      </c>
    </row>
    <row r="9903">
      <c r="A9903" s="1" t="n">
        <v>9902</v>
      </c>
      <c r="B9903">
        <f>TEXT(9902, "[$-170000]yyyy-mm-dd")</f>
        <v/>
      </c>
      <c r="C9903">
        <f>TEXT(9902, "[$-060000]yyyy-mm-dd")</f>
        <v/>
      </c>
      <c r="D9903" t="inlineStr">
        <is>
          <t>1345-08-07</t>
        </is>
      </c>
    </row>
    <row r="9904">
      <c r="A9904" s="1" t="n">
        <v>9903</v>
      </c>
      <c r="B9904">
        <f>TEXT(9903, "[$-170000]yyyy-mm-dd")</f>
        <v/>
      </c>
      <c r="C9904">
        <f>TEXT(9903, "[$-060000]yyyy-mm-dd")</f>
        <v/>
      </c>
      <c r="D9904" t="inlineStr">
        <is>
          <t>1345-08-08</t>
        </is>
      </c>
    </row>
    <row r="9905">
      <c r="A9905" s="1" t="n">
        <v>9904</v>
      </c>
      <c r="B9905">
        <f>TEXT(9904, "[$-170000]yyyy-mm-dd")</f>
        <v/>
      </c>
      <c r="C9905">
        <f>TEXT(9904, "[$-060000]yyyy-mm-dd")</f>
        <v/>
      </c>
      <c r="D9905" t="inlineStr">
        <is>
          <t>1345-08-09</t>
        </is>
      </c>
    </row>
    <row r="9906">
      <c r="A9906" s="1" t="n">
        <v>9905</v>
      </c>
      <c r="B9906">
        <f>TEXT(9905, "[$-170000]yyyy-mm-dd")</f>
        <v/>
      </c>
      <c r="C9906">
        <f>TEXT(9905, "[$-060000]yyyy-mm-dd")</f>
        <v/>
      </c>
      <c r="D9906" t="inlineStr">
        <is>
          <t>1345-08-10</t>
        </is>
      </c>
    </row>
    <row r="9907">
      <c r="A9907" s="1" t="n">
        <v>9906</v>
      </c>
      <c r="B9907">
        <f>TEXT(9906, "[$-170000]yyyy-mm-dd")</f>
        <v/>
      </c>
      <c r="C9907">
        <f>TEXT(9906, "[$-060000]yyyy-mm-dd")</f>
        <v/>
      </c>
      <c r="D9907" t="inlineStr">
        <is>
          <t>1345-08-11</t>
        </is>
      </c>
    </row>
    <row r="9908">
      <c r="A9908" s="1" t="n">
        <v>9907</v>
      </c>
      <c r="B9908">
        <f>TEXT(9907, "[$-170000]yyyy-mm-dd")</f>
        <v/>
      </c>
      <c r="C9908">
        <f>TEXT(9907, "[$-060000]yyyy-mm-dd")</f>
        <v/>
      </c>
      <c r="D9908" t="inlineStr">
        <is>
          <t>1345-08-12</t>
        </is>
      </c>
    </row>
    <row r="9909">
      <c r="A9909" s="1" t="n">
        <v>9908</v>
      </c>
      <c r="B9909">
        <f>TEXT(9908, "[$-170000]yyyy-mm-dd")</f>
        <v/>
      </c>
      <c r="C9909">
        <f>TEXT(9908, "[$-060000]yyyy-mm-dd")</f>
        <v/>
      </c>
      <c r="D9909" t="inlineStr">
        <is>
          <t>1345-08-13</t>
        </is>
      </c>
    </row>
    <row r="9910">
      <c r="A9910" s="1" t="n">
        <v>9909</v>
      </c>
      <c r="B9910">
        <f>TEXT(9909, "[$-170000]yyyy-mm-dd")</f>
        <v/>
      </c>
      <c r="C9910">
        <f>TEXT(9909, "[$-060000]yyyy-mm-dd")</f>
        <v/>
      </c>
      <c r="D9910" t="inlineStr">
        <is>
          <t>1345-08-14</t>
        </is>
      </c>
    </row>
    <row r="9911">
      <c r="A9911" s="1" t="n">
        <v>9910</v>
      </c>
      <c r="B9911">
        <f>TEXT(9910, "[$-170000]yyyy-mm-dd")</f>
        <v/>
      </c>
      <c r="C9911">
        <f>TEXT(9910, "[$-060000]yyyy-mm-dd")</f>
        <v/>
      </c>
      <c r="D9911" t="inlineStr">
        <is>
          <t>1345-08-15</t>
        </is>
      </c>
    </row>
    <row r="9912">
      <c r="A9912" s="1" t="n">
        <v>9911</v>
      </c>
      <c r="B9912">
        <f>TEXT(9911, "[$-170000]yyyy-mm-dd")</f>
        <v/>
      </c>
      <c r="C9912">
        <f>TEXT(9911, "[$-060000]yyyy-mm-dd")</f>
        <v/>
      </c>
      <c r="D9912" t="inlineStr">
        <is>
          <t>1345-08-16</t>
        </is>
      </c>
    </row>
    <row r="9913">
      <c r="A9913" s="1" t="n">
        <v>9912</v>
      </c>
      <c r="B9913">
        <f>TEXT(9912, "[$-170000]yyyy-mm-dd")</f>
        <v/>
      </c>
      <c r="C9913">
        <f>TEXT(9912, "[$-060000]yyyy-mm-dd")</f>
        <v/>
      </c>
      <c r="D9913" t="inlineStr">
        <is>
          <t>1345-08-17</t>
        </is>
      </c>
    </row>
    <row r="9914">
      <c r="A9914" s="1" t="n">
        <v>9913</v>
      </c>
      <c r="B9914">
        <f>TEXT(9913, "[$-170000]yyyy-mm-dd")</f>
        <v/>
      </c>
      <c r="C9914">
        <f>TEXT(9913, "[$-060000]yyyy-mm-dd")</f>
        <v/>
      </c>
      <c r="D9914" t="inlineStr">
        <is>
          <t>1345-08-18</t>
        </is>
      </c>
    </row>
    <row r="9915">
      <c r="A9915" s="1" t="n">
        <v>9914</v>
      </c>
      <c r="B9915">
        <f>TEXT(9914, "[$-170000]yyyy-mm-dd")</f>
        <v/>
      </c>
      <c r="C9915">
        <f>TEXT(9914, "[$-060000]yyyy-mm-dd")</f>
        <v/>
      </c>
      <c r="D9915" t="inlineStr">
        <is>
          <t>1345-08-19</t>
        </is>
      </c>
    </row>
    <row r="9916">
      <c r="A9916" s="1" t="n">
        <v>9915</v>
      </c>
      <c r="B9916">
        <f>TEXT(9915, "[$-170000]yyyy-mm-dd")</f>
        <v/>
      </c>
      <c r="C9916">
        <f>TEXT(9915, "[$-060000]yyyy-mm-dd")</f>
        <v/>
      </c>
      <c r="D9916" t="inlineStr">
        <is>
          <t>1345-08-20</t>
        </is>
      </c>
    </row>
    <row r="9917">
      <c r="A9917" s="1" t="n">
        <v>9916</v>
      </c>
      <c r="B9917">
        <f>TEXT(9916, "[$-170000]yyyy-mm-dd")</f>
        <v/>
      </c>
      <c r="C9917">
        <f>TEXT(9916, "[$-060000]yyyy-mm-dd")</f>
        <v/>
      </c>
      <c r="D9917" t="inlineStr">
        <is>
          <t>1345-08-21</t>
        </is>
      </c>
    </row>
    <row r="9918">
      <c r="A9918" s="1" t="n">
        <v>9917</v>
      </c>
      <c r="B9918">
        <f>TEXT(9917, "[$-170000]yyyy-mm-dd")</f>
        <v/>
      </c>
      <c r="C9918">
        <f>TEXT(9917, "[$-060000]yyyy-mm-dd")</f>
        <v/>
      </c>
      <c r="D9918" t="inlineStr">
        <is>
          <t>1345-08-22</t>
        </is>
      </c>
    </row>
    <row r="9919">
      <c r="A9919" s="1" t="n">
        <v>9918</v>
      </c>
      <c r="B9919">
        <f>TEXT(9918, "[$-170000]yyyy-mm-dd")</f>
        <v/>
      </c>
      <c r="C9919">
        <f>TEXT(9918, "[$-060000]yyyy-mm-dd")</f>
        <v/>
      </c>
      <c r="D9919" t="inlineStr">
        <is>
          <t>1345-08-23</t>
        </is>
      </c>
    </row>
    <row r="9920">
      <c r="A9920" s="1" t="n">
        <v>9919</v>
      </c>
      <c r="B9920">
        <f>TEXT(9919, "[$-170000]yyyy-mm-dd")</f>
        <v/>
      </c>
      <c r="C9920">
        <f>TEXT(9919, "[$-060000]yyyy-mm-dd")</f>
        <v/>
      </c>
      <c r="D9920" t="inlineStr">
        <is>
          <t>1345-08-24</t>
        </is>
      </c>
    </row>
    <row r="9921">
      <c r="A9921" s="1" t="n">
        <v>9920</v>
      </c>
      <c r="B9921">
        <f>TEXT(9920, "[$-170000]yyyy-mm-dd")</f>
        <v/>
      </c>
      <c r="C9921">
        <f>TEXT(9920, "[$-060000]yyyy-mm-dd")</f>
        <v/>
      </c>
      <c r="D9921" t="inlineStr">
        <is>
          <t>1345-08-25</t>
        </is>
      </c>
    </row>
    <row r="9922">
      <c r="A9922" s="1" t="n">
        <v>9921</v>
      </c>
      <c r="B9922">
        <f>TEXT(9921, "[$-170000]yyyy-mm-dd")</f>
        <v/>
      </c>
      <c r="C9922">
        <f>TEXT(9921, "[$-060000]yyyy-mm-dd")</f>
        <v/>
      </c>
      <c r="D9922" t="inlineStr">
        <is>
          <t>1345-08-26</t>
        </is>
      </c>
    </row>
    <row r="9923">
      <c r="A9923" s="1" t="n">
        <v>9922</v>
      </c>
      <c r="B9923">
        <f>TEXT(9922, "[$-170000]yyyy-mm-dd")</f>
        <v/>
      </c>
      <c r="C9923">
        <f>TEXT(9922, "[$-060000]yyyy-mm-dd")</f>
        <v/>
      </c>
      <c r="D9923" t="inlineStr">
        <is>
          <t>1345-08-27</t>
        </is>
      </c>
    </row>
    <row r="9924">
      <c r="A9924" s="1" t="n">
        <v>9923</v>
      </c>
      <c r="B9924">
        <f>TEXT(9923, "[$-170000]yyyy-mm-dd")</f>
        <v/>
      </c>
      <c r="C9924">
        <f>TEXT(9923, "[$-060000]yyyy-mm-dd")</f>
        <v/>
      </c>
      <c r="D9924" t="inlineStr">
        <is>
          <t>1345-08-28</t>
        </is>
      </c>
    </row>
    <row r="9925">
      <c r="A9925" s="1" t="n">
        <v>9924</v>
      </c>
      <c r="B9925">
        <f>TEXT(9924, "[$-170000]yyyy-mm-dd")</f>
        <v/>
      </c>
      <c r="C9925">
        <f>TEXT(9924, "[$-060000]yyyy-mm-dd")</f>
        <v/>
      </c>
      <c r="D9925" t="inlineStr">
        <is>
          <t>1345-08-29</t>
        </is>
      </c>
    </row>
    <row r="9926">
      <c r="A9926" s="1" t="n">
        <v>9925</v>
      </c>
      <c r="B9926">
        <f>TEXT(9925, "[$-170000]yyyy-mm-dd")</f>
        <v/>
      </c>
      <c r="C9926">
        <f>TEXT(9925, "[$-060000]yyyy-mm-dd")</f>
        <v/>
      </c>
      <c r="D9926" t="inlineStr">
        <is>
          <t>1345-09-01</t>
        </is>
      </c>
    </row>
    <row r="9927">
      <c r="A9927" s="1" t="n">
        <v>9926</v>
      </c>
      <c r="B9927">
        <f>TEXT(9926, "[$-170000]yyyy-mm-dd")</f>
        <v/>
      </c>
      <c r="C9927">
        <f>TEXT(9926, "[$-060000]yyyy-mm-dd")</f>
        <v/>
      </c>
      <c r="D9927" t="inlineStr">
        <is>
          <t>1345-09-02</t>
        </is>
      </c>
    </row>
    <row r="9928">
      <c r="A9928" s="1" t="n">
        <v>9927</v>
      </c>
      <c r="B9928">
        <f>TEXT(9927, "[$-170000]yyyy-mm-dd")</f>
        <v/>
      </c>
      <c r="C9928">
        <f>TEXT(9927, "[$-060000]yyyy-mm-dd")</f>
        <v/>
      </c>
      <c r="D9928" t="inlineStr">
        <is>
          <t>1345-09-03</t>
        </is>
      </c>
    </row>
    <row r="9929">
      <c r="A9929" s="1" t="n">
        <v>9928</v>
      </c>
      <c r="B9929">
        <f>TEXT(9928, "[$-170000]yyyy-mm-dd")</f>
        <v/>
      </c>
      <c r="C9929">
        <f>TEXT(9928, "[$-060000]yyyy-mm-dd")</f>
        <v/>
      </c>
      <c r="D9929" t="inlineStr">
        <is>
          <t>1345-09-04</t>
        </is>
      </c>
    </row>
    <row r="9930">
      <c r="A9930" s="1" t="n">
        <v>9929</v>
      </c>
      <c r="B9930">
        <f>TEXT(9929, "[$-170000]yyyy-mm-dd")</f>
        <v/>
      </c>
      <c r="C9930">
        <f>TEXT(9929, "[$-060000]yyyy-mm-dd")</f>
        <v/>
      </c>
      <c r="D9930" t="inlineStr">
        <is>
          <t>1345-09-05</t>
        </is>
      </c>
    </row>
    <row r="9931">
      <c r="A9931" s="1" t="n">
        <v>9930</v>
      </c>
      <c r="B9931">
        <f>TEXT(9930, "[$-170000]yyyy-mm-dd")</f>
        <v/>
      </c>
      <c r="C9931">
        <f>TEXT(9930, "[$-060000]yyyy-mm-dd")</f>
        <v/>
      </c>
      <c r="D9931" t="inlineStr">
        <is>
          <t>1345-09-06</t>
        </is>
      </c>
    </row>
    <row r="9932">
      <c r="A9932" s="1" t="n">
        <v>9931</v>
      </c>
      <c r="B9932">
        <f>TEXT(9931, "[$-170000]yyyy-mm-dd")</f>
        <v/>
      </c>
      <c r="C9932">
        <f>TEXT(9931, "[$-060000]yyyy-mm-dd")</f>
        <v/>
      </c>
      <c r="D9932" t="inlineStr">
        <is>
          <t>1345-09-07</t>
        </is>
      </c>
    </row>
    <row r="9933">
      <c r="A9933" s="1" t="n">
        <v>9932</v>
      </c>
      <c r="B9933">
        <f>TEXT(9932, "[$-170000]yyyy-mm-dd")</f>
        <v/>
      </c>
      <c r="C9933">
        <f>TEXT(9932, "[$-060000]yyyy-mm-dd")</f>
        <v/>
      </c>
      <c r="D9933" t="inlineStr">
        <is>
          <t>1345-09-08</t>
        </is>
      </c>
    </row>
    <row r="9934">
      <c r="A9934" s="1" t="n">
        <v>9933</v>
      </c>
      <c r="B9934">
        <f>TEXT(9933, "[$-170000]yyyy-mm-dd")</f>
        <v/>
      </c>
      <c r="C9934">
        <f>TEXT(9933, "[$-060000]yyyy-mm-dd")</f>
        <v/>
      </c>
      <c r="D9934" t="inlineStr">
        <is>
          <t>1345-09-09</t>
        </is>
      </c>
    </row>
    <row r="9935">
      <c r="A9935" s="1" t="n">
        <v>9934</v>
      </c>
      <c r="B9935">
        <f>TEXT(9934, "[$-170000]yyyy-mm-dd")</f>
        <v/>
      </c>
      <c r="C9935">
        <f>TEXT(9934, "[$-060000]yyyy-mm-dd")</f>
        <v/>
      </c>
      <c r="D9935" t="inlineStr">
        <is>
          <t>1345-09-10</t>
        </is>
      </c>
    </row>
    <row r="9936">
      <c r="A9936" s="1" t="n">
        <v>9935</v>
      </c>
      <c r="B9936">
        <f>TEXT(9935, "[$-170000]yyyy-mm-dd")</f>
        <v/>
      </c>
      <c r="C9936">
        <f>TEXT(9935, "[$-060000]yyyy-mm-dd")</f>
        <v/>
      </c>
      <c r="D9936" t="inlineStr">
        <is>
          <t>1345-09-11</t>
        </is>
      </c>
    </row>
    <row r="9937">
      <c r="A9937" s="1" t="n">
        <v>9936</v>
      </c>
      <c r="B9937">
        <f>TEXT(9936, "[$-170000]yyyy-mm-dd")</f>
        <v/>
      </c>
      <c r="C9937">
        <f>TEXT(9936, "[$-060000]yyyy-mm-dd")</f>
        <v/>
      </c>
      <c r="D9937" t="inlineStr">
        <is>
          <t>1345-09-12</t>
        </is>
      </c>
    </row>
    <row r="9938">
      <c r="A9938" s="1" t="n">
        <v>9937</v>
      </c>
      <c r="B9938">
        <f>TEXT(9937, "[$-170000]yyyy-mm-dd")</f>
        <v/>
      </c>
      <c r="C9938">
        <f>TEXT(9937, "[$-060000]yyyy-mm-dd")</f>
        <v/>
      </c>
      <c r="D9938" t="inlineStr">
        <is>
          <t>1345-09-13</t>
        </is>
      </c>
    </row>
    <row r="9939">
      <c r="A9939" s="1" t="n">
        <v>9938</v>
      </c>
      <c r="B9939">
        <f>TEXT(9938, "[$-170000]yyyy-mm-dd")</f>
        <v/>
      </c>
      <c r="C9939">
        <f>TEXT(9938, "[$-060000]yyyy-mm-dd")</f>
        <v/>
      </c>
      <c r="D9939" t="inlineStr">
        <is>
          <t>1345-09-14</t>
        </is>
      </c>
    </row>
    <row r="9940">
      <c r="A9940" s="1" t="n">
        <v>9939</v>
      </c>
      <c r="B9940">
        <f>TEXT(9939, "[$-170000]yyyy-mm-dd")</f>
        <v/>
      </c>
      <c r="C9940">
        <f>TEXT(9939, "[$-060000]yyyy-mm-dd")</f>
        <v/>
      </c>
      <c r="D9940" t="inlineStr">
        <is>
          <t>1345-09-15</t>
        </is>
      </c>
    </row>
    <row r="9941">
      <c r="A9941" s="1" t="n">
        <v>9940</v>
      </c>
      <c r="B9941">
        <f>TEXT(9940, "[$-170000]yyyy-mm-dd")</f>
        <v/>
      </c>
      <c r="C9941">
        <f>TEXT(9940, "[$-060000]yyyy-mm-dd")</f>
        <v/>
      </c>
      <c r="D9941" t="inlineStr">
        <is>
          <t>1345-09-16</t>
        </is>
      </c>
    </row>
    <row r="9942">
      <c r="A9942" s="1" t="n">
        <v>9941</v>
      </c>
      <c r="B9942">
        <f>TEXT(9941, "[$-170000]yyyy-mm-dd")</f>
        <v/>
      </c>
      <c r="C9942">
        <f>TEXT(9941, "[$-060000]yyyy-mm-dd")</f>
        <v/>
      </c>
      <c r="D9942" t="inlineStr">
        <is>
          <t>1345-09-17</t>
        </is>
      </c>
    </row>
    <row r="9943">
      <c r="A9943" s="1" t="n">
        <v>9942</v>
      </c>
      <c r="B9943">
        <f>TEXT(9942, "[$-170000]yyyy-mm-dd")</f>
        <v/>
      </c>
      <c r="C9943">
        <f>TEXT(9942, "[$-060000]yyyy-mm-dd")</f>
        <v/>
      </c>
      <c r="D9943" t="inlineStr">
        <is>
          <t>1345-09-18</t>
        </is>
      </c>
    </row>
    <row r="9944">
      <c r="A9944" s="1" t="n">
        <v>9943</v>
      </c>
      <c r="B9944">
        <f>TEXT(9943, "[$-170000]yyyy-mm-dd")</f>
        <v/>
      </c>
      <c r="C9944">
        <f>TEXT(9943, "[$-060000]yyyy-mm-dd")</f>
        <v/>
      </c>
      <c r="D9944" t="inlineStr">
        <is>
          <t>1345-09-19</t>
        </is>
      </c>
    </row>
    <row r="9945">
      <c r="A9945" s="1" t="n">
        <v>9944</v>
      </c>
      <c r="B9945">
        <f>TEXT(9944, "[$-170000]yyyy-mm-dd")</f>
        <v/>
      </c>
      <c r="C9945">
        <f>TEXT(9944, "[$-060000]yyyy-mm-dd")</f>
        <v/>
      </c>
      <c r="D9945" t="inlineStr">
        <is>
          <t>1345-09-20</t>
        </is>
      </c>
    </row>
    <row r="9946">
      <c r="A9946" s="1" t="n">
        <v>9945</v>
      </c>
      <c r="B9946">
        <f>TEXT(9945, "[$-170000]yyyy-mm-dd")</f>
        <v/>
      </c>
      <c r="C9946">
        <f>TEXT(9945, "[$-060000]yyyy-mm-dd")</f>
        <v/>
      </c>
      <c r="D9946" t="inlineStr">
        <is>
          <t>1345-09-21</t>
        </is>
      </c>
    </row>
    <row r="9947">
      <c r="A9947" s="1" t="n">
        <v>9946</v>
      </c>
      <c r="B9947">
        <f>TEXT(9946, "[$-170000]yyyy-mm-dd")</f>
        <v/>
      </c>
      <c r="C9947">
        <f>TEXT(9946, "[$-060000]yyyy-mm-dd")</f>
        <v/>
      </c>
      <c r="D9947" t="inlineStr">
        <is>
          <t>1345-09-22</t>
        </is>
      </c>
    </row>
    <row r="9948">
      <c r="A9948" s="1" t="n">
        <v>9947</v>
      </c>
      <c r="B9948">
        <f>TEXT(9947, "[$-170000]yyyy-mm-dd")</f>
        <v/>
      </c>
      <c r="C9948">
        <f>TEXT(9947, "[$-060000]yyyy-mm-dd")</f>
        <v/>
      </c>
      <c r="D9948" t="inlineStr">
        <is>
          <t>1345-09-23</t>
        </is>
      </c>
    </row>
    <row r="9949">
      <c r="A9949" s="1" t="n">
        <v>9948</v>
      </c>
      <c r="B9949">
        <f>TEXT(9948, "[$-170000]yyyy-mm-dd")</f>
        <v/>
      </c>
      <c r="C9949">
        <f>TEXT(9948, "[$-060000]yyyy-mm-dd")</f>
        <v/>
      </c>
      <c r="D9949" t="inlineStr">
        <is>
          <t>1345-09-24</t>
        </is>
      </c>
    </row>
    <row r="9950">
      <c r="A9950" s="1" t="n">
        <v>9949</v>
      </c>
      <c r="B9950">
        <f>TEXT(9949, "[$-170000]yyyy-mm-dd")</f>
        <v/>
      </c>
      <c r="C9950">
        <f>TEXT(9949, "[$-060000]yyyy-mm-dd")</f>
        <v/>
      </c>
      <c r="D9950" t="inlineStr">
        <is>
          <t>1345-09-25</t>
        </is>
      </c>
    </row>
    <row r="9951">
      <c r="A9951" s="1" t="n">
        <v>9950</v>
      </c>
      <c r="B9951">
        <f>TEXT(9950, "[$-170000]yyyy-mm-dd")</f>
        <v/>
      </c>
      <c r="C9951">
        <f>TEXT(9950, "[$-060000]yyyy-mm-dd")</f>
        <v/>
      </c>
      <c r="D9951" t="inlineStr">
        <is>
          <t>1345-09-26</t>
        </is>
      </c>
    </row>
    <row r="9952">
      <c r="A9952" s="1" t="n">
        <v>9951</v>
      </c>
      <c r="B9952">
        <f>TEXT(9951, "[$-170000]yyyy-mm-dd")</f>
        <v/>
      </c>
      <c r="C9952">
        <f>TEXT(9951, "[$-060000]yyyy-mm-dd")</f>
        <v/>
      </c>
      <c r="D9952" t="inlineStr">
        <is>
          <t>1345-09-27</t>
        </is>
      </c>
    </row>
    <row r="9953">
      <c r="A9953" s="1" t="n">
        <v>9952</v>
      </c>
      <c r="B9953">
        <f>TEXT(9952, "[$-170000]yyyy-mm-dd")</f>
        <v/>
      </c>
      <c r="C9953">
        <f>TEXT(9952, "[$-060000]yyyy-mm-dd")</f>
        <v/>
      </c>
      <c r="D9953" t="inlineStr">
        <is>
          <t>1345-09-28</t>
        </is>
      </c>
    </row>
    <row r="9954">
      <c r="A9954" s="1" t="n">
        <v>9953</v>
      </c>
      <c r="B9954">
        <f>TEXT(9953, "[$-170000]yyyy-mm-dd")</f>
        <v/>
      </c>
      <c r="C9954">
        <f>TEXT(9953, "[$-060000]yyyy-mm-dd")</f>
        <v/>
      </c>
      <c r="D9954" t="inlineStr">
        <is>
          <t>1345-09-29</t>
        </is>
      </c>
    </row>
    <row r="9955">
      <c r="A9955" s="1" t="n">
        <v>9954</v>
      </c>
      <c r="B9955">
        <f>TEXT(9954, "[$-170000]yyyy-mm-dd")</f>
        <v/>
      </c>
      <c r="C9955">
        <f>TEXT(9954, "[$-060000]yyyy-mm-dd")</f>
        <v/>
      </c>
      <c r="D9955" t="inlineStr">
        <is>
          <t>1345-09-30</t>
        </is>
      </c>
    </row>
    <row r="9956">
      <c r="A9956" s="1" t="n">
        <v>9955</v>
      </c>
      <c r="B9956">
        <f>TEXT(9955, "[$-170000]yyyy-mm-dd")</f>
        <v/>
      </c>
      <c r="C9956">
        <f>TEXT(9955, "[$-060000]yyyy-mm-dd")</f>
        <v/>
      </c>
      <c r="D9956" t="inlineStr">
        <is>
          <t>1345-10-01</t>
        </is>
      </c>
    </row>
    <row r="9957">
      <c r="A9957" s="1" t="n">
        <v>9956</v>
      </c>
      <c r="B9957">
        <f>TEXT(9956, "[$-170000]yyyy-mm-dd")</f>
        <v/>
      </c>
      <c r="C9957">
        <f>TEXT(9956, "[$-060000]yyyy-mm-dd")</f>
        <v/>
      </c>
      <c r="D9957" t="inlineStr">
        <is>
          <t>1345-10-02</t>
        </is>
      </c>
    </row>
    <row r="9958">
      <c r="A9958" s="1" t="n">
        <v>9957</v>
      </c>
      <c r="B9958">
        <f>TEXT(9957, "[$-170000]yyyy-mm-dd")</f>
        <v/>
      </c>
      <c r="C9958">
        <f>TEXT(9957, "[$-060000]yyyy-mm-dd")</f>
        <v/>
      </c>
      <c r="D9958" t="inlineStr">
        <is>
          <t>1345-10-03</t>
        </is>
      </c>
    </row>
    <row r="9959">
      <c r="A9959" s="1" t="n">
        <v>9958</v>
      </c>
      <c r="B9959">
        <f>TEXT(9958, "[$-170000]yyyy-mm-dd")</f>
        <v/>
      </c>
      <c r="C9959">
        <f>TEXT(9958, "[$-060000]yyyy-mm-dd")</f>
        <v/>
      </c>
      <c r="D9959" t="inlineStr">
        <is>
          <t>1345-10-04</t>
        </is>
      </c>
    </row>
    <row r="9960">
      <c r="A9960" s="1" t="n">
        <v>9959</v>
      </c>
      <c r="B9960">
        <f>TEXT(9959, "[$-170000]yyyy-mm-dd")</f>
        <v/>
      </c>
      <c r="C9960">
        <f>TEXT(9959, "[$-060000]yyyy-mm-dd")</f>
        <v/>
      </c>
      <c r="D9960" t="inlineStr">
        <is>
          <t>1345-10-05</t>
        </is>
      </c>
    </row>
    <row r="9961">
      <c r="A9961" s="1" t="n">
        <v>9960</v>
      </c>
      <c r="B9961">
        <f>TEXT(9960, "[$-170000]yyyy-mm-dd")</f>
        <v/>
      </c>
      <c r="C9961">
        <f>TEXT(9960, "[$-060000]yyyy-mm-dd")</f>
        <v/>
      </c>
      <c r="D9961" t="inlineStr">
        <is>
          <t>1345-10-06</t>
        </is>
      </c>
    </row>
    <row r="9962">
      <c r="A9962" s="1" t="n">
        <v>9961</v>
      </c>
      <c r="B9962">
        <f>TEXT(9961, "[$-170000]yyyy-mm-dd")</f>
        <v/>
      </c>
      <c r="C9962">
        <f>TEXT(9961, "[$-060000]yyyy-mm-dd")</f>
        <v/>
      </c>
      <c r="D9962" t="inlineStr">
        <is>
          <t>1345-10-07</t>
        </is>
      </c>
    </row>
    <row r="9963">
      <c r="A9963" s="1" t="n">
        <v>9962</v>
      </c>
      <c r="B9963">
        <f>TEXT(9962, "[$-170000]yyyy-mm-dd")</f>
        <v/>
      </c>
      <c r="C9963">
        <f>TEXT(9962, "[$-060000]yyyy-mm-dd")</f>
        <v/>
      </c>
      <c r="D9963" t="inlineStr">
        <is>
          <t>1345-10-08</t>
        </is>
      </c>
    </row>
    <row r="9964">
      <c r="A9964" s="1" t="n">
        <v>9963</v>
      </c>
      <c r="B9964">
        <f>TEXT(9963, "[$-170000]yyyy-mm-dd")</f>
        <v/>
      </c>
      <c r="C9964">
        <f>TEXT(9963, "[$-060000]yyyy-mm-dd")</f>
        <v/>
      </c>
      <c r="D9964" t="inlineStr">
        <is>
          <t>1345-10-09</t>
        </is>
      </c>
    </row>
    <row r="9965">
      <c r="A9965" s="1" t="n">
        <v>9964</v>
      </c>
      <c r="B9965">
        <f>TEXT(9964, "[$-170000]yyyy-mm-dd")</f>
        <v/>
      </c>
      <c r="C9965">
        <f>TEXT(9964, "[$-060000]yyyy-mm-dd")</f>
        <v/>
      </c>
      <c r="D9965" t="inlineStr">
        <is>
          <t>1345-10-10</t>
        </is>
      </c>
    </row>
    <row r="9966">
      <c r="A9966" s="1" t="n">
        <v>9965</v>
      </c>
      <c r="B9966">
        <f>TEXT(9965, "[$-170000]yyyy-mm-dd")</f>
        <v/>
      </c>
      <c r="C9966">
        <f>TEXT(9965, "[$-060000]yyyy-mm-dd")</f>
        <v/>
      </c>
      <c r="D9966" t="inlineStr">
        <is>
          <t>1345-10-11</t>
        </is>
      </c>
    </row>
    <row r="9967">
      <c r="A9967" s="1" t="n">
        <v>9966</v>
      </c>
      <c r="B9967">
        <f>TEXT(9966, "[$-170000]yyyy-mm-dd")</f>
        <v/>
      </c>
      <c r="C9967">
        <f>TEXT(9966, "[$-060000]yyyy-mm-dd")</f>
        <v/>
      </c>
      <c r="D9967" t="inlineStr">
        <is>
          <t>1345-10-12</t>
        </is>
      </c>
    </row>
    <row r="9968">
      <c r="A9968" s="1" t="n">
        <v>9967</v>
      </c>
      <c r="B9968">
        <f>TEXT(9967, "[$-170000]yyyy-mm-dd")</f>
        <v/>
      </c>
      <c r="C9968">
        <f>TEXT(9967, "[$-060000]yyyy-mm-dd")</f>
        <v/>
      </c>
      <c r="D9968" t="inlineStr">
        <is>
          <t>1345-10-13</t>
        </is>
      </c>
    </row>
    <row r="9969">
      <c r="A9969" s="1" t="n">
        <v>9968</v>
      </c>
      <c r="B9969">
        <f>TEXT(9968, "[$-170000]yyyy-mm-dd")</f>
        <v/>
      </c>
      <c r="C9969">
        <f>TEXT(9968, "[$-060000]yyyy-mm-dd")</f>
        <v/>
      </c>
      <c r="D9969" t="inlineStr">
        <is>
          <t>1345-10-14</t>
        </is>
      </c>
    </row>
    <row r="9970">
      <c r="A9970" s="1" t="n">
        <v>9969</v>
      </c>
      <c r="B9970">
        <f>TEXT(9969, "[$-170000]yyyy-mm-dd")</f>
        <v/>
      </c>
      <c r="C9970">
        <f>TEXT(9969, "[$-060000]yyyy-mm-dd")</f>
        <v/>
      </c>
      <c r="D9970" t="inlineStr">
        <is>
          <t>1345-10-15</t>
        </is>
      </c>
    </row>
    <row r="9971">
      <c r="A9971" s="1" t="n">
        <v>9970</v>
      </c>
      <c r="B9971">
        <f>TEXT(9970, "[$-170000]yyyy-mm-dd")</f>
        <v/>
      </c>
      <c r="C9971">
        <f>TEXT(9970, "[$-060000]yyyy-mm-dd")</f>
        <v/>
      </c>
      <c r="D9971" t="inlineStr">
        <is>
          <t>1345-10-16</t>
        </is>
      </c>
    </row>
    <row r="9972">
      <c r="A9972" s="1" t="n">
        <v>9971</v>
      </c>
      <c r="B9972">
        <f>TEXT(9971, "[$-170000]yyyy-mm-dd")</f>
        <v/>
      </c>
      <c r="C9972">
        <f>TEXT(9971, "[$-060000]yyyy-mm-dd")</f>
        <v/>
      </c>
      <c r="D9972" t="inlineStr">
        <is>
          <t>1345-10-17</t>
        </is>
      </c>
    </row>
    <row r="9973">
      <c r="A9973" s="1" t="n">
        <v>9972</v>
      </c>
      <c r="B9973">
        <f>TEXT(9972, "[$-170000]yyyy-mm-dd")</f>
        <v/>
      </c>
      <c r="C9973">
        <f>TEXT(9972, "[$-060000]yyyy-mm-dd")</f>
        <v/>
      </c>
      <c r="D9973" t="inlineStr">
        <is>
          <t>1345-10-18</t>
        </is>
      </c>
    </row>
    <row r="9974">
      <c r="A9974" s="1" t="n">
        <v>9973</v>
      </c>
      <c r="B9974">
        <f>TEXT(9973, "[$-170000]yyyy-mm-dd")</f>
        <v/>
      </c>
      <c r="C9974">
        <f>TEXT(9973, "[$-060000]yyyy-mm-dd")</f>
        <v/>
      </c>
      <c r="D9974" t="inlineStr">
        <is>
          <t>1345-10-19</t>
        </is>
      </c>
    </row>
    <row r="9975">
      <c r="A9975" s="1" t="n">
        <v>9974</v>
      </c>
      <c r="B9975">
        <f>TEXT(9974, "[$-170000]yyyy-mm-dd")</f>
        <v/>
      </c>
      <c r="C9975">
        <f>TEXT(9974, "[$-060000]yyyy-mm-dd")</f>
        <v/>
      </c>
      <c r="D9975" t="inlineStr">
        <is>
          <t>1345-10-20</t>
        </is>
      </c>
    </row>
    <row r="9976">
      <c r="A9976" s="1" t="n">
        <v>9975</v>
      </c>
      <c r="B9976">
        <f>TEXT(9975, "[$-170000]yyyy-mm-dd")</f>
        <v/>
      </c>
      <c r="C9976">
        <f>TEXT(9975, "[$-060000]yyyy-mm-dd")</f>
        <v/>
      </c>
      <c r="D9976" t="inlineStr">
        <is>
          <t>1345-10-21</t>
        </is>
      </c>
    </row>
    <row r="9977">
      <c r="A9977" s="1" t="n">
        <v>9976</v>
      </c>
      <c r="B9977">
        <f>TEXT(9976, "[$-170000]yyyy-mm-dd")</f>
        <v/>
      </c>
      <c r="C9977">
        <f>TEXT(9976, "[$-060000]yyyy-mm-dd")</f>
        <v/>
      </c>
      <c r="D9977" t="inlineStr">
        <is>
          <t>1345-10-22</t>
        </is>
      </c>
    </row>
    <row r="9978">
      <c r="A9978" s="1" t="n">
        <v>9977</v>
      </c>
      <c r="B9978">
        <f>TEXT(9977, "[$-170000]yyyy-mm-dd")</f>
        <v/>
      </c>
      <c r="C9978">
        <f>TEXT(9977, "[$-060000]yyyy-mm-dd")</f>
        <v/>
      </c>
      <c r="D9978" t="inlineStr">
        <is>
          <t>1345-10-23</t>
        </is>
      </c>
    </row>
    <row r="9979">
      <c r="A9979" s="1" t="n">
        <v>9978</v>
      </c>
      <c r="B9979">
        <f>TEXT(9978, "[$-170000]yyyy-mm-dd")</f>
        <v/>
      </c>
      <c r="C9979">
        <f>TEXT(9978, "[$-060000]yyyy-mm-dd")</f>
        <v/>
      </c>
      <c r="D9979" t="inlineStr">
        <is>
          <t>1345-10-24</t>
        </is>
      </c>
    </row>
    <row r="9980">
      <c r="A9980" s="1" t="n">
        <v>9979</v>
      </c>
      <c r="B9980">
        <f>TEXT(9979, "[$-170000]yyyy-mm-dd")</f>
        <v/>
      </c>
      <c r="C9980">
        <f>TEXT(9979, "[$-060000]yyyy-mm-dd")</f>
        <v/>
      </c>
      <c r="D9980" t="inlineStr">
        <is>
          <t>1345-10-25</t>
        </is>
      </c>
    </row>
    <row r="9981">
      <c r="A9981" s="1" t="n">
        <v>9980</v>
      </c>
      <c r="B9981">
        <f>TEXT(9980, "[$-170000]yyyy-mm-dd")</f>
        <v/>
      </c>
      <c r="C9981">
        <f>TEXT(9980, "[$-060000]yyyy-mm-dd")</f>
        <v/>
      </c>
      <c r="D9981" t="inlineStr">
        <is>
          <t>1345-10-26</t>
        </is>
      </c>
    </row>
    <row r="9982">
      <c r="A9982" s="1" t="n">
        <v>9981</v>
      </c>
      <c r="B9982">
        <f>TEXT(9981, "[$-170000]yyyy-mm-dd")</f>
        <v/>
      </c>
      <c r="C9982">
        <f>TEXT(9981, "[$-060000]yyyy-mm-dd")</f>
        <v/>
      </c>
      <c r="D9982" t="inlineStr">
        <is>
          <t>1345-10-27</t>
        </is>
      </c>
    </row>
    <row r="9983">
      <c r="A9983" s="1" t="n">
        <v>9982</v>
      </c>
      <c r="B9983">
        <f>TEXT(9982, "[$-170000]yyyy-mm-dd")</f>
        <v/>
      </c>
      <c r="C9983">
        <f>TEXT(9982, "[$-060000]yyyy-mm-dd")</f>
        <v/>
      </c>
      <c r="D9983" t="inlineStr">
        <is>
          <t>1345-10-28</t>
        </is>
      </c>
    </row>
    <row r="9984">
      <c r="A9984" s="1" t="n">
        <v>9983</v>
      </c>
      <c r="B9984">
        <f>TEXT(9983, "[$-170000]yyyy-mm-dd")</f>
        <v/>
      </c>
      <c r="C9984">
        <f>TEXT(9983, "[$-060000]yyyy-mm-dd")</f>
        <v/>
      </c>
      <c r="D9984" t="inlineStr">
        <is>
          <t>1345-10-29</t>
        </is>
      </c>
    </row>
    <row r="9985">
      <c r="A9985" s="1" t="n">
        <v>9984</v>
      </c>
      <c r="B9985">
        <f>TEXT(9984, "[$-170000]yyyy-mm-dd")</f>
        <v/>
      </c>
      <c r="C9985">
        <f>TEXT(9984, "[$-060000]yyyy-mm-dd")</f>
        <v/>
      </c>
      <c r="D9985" t="inlineStr">
        <is>
          <t>1345-11-01</t>
        </is>
      </c>
    </row>
    <row r="9986">
      <c r="A9986" s="1" t="n">
        <v>9985</v>
      </c>
      <c r="B9986">
        <f>TEXT(9985, "[$-170000]yyyy-mm-dd")</f>
        <v/>
      </c>
      <c r="C9986">
        <f>TEXT(9985, "[$-060000]yyyy-mm-dd")</f>
        <v/>
      </c>
      <c r="D9986" t="inlineStr">
        <is>
          <t>1345-11-02</t>
        </is>
      </c>
    </row>
    <row r="9987">
      <c r="A9987" s="1" t="n">
        <v>9986</v>
      </c>
      <c r="B9987">
        <f>TEXT(9986, "[$-170000]yyyy-mm-dd")</f>
        <v/>
      </c>
      <c r="C9987">
        <f>TEXT(9986, "[$-060000]yyyy-mm-dd")</f>
        <v/>
      </c>
      <c r="D9987" t="inlineStr">
        <is>
          <t>1345-11-03</t>
        </is>
      </c>
    </row>
    <row r="9988">
      <c r="A9988" s="1" t="n">
        <v>9987</v>
      </c>
      <c r="B9988">
        <f>TEXT(9987, "[$-170000]yyyy-mm-dd")</f>
        <v/>
      </c>
      <c r="C9988">
        <f>TEXT(9987, "[$-060000]yyyy-mm-dd")</f>
        <v/>
      </c>
      <c r="D9988" t="inlineStr">
        <is>
          <t>1345-11-04</t>
        </is>
      </c>
    </row>
    <row r="9989">
      <c r="A9989" s="1" t="n">
        <v>9988</v>
      </c>
      <c r="B9989">
        <f>TEXT(9988, "[$-170000]yyyy-mm-dd")</f>
        <v/>
      </c>
      <c r="C9989">
        <f>TEXT(9988, "[$-060000]yyyy-mm-dd")</f>
        <v/>
      </c>
      <c r="D9989" t="inlineStr">
        <is>
          <t>1345-11-05</t>
        </is>
      </c>
    </row>
    <row r="9990">
      <c r="A9990" s="1" t="n">
        <v>9989</v>
      </c>
      <c r="B9990">
        <f>TEXT(9989, "[$-170000]yyyy-mm-dd")</f>
        <v/>
      </c>
      <c r="C9990">
        <f>TEXT(9989, "[$-060000]yyyy-mm-dd")</f>
        <v/>
      </c>
      <c r="D9990" t="inlineStr">
        <is>
          <t>1345-11-06</t>
        </is>
      </c>
    </row>
    <row r="9991">
      <c r="A9991" s="1" t="n">
        <v>9990</v>
      </c>
      <c r="B9991">
        <f>TEXT(9990, "[$-170000]yyyy-mm-dd")</f>
        <v/>
      </c>
      <c r="C9991">
        <f>TEXT(9990, "[$-060000]yyyy-mm-dd")</f>
        <v/>
      </c>
      <c r="D9991" t="inlineStr">
        <is>
          <t>1345-11-07</t>
        </is>
      </c>
    </row>
    <row r="9992">
      <c r="A9992" s="1" t="n">
        <v>9991</v>
      </c>
      <c r="B9992">
        <f>TEXT(9991, "[$-170000]yyyy-mm-dd")</f>
        <v/>
      </c>
      <c r="C9992">
        <f>TEXT(9991, "[$-060000]yyyy-mm-dd")</f>
        <v/>
      </c>
      <c r="D9992" t="inlineStr">
        <is>
          <t>1345-11-08</t>
        </is>
      </c>
    </row>
    <row r="9993">
      <c r="A9993" s="1" t="n">
        <v>9992</v>
      </c>
      <c r="B9993">
        <f>TEXT(9992, "[$-170000]yyyy-mm-dd")</f>
        <v/>
      </c>
      <c r="C9993">
        <f>TEXT(9992, "[$-060000]yyyy-mm-dd")</f>
        <v/>
      </c>
      <c r="D9993" t="inlineStr">
        <is>
          <t>1345-11-09</t>
        </is>
      </c>
    </row>
    <row r="9994">
      <c r="A9994" s="1" t="n">
        <v>9993</v>
      </c>
      <c r="B9994">
        <f>TEXT(9993, "[$-170000]yyyy-mm-dd")</f>
        <v/>
      </c>
      <c r="C9994">
        <f>TEXT(9993, "[$-060000]yyyy-mm-dd")</f>
        <v/>
      </c>
      <c r="D9994" t="inlineStr">
        <is>
          <t>1345-11-10</t>
        </is>
      </c>
    </row>
    <row r="9995">
      <c r="A9995" s="1" t="n">
        <v>9994</v>
      </c>
      <c r="B9995">
        <f>TEXT(9994, "[$-170000]yyyy-mm-dd")</f>
        <v/>
      </c>
      <c r="C9995">
        <f>TEXT(9994, "[$-060000]yyyy-mm-dd")</f>
        <v/>
      </c>
      <c r="D9995" t="inlineStr">
        <is>
          <t>1345-11-11</t>
        </is>
      </c>
    </row>
    <row r="9996">
      <c r="A9996" s="1" t="n">
        <v>9995</v>
      </c>
      <c r="B9996">
        <f>TEXT(9995, "[$-170000]yyyy-mm-dd")</f>
        <v/>
      </c>
      <c r="C9996">
        <f>TEXT(9995, "[$-060000]yyyy-mm-dd")</f>
        <v/>
      </c>
      <c r="D9996" t="inlineStr">
        <is>
          <t>1345-11-12</t>
        </is>
      </c>
    </row>
    <row r="9997">
      <c r="A9997" s="1" t="n">
        <v>9996</v>
      </c>
      <c r="B9997">
        <f>TEXT(9996, "[$-170000]yyyy-mm-dd")</f>
        <v/>
      </c>
      <c r="C9997">
        <f>TEXT(9996, "[$-060000]yyyy-mm-dd")</f>
        <v/>
      </c>
      <c r="D9997" t="inlineStr">
        <is>
          <t>1345-11-13</t>
        </is>
      </c>
    </row>
    <row r="9998">
      <c r="A9998" s="1" t="n">
        <v>9997</v>
      </c>
      <c r="B9998">
        <f>TEXT(9997, "[$-170000]yyyy-mm-dd")</f>
        <v/>
      </c>
      <c r="C9998">
        <f>TEXT(9997, "[$-060000]yyyy-mm-dd")</f>
        <v/>
      </c>
      <c r="D9998" t="inlineStr">
        <is>
          <t>1345-11-14</t>
        </is>
      </c>
    </row>
    <row r="9999">
      <c r="A9999" s="1" t="n">
        <v>9998</v>
      </c>
      <c r="B9999">
        <f>TEXT(9998, "[$-170000]yyyy-mm-dd")</f>
        <v/>
      </c>
      <c r="C9999">
        <f>TEXT(9998, "[$-060000]yyyy-mm-dd")</f>
        <v/>
      </c>
      <c r="D9999" t="inlineStr">
        <is>
          <t>1345-11-15</t>
        </is>
      </c>
    </row>
    <row r="10000">
      <c r="A10000" s="1" t="n">
        <v>9999</v>
      </c>
      <c r="B10000">
        <f>TEXT(9999, "[$-170000]yyyy-mm-dd")</f>
        <v/>
      </c>
      <c r="C10000">
        <f>TEXT(9999, "[$-060000]yyyy-mm-dd")</f>
        <v/>
      </c>
      <c r="D10000" t="inlineStr">
        <is>
          <t>1345-11-16</t>
        </is>
      </c>
    </row>
    <row r="10001">
      <c r="A10001" s="1" t="n">
        <v>10000</v>
      </c>
      <c r="B10001">
        <f>TEXT(10000, "[$-170000]yyyy-mm-dd")</f>
        <v/>
      </c>
      <c r="C10001">
        <f>TEXT(10000, "[$-060000]yyyy-mm-dd")</f>
        <v/>
      </c>
      <c r="D10001" t="inlineStr">
        <is>
          <t>1345-11-17</t>
        </is>
      </c>
    </row>
    <row r="10002">
      <c r="A10002" s="1" t="n">
        <v>10001</v>
      </c>
      <c r="B10002">
        <f>TEXT(10001, "[$-170000]yyyy-mm-dd")</f>
        <v/>
      </c>
      <c r="C10002">
        <f>TEXT(10001, "[$-060000]yyyy-mm-dd")</f>
        <v/>
      </c>
      <c r="D10002" t="inlineStr">
        <is>
          <t>1345-11-18</t>
        </is>
      </c>
    </row>
    <row r="10003">
      <c r="A10003" s="1" t="n">
        <v>10002</v>
      </c>
      <c r="B10003">
        <f>TEXT(10002, "[$-170000]yyyy-mm-dd")</f>
        <v/>
      </c>
      <c r="C10003">
        <f>TEXT(10002, "[$-060000]yyyy-mm-dd")</f>
        <v/>
      </c>
      <c r="D10003" t="inlineStr">
        <is>
          <t>1345-11-19</t>
        </is>
      </c>
    </row>
    <row r="10004">
      <c r="A10004" s="1" t="n">
        <v>10003</v>
      </c>
      <c r="B10004">
        <f>TEXT(10003, "[$-170000]yyyy-mm-dd")</f>
        <v/>
      </c>
      <c r="C10004">
        <f>TEXT(10003, "[$-060000]yyyy-mm-dd")</f>
        <v/>
      </c>
      <c r="D10004" t="inlineStr">
        <is>
          <t>1345-11-20</t>
        </is>
      </c>
    </row>
    <row r="10005">
      <c r="A10005" s="1" t="n">
        <v>10004</v>
      </c>
      <c r="B10005">
        <f>TEXT(10004, "[$-170000]yyyy-mm-dd")</f>
        <v/>
      </c>
      <c r="C10005">
        <f>TEXT(10004, "[$-060000]yyyy-mm-dd")</f>
        <v/>
      </c>
      <c r="D10005" t="inlineStr">
        <is>
          <t>1345-11-21</t>
        </is>
      </c>
    </row>
    <row r="10006">
      <c r="A10006" s="1" t="n">
        <v>10005</v>
      </c>
      <c r="B10006">
        <f>TEXT(10005, "[$-170000]yyyy-mm-dd")</f>
        <v/>
      </c>
      <c r="C10006">
        <f>TEXT(10005, "[$-060000]yyyy-mm-dd")</f>
        <v/>
      </c>
      <c r="D10006" t="inlineStr">
        <is>
          <t>1345-11-22</t>
        </is>
      </c>
    </row>
    <row r="10007">
      <c r="A10007" s="1" t="n">
        <v>10006</v>
      </c>
      <c r="B10007">
        <f>TEXT(10006, "[$-170000]yyyy-mm-dd")</f>
        <v/>
      </c>
      <c r="C10007">
        <f>TEXT(10006, "[$-060000]yyyy-mm-dd")</f>
        <v/>
      </c>
      <c r="D10007" t="inlineStr">
        <is>
          <t>1345-11-23</t>
        </is>
      </c>
    </row>
    <row r="10008">
      <c r="A10008" s="1" t="n">
        <v>10007</v>
      </c>
      <c r="B10008">
        <f>TEXT(10007, "[$-170000]yyyy-mm-dd")</f>
        <v/>
      </c>
      <c r="C10008">
        <f>TEXT(10007, "[$-060000]yyyy-mm-dd")</f>
        <v/>
      </c>
      <c r="D10008" t="inlineStr">
        <is>
          <t>1345-11-24</t>
        </is>
      </c>
    </row>
    <row r="10009">
      <c r="A10009" s="1" t="n">
        <v>10008</v>
      </c>
      <c r="B10009">
        <f>TEXT(10008, "[$-170000]yyyy-mm-dd")</f>
        <v/>
      </c>
      <c r="C10009">
        <f>TEXT(10008, "[$-060000]yyyy-mm-dd")</f>
        <v/>
      </c>
      <c r="D10009" t="inlineStr">
        <is>
          <t>1345-11-25</t>
        </is>
      </c>
    </row>
    <row r="10010">
      <c r="A10010" s="1" t="n">
        <v>10009</v>
      </c>
      <c r="B10010">
        <f>TEXT(10009, "[$-170000]yyyy-mm-dd")</f>
        <v/>
      </c>
      <c r="C10010">
        <f>TEXT(10009, "[$-060000]yyyy-mm-dd")</f>
        <v/>
      </c>
      <c r="D10010" t="inlineStr">
        <is>
          <t>1345-11-26</t>
        </is>
      </c>
    </row>
    <row r="10011">
      <c r="A10011" s="1" t="n">
        <v>10010</v>
      </c>
      <c r="B10011">
        <f>TEXT(10010, "[$-170000]yyyy-mm-dd")</f>
        <v/>
      </c>
      <c r="C10011">
        <f>TEXT(10010, "[$-060000]yyyy-mm-dd")</f>
        <v/>
      </c>
      <c r="D10011" t="inlineStr">
        <is>
          <t>1345-11-27</t>
        </is>
      </c>
    </row>
    <row r="10012">
      <c r="A10012" s="1" t="n">
        <v>10011</v>
      </c>
      <c r="B10012">
        <f>TEXT(10011, "[$-170000]yyyy-mm-dd")</f>
        <v/>
      </c>
      <c r="C10012">
        <f>TEXT(10011, "[$-060000]yyyy-mm-dd")</f>
        <v/>
      </c>
      <c r="D10012" t="inlineStr">
        <is>
          <t>1345-11-28</t>
        </is>
      </c>
    </row>
    <row r="10013">
      <c r="A10013" s="1" t="n">
        <v>10012</v>
      </c>
      <c r="B10013">
        <f>TEXT(10012, "[$-170000]yyyy-mm-dd")</f>
        <v/>
      </c>
      <c r="C10013">
        <f>TEXT(10012, "[$-060000]yyyy-mm-dd")</f>
        <v/>
      </c>
      <c r="D10013" t="inlineStr">
        <is>
          <t>1345-11-29</t>
        </is>
      </c>
    </row>
    <row r="10014">
      <c r="A10014" s="1" t="n">
        <v>10013</v>
      </c>
      <c r="B10014">
        <f>TEXT(10013, "[$-170000]yyyy-mm-dd")</f>
        <v/>
      </c>
      <c r="C10014">
        <f>TEXT(10013, "[$-060000]yyyy-mm-dd")</f>
        <v/>
      </c>
      <c r="D10014" t="inlineStr">
        <is>
          <t>1345-11-30</t>
        </is>
      </c>
    </row>
    <row r="10015">
      <c r="A10015" s="1" t="n">
        <v>10014</v>
      </c>
      <c r="B10015">
        <f>TEXT(10014, "[$-170000]yyyy-mm-dd")</f>
        <v/>
      </c>
      <c r="C10015">
        <f>TEXT(10014, "[$-060000]yyyy-mm-dd")</f>
        <v/>
      </c>
      <c r="D10015" t="inlineStr">
        <is>
          <t>1345-12-01</t>
        </is>
      </c>
    </row>
    <row r="10016">
      <c r="A10016" s="1" t="n">
        <v>10015</v>
      </c>
      <c r="B10016">
        <f>TEXT(10015, "[$-170000]yyyy-mm-dd")</f>
        <v/>
      </c>
      <c r="C10016">
        <f>TEXT(10015, "[$-060000]yyyy-mm-dd")</f>
        <v/>
      </c>
      <c r="D10016" t="inlineStr">
        <is>
          <t>1345-12-02</t>
        </is>
      </c>
    </row>
    <row r="10017">
      <c r="A10017" s="1" t="n">
        <v>10016</v>
      </c>
      <c r="B10017">
        <f>TEXT(10016, "[$-170000]yyyy-mm-dd")</f>
        <v/>
      </c>
      <c r="C10017">
        <f>TEXT(10016, "[$-060000]yyyy-mm-dd")</f>
        <v/>
      </c>
      <c r="D10017" t="inlineStr">
        <is>
          <t>1345-12-03</t>
        </is>
      </c>
    </row>
    <row r="10018">
      <c r="A10018" s="1" t="n">
        <v>10017</v>
      </c>
      <c r="B10018">
        <f>TEXT(10017, "[$-170000]yyyy-mm-dd")</f>
        <v/>
      </c>
      <c r="C10018">
        <f>TEXT(10017, "[$-060000]yyyy-mm-dd")</f>
        <v/>
      </c>
      <c r="D10018" t="inlineStr">
        <is>
          <t>1345-12-04</t>
        </is>
      </c>
    </row>
    <row r="10019">
      <c r="A10019" s="1" t="n">
        <v>10018</v>
      </c>
      <c r="B10019">
        <f>TEXT(10018, "[$-170000]yyyy-mm-dd")</f>
        <v/>
      </c>
      <c r="C10019">
        <f>TEXT(10018, "[$-060000]yyyy-mm-dd")</f>
        <v/>
      </c>
      <c r="D10019" t="inlineStr">
        <is>
          <t>1345-12-05</t>
        </is>
      </c>
    </row>
    <row r="10020">
      <c r="A10020" s="1" t="n">
        <v>10019</v>
      </c>
      <c r="B10020">
        <f>TEXT(10019, "[$-170000]yyyy-mm-dd")</f>
        <v/>
      </c>
      <c r="C10020">
        <f>TEXT(10019, "[$-060000]yyyy-mm-dd")</f>
        <v/>
      </c>
      <c r="D10020" t="inlineStr">
        <is>
          <t>1345-12-06</t>
        </is>
      </c>
    </row>
    <row r="10021">
      <c r="A10021" s="1" t="n">
        <v>10020</v>
      </c>
      <c r="B10021">
        <f>TEXT(10020, "[$-170000]yyyy-mm-dd")</f>
        <v/>
      </c>
      <c r="C10021">
        <f>TEXT(10020, "[$-060000]yyyy-mm-dd")</f>
        <v/>
      </c>
      <c r="D10021" t="inlineStr">
        <is>
          <t>1345-12-07</t>
        </is>
      </c>
    </row>
    <row r="10022">
      <c r="A10022" s="1" t="n">
        <v>10021</v>
      </c>
      <c r="B10022">
        <f>TEXT(10021, "[$-170000]yyyy-mm-dd")</f>
        <v/>
      </c>
      <c r="C10022">
        <f>TEXT(10021, "[$-060000]yyyy-mm-dd")</f>
        <v/>
      </c>
      <c r="D10022" t="inlineStr">
        <is>
          <t>1345-12-08</t>
        </is>
      </c>
    </row>
    <row r="10023">
      <c r="A10023" s="1" t="n">
        <v>10022</v>
      </c>
      <c r="B10023">
        <f>TEXT(10022, "[$-170000]yyyy-mm-dd")</f>
        <v/>
      </c>
      <c r="C10023">
        <f>TEXT(10022, "[$-060000]yyyy-mm-dd")</f>
        <v/>
      </c>
      <c r="D10023" t="inlineStr">
        <is>
          <t>1345-12-09</t>
        </is>
      </c>
    </row>
    <row r="10024">
      <c r="A10024" s="1" t="n">
        <v>10023</v>
      </c>
      <c r="B10024">
        <f>TEXT(10023, "[$-170000]yyyy-mm-dd")</f>
        <v/>
      </c>
      <c r="C10024">
        <f>TEXT(10023, "[$-060000]yyyy-mm-dd")</f>
        <v/>
      </c>
      <c r="D10024" t="inlineStr">
        <is>
          <t>1345-12-10</t>
        </is>
      </c>
    </row>
    <row r="10025">
      <c r="A10025" s="1" t="n">
        <v>10024</v>
      </c>
      <c r="B10025">
        <f>TEXT(10024, "[$-170000]yyyy-mm-dd")</f>
        <v/>
      </c>
      <c r="C10025">
        <f>TEXT(10024, "[$-060000]yyyy-mm-dd")</f>
        <v/>
      </c>
      <c r="D10025" t="inlineStr">
        <is>
          <t>1345-12-11</t>
        </is>
      </c>
    </row>
    <row r="10026">
      <c r="A10026" s="1" t="n">
        <v>10025</v>
      </c>
      <c r="B10026">
        <f>TEXT(10025, "[$-170000]yyyy-mm-dd")</f>
        <v/>
      </c>
      <c r="C10026">
        <f>TEXT(10025, "[$-060000]yyyy-mm-dd")</f>
        <v/>
      </c>
      <c r="D10026" t="inlineStr">
        <is>
          <t>1345-12-12</t>
        </is>
      </c>
    </row>
    <row r="10027">
      <c r="A10027" s="1" t="n">
        <v>10026</v>
      </c>
      <c r="B10027">
        <f>TEXT(10026, "[$-170000]yyyy-mm-dd")</f>
        <v/>
      </c>
      <c r="C10027">
        <f>TEXT(10026, "[$-060000]yyyy-mm-dd")</f>
        <v/>
      </c>
      <c r="D10027" t="inlineStr">
        <is>
          <t>1345-12-13</t>
        </is>
      </c>
    </row>
    <row r="10028">
      <c r="A10028" s="1" t="n">
        <v>10027</v>
      </c>
      <c r="B10028">
        <f>TEXT(10027, "[$-170000]yyyy-mm-dd")</f>
        <v/>
      </c>
      <c r="C10028">
        <f>TEXT(10027, "[$-060000]yyyy-mm-dd")</f>
        <v/>
      </c>
      <c r="D10028" t="inlineStr">
        <is>
          <t>1345-12-14</t>
        </is>
      </c>
    </row>
    <row r="10029">
      <c r="A10029" s="1" t="n">
        <v>10028</v>
      </c>
      <c r="B10029">
        <f>TEXT(10028, "[$-170000]yyyy-mm-dd")</f>
        <v/>
      </c>
      <c r="C10029">
        <f>TEXT(10028, "[$-060000]yyyy-mm-dd")</f>
        <v/>
      </c>
      <c r="D10029" t="inlineStr">
        <is>
          <t>1345-12-15</t>
        </is>
      </c>
    </row>
    <row r="10030">
      <c r="A10030" s="1" t="n">
        <v>10029</v>
      </c>
      <c r="B10030">
        <f>TEXT(10029, "[$-170000]yyyy-mm-dd")</f>
        <v/>
      </c>
      <c r="C10030">
        <f>TEXT(10029, "[$-060000]yyyy-mm-dd")</f>
        <v/>
      </c>
      <c r="D10030" t="inlineStr">
        <is>
          <t>1345-12-16</t>
        </is>
      </c>
    </row>
    <row r="10031">
      <c r="A10031" s="1" t="n">
        <v>10030</v>
      </c>
      <c r="B10031">
        <f>TEXT(10030, "[$-170000]yyyy-mm-dd")</f>
        <v/>
      </c>
      <c r="C10031">
        <f>TEXT(10030, "[$-060000]yyyy-mm-dd")</f>
        <v/>
      </c>
      <c r="D10031" t="inlineStr">
        <is>
          <t>1345-12-17</t>
        </is>
      </c>
    </row>
    <row r="10032">
      <c r="A10032" s="1" t="n">
        <v>10031</v>
      </c>
      <c r="B10032">
        <f>TEXT(10031, "[$-170000]yyyy-mm-dd")</f>
        <v/>
      </c>
      <c r="C10032">
        <f>TEXT(10031, "[$-060000]yyyy-mm-dd")</f>
        <v/>
      </c>
      <c r="D10032" t="inlineStr">
        <is>
          <t>1345-12-18</t>
        </is>
      </c>
    </row>
    <row r="10033">
      <c r="A10033" s="1" t="n">
        <v>10032</v>
      </c>
      <c r="B10033">
        <f>TEXT(10032, "[$-170000]yyyy-mm-dd")</f>
        <v/>
      </c>
      <c r="C10033">
        <f>TEXT(10032, "[$-060000]yyyy-mm-dd")</f>
        <v/>
      </c>
      <c r="D10033" t="inlineStr">
        <is>
          <t>1345-12-19</t>
        </is>
      </c>
    </row>
    <row r="10034">
      <c r="A10034" s="1" t="n">
        <v>10033</v>
      </c>
      <c r="B10034">
        <f>TEXT(10033, "[$-170000]yyyy-mm-dd")</f>
        <v/>
      </c>
      <c r="C10034">
        <f>TEXT(10033, "[$-060000]yyyy-mm-dd")</f>
        <v/>
      </c>
      <c r="D10034" t="inlineStr">
        <is>
          <t>1345-12-20</t>
        </is>
      </c>
    </row>
    <row r="10035">
      <c r="A10035" s="1" t="n">
        <v>10034</v>
      </c>
      <c r="B10035">
        <f>TEXT(10034, "[$-170000]yyyy-mm-dd")</f>
        <v/>
      </c>
      <c r="C10035">
        <f>TEXT(10034, "[$-060000]yyyy-mm-dd")</f>
        <v/>
      </c>
      <c r="D10035" t="inlineStr">
        <is>
          <t>1345-12-21</t>
        </is>
      </c>
    </row>
    <row r="10036">
      <c r="A10036" s="1" t="n">
        <v>10035</v>
      </c>
      <c r="B10036">
        <f>TEXT(10035, "[$-170000]yyyy-mm-dd")</f>
        <v/>
      </c>
      <c r="C10036">
        <f>TEXT(10035, "[$-060000]yyyy-mm-dd")</f>
        <v/>
      </c>
      <c r="D10036" t="inlineStr">
        <is>
          <t>1345-12-22</t>
        </is>
      </c>
    </row>
    <row r="10037">
      <c r="A10037" s="1" t="n">
        <v>10036</v>
      </c>
      <c r="B10037">
        <f>TEXT(10036, "[$-170000]yyyy-mm-dd")</f>
        <v/>
      </c>
      <c r="C10037">
        <f>TEXT(10036, "[$-060000]yyyy-mm-dd")</f>
        <v/>
      </c>
      <c r="D10037" t="inlineStr">
        <is>
          <t>1345-12-23</t>
        </is>
      </c>
    </row>
    <row r="10038">
      <c r="A10038" s="1" t="n">
        <v>10037</v>
      </c>
      <c r="B10038">
        <f>TEXT(10037, "[$-170000]yyyy-mm-dd")</f>
        <v/>
      </c>
      <c r="C10038">
        <f>TEXT(10037, "[$-060000]yyyy-mm-dd")</f>
        <v/>
      </c>
      <c r="D10038" t="inlineStr">
        <is>
          <t>1345-12-24</t>
        </is>
      </c>
    </row>
    <row r="10039">
      <c r="A10039" s="1" t="n">
        <v>10038</v>
      </c>
      <c r="B10039">
        <f>TEXT(10038, "[$-170000]yyyy-mm-dd")</f>
        <v/>
      </c>
      <c r="C10039">
        <f>TEXT(10038, "[$-060000]yyyy-mm-dd")</f>
        <v/>
      </c>
      <c r="D10039" t="inlineStr">
        <is>
          <t>1345-12-25</t>
        </is>
      </c>
    </row>
    <row r="10040">
      <c r="A10040" s="1" t="n">
        <v>10039</v>
      </c>
      <c r="B10040">
        <f>TEXT(10039, "[$-170000]yyyy-mm-dd")</f>
        <v/>
      </c>
      <c r="C10040">
        <f>TEXT(10039, "[$-060000]yyyy-mm-dd")</f>
        <v/>
      </c>
      <c r="D10040" t="inlineStr">
        <is>
          <t>1345-12-26</t>
        </is>
      </c>
    </row>
    <row r="10041">
      <c r="A10041" s="1" t="n">
        <v>10040</v>
      </c>
      <c r="B10041">
        <f>TEXT(10040, "[$-170000]yyyy-mm-dd")</f>
        <v/>
      </c>
      <c r="C10041">
        <f>TEXT(10040, "[$-060000]yyyy-mm-dd")</f>
        <v/>
      </c>
      <c r="D10041" t="inlineStr">
        <is>
          <t>1345-12-27</t>
        </is>
      </c>
    </row>
    <row r="10042">
      <c r="A10042" s="1" t="n">
        <v>10041</v>
      </c>
      <c r="B10042">
        <f>TEXT(10041, "[$-170000]yyyy-mm-dd")</f>
        <v/>
      </c>
      <c r="C10042">
        <f>TEXT(10041, "[$-060000]yyyy-mm-dd")</f>
        <v/>
      </c>
      <c r="D10042" t="inlineStr">
        <is>
          <t>1345-12-28</t>
        </is>
      </c>
    </row>
    <row r="10043">
      <c r="A10043" s="1" t="n">
        <v>10042</v>
      </c>
      <c r="B10043">
        <f>TEXT(10042, "[$-170000]yyyy-mm-dd")</f>
        <v/>
      </c>
      <c r="C10043">
        <f>TEXT(10042, "[$-060000]yyyy-mm-dd")</f>
        <v/>
      </c>
      <c r="D10043" t="inlineStr">
        <is>
          <t>1345-12-29</t>
        </is>
      </c>
    </row>
    <row r="10044">
      <c r="A10044" s="1" t="n">
        <v>10043</v>
      </c>
      <c r="B10044">
        <f>TEXT(10043, "[$-170000]yyyy-mm-dd")</f>
        <v/>
      </c>
      <c r="C10044">
        <f>TEXT(10043, "[$-060000]yyyy-mm-dd")</f>
        <v/>
      </c>
      <c r="D10044" t="inlineStr">
        <is>
          <t>1346-01-01</t>
        </is>
      </c>
    </row>
    <row r="10045">
      <c r="A10045" s="1" t="n">
        <v>10044</v>
      </c>
      <c r="B10045">
        <f>TEXT(10044, "[$-170000]yyyy-mm-dd")</f>
        <v/>
      </c>
      <c r="C10045">
        <f>TEXT(10044, "[$-060000]yyyy-mm-dd")</f>
        <v/>
      </c>
      <c r="D10045" t="inlineStr">
        <is>
          <t>1346-01-02</t>
        </is>
      </c>
    </row>
    <row r="10046">
      <c r="A10046" s="1" t="n">
        <v>10045</v>
      </c>
      <c r="B10046">
        <f>TEXT(10045, "[$-170000]yyyy-mm-dd")</f>
        <v/>
      </c>
      <c r="C10046">
        <f>TEXT(10045, "[$-060000]yyyy-mm-dd")</f>
        <v/>
      </c>
      <c r="D10046" t="inlineStr">
        <is>
          <t>1346-01-03</t>
        </is>
      </c>
    </row>
    <row r="10047">
      <c r="A10047" s="1" t="n">
        <v>10046</v>
      </c>
      <c r="B10047">
        <f>TEXT(10046, "[$-170000]yyyy-mm-dd")</f>
        <v/>
      </c>
      <c r="C10047">
        <f>TEXT(10046, "[$-060000]yyyy-mm-dd")</f>
        <v/>
      </c>
      <c r="D10047" t="inlineStr">
        <is>
          <t>1346-01-04</t>
        </is>
      </c>
    </row>
    <row r="10048">
      <c r="A10048" s="1" t="n">
        <v>10047</v>
      </c>
      <c r="B10048">
        <f>TEXT(10047, "[$-170000]yyyy-mm-dd")</f>
        <v/>
      </c>
      <c r="C10048">
        <f>TEXT(10047, "[$-060000]yyyy-mm-dd")</f>
        <v/>
      </c>
      <c r="D10048" t="inlineStr">
        <is>
          <t>1346-01-05</t>
        </is>
      </c>
    </row>
    <row r="10049">
      <c r="A10049" s="1" t="n">
        <v>10048</v>
      </c>
      <c r="B10049">
        <f>TEXT(10048, "[$-170000]yyyy-mm-dd")</f>
        <v/>
      </c>
      <c r="C10049">
        <f>TEXT(10048, "[$-060000]yyyy-mm-dd")</f>
        <v/>
      </c>
      <c r="D10049" t="inlineStr">
        <is>
          <t>1346-01-06</t>
        </is>
      </c>
    </row>
    <row r="10050">
      <c r="A10050" s="1" t="n">
        <v>10049</v>
      </c>
      <c r="B10050">
        <f>TEXT(10049, "[$-170000]yyyy-mm-dd")</f>
        <v/>
      </c>
      <c r="C10050">
        <f>TEXT(10049, "[$-060000]yyyy-mm-dd")</f>
        <v/>
      </c>
      <c r="D10050" t="inlineStr">
        <is>
          <t>1346-01-07</t>
        </is>
      </c>
    </row>
    <row r="10051">
      <c r="A10051" s="1" t="n">
        <v>10050</v>
      </c>
      <c r="B10051">
        <f>TEXT(10050, "[$-170000]yyyy-mm-dd")</f>
        <v/>
      </c>
      <c r="C10051">
        <f>TEXT(10050, "[$-060000]yyyy-mm-dd")</f>
        <v/>
      </c>
      <c r="D10051" t="inlineStr">
        <is>
          <t>1346-01-08</t>
        </is>
      </c>
    </row>
    <row r="10052">
      <c r="A10052" s="1" t="n">
        <v>10051</v>
      </c>
      <c r="B10052">
        <f>TEXT(10051, "[$-170000]yyyy-mm-dd")</f>
        <v/>
      </c>
      <c r="C10052">
        <f>TEXT(10051, "[$-060000]yyyy-mm-dd")</f>
        <v/>
      </c>
      <c r="D10052" t="inlineStr">
        <is>
          <t>1346-01-09</t>
        </is>
      </c>
    </row>
    <row r="10053">
      <c r="A10053" s="1" t="n">
        <v>10052</v>
      </c>
      <c r="B10053">
        <f>TEXT(10052, "[$-170000]yyyy-mm-dd")</f>
        <v/>
      </c>
      <c r="C10053">
        <f>TEXT(10052, "[$-060000]yyyy-mm-dd")</f>
        <v/>
      </c>
      <c r="D10053" t="inlineStr">
        <is>
          <t>1346-01-10</t>
        </is>
      </c>
    </row>
    <row r="10054">
      <c r="A10054" s="1" t="n">
        <v>10053</v>
      </c>
      <c r="B10054">
        <f>TEXT(10053, "[$-170000]yyyy-mm-dd")</f>
        <v/>
      </c>
      <c r="C10054">
        <f>TEXT(10053, "[$-060000]yyyy-mm-dd")</f>
        <v/>
      </c>
      <c r="D10054" t="inlineStr">
        <is>
          <t>1346-01-11</t>
        </is>
      </c>
    </row>
    <row r="10055">
      <c r="A10055" s="1" t="n">
        <v>10054</v>
      </c>
      <c r="B10055">
        <f>TEXT(10054, "[$-170000]yyyy-mm-dd")</f>
        <v/>
      </c>
      <c r="C10055">
        <f>TEXT(10054, "[$-060000]yyyy-mm-dd")</f>
        <v/>
      </c>
      <c r="D10055" t="inlineStr">
        <is>
          <t>1346-01-12</t>
        </is>
      </c>
    </row>
    <row r="10056">
      <c r="A10056" s="1" t="n">
        <v>10055</v>
      </c>
      <c r="B10056">
        <f>TEXT(10055, "[$-170000]yyyy-mm-dd")</f>
        <v/>
      </c>
      <c r="C10056">
        <f>TEXT(10055, "[$-060000]yyyy-mm-dd")</f>
        <v/>
      </c>
      <c r="D10056" t="inlineStr">
        <is>
          <t>1346-01-13</t>
        </is>
      </c>
    </row>
    <row r="10057">
      <c r="A10057" s="1" t="n">
        <v>10056</v>
      </c>
      <c r="B10057">
        <f>TEXT(10056, "[$-170000]yyyy-mm-dd")</f>
        <v/>
      </c>
      <c r="C10057">
        <f>TEXT(10056, "[$-060000]yyyy-mm-dd")</f>
        <v/>
      </c>
      <c r="D10057" t="inlineStr">
        <is>
          <t>1346-01-14</t>
        </is>
      </c>
    </row>
    <row r="10058">
      <c r="A10058" s="1" t="n">
        <v>10057</v>
      </c>
      <c r="B10058">
        <f>TEXT(10057, "[$-170000]yyyy-mm-dd")</f>
        <v/>
      </c>
      <c r="C10058">
        <f>TEXT(10057, "[$-060000]yyyy-mm-dd")</f>
        <v/>
      </c>
      <c r="D10058" t="inlineStr">
        <is>
          <t>1346-01-15</t>
        </is>
      </c>
    </row>
    <row r="10059">
      <c r="A10059" s="1" t="n">
        <v>10058</v>
      </c>
      <c r="B10059">
        <f>TEXT(10058, "[$-170000]yyyy-mm-dd")</f>
        <v/>
      </c>
      <c r="C10059">
        <f>TEXT(10058, "[$-060000]yyyy-mm-dd")</f>
        <v/>
      </c>
      <c r="D10059" t="inlineStr">
        <is>
          <t>1346-01-16</t>
        </is>
      </c>
    </row>
    <row r="10060">
      <c r="A10060" s="1" t="n">
        <v>10059</v>
      </c>
      <c r="B10060">
        <f>TEXT(10059, "[$-170000]yyyy-mm-dd")</f>
        <v/>
      </c>
      <c r="C10060">
        <f>TEXT(10059, "[$-060000]yyyy-mm-dd")</f>
        <v/>
      </c>
      <c r="D10060" t="inlineStr">
        <is>
          <t>1346-01-17</t>
        </is>
      </c>
    </row>
    <row r="10061">
      <c r="A10061" s="1" t="n">
        <v>10060</v>
      </c>
      <c r="B10061">
        <f>TEXT(10060, "[$-170000]yyyy-mm-dd")</f>
        <v/>
      </c>
      <c r="C10061">
        <f>TEXT(10060, "[$-060000]yyyy-mm-dd")</f>
        <v/>
      </c>
      <c r="D10061" t="inlineStr">
        <is>
          <t>1346-01-18</t>
        </is>
      </c>
    </row>
    <row r="10062">
      <c r="A10062" s="1" t="n">
        <v>10061</v>
      </c>
      <c r="B10062">
        <f>TEXT(10061, "[$-170000]yyyy-mm-dd")</f>
        <v/>
      </c>
      <c r="C10062">
        <f>TEXT(10061, "[$-060000]yyyy-mm-dd")</f>
        <v/>
      </c>
      <c r="D10062" t="inlineStr">
        <is>
          <t>1346-01-19</t>
        </is>
      </c>
    </row>
    <row r="10063">
      <c r="A10063" s="1" t="n">
        <v>10062</v>
      </c>
      <c r="B10063">
        <f>TEXT(10062, "[$-170000]yyyy-mm-dd")</f>
        <v/>
      </c>
      <c r="C10063">
        <f>TEXT(10062, "[$-060000]yyyy-mm-dd")</f>
        <v/>
      </c>
      <c r="D10063" t="inlineStr">
        <is>
          <t>1346-01-20</t>
        </is>
      </c>
    </row>
    <row r="10064">
      <c r="A10064" s="1" t="n">
        <v>10063</v>
      </c>
      <c r="B10064">
        <f>TEXT(10063, "[$-170000]yyyy-mm-dd")</f>
        <v/>
      </c>
      <c r="C10064">
        <f>TEXT(10063, "[$-060000]yyyy-mm-dd")</f>
        <v/>
      </c>
      <c r="D10064" t="inlineStr">
        <is>
          <t>1346-01-21</t>
        </is>
      </c>
    </row>
    <row r="10065">
      <c r="A10065" s="1" t="n">
        <v>10064</v>
      </c>
      <c r="B10065">
        <f>TEXT(10064, "[$-170000]yyyy-mm-dd")</f>
        <v/>
      </c>
      <c r="C10065">
        <f>TEXT(10064, "[$-060000]yyyy-mm-dd")</f>
        <v/>
      </c>
      <c r="D10065" t="inlineStr">
        <is>
          <t>1346-01-22</t>
        </is>
      </c>
    </row>
    <row r="10066">
      <c r="A10066" s="1" t="n">
        <v>10065</v>
      </c>
      <c r="B10066">
        <f>TEXT(10065, "[$-170000]yyyy-mm-dd")</f>
        <v/>
      </c>
      <c r="C10066">
        <f>TEXT(10065, "[$-060000]yyyy-mm-dd")</f>
        <v/>
      </c>
      <c r="D10066" t="inlineStr">
        <is>
          <t>1346-01-23</t>
        </is>
      </c>
    </row>
    <row r="10067">
      <c r="A10067" s="1" t="n">
        <v>10066</v>
      </c>
      <c r="B10067">
        <f>TEXT(10066, "[$-170000]yyyy-mm-dd")</f>
        <v/>
      </c>
      <c r="C10067">
        <f>TEXT(10066, "[$-060000]yyyy-mm-dd")</f>
        <v/>
      </c>
      <c r="D10067" t="inlineStr">
        <is>
          <t>1346-01-24</t>
        </is>
      </c>
    </row>
    <row r="10068">
      <c r="A10068" s="1" t="n">
        <v>10067</v>
      </c>
      <c r="B10068">
        <f>TEXT(10067, "[$-170000]yyyy-mm-dd")</f>
        <v/>
      </c>
      <c r="C10068">
        <f>TEXT(10067, "[$-060000]yyyy-mm-dd")</f>
        <v/>
      </c>
      <c r="D10068" t="inlineStr">
        <is>
          <t>1346-01-25</t>
        </is>
      </c>
    </row>
    <row r="10069">
      <c r="A10069" s="1" t="n">
        <v>10068</v>
      </c>
      <c r="B10069">
        <f>TEXT(10068, "[$-170000]yyyy-mm-dd")</f>
        <v/>
      </c>
      <c r="C10069">
        <f>TEXT(10068, "[$-060000]yyyy-mm-dd")</f>
        <v/>
      </c>
      <c r="D10069" t="inlineStr">
        <is>
          <t>1346-01-26</t>
        </is>
      </c>
    </row>
    <row r="10070">
      <c r="A10070" s="1" t="n">
        <v>10069</v>
      </c>
      <c r="B10070">
        <f>TEXT(10069, "[$-170000]yyyy-mm-dd")</f>
        <v/>
      </c>
      <c r="C10070">
        <f>TEXT(10069, "[$-060000]yyyy-mm-dd")</f>
        <v/>
      </c>
      <c r="D10070" t="inlineStr">
        <is>
          <t>1346-01-27</t>
        </is>
      </c>
    </row>
    <row r="10071">
      <c r="A10071" s="1" t="n">
        <v>10070</v>
      </c>
      <c r="B10071">
        <f>TEXT(10070, "[$-170000]yyyy-mm-dd")</f>
        <v/>
      </c>
      <c r="C10071">
        <f>TEXT(10070, "[$-060000]yyyy-mm-dd")</f>
        <v/>
      </c>
      <c r="D10071" t="inlineStr">
        <is>
          <t>1346-01-28</t>
        </is>
      </c>
    </row>
    <row r="10072">
      <c r="A10072" s="1" t="n">
        <v>10071</v>
      </c>
      <c r="B10072">
        <f>TEXT(10071, "[$-170000]yyyy-mm-dd")</f>
        <v/>
      </c>
      <c r="C10072">
        <f>TEXT(10071, "[$-060000]yyyy-mm-dd")</f>
        <v/>
      </c>
      <c r="D10072" t="inlineStr">
        <is>
          <t>1346-01-29</t>
        </is>
      </c>
    </row>
    <row r="10073">
      <c r="A10073" s="1" t="n">
        <v>10072</v>
      </c>
      <c r="B10073">
        <f>TEXT(10072, "[$-170000]yyyy-mm-dd")</f>
        <v/>
      </c>
      <c r="C10073">
        <f>TEXT(10072, "[$-060000]yyyy-mm-dd")</f>
        <v/>
      </c>
      <c r="D10073" t="inlineStr">
        <is>
          <t>1346-01-30</t>
        </is>
      </c>
    </row>
    <row r="10074">
      <c r="A10074" s="1" t="n">
        <v>10073</v>
      </c>
      <c r="B10074">
        <f>TEXT(10073, "[$-170000]yyyy-mm-dd")</f>
        <v/>
      </c>
      <c r="C10074">
        <f>TEXT(10073, "[$-060000]yyyy-mm-dd")</f>
        <v/>
      </c>
      <c r="D10074" t="inlineStr">
        <is>
          <t>1346-02-01</t>
        </is>
      </c>
    </row>
    <row r="10075">
      <c r="A10075" s="1" t="n">
        <v>10074</v>
      </c>
      <c r="B10075">
        <f>TEXT(10074, "[$-170000]yyyy-mm-dd")</f>
        <v/>
      </c>
      <c r="C10075">
        <f>TEXT(10074, "[$-060000]yyyy-mm-dd")</f>
        <v/>
      </c>
      <c r="D10075" t="inlineStr">
        <is>
          <t>1346-02-02</t>
        </is>
      </c>
    </row>
    <row r="10076">
      <c r="A10076" s="1" t="n">
        <v>10075</v>
      </c>
      <c r="B10076">
        <f>TEXT(10075, "[$-170000]yyyy-mm-dd")</f>
        <v/>
      </c>
      <c r="C10076">
        <f>TEXT(10075, "[$-060000]yyyy-mm-dd")</f>
        <v/>
      </c>
      <c r="D10076" t="inlineStr">
        <is>
          <t>1346-02-03</t>
        </is>
      </c>
    </row>
    <row r="10077">
      <c r="A10077" s="1" t="n">
        <v>10076</v>
      </c>
      <c r="B10077">
        <f>TEXT(10076, "[$-170000]yyyy-mm-dd")</f>
        <v/>
      </c>
      <c r="C10077">
        <f>TEXT(10076, "[$-060000]yyyy-mm-dd")</f>
        <v/>
      </c>
      <c r="D10077" t="inlineStr">
        <is>
          <t>1346-02-04</t>
        </is>
      </c>
    </row>
    <row r="10078">
      <c r="A10078" s="1" t="n">
        <v>10077</v>
      </c>
      <c r="B10078">
        <f>TEXT(10077, "[$-170000]yyyy-mm-dd")</f>
        <v/>
      </c>
      <c r="C10078">
        <f>TEXT(10077, "[$-060000]yyyy-mm-dd")</f>
        <v/>
      </c>
      <c r="D10078" t="inlineStr">
        <is>
          <t>1346-02-05</t>
        </is>
      </c>
    </row>
    <row r="10079">
      <c r="A10079" s="1" t="n">
        <v>10078</v>
      </c>
      <c r="B10079">
        <f>TEXT(10078, "[$-170000]yyyy-mm-dd")</f>
        <v/>
      </c>
      <c r="C10079">
        <f>TEXT(10078, "[$-060000]yyyy-mm-dd")</f>
        <v/>
      </c>
      <c r="D10079" t="inlineStr">
        <is>
          <t>1346-02-06</t>
        </is>
      </c>
    </row>
    <row r="10080">
      <c r="A10080" s="1" t="n">
        <v>10079</v>
      </c>
      <c r="B10080">
        <f>TEXT(10079, "[$-170000]yyyy-mm-dd")</f>
        <v/>
      </c>
      <c r="C10080">
        <f>TEXT(10079, "[$-060000]yyyy-mm-dd")</f>
        <v/>
      </c>
      <c r="D10080" t="inlineStr">
        <is>
          <t>1346-02-07</t>
        </is>
      </c>
    </row>
    <row r="10081">
      <c r="A10081" s="1" t="n">
        <v>10080</v>
      </c>
      <c r="B10081">
        <f>TEXT(10080, "[$-170000]yyyy-mm-dd")</f>
        <v/>
      </c>
      <c r="C10081">
        <f>TEXT(10080, "[$-060000]yyyy-mm-dd")</f>
        <v/>
      </c>
      <c r="D10081" t="inlineStr">
        <is>
          <t>1346-02-08</t>
        </is>
      </c>
    </row>
    <row r="10082">
      <c r="A10082" s="1" t="n">
        <v>10081</v>
      </c>
      <c r="B10082">
        <f>TEXT(10081, "[$-170000]yyyy-mm-dd")</f>
        <v/>
      </c>
      <c r="C10082">
        <f>TEXT(10081, "[$-060000]yyyy-mm-dd")</f>
        <v/>
      </c>
      <c r="D10082" t="inlineStr">
        <is>
          <t>1346-02-09</t>
        </is>
      </c>
    </row>
    <row r="10083">
      <c r="A10083" s="1" t="n">
        <v>10082</v>
      </c>
      <c r="B10083">
        <f>TEXT(10082, "[$-170000]yyyy-mm-dd")</f>
        <v/>
      </c>
      <c r="C10083">
        <f>TEXT(10082, "[$-060000]yyyy-mm-dd")</f>
        <v/>
      </c>
      <c r="D10083" t="inlineStr">
        <is>
          <t>1346-02-10</t>
        </is>
      </c>
    </row>
    <row r="10084">
      <c r="A10084" s="1" t="n">
        <v>10083</v>
      </c>
      <c r="B10084">
        <f>TEXT(10083, "[$-170000]yyyy-mm-dd")</f>
        <v/>
      </c>
      <c r="C10084">
        <f>TEXT(10083, "[$-060000]yyyy-mm-dd")</f>
        <v/>
      </c>
      <c r="D10084" t="inlineStr">
        <is>
          <t>1346-02-11</t>
        </is>
      </c>
    </row>
    <row r="10085">
      <c r="A10085" s="1" t="n">
        <v>10084</v>
      </c>
      <c r="B10085">
        <f>TEXT(10084, "[$-170000]yyyy-mm-dd")</f>
        <v/>
      </c>
      <c r="C10085">
        <f>TEXT(10084, "[$-060000]yyyy-mm-dd")</f>
        <v/>
      </c>
      <c r="D10085" t="inlineStr">
        <is>
          <t>1346-02-12</t>
        </is>
      </c>
    </row>
    <row r="10086">
      <c r="A10086" s="1" t="n">
        <v>10085</v>
      </c>
      <c r="B10086">
        <f>TEXT(10085, "[$-170000]yyyy-mm-dd")</f>
        <v/>
      </c>
      <c r="C10086">
        <f>TEXT(10085, "[$-060000]yyyy-mm-dd")</f>
        <v/>
      </c>
      <c r="D10086" t="inlineStr">
        <is>
          <t>1346-02-13</t>
        </is>
      </c>
    </row>
    <row r="10087">
      <c r="A10087" s="1" t="n">
        <v>10086</v>
      </c>
      <c r="B10087">
        <f>TEXT(10086, "[$-170000]yyyy-mm-dd")</f>
        <v/>
      </c>
      <c r="C10087">
        <f>TEXT(10086, "[$-060000]yyyy-mm-dd")</f>
        <v/>
      </c>
      <c r="D10087" t="inlineStr">
        <is>
          <t>1346-02-14</t>
        </is>
      </c>
    </row>
    <row r="10088">
      <c r="A10088" s="1" t="n">
        <v>10087</v>
      </c>
      <c r="B10088">
        <f>TEXT(10087, "[$-170000]yyyy-mm-dd")</f>
        <v/>
      </c>
      <c r="C10088">
        <f>TEXT(10087, "[$-060000]yyyy-mm-dd")</f>
        <v/>
      </c>
      <c r="D10088" t="inlineStr">
        <is>
          <t>1346-02-15</t>
        </is>
      </c>
    </row>
    <row r="10089">
      <c r="A10089" s="1" t="n">
        <v>10088</v>
      </c>
      <c r="B10089">
        <f>TEXT(10088, "[$-170000]yyyy-mm-dd")</f>
        <v/>
      </c>
      <c r="C10089">
        <f>TEXT(10088, "[$-060000]yyyy-mm-dd")</f>
        <v/>
      </c>
      <c r="D10089" t="inlineStr">
        <is>
          <t>1346-02-16</t>
        </is>
      </c>
    </row>
    <row r="10090">
      <c r="A10090" s="1" t="n">
        <v>10089</v>
      </c>
      <c r="B10090">
        <f>TEXT(10089, "[$-170000]yyyy-mm-dd")</f>
        <v/>
      </c>
      <c r="C10090">
        <f>TEXT(10089, "[$-060000]yyyy-mm-dd")</f>
        <v/>
      </c>
      <c r="D10090" t="inlineStr">
        <is>
          <t>1346-02-17</t>
        </is>
      </c>
    </row>
    <row r="10091">
      <c r="A10091" s="1" t="n">
        <v>10090</v>
      </c>
      <c r="B10091">
        <f>TEXT(10090, "[$-170000]yyyy-mm-dd")</f>
        <v/>
      </c>
      <c r="C10091">
        <f>TEXT(10090, "[$-060000]yyyy-mm-dd")</f>
        <v/>
      </c>
      <c r="D10091" t="inlineStr">
        <is>
          <t>1346-02-18</t>
        </is>
      </c>
    </row>
    <row r="10092">
      <c r="A10092" s="1" t="n">
        <v>10091</v>
      </c>
      <c r="B10092">
        <f>TEXT(10091, "[$-170000]yyyy-mm-dd")</f>
        <v/>
      </c>
      <c r="C10092">
        <f>TEXT(10091, "[$-060000]yyyy-mm-dd")</f>
        <v/>
      </c>
      <c r="D10092" t="inlineStr">
        <is>
          <t>1346-02-19</t>
        </is>
      </c>
    </row>
    <row r="10093">
      <c r="A10093" s="1" t="n">
        <v>10092</v>
      </c>
      <c r="B10093">
        <f>TEXT(10092, "[$-170000]yyyy-mm-dd")</f>
        <v/>
      </c>
      <c r="C10093">
        <f>TEXT(10092, "[$-060000]yyyy-mm-dd")</f>
        <v/>
      </c>
      <c r="D10093" t="inlineStr">
        <is>
          <t>1346-02-20</t>
        </is>
      </c>
    </row>
    <row r="10094">
      <c r="A10094" s="1" t="n">
        <v>10093</v>
      </c>
      <c r="B10094">
        <f>TEXT(10093, "[$-170000]yyyy-mm-dd")</f>
        <v/>
      </c>
      <c r="C10094">
        <f>TEXT(10093, "[$-060000]yyyy-mm-dd")</f>
        <v/>
      </c>
      <c r="D10094" t="inlineStr">
        <is>
          <t>1346-02-21</t>
        </is>
      </c>
    </row>
    <row r="10095">
      <c r="A10095" s="1" t="n">
        <v>10094</v>
      </c>
      <c r="B10095">
        <f>TEXT(10094, "[$-170000]yyyy-mm-dd")</f>
        <v/>
      </c>
      <c r="C10095">
        <f>TEXT(10094, "[$-060000]yyyy-mm-dd")</f>
        <v/>
      </c>
      <c r="D10095" t="inlineStr">
        <is>
          <t>1346-02-22</t>
        </is>
      </c>
    </row>
    <row r="10096">
      <c r="A10096" s="1" t="n">
        <v>10095</v>
      </c>
      <c r="B10096">
        <f>TEXT(10095, "[$-170000]yyyy-mm-dd")</f>
        <v/>
      </c>
      <c r="C10096">
        <f>TEXT(10095, "[$-060000]yyyy-mm-dd")</f>
        <v/>
      </c>
      <c r="D10096" t="inlineStr">
        <is>
          <t>1346-02-23</t>
        </is>
      </c>
    </row>
    <row r="10097">
      <c r="A10097" s="1" t="n">
        <v>10096</v>
      </c>
      <c r="B10097">
        <f>TEXT(10096, "[$-170000]yyyy-mm-dd")</f>
        <v/>
      </c>
      <c r="C10097">
        <f>TEXT(10096, "[$-060000]yyyy-mm-dd")</f>
        <v/>
      </c>
      <c r="D10097" t="inlineStr">
        <is>
          <t>1346-02-24</t>
        </is>
      </c>
    </row>
    <row r="10098">
      <c r="A10098" s="1" t="n">
        <v>10097</v>
      </c>
      <c r="B10098">
        <f>TEXT(10097, "[$-170000]yyyy-mm-dd")</f>
        <v/>
      </c>
      <c r="C10098">
        <f>TEXT(10097, "[$-060000]yyyy-mm-dd")</f>
        <v/>
      </c>
      <c r="D10098" t="inlineStr">
        <is>
          <t>1346-02-25</t>
        </is>
      </c>
    </row>
    <row r="10099">
      <c r="A10099" s="1" t="n">
        <v>10098</v>
      </c>
      <c r="B10099">
        <f>TEXT(10098, "[$-170000]yyyy-mm-dd")</f>
        <v/>
      </c>
      <c r="C10099">
        <f>TEXT(10098, "[$-060000]yyyy-mm-dd")</f>
        <v/>
      </c>
      <c r="D10099" t="inlineStr">
        <is>
          <t>1346-02-26</t>
        </is>
      </c>
    </row>
    <row r="10100">
      <c r="A10100" s="1" t="n">
        <v>10099</v>
      </c>
      <c r="B10100">
        <f>TEXT(10099, "[$-170000]yyyy-mm-dd")</f>
        <v/>
      </c>
      <c r="C10100">
        <f>TEXT(10099, "[$-060000]yyyy-mm-dd")</f>
        <v/>
      </c>
      <c r="D10100" t="inlineStr">
        <is>
          <t>1346-02-27</t>
        </is>
      </c>
    </row>
    <row r="10101">
      <c r="A10101" s="1" t="n">
        <v>10100</v>
      </c>
      <c r="B10101">
        <f>TEXT(10100, "[$-170000]yyyy-mm-dd")</f>
        <v/>
      </c>
      <c r="C10101">
        <f>TEXT(10100, "[$-060000]yyyy-mm-dd")</f>
        <v/>
      </c>
      <c r="D10101" t="inlineStr">
        <is>
          <t>1346-02-28</t>
        </is>
      </c>
    </row>
    <row r="10102">
      <c r="A10102" s="1" t="n">
        <v>10101</v>
      </c>
      <c r="B10102">
        <f>TEXT(10101, "[$-170000]yyyy-mm-dd")</f>
        <v/>
      </c>
      <c r="C10102">
        <f>TEXT(10101, "[$-060000]yyyy-mm-dd")</f>
        <v/>
      </c>
      <c r="D10102" t="inlineStr">
        <is>
          <t>1346-02-29</t>
        </is>
      </c>
    </row>
    <row r="10103">
      <c r="A10103" s="1" t="n">
        <v>10102</v>
      </c>
      <c r="B10103">
        <f>TEXT(10102, "[$-170000]yyyy-mm-dd")</f>
        <v/>
      </c>
      <c r="C10103">
        <f>TEXT(10102, "[$-060000]yyyy-mm-dd")</f>
        <v/>
      </c>
      <c r="D10103" t="inlineStr">
        <is>
          <t>1346-03-01</t>
        </is>
      </c>
    </row>
    <row r="10104">
      <c r="A10104" s="1" t="n">
        <v>10103</v>
      </c>
      <c r="B10104">
        <f>TEXT(10103, "[$-170000]yyyy-mm-dd")</f>
        <v/>
      </c>
      <c r="C10104">
        <f>TEXT(10103, "[$-060000]yyyy-mm-dd")</f>
        <v/>
      </c>
      <c r="D10104" t="inlineStr">
        <is>
          <t>1346-03-02</t>
        </is>
      </c>
    </row>
    <row r="10105">
      <c r="A10105" s="1" t="n">
        <v>10104</v>
      </c>
      <c r="B10105">
        <f>TEXT(10104, "[$-170000]yyyy-mm-dd")</f>
        <v/>
      </c>
      <c r="C10105">
        <f>TEXT(10104, "[$-060000]yyyy-mm-dd")</f>
        <v/>
      </c>
      <c r="D10105" t="inlineStr">
        <is>
          <t>1346-03-03</t>
        </is>
      </c>
    </row>
    <row r="10106">
      <c r="A10106" s="1" t="n">
        <v>10105</v>
      </c>
      <c r="B10106">
        <f>TEXT(10105, "[$-170000]yyyy-mm-dd")</f>
        <v/>
      </c>
      <c r="C10106">
        <f>TEXT(10105, "[$-060000]yyyy-mm-dd")</f>
        <v/>
      </c>
      <c r="D10106" t="inlineStr">
        <is>
          <t>1346-03-04</t>
        </is>
      </c>
    </row>
    <row r="10107">
      <c r="A10107" s="1" t="n">
        <v>10106</v>
      </c>
      <c r="B10107">
        <f>TEXT(10106, "[$-170000]yyyy-mm-dd")</f>
        <v/>
      </c>
      <c r="C10107">
        <f>TEXT(10106, "[$-060000]yyyy-mm-dd")</f>
        <v/>
      </c>
      <c r="D10107" t="inlineStr">
        <is>
          <t>1346-03-05</t>
        </is>
      </c>
    </row>
    <row r="10108">
      <c r="A10108" s="1" t="n">
        <v>10107</v>
      </c>
      <c r="B10108">
        <f>TEXT(10107, "[$-170000]yyyy-mm-dd")</f>
        <v/>
      </c>
      <c r="C10108">
        <f>TEXT(10107, "[$-060000]yyyy-mm-dd")</f>
        <v/>
      </c>
      <c r="D10108" t="inlineStr">
        <is>
          <t>1346-03-06</t>
        </is>
      </c>
    </row>
    <row r="10109">
      <c r="A10109" s="1" t="n">
        <v>10108</v>
      </c>
      <c r="B10109">
        <f>TEXT(10108, "[$-170000]yyyy-mm-dd")</f>
        <v/>
      </c>
      <c r="C10109">
        <f>TEXT(10108, "[$-060000]yyyy-mm-dd")</f>
        <v/>
      </c>
      <c r="D10109" t="inlineStr">
        <is>
          <t>1346-03-07</t>
        </is>
      </c>
    </row>
    <row r="10110">
      <c r="A10110" s="1" t="n">
        <v>10109</v>
      </c>
      <c r="B10110">
        <f>TEXT(10109, "[$-170000]yyyy-mm-dd")</f>
        <v/>
      </c>
      <c r="C10110">
        <f>TEXT(10109, "[$-060000]yyyy-mm-dd")</f>
        <v/>
      </c>
      <c r="D10110" t="inlineStr">
        <is>
          <t>1346-03-08</t>
        </is>
      </c>
    </row>
    <row r="10111">
      <c r="A10111" s="1" t="n">
        <v>10110</v>
      </c>
      <c r="B10111">
        <f>TEXT(10110, "[$-170000]yyyy-mm-dd")</f>
        <v/>
      </c>
      <c r="C10111">
        <f>TEXT(10110, "[$-060000]yyyy-mm-dd")</f>
        <v/>
      </c>
      <c r="D10111" t="inlineStr">
        <is>
          <t>1346-03-09</t>
        </is>
      </c>
    </row>
    <row r="10112">
      <c r="A10112" s="1" t="n">
        <v>10111</v>
      </c>
      <c r="B10112">
        <f>TEXT(10111, "[$-170000]yyyy-mm-dd")</f>
        <v/>
      </c>
      <c r="C10112">
        <f>TEXT(10111, "[$-060000]yyyy-mm-dd")</f>
        <v/>
      </c>
      <c r="D10112" t="inlineStr">
        <is>
          <t>1346-03-10</t>
        </is>
      </c>
    </row>
    <row r="10113">
      <c r="A10113" s="1" t="n">
        <v>10112</v>
      </c>
      <c r="B10113">
        <f>TEXT(10112, "[$-170000]yyyy-mm-dd")</f>
        <v/>
      </c>
      <c r="C10113">
        <f>TEXT(10112, "[$-060000]yyyy-mm-dd")</f>
        <v/>
      </c>
      <c r="D10113" t="inlineStr">
        <is>
          <t>1346-03-11</t>
        </is>
      </c>
    </row>
    <row r="10114">
      <c r="A10114" s="1" t="n">
        <v>10113</v>
      </c>
      <c r="B10114">
        <f>TEXT(10113, "[$-170000]yyyy-mm-dd")</f>
        <v/>
      </c>
      <c r="C10114">
        <f>TEXT(10113, "[$-060000]yyyy-mm-dd")</f>
        <v/>
      </c>
      <c r="D10114" t="inlineStr">
        <is>
          <t>1346-03-12</t>
        </is>
      </c>
    </row>
    <row r="10115">
      <c r="A10115" s="1" t="n">
        <v>10114</v>
      </c>
      <c r="B10115">
        <f>TEXT(10114, "[$-170000]yyyy-mm-dd")</f>
        <v/>
      </c>
      <c r="C10115">
        <f>TEXT(10114, "[$-060000]yyyy-mm-dd")</f>
        <v/>
      </c>
      <c r="D10115" t="inlineStr">
        <is>
          <t>1346-03-13</t>
        </is>
      </c>
    </row>
    <row r="10116">
      <c r="A10116" s="1" t="n">
        <v>10115</v>
      </c>
      <c r="B10116">
        <f>TEXT(10115, "[$-170000]yyyy-mm-dd")</f>
        <v/>
      </c>
      <c r="C10116">
        <f>TEXT(10115, "[$-060000]yyyy-mm-dd")</f>
        <v/>
      </c>
      <c r="D10116" t="inlineStr">
        <is>
          <t>1346-03-14</t>
        </is>
      </c>
    </row>
    <row r="10117">
      <c r="A10117" s="1" t="n">
        <v>10116</v>
      </c>
      <c r="B10117">
        <f>TEXT(10116, "[$-170000]yyyy-mm-dd")</f>
        <v/>
      </c>
      <c r="C10117">
        <f>TEXT(10116, "[$-060000]yyyy-mm-dd")</f>
        <v/>
      </c>
      <c r="D10117" t="inlineStr">
        <is>
          <t>1346-03-15</t>
        </is>
      </c>
    </row>
    <row r="10118">
      <c r="A10118" s="1" t="n">
        <v>10117</v>
      </c>
      <c r="B10118">
        <f>TEXT(10117, "[$-170000]yyyy-mm-dd")</f>
        <v/>
      </c>
      <c r="C10118">
        <f>TEXT(10117, "[$-060000]yyyy-mm-dd")</f>
        <v/>
      </c>
      <c r="D10118" t="inlineStr">
        <is>
          <t>1346-03-16</t>
        </is>
      </c>
    </row>
    <row r="10119">
      <c r="A10119" s="1" t="n">
        <v>10118</v>
      </c>
      <c r="B10119">
        <f>TEXT(10118, "[$-170000]yyyy-mm-dd")</f>
        <v/>
      </c>
      <c r="C10119">
        <f>TEXT(10118, "[$-060000]yyyy-mm-dd")</f>
        <v/>
      </c>
      <c r="D10119" t="inlineStr">
        <is>
          <t>1346-03-17</t>
        </is>
      </c>
    </row>
    <row r="10120">
      <c r="A10120" s="1" t="n">
        <v>10119</v>
      </c>
      <c r="B10120">
        <f>TEXT(10119, "[$-170000]yyyy-mm-dd")</f>
        <v/>
      </c>
      <c r="C10120">
        <f>TEXT(10119, "[$-060000]yyyy-mm-dd")</f>
        <v/>
      </c>
      <c r="D10120" t="inlineStr">
        <is>
          <t>1346-03-18</t>
        </is>
      </c>
    </row>
    <row r="10121">
      <c r="A10121" s="1" t="n">
        <v>10120</v>
      </c>
      <c r="B10121">
        <f>TEXT(10120, "[$-170000]yyyy-mm-dd")</f>
        <v/>
      </c>
      <c r="C10121">
        <f>TEXT(10120, "[$-060000]yyyy-mm-dd")</f>
        <v/>
      </c>
      <c r="D10121" t="inlineStr">
        <is>
          <t>1346-03-19</t>
        </is>
      </c>
    </row>
    <row r="10122">
      <c r="A10122" s="1" t="n">
        <v>10121</v>
      </c>
      <c r="B10122">
        <f>TEXT(10121, "[$-170000]yyyy-mm-dd")</f>
        <v/>
      </c>
      <c r="C10122">
        <f>TEXT(10121, "[$-060000]yyyy-mm-dd")</f>
        <v/>
      </c>
      <c r="D10122" t="inlineStr">
        <is>
          <t>1346-03-20</t>
        </is>
      </c>
    </row>
    <row r="10123">
      <c r="A10123" s="1" t="n">
        <v>10122</v>
      </c>
      <c r="B10123">
        <f>TEXT(10122, "[$-170000]yyyy-mm-dd")</f>
        <v/>
      </c>
      <c r="C10123">
        <f>TEXT(10122, "[$-060000]yyyy-mm-dd")</f>
        <v/>
      </c>
      <c r="D10123" t="inlineStr">
        <is>
          <t>1346-03-21</t>
        </is>
      </c>
    </row>
    <row r="10124">
      <c r="A10124" s="1" t="n">
        <v>10123</v>
      </c>
      <c r="B10124">
        <f>TEXT(10123, "[$-170000]yyyy-mm-dd")</f>
        <v/>
      </c>
      <c r="C10124">
        <f>TEXT(10123, "[$-060000]yyyy-mm-dd")</f>
        <v/>
      </c>
      <c r="D10124" t="inlineStr">
        <is>
          <t>1346-03-22</t>
        </is>
      </c>
    </row>
    <row r="10125">
      <c r="A10125" s="1" t="n">
        <v>10124</v>
      </c>
      <c r="B10125">
        <f>TEXT(10124, "[$-170000]yyyy-mm-dd")</f>
        <v/>
      </c>
      <c r="C10125">
        <f>TEXT(10124, "[$-060000]yyyy-mm-dd")</f>
        <v/>
      </c>
      <c r="D10125" t="inlineStr">
        <is>
          <t>1346-03-23</t>
        </is>
      </c>
    </row>
    <row r="10126">
      <c r="A10126" s="1" t="n">
        <v>10125</v>
      </c>
      <c r="B10126">
        <f>TEXT(10125, "[$-170000]yyyy-mm-dd")</f>
        <v/>
      </c>
      <c r="C10126">
        <f>TEXT(10125, "[$-060000]yyyy-mm-dd")</f>
        <v/>
      </c>
      <c r="D10126" t="inlineStr">
        <is>
          <t>1346-03-24</t>
        </is>
      </c>
    </row>
    <row r="10127">
      <c r="A10127" s="1" t="n">
        <v>10126</v>
      </c>
      <c r="B10127">
        <f>TEXT(10126, "[$-170000]yyyy-mm-dd")</f>
        <v/>
      </c>
      <c r="C10127">
        <f>TEXT(10126, "[$-060000]yyyy-mm-dd")</f>
        <v/>
      </c>
      <c r="D10127" t="inlineStr">
        <is>
          <t>1346-03-25</t>
        </is>
      </c>
    </row>
    <row r="10128">
      <c r="A10128" s="1" t="n">
        <v>10127</v>
      </c>
      <c r="B10128">
        <f>TEXT(10127, "[$-170000]yyyy-mm-dd")</f>
        <v/>
      </c>
      <c r="C10128">
        <f>TEXT(10127, "[$-060000]yyyy-mm-dd")</f>
        <v/>
      </c>
      <c r="D10128" t="inlineStr">
        <is>
          <t>1346-03-26</t>
        </is>
      </c>
    </row>
    <row r="10129">
      <c r="A10129" s="1" t="n">
        <v>10128</v>
      </c>
      <c r="B10129">
        <f>TEXT(10128, "[$-170000]yyyy-mm-dd")</f>
        <v/>
      </c>
      <c r="C10129">
        <f>TEXT(10128, "[$-060000]yyyy-mm-dd")</f>
        <v/>
      </c>
      <c r="D10129" t="inlineStr">
        <is>
          <t>1346-03-27</t>
        </is>
      </c>
    </row>
    <row r="10130">
      <c r="A10130" s="1" t="n">
        <v>10129</v>
      </c>
      <c r="B10130">
        <f>TEXT(10129, "[$-170000]yyyy-mm-dd")</f>
        <v/>
      </c>
      <c r="C10130">
        <f>TEXT(10129, "[$-060000]yyyy-mm-dd")</f>
        <v/>
      </c>
      <c r="D10130" t="inlineStr">
        <is>
          <t>1346-03-28</t>
        </is>
      </c>
    </row>
    <row r="10131">
      <c r="A10131" s="1" t="n">
        <v>10130</v>
      </c>
      <c r="B10131">
        <f>TEXT(10130, "[$-170000]yyyy-mm-dd")</f>
        <v/>
      </c>
      <c r="C10131">
        <f>TEXT(10130, "[$-060000]yyyy-mm-dd")</f>
        <v/>
      </c>
      <c r="D10131" t="inlineStr">
        <is>
          <t>1346-03-29</t>
        </is>
      </c>
    </row>
    <row r="10132">
      <c r="A10132" s="1" t="n">
        <v>10131</v>
      </c>
      <c r="B10132">
        <f>TEXT(10131, "[$-170000]yyyy-mm-dd")</f>
        <v/>
      </c>
      <c r="C10132">
        <f>TEXT(10131, "[$-060000]yyyy-mm-dd")</f>
        <v/>
      </c>
      <c r="D10132" t="inlineStr">
        <is>
          <t>1346-03-30</t>
        </is>
      </c>
    </row>
    <row r="10133">
      <c r="A10133" s="1" t="n">
        <v>10132</v>
      </c>
      <c r="B10133">
        <f>TEXT(10132, "[$-170000]yyyy-mm-dd")</f>
        <v/>
      </c>
      <c r="C10133">
        <f>TEXT(10132, "[$-060000]yyyy-mm-dd")</f>
        <v/>
      </c>
      <c r="D10133" t="inlineStr">
        <is>
          <t>1346-04-01</t>
        </is>
      </c>
    </row>
    <row r="10134">
      <c r="A10134" s="1" t="n">
        <v>10133</v>
      </c>
      <c r="B10134">
        <f>TEXT(10133, "[$-170000]yyyy-mm-dd")</f>
        <v/>
      </c>
      <c r="C10134">
        <f>TEXT(10133, "[$-060000]yyyy-mm-dd")</f>
        <v/>
      </c>
      <c r="D10134" t="inlineStr">
        <is>
          <t>1346-04-02</t>
        </is>
      </c>
    </row>
    <row r="10135">
      <c r="A10135" s="1" t="n">
        <v>10134</v>
      </c>
      <c r="B10135">
        <f>TEXT(10134, "[$-170000]yyyy-mm-dd")</f>
        <v/>
      </c>
      <c r="C10135">
        <f>TEXT(10134, "[$-060000]yyyy-mm-dd")</f>
        <v/>
      </c>
      <c r="D10135" t="inlineStr">
        <is>
          <t>1346-04-03</t>
        </is>
      </c>
    </row>
    <row r="10136">
      <c r="A10136" s="1" t="n">
        <v>10135</v>
      </c>
      <c r="B10136">
        <f>TEXT(10135, "[$-170000]yyyy-mm-dd")</f>
        <v/>
      </c>
      <c r="C10136">
        <f>TEXT(10135, "[$-060000]yyyy-mm-dd")</f>
        <v/>
      </c>
      <c r="D10136" t="inlineStr">
        <is>
          <t>1346-04-04</t>
        </is>
      </c>
    </row>
    <row r="10137">
      <c r="A10137" s="1" t="n">
        <v>10136</v>
      </c>
      <c r="B10137">
        <f>TEXT(10136, "[$-170000]yyyy-mm-dd")</f>
        <v/>
      </c>
      <c r="C10137">
        <f>TEXT(10136, "[$-060000]yyyy-mm-dd")</f>
        <v/>
      </c>
      <c r="D10137" t="inlineStr">
        <is>
          <t>1346-04-05</t>
        </is>
      </c>
    </row>
    <row r="10138">
      <c r="A10138" s="1" t="n">
        <v>10137</v>
      </c>
      <c r="B10138">
        <f>TEXT(10137, "[$-170000]yyyy-mm-dd")</f>
        <v/>
      </c>
      <c r="C10138">
        <f>TEXT(10137, "[$-060000]yyyy-mm-dd")</f>
        <v/>
      </c>
      <c r="D10138" t="inlineStr">
        <is>
          <t>1346-04-06</t>
        </is>
      </c>
    </row>
    <row r="10139">
      <c r="A10139" s="1" t="n">
        <v>10138</v>
      </c>
      <c r="B10139">
        <f>TEXT(10138, "[$-170000]yyyy-mm-dd")</f>
        <v/>
      </c>
      <c r="C10139">
        <f>TEXT(10138, "[$-060000]yyyy-mm-dd")</f>
        <v/>
      </c>
      <c r="D10139" t="inlineStr">
        <is>
          <t>1346-04-07</t>
        </is>
      </c>
    </row>
    <row r="10140">
      <c r="A10140" s="1" t="n">
        <v>10139</v>
      </c>
      <c r="B10140">
        <f>TEXT(10139, "[$-170000]yyyy-mm-dd")</f>
        <v/>
      </c>
      <c r="C10140">
        <f>TEXT(10139, "[$-060000]yyyy-mm-dd")</f>
        <v/>
      </c>
      <c r="D10140" t="inlineStr">
        <is>
          <t>1346-04-08</t>
        </is>
      </c>
    </row>
    <row r="10141">
      <c r="A10141" s="1" t="n">
        <v>10140</v>
      </c>
      <c r="B10141">
        <f>TEXT(10140, "[$-170000]yyyy-mm-dd")</f>
        <v/>
      </c>
      <c r="C10141">
        <f>TEXT(10140, "[$-060000]yyyy-mm-dd")</f>
        <v/>
      </c>
      <c r="D10141" t="inlineStr">
        <is>
          <t>1346-04-09</t>
        </is>
      </c>
    </row>
    <row r="10142">
      <c r="A10142" s="1" t="n">
        <v>10141</v>
      </c>
      <c r="B10142">
        <f>TEXT(10141, "[$-170000]yyyy-mm-dd")</f>
        <v/>
      </c>
      <c r="C10142">
        <f>TEXT(10141, "[$-060000]yyyy-mm-dd")</f>
        <v/>
      </c>
      <c r="D10142" t="inlineStr">
        <is>
          <t>1346-04-10</t>
        </is>
      </c>
    </row>
    <row r="10143">
      <c r="A10143" s="1" t="n">
        <v>10142</v>
      </c>
      <c r="B10143">
        <f>TEXT(10142, "[$-170000]yyyy-mm-dd")</f>
        <v/>
      </c>
      <c r="C10143">
        <f>TEXT(10142, "[$-060000]yyyy-mm-dd")</f>
        <v/>
      </c>
      <c r="D10143" t="inlineStr">
        <is>
          <t>1346-04-11</t>
        </is>
      </c>
    </row>
    <row r="10144">
      <c r="A10144" s="1" t="n">
        <v>10143</v>
      </c>
      <c r="B10144">
        <f>TEXT(10143, "[$-170000]yyyy-mm-dd")</f>
        <v/>
      </c>
      <c r="C10144">
        <f>TEXT(10143, "[$-060000]yyyy-mm-dd")</f>
        <v/>
      </c>
      <c r="D10144" t="inlineStr">
        <is>
          <t>1346-04-12</t>
        </is>
      </c>
    </row>
    <row r="10145">
      <c r="A10145" s="1" t="n">
        <v>10144</v>
      </c>
      <c r="B10145">
        <f>TEXT(10144, "[$-170000]yyyy-mm-dd")</f>
        <v/>
      </c>
      <c r="C10145">
        <f>TEXT(10144, "[$-060000]yyyy-mm-dd")</f>
        <v/>
      </c>
      <c r="D10145" t="inlineStr">
        <is>
          <t>1346-04-13</t>
        </is>
      </c>
    </row>
    <row r="10146">
      <c r="A10146" s="1" t="n">
        <v>10145</v>
      </c>
      <c r="B10146">
        <f>TEXT(10145, "[$-170000]yyyy-mm-dd")</f>
        <v/>
      </c>
      <c r="C10146">
        <f>TEXT(10145, "[$-060000]yyyy-mm-dd")</f>
        <v/>
      </c>
      <c r="D10146" t="inlineStr">
        <is>
          <t>1346-04-14</t>
        </is>
      </c>
    </row>
    <row r="10147">
      <c r="A10147" s="1" t="n">
        <v>10146</v>
      </c>
      <c r="B10147">
        <f>TEXT(10146, "[$-170000]yyyy-mm-dd")</f>
        <v/>
      </c>
      <c r="C10147">
        <f>TEXT(10146, "[$-060000]yyyy-mm-dd")</f>
        <v/>
      </c>
      <c r="D10147" t="inlineStr">
        <is>
          <t>1346-04-15</t>
        </is>
      </c>
    </row>
    <row r="10148">
      <c r="A10148" s="1" t="n">
        <v>10147</v>
      </c>
      <c r="B10148">
        <f>TEXT(10147, "[$-170000]yyyy-mm-dd")</f>
        <v/>
      </c>
      <c r="C10148">
        <f>TEXT(10147, "[$-060000]yyyy-mm-dd")</f>
        <v/>
      </c>
      <c r="D10148" t="inlineStr">
        <is>
          <t>1346-04-16</t>
        </is>
      </c>
    </row>
    <row r="10149">
      <c r="A10149" s="1" t="n">
        <v>10148</v>
      </c>
      <c r="B10149">
        <f>TEXT(10148, "[$-170000]yyyy-mm-dd")</f>
        <v/>
      </c>
      <c r="C10149">
        <f>TEXT(10148, "[$-060000]yyyy-mm-dd")</f>
        <v/>
      </c>
      <c r="D10149" t="inlineStr">
        <is>
          <t>1346-04-17</t>
        </is>
      </c>
    </row>
    <row r="10150">
      <c r="A10150" s="1" t="n">
        <v>10149</v>
      </c>
      <c r="B10150">
        <f>TEXT(10149, "[$-170000]yyyy-mm-dd")</f>
        <v/>
      </c>
      <c r="C10150">
        <f>TEXT(10149, "[$-060000]yyyy-mm-dd")</f>
        <v/>
      </c>
      <c r="D10150" t="inlineStr">
        <is>
          <t>1346-04-18</t>
        </is>
      </c>
    </row>
    <row r="10151">
      <c r="A10151" s="1" t="n">
        <v>10150</v>
      </c>
      <c r="B10151">
        <f>TEXT(10150, "[$-170000]yyyy-mm-dd")</f>
        <v/>
      </c>
      <c r="C10151">
        <f>TEXT(10150, "[$-060000]yyyy-mm-dd")</f>
        <v/>
      </c>
      <c r="D10151" t="inlineStr">
        <is>
          <t>1346-04-19</t>
        </is>
      </c>
    </row>
    <row r="10152">
      <c r="A10152" s="1" t="n">
        <v>10151</v>
      </c>
      <c r="B10152">
        <f>TEXT(10151, "[$-170000]yyyy-mm-dd")</f>
        <v/>
      </c>
      <c r="C10152">
        <f>TEXT(10151, "[$-060000]yyyy-mm-dd")</f>
        <v/>
      </c>
      <c r="D10152" t="inlineStr">
        <is>
          <t>1346-04-20</t>
        </is>
      </c>
    </row>
    <row r="10153">
      <c r="A10153" s="1" t="n">
        <v>10152</v>
      </c>
      <c r="B10153">
        <f>TEXT(10152, "[$-170000]yyyy-mm-dd")</f>
        <v/>
      </c>
      <c r="C10153">
        <f>TEXT(10152, "[$-060000]yyyy-mm-dd")</f>
        <v/>
      </c>
      <c r="D10153" t="inlineStr">
        <is>
          <t>1346-04-21</t>
        </is>
      </c>
    </row>
    <row r="10154">
      <c r="A10154" s="1" t="n">
        <v>10153</v>
      </c>
      <c r="B10154">
        <f>TEXT(10153, "[$-170000]yyyy-mm-dd")</f>
        <v/>
      </c>
      <c r="C10154">
        <f>TEXT(10153, "[$-060000]yyyy-mm-dd")</f>
        <v/>
      </c>
      <c r="D10154" t="inlineStr">
        <is>
          <t>1346-04-22</t>
        </is>
      </c>
    </row>
    <row r="10155">
      <c r="A10155" s="1" t="n">
        <v>10154</v>
      </c>
      <c r="B10155">
        <f>TEXT(10154, "[$-170000]yyyy-mm-dd")</f>
        <v/>
      </c>
      <c r="C10155">
        <f>TEXT(10154, "[$-060000]yyyy-mm-dd")</f>
        <v/>
      </c>
      <c r="D10155" t="inlineStr">
        <is>
          <t>1346-04-23</t>
        </is>
      </c>
    </row>
    <row r="10156">
      <c r="A10156" s="1" t="n">
        <v>10155</v>
      </c>
      <c r="B10156">
        <f>TEXT(10155, "[$-170000]yyyy-mm-dd")</f>
        <v/>
      </c>
      <c r="C10156">
        <f>TEXT(10155, "[$-060000]yyyy-mm-dd")</f>
        <v/>
      </c>
      <c r="D10156" t="inlineStr">
        <is>
          <t>1346-04-24</t>
        </is>
      </c>
    </row>
    <row r="10157">
      <c r="A10157" s="1" t="n">
        <v>10156</v>
      </c>
      <c r="B10157">
        <f>TEXT(10156, "[$-170000]yyyy-mm-dd")</f>
        <v/>
      </c>
      <c r="C10157">
        <f>TEXT(10156, "[$-060000]yyyy-mm-dd")</f>
        <v/>
      </c>
      <c r="D10157" t="inlineStr">
        <is>
          <t>1346-04-25</t>
        </is>
      </c>
    </row>
    <row r="10158">
      <c r="A10158" s="1" t="n">
        <v>10157</v>
      </c>
      <c r="B10158">
        <f>TEXT(10157, "[$-170000]yyyy-mm-dd")</f>
        <v/>
      </c>
      <c r="C10158">
        <f>TEXT(10157, "[$-060000]yyyy-mm-dd")</f>
        <v/>
      </c>
      <c r="D10158" t="inlineStr">
        <is>
          <t>1346-04-26</t>
        </is>
      </c>
    </row>
    <row r="10159">
      <c r="A10159" s="1" t="n">
        <v>10158</v>
      </c>
      <c r="B10159">
        <f>TEXT(10158, "[$-170000]yyyy-mm-dd")</f>
        <v/>
      </c>
      <c r="C10159">
        <f>TEXT(10158, "[$-060000]yyyy-mm-dd")</f>
        <v/>
      </c>
      <c r="D10159" t="inlineStr">
        <is>
          <t>1346-04-27</t>
        </is>
      </c>
    </row>
    <row r="10160">
      <c r="A10160" s="1" t="n">
        <v>10159</v>
      </c>
      <c r="B10160">
        <f>TEXT(10159, "[$-170000]yyyy-mm-dd")</f>
        <v/>
      </c>
      <c r="C10160">
        <f>TEXT(10159, "[$-060000]yyyy-mm-dd")</f>
        <v/>
      </c>
      <c r="D10160" t="inlineStr">
        <is>
          <t>1346-04-28</t>
        </is>
      </c>
    </row>
    <row r="10161">
      <c r="A10161" s="1" t="n">
        <v>10160</v>
      </c>
      <c r="B10161">
        <f>TEXT(10160, "[$-170000]yyyy-mm-dd")</f>
        <v/>
      </c>
      <c r="C10161">
        <f>TEXT(10160, "[$-060000]yyyy-mm-dd")</f>
        <v/>
      </c>
      <c r="D10161" t="inlineStr">
        <is>
          <t>1346-04-29</t>
        </is>
      </c>
    </row>
    <row r="10162">
      <c r="A10162" s="1" t="n">
        <v>10161</v>
      </c>
      <c r="B10162">
        <f>TEXT(10161, "[$-170000]yyyy-mm-dd")</f>
        <v/>
      </c>
      <c r="C10162">
        <f>TEXT(10161, "[$-060000]yyyy-mm-dd")</f>
        <v/>
      </c>
      <c r="D10162" t="inlineStr">
        <is>
          <t>1346-05-01</t>
        </is>
      </c>
    </row>
    <row r="10163">
      <c r="A10163" s="1" t="n">
        <v>10162</v>
      </c>
      <c r="B10163">
        <f>TEXT(10162, "[$-170000]yyyy-mm-dd")</f>
        <v/>
      </c>
      <c r="C10163">
        <f>TEXT(10162, "[$-060000]yyyy-mm-dd")</f>
        <v/>
      </c>
      <c r="D10163" t="inlineStr">
        <is>
          <t>1346-05-02</t>
        </is>
      </c>
    </row>
    <row r="10164">
      <c r="A10164" s="1" t="n">
        <v>10163</v>
      </c>
      <c r="B10164">
        <f>TEXT(10163, "[$-170000]yyyy-mm-dd")</f>
        <v/>
      </c>
      <c r="C10164">
        <f>TEXT(10163, "[$-060000]yyyy-mm-dd")</f>
        <v/>
      </c>
      <c r="D10164" t="inlineStr">
        <is>
          <t>1346-05-03</t>
        </is>
      </c>
    </row>
    <row r="10165">
      <c r="A10165" s="1" t="n">
        <v>10164</v>
      </c>
      <c r="B10165">
        <f>TEXT(10164, "[$-170000]yyyy-mm-dd")</f>
        <v/>
      </c>
      <c r="C10165">
        <f>TEXT(10164, "[$-060000]yyyy-mm-dd")</f>
        <v/>
      </c>
      <c r="D10165" t="inlineStr">
        <is>
          <t>1346-05-04</t>
        </is>
      </c>
    </row>
    <row r="10166">
      <c r="A10166" s="1" t="n">
        <v>10165</v>
      </c>
      <c r="B10166">
        <f>TEXT(10165, "[$-170000]yyyy-mm-dd")</f>
        <v/>
      </c>
      <c r="C10166">
        <f>TEXT(10165, "[$-060000]yyyy-mm-dd")</f>
        <v/>
      </c>
      <c r="D10166" t="inlineStr">
        <is>
          <t>1346-05-05</t>
        </is>
      </c>
    </row>
    <row r="10167">
      <c r="A10167" s="1" t="n">
        <v>10166</v>
      </c>
      <c r="B10167">
        <f>TEXT(10166, "[$-170000]yyyy-mm-dd")</f>
        <v/>
      </c>
      <c r="C10167">
        <f>TEXT(10166, "[$-060000]yyyy-mm-dd")</f>
        <v/>
      </c>
      <c r="D10167" t="inlineStr">
        <is>
          <t>1346-05-06</t>
        </is>
      </c>
    </row>
    <row r="10168">
      <c r="A10168" s="1" t="n">
        <v>10167</v>
      </c>
      <c r="B10168">
        <f>TEXT(10167, "[$-170000]yyyy-mm-dd")</f>
        <v/>
      </c>
      <c r="C10168">
        <f>TEXT(10167, "[$-060000]yyyy-mm-dd")</f>
        <v/>
      </c>
      <c r="D10168" t="inlineStr">
        <is>
          <t>1346-05-07</t>
        </is>
      </c>
    </row>
    <row r="10169">
      <c r="A10169" s="1" t="n">
        <v>10168</v>
      </c>
      <c r="B10169">
        <f>TEXT(10168, "[$-170000]yyyy-mm-dd")</f>
        <v/>
      </c>
      <c r="C10169">
        <f>TEXT(10168, "[$-060000]yyyy-mm-dd")</f>
        <v/>
      </c>
      <c r="D10169" t="inlineStr">
        <is>
          <t>1346-05-08</t>
        </is>
      </c>
    </row>
    <row r="10170">
      <c r="A10170" s="1" t="n">
        <v>10169</v>
      </c>
      <c r="B10170">
        <f>TEXT(10169, "[$-170000]yyyy-mm-dd")</f>
        <v/>
      </c>
      <c r="C10170">
        <f>TEXT(10169, "[$-060000]yyyy-mm-dd")</f>
        <v/>
      </c>
      <c r="D10170" t="inlineStr">
        <is>
          <t>1346-05-09</t>
        </is>
      </c>
    </row>
    <row r="10171">
      <c r="A10171" s="1" t="n">
        <v>10170</v>
      </c>
      <c r="B10171">
        <f>TEXT(10170, "[$-170000]yyyy-mm-dd")</f>
        <v/>
      </c>
      <c r="C10171">
        <f>TEXT(10170, "[$-060000]yyyy-mm-dd")</f>
        <v/>
      </c>
      <c r="D10171" t="inlineStr">
        <is>
          <t>1346-05-10</t>
        </is>
      </c>
    </row>
    <row r="10172">
      <c r="A10172" s="1" t="n">
        <v>10171</v>
      </c>
      <c r="B10172">
        <f>TEXT(10171, "[$-170000]yyyy-mm-dd")</f>
        <v/>
      </c>
      <c r="C10172">
        <f>TEXT(10171, "[$-060000]yyyy-mm-dd")</f>
        <v/>
      </c>
      <c r="D10172" t="inlineStr">
        <is>
          <t>1346-05-11</t>
        </is>
      </c>
    </row>
    <row r="10173">
      <c r="A10173" s="1" t="n">
        <v>10172</v>
      </c>
      <c r="B10173">
        <f>TEXT(10172, "[$-170000]yyyy-mm-dd")</f>
        <v/>
      </c>
      <c r="C10173">
        <f>TEXT(10172, "[$-060000]yyyy-mm-dd")</f>
        <v/>
      </c>
      <c r="D10173" t="inlineStr">
        <is>
          <t>1346-05-12</t>
        </is>
      </c>
    </row>
    <row r="10174">
      <c r="A10174" s="1" t="n">
        <v>10173</v>
      </c>
      <c r="B10174">
        <f>TEXT(10173, "[$-170000]yyyy-mm-dd")</f>
        <v/>
      </c>
      <c r="C10174">
        <f>TEXT(10173, "[$-060000]yyyy-mm-dd")</f>
        <v/>
      </c>
      <c r="D10174" t="inlineStr">
        <is>
          <t>1346-05-13</t>
        </is>
      </c>
    </row>
    <row r="10175">
      <c r="A10175" s="1" t="n">
        <v>10174</v>
      </c>
      <c r="B10175">
        <f>TEXT(10174, "[$-170000]yyyy-mm-dd")</f>
        <v/>
      </c>
      <c r="C10175">
        <f>TEXT(10174, "[$-060000]yyyy-mm-dd")</f>
        <v/>
      </c>
      <c r="D10175" t="inlineStr">
        <is>
          <t>1346-05-14</t>
        </is>
      </c>
    </row>
    <row r="10176">
      <c r="A10176" s="1" t="n">
        <v>10175</v>
      </c>
      <c r="B10176">
        <f>TEXT(10175, "[$-170000]yyyy-mm-dd")</f>
        <v/>
      </c>
      <c r="C10176">
        <f>TEXT(10175, "[$-060000]yyyy-mm-dd")</f>
        <v/>
      </c>
      <c r="D10176" t="inlineStr">
        <is>
          <t>1346-05-15</t>
        </is>
      </c>
    </row>
    <row r="10177">
      <c r="A10177" s="1" t="n">
        <v>10176</v>
      </c>
      <c r="B10177">
        <f>TEXT(10176, "[$-170000]yyyy-mm-dd")</f>
        <v/>
      </c>
      <c r="C10177">
        <f>TEXT(10176, "[$-060000]yyyy-mm-dd")</f>
        <v/>
      </c>
      <c r="D10177" t="inlineStr">
        <is>
          <t>1346-05-16</t>
        </is>
      </c>
    </row>
    <row r="10178">
      <c r="A10178" s="1" t="n">
        <v>10177</v>
      </c>
      <c r="B10178">
        <f>TEXT(10177, "[$-170000]yyyy-mm-dd")</f>
        <v/>
      </c>
      <c r="C10178">
        <f>TEXT(10177, "[$-060000]yyyy-mm-dd")</f>
        <v/>
      </c>
      <c r="D10178" t="inlineStr">
        <is>
          <t>1346-05-17</t>
        </is>
      </c>
    </row>
    <row r="10179">
      <c r="A10179" s="1" t="n">
        <v>10178</v>
      </c>
      <c r="B10179">
        <f>TEXT(10178, "[$-170000]yyyy-mm-dd")</f>
        <v/>
      </c>
      <c r="C10179">
        <f>TEXT(10178, "[$-060000]yyyy-mm-dd")</f>
        <v/>
      </c>
      <c r="D10179" t="inlineStr">
        <is>
          <t>1346-05-18</t>
        </is>
      </c>
    </row>
    <row r="10180">
      <c r="A10180" s="1" t="n">
        <v>10179</v>
      </c>
      <c r="B10180">
        <f>TEXT(10179, "[$-170000]yyyy-mm-dd")</f>
        <v/>
      </c>
      <c r="C10180">
        <f>TEXT(10179, "[$-060000]yyyy-mm-dd")</f>
        <v/>
      </c>
      <c r="D10180" t="inlineStr">
        <is>
          <t>1346-05-19</t>
        </is>
      </c>
    </row>
    <row r="10181">
      <c r="A10181" s="1" t="n">
        <v>10180</v>
      </c>
      <c r="B10181">
        <f>TEXT(10180, "[$-170000]yyyy-mm-dd")</f>
        <v/>
      </c>
      <c r="C10181">
        <f>TEXT(10180, "[$-060000]yyyy-mm-dd")</f>
        <v/>
      </c>
      <c r="D10181" t="inlineStr">
        <is>
          <t>1346-05-20</t>
        </is>
      </c>
    </row>
    <row r="10182">
      <c r="A10182" s="1" t="n">
        <v>10181</v>
      </c>
      <c r="B10182">
        <f>TEXT(10181, "[$-170000]yyyy-mm-dd")</f>
        <v/>
      </c>
      <c r="C10182">
        <f>TEXT(10181, "[$-060000]yyyy-mm-dd")</f>
        <v/>
      </c>
      <c r="D10182" t="inlineStr">
        <is>
          <t>1346-05-21</t>
        </is>
      </c>
    </row>
    <row r="10183">
      <c r="A10183" s="1" t="n">
        <v>10182</v>
      </c>
      <c r="B10183">
        <f>TEXT(10182, "[$-170000]yyyy-mm-dd")</f>
        <v/>
      </c>
      <c r="C10183">
        <f>TEXT(10182, "[$-060000]yyyy-mm-dd")</f>
        <v/>
      </c>
      <c r="D10183" t="inlineStr">
        <is>
          <t>1346-05-22</t>
        </is>
      </c>
    </row>
    <row r="10184">
      <c r="A10184" s="1" t="n">
        <v>10183</v>
      </c>
      <c r="B10184">
        <f>TEXT(10183, "[$-170000]yyyy-mm-dd")</f>
        <v/>
      </c>
      <c r="C10184">
        <f>TEXT(10183, "[$-060000]yyyy-mm-dd")</f>
        <v/>
      </c>
      <c r="D10184" t="inlineStr">
        <is>
          <t>1346-05-23</t>
        </is>
      </c>
    </row>
    <row r="10185">
      <c r="A10185" s="1" t="n">
        <v>10184</v>
      </c>
      <c r="B10185">
        <f>TEXT(10184, "[$-170000]yyyy-mm-dd")</f>
        <v/>
      </c>
      <c r="C10185">
        <f>TEXT(10184, "[$-060000]yyyy-mm-dd")</f>
        <v/>
      </c>
      <c r="D10185" t="inlineStr">
        <is>
          <t>1346-05-24</t>
        </is>
      </c>
    </row>
    <row r="10186">
      <c r="A10186" s="1" t="n">
        <v>10185</v>
      </c>
      <c r="B10186">
        <f>TEXT(10185, "[$-170000]yyyy-mm-dd")</f>
        <v/>
      </c>
      <c r="C10186">
        <f>TEXT(10185, "[$-060000]yyyy-mm-dd")</f>
        <v/>
      </c>
      <c r="D10186" t="inlineStr">
        <is>
          <t>1346-05-25</t>
        </is>
      </c>
    </row>
    <row r="10187">
      <c r="A10187" s="1" t="n">
        <v>10186</v>
      </c>
      <c r="B10187">
        <f>TEXT(10186, "[$-170000]yyyy-mm-dd")</f>
        <v/>
      </c>
      <c r="C10187">
        <f>TEXT(10186, "[$-060000]yyyy-mm-dd")</f>
        <v/>
      </c>
      <c r="D10187" t="inlineStr">
        <is>
          <t>1346-05-26</t>
        </is>
      </c>
    </row>
    <row r="10188">
      <c r="A10188" s="1" t="n">
        <v>10187</v>
      </c>
      <c r="B10188">
        <f>TEXT(10187, "[$-170000]yyyy-mm-dd")</f>
        <v/>
      </c>
      <c r="C10188">
        <f>TEXT(10187, "[$-060000]yyyy-mm-dd")</f>
        <v/>
      </c>
      <c r="D10188" t="inlineStr">
        <is>
          <t>1346-05-27</t>
        </is>
      </c>
    </row>
    <row r="10189">
      <c r="A10189" s="1" t="n">
        <v>10188</v>
      </c>
      <c r="B10189">
        <f>TEXT(10188, "[$-170000]yyyy-mm-dd")</f>
        <v/>
      </c>
      <c r="C10189">
        <f>TEXT(10188, "[$-060000]yyyy-mm-dd")</f>
        <v/>
      </c>
      <c r="D10189" t="inlineStr">
        <is>
          <t>1346-05-28</t>
        </is>
      </c>
    </row>
    <row r="10190">
      <c r="A10190" s="1" t="n">
        <v>10189</v>
      </c>
      <c r="B10190">
        <f>TEXT(10189, "[$-170000]yyyy-mm-dd")</f>
        <v/>
      </c>
      <c r="C10190">
        <f>TEXT(10189, "[$-060000]yyyy-mm-dd")</f>
        <v/>
      </c>
      <c r="D10190" t="inlineStr">
        <is>
          <t>1346-05-29</t>
        </is>
      </c>
    </row>
    <row r="10191">
      <c r="A10191" s="1" t="n">
        <v>10190</v>
      </c>
      <c r="B10191">
        <f>TEXT(10190, "[$-170000]yyyy-mm-dd")</f>
        <v/>
      </c>
      <c r="C10191">
        <f>TEXT(10190, "[$-060000]yyyy-mm-dd")</f>
        <v/>
      </c>
      <c r="D10191" t="inlineStr">
        <is>
          <t>1346-05-30</t>
        </is>
      </c>
    </row>
    <row r="10192">
      <c r="A10192" s="1" t="n">
        <v>10191</v>
      </c>
      <c r="B10192">
        <f>TEXT(10191, "[$-170000]yyyy-mm-dd")</f>
        <v/>
      </c>
      <c r="C10192">
        <f>TEXT(10191, "[$-060000]yyyy-mm-dd")</f>
        <v/>
      </c>
      <c r="D10192" t="inlineStr">
        <is>
          <t>1346-06-01</t>
        </is>
      </c>
    </row>
    <row r="10193">
      <c r="A10193" s="1" t="n">
        <v>10192</v>
      </c>
      <c r="B10193">
        <f>TEXT(10192, "[$-170000]yyyy-mm-dd")</f>
        <v/>
      </c>
      <c r="C10193">
        <f>TEXT(10192, "[$-060000]yyyy-mm-dd")</f>
        <v/>
      </c>
      <c r="D10193" t="inlineStr">
        <is>
          <t>1346-06-02</t>
        </is>
      </c>
    </row>
    <row r="10194">
      <c r="A10194" s="1" t="n">
        <v>10193</v>
      </c>
      <c r="B10194">
        <f>TEXT(10193, "[$-170000]yyyy-mm-dd")</f>
        <v/>
      </c>
      <c r="C10194">
        <f>TEXT(10193, "[$-060000]yyyy-mm-dd")</f>
        <v/>
      </c>
      <c r="D10194" t="inlineStr">
        <is>
          <t>1346-06-03</t>
        </is>
      </c>
    </row>
    <row r="10195">
      <c r="A10195" s="1" t="n">
        <v>10194</v>
      </c>
      <c r="B10195">
        <f>TEXT(10194, "[$-170000]yyyy-mm-dd")</f>
        <v/>
      </c>
      <c r="C10195">
        <f>TEXT(10194, "[$-060000]yyyy-mm-dd")</f>
        <v/>
      </c>
      <c r="D10195" t="inlineStr">
        <is>
          <t>1346-06-04</t>
        </is>
      </c>
    </row>
    <row r="10196">
      <c r="A10196" s="1" t="n">
        <v>10195</v>
      </c>
      <c r="B10196">
        <f>TEXT(10195, "[$-170000]yyyy-mm-dd")</f>
        <v/>
      </c>
      <c r="C10196">
        <f>TEXT(10195, "[$-060000]yyyy-mm-dd")</f>
        <v/>
      </c>
      <c r="D10196" t="inlineStr">
        <is>
          <t>1346-06-05</t>
        </is>
      </c>
    </row>
    <row r="10197">
      <c r="A10197" s="1" t="n">
        <v>10196</v>
      </c>
      <c r="B10197">
        <f>TEXT(10196, "[$-170000]yyyy-mm-dd")</f>
        <v/>
      </c>
      <c r="C10197">
        <f>TEXT(10196, "[$-060000]yyyy-mm-dd")</f>
        <v/>
      </c>
      <c r="D10197" t="inlineStr">
        <is>
          <t>1346-06-06</t>
        </is>
      </c>
    </row>
    <row r="10198">
      <c r="A10198" s="1" t="n">
        <v>10197</v>
      </c>
      <c r="B10198">
        <f>TEXT(10197, "[$-170000]yyyy-mm-dd")</f>
        <v/>
      </c>
      <c r="C10198">
        <f>TEXT(10197, "[$-060000]yyyy-mm-dd")</f>
        <v/>
      </c>
      <c r="D10198" t="inlineStr">
        <is>
          <t>1346-06-07</t>
        </is>
      </c>
    </row>
    <row r="10199">
      <c r="A10199" s="1" t="n">
        <v>10198</v>
      </c>
      <c r="B10199">
        <f>TEXT(10198, "[$-170000]yyyy-mm-dd")</f>
        <v/>
      </c>
      <c r="C10199">
        <f>TEXT(10198, "[$-060000]yyyy-mm-dd")</f>
        <v/>
      </c>
      <c r="D10199" t="inlineStr">
        <is>
          <t>1346-06-08</t>
        </is>
      </c>
    </row>
    <row r="10200">
      <c r="A10200" s="1" t="n">
        <v>10199</v>
      </c>
      <c r="B10200">
        <f>TEXT(10199, "[$-170000]yyyy-mm-dd")</f>
        <v/>
      </c>
      <c r="C10200">
        <f>TEXT(10199, "[$-060000]yyyy-mm-dd")</f>
        <v/>
      </c>
      <c r="D10200" t="inlineStr">
        <is>
          <t>1346-06-09</t>
        </is>
      </c>
    </row>
    <row r="10201">
      <c r="A10201" s="1" t="n">
        <v>10200</v>
      </c>
      <c r="B10201">
        <f>TEXT(10200, "[$-170000]yyyy-mm-dd")</f>
        <v/>
      </c>
      <c r="C10201">
        <f>TEXT(10200, "[$-060000]yyyy-mm-dd")</f>
        <v/>
      </c>
      <c r="D10201" t="inlineStr">
        <is>
          <t>1346-06-10</t>
        </is>
      </c>
    </row>
    <row r="10202">
      <c r="A10202" s="1" t="n">
        <v>10201</v>
      </c>
      <c r="B10202">
        <f>TEXT(10201, "[$-170000]yyyy-mm-dd")</f>
        <v/>
      </c>
      <c r="C10202">
        <f>TEXT(10201, "[$-060000]yyyy-mm-dd")</f>
        <v/>
      </c>
      <c r="D10202" t="inlineStr">
        <is>
          <t>1346-06-11</t>
        </is>
      </c>
    </row>
    <row r="10203">
      <c r="A10203" s="1" t="n">
        <v>10202</v>
      </c>
      <c r="B10203">
        <f>TEXT(10202, "[$-170000]yyyy-mm-dd")</f>
        <v/>
      </c>
      <c r="C10203">
        <f>TEXT(10202, "[$-060000]yyyy-mm-dd")</f>
        <v/>
      </c>
      <c r="D10203" t="inlineStr">
        <is>
          <t>1346-06-12</t>
        </is>
      </c>
    </row>
    <row r="10204">
      <c r="A10204" s="1" t="n">
        <v>10203</v>
      </c>
      <c r="B10204">
        <f>TEXT(10203, "[$-170000]yyyy-mm-dd")</f>
        <v/>
      </c>
      <c r="C10204">
        <f>TEXT(10203, "[$-060000]yyyy-mm-dd")</f>
        <v/>
      </c>
      <c r="D10204" t="inlineStr">
        <is>
          <t>1346-06-13</t>
        </is>
      </c>
    </row>
    <row r="10205">
      <c r="A10205" s="1" t="n">
        <v>10204</v>
      </c>
      <c r="B10205">
        <f>TEXT(10204, "[$-170000]yyyy-mm-dd")</f>
        <v/>
      </c>
      <c r="C10205">
        <f>TEXT(10204, "[$-060000]yyyy-mm-dd")</f>
        <v/>
      </c>
      <c r="D10205" t="inlineStr">
        <is>
          <t>1346-06-14</t>
        </is>
      </c>
    </row>
    <row r="10206">
      <c r="A10206" s="1" t="n">
        <v>10205</v>
      </c>
      <c r="B10206">
        <f>TEXT(10205, "[$-170000]yyyy-mm-dd")</f>
        <v/>
      </c>
      <c r="C10206">
        <f>TEXT(10205, "[$-060000]yyyy-mm-dd")</f>
        <v/>
      </c>
      <c r="D10206" t="inlineStr">
        <is>
          <t>1346-06-15</t>
        </is>
      </c>
    </row>
    <row r="10207">
      <c r="A10207" s="1" t="n">
        <v>10206</v>
      </c>
      <c r="B10207">
        <f>TEXT(10206, "[$-170000]yyyy-mm-dd")</f>
        <v/>
      </c>
      <c r="C10207">
        <f>TEXT(10206, "[$-060000]yyyy-mm-dd")</f>
        <v/>
      </c>
      <c r="D10207" t="inlineStr">
        <is>
          <t>1346-06-16</t>
        </is>
      </c>
    </row>
    <row r="10208">
      <c r="A10208" s="1" t="n">
        <v>10207</v>
      </c>
      <c r="B10208">
        <f>TEXT(10207, "[$-170000]yyyy-mm-dd")</f>
        <v/>
      </c>
      <c r="C10208">
        <f>TEXT(10207, "[$-060000]yyyy-mm-dd")</f>
        <v/>
      </c>
      <c r="D10208" t="inlineStr">
        <is>
          <t>1346-06-17</t>
        </is>
      </c>
    </row>
    <row r="10209">
      <c r="A10209" s="1" t="n">
        <v>10208</v>
      </c>
      <c r="B10209">
        <f>TEXT(10208, "[$-170000]yyyy-mm-dd")</f>
        <v/>
      </c>
      <c r="C10209">
        <f>TEXT(10208, "[$-060000]yyyy-mm-dd")</f>
        <v/>
      </c>
      <c r="D10209" t="inlineStr">
        <is>
          <t>1346-06-18</t>
        </is>
      </c>
    </row>
    <row r="10210">
      <c r="A10210" s="1" t="n">
        <v>10209</v>
      </c>
      <c r="B10210">
        <f>TEXT(10209, "[$-170000]yyyy-mm-dd")</f>
        <v/>
      </c>
      <c r="C10210">
        <f>TEXT(10209, "[$-060000]yyyy-mm-dd")</f>
        <v/>
      </c>
      <c r="D10210" t="inlineStr">
        <is>
          <t>1346-06-19</t>
        </is>
      </c>
    </row>
    <row r="10211">
      <c r="A10211" s="1" t="n">
        <v>10210</v>
      </c>
      <c r="B10211">
        <f>TEXT(10210, "[$-170000]yyyy-mm-dd")</f>
        <v/>
      </c>
      <c r="C10211">
        <f>TEXT(10210, "[$-060000]yyyy-mm-dd")</f>
        <v/>
      </c>
      <c r="D10211" t="inlineStr">
        <is>
          <t>1346-06-20</t>
        </is>
      </c>
    </row>
    <row r="10212">
      <c r="A10212" s="1" t="n">
        <v>10211</v>
      </c>
      <c r="B10212">
        <f>TEXT(10211, "[$-170000]yyyy-mm-dd")</f>
        <v/>
      </c>
      <c r="C10212">
        <f>TEXT(10211, "[$-060000]yyyy-mm-dd")</f>
        <v/>
      </c>
      <c r="D10212" t="inlineStr">
        <is>
          <t>1346-06-21</t>
        </is>
      </c>
    </row>
    <row r="10213">
      <c r="A10213" s="1" t="n">
        <v>10212</v>
      </c>
      <c r="B10213">
        <f>TEXT(10212, "[$-170000]yyyy-mm-dd")</f>
        <v/>
      </c>
      <c r="C10213">
        <f>TEXT(10212, "[$-060000]yyyy-mm-dd")</f>
        <v/>
      </c>
      <c r="D10213" t="inlineStr">
        <is>
          <t>1346-06-22</t>
        </is>
      </c>
    </row>
    <row r="10214">
      <c r="A10214" s="1" t="n">
        <v>10213</v>
      </c>
      <c r="B10214">
        <f>TEXT(10213, "[$-170000]yyyy-mm-dd")</f>
        <v/>
      </c>
      <c r="C10214">
        <f>TEXT(10213, "[$-060000]yyyy-mm-dd")</f>
        <v/>
      </c>
      <c r="D10214" t="inlineStr">
        <is>
          <t>1346-06-23</t>
        </is>
      </c>
    </row>
    <row r="10215">
      <c r="A10215" s="1" t="n">
        <v>10214</v>
      </c>
      <c r="B10215">
        <f>TEXT(10214, "[$-170000]yyyy-mm-dd")</f>
        <v/>
      </c>
      <c r="C10215">
        <f>TEXT(10214, "[$-060000]yyyy-mm-dd")</f>
        <v/>
      </c>
      <c r="D10215" t="inlineStr">
        <is>
          <t>1346-06-24</t>
        </is>
      </c>
    </row>
    <row r="10216">
      <c r="A10216" s="1" t="n">
        <v>10215</v>
      </c>
      <c r="B10216">
        <f>TEXT(10215, "[$-170000]yyyy-mm-dd")</f>
        <v/>
      </c>
      <c r="C10216">
        <f>TEXT(10215, "[$-060000]yyyy-mm-dd")</f>
        <v/>
      </c>
      <c r="D10216" t="inlineStr">
        <is>
          <t>1346-06-25</t>
        </is>
      </c>
    </row>
    <row r="10217">
      <c r="A10217" s="1" t="n">
        <v>10216</v>
      </c>
      <c r="B10217">
        <f>TEXT(10216, "[$-170000]yyyy-mm-dd")</f>
        <v/>
      </c>
      <c r="C10217">
        <f>TEXT(10216, "[$-060000]yyyy-mm-dd")</f>
        <v/>
      </c>
      <c r="D10217" t="inlineStr">
        <is>
          <t>1346-06-26</t>
        </is>
      </c>
    </row>
    <row r="10218">
      <c r="A10218" s="1" t="n">
        <v>10217</v>
      </c>
      <c r="B10218">
        <f>TEXT(10217, "[$-170000]yyyy-mm-dd")</f>
        <v/>
      </c>
      <c r="C10218">
        <f>TEXT(10217, "[$-060000]yyyy-mm-dd")</f>
        <v/>
      </c>
      <c r="D10218" t="inlineStr">
        <is>
          <t>1346-06-27</t>
        </is>
      </c>
    </row>
    <row r="10219">
      <c r="A10219" s="1" t="n">
        <v>10218</v>
      </c>
      <c r="B10219">
        <f>TEXT(10218, "[$-170000]yyyy-mm-dd")</f>
        <v/>
      </c>
      <c r="C10219">
        <f>TEXT(10218, "[$-060000]yyyy-mm-dd")</f>
        <v/>
      </c>
      <c r="D10219" t="inlineStr">
        <is>
          <t>1346-06-28</t>
        </is>
      </c>
    </row>
    <row r="10220">
      <c r="A10220" s="1" t="n">
        <v>10219</v>
      </c>
      <c r="B10220">
        <f>TEXT(10219, "[$-170000]yyyy-mm-dd")</f>
        <v/>
      </c>
      <c r="C10220">
        <f>TEXT(10219, "[$-060000]yyyy-mm-dd")</f>
        <v/>
      </c>
      <c r="D10220" t="inlineStr">
        <is>
          <t>1346-06-29</t>
        </is>
      </c>
    </row>
    <row r="10221">
      <c r="A10221" s="1" t="n">
        <v>10220</v>
      </c>
      <c r="B10221">
        <f>TEXT(10220, "[$-170000]yyyy-mm-dd")</f>
        <v/>
      </c>
      <c r="C10221">
        <f>TEXT(10220, "[$-060000]yyyy-mm-dd")</f>
        <v/>
      </c>
      <c r="D10221" t="inlineStr">
        <is>
          <t>1346-07-01</t>
        </is>
      </c>
    </row>
    <row r="10222">
      <c r="A10222" s="1" t="n">
        <v>10221</v>
      </c>
      <c r="B10222">
        <f>TEXT(10221, "[$-170000]yyyy-mm-dd")</f>
        <v/>
      </c>
      <c r="C10222">
        <f>TEXT(10221, "[$-060000]yyyy-mm-dd")</f>
        <v/>
      </c>
      <c r="D10222" t="inlineStr">
        <is>
          <t>1346-07-02</t>
        </is>
      </c>
    </row>
    <row r="10223">
      <c r="A10223" s="1" t="n">
        <v>10222</v>
      </c>
      <c r="B10223">
        <f>TEXT(10222, "[$-170000]yyyy-mm-dd")</f>
        <v/>
      </c>
      <c r="C10223">
        <f>TEXT(10222, "[$-060000]yyyy-mm-dd")</f>
        <v/>
      </c>
      <c r="D10223" t="inlineStr">
        <is>
          <t>1346-07-03</t>
        </is>
      </c>
    </row>
    <row r="10224">
      <c r="A10224" s="1" t="n">
        <v>10223</v>
      </c>
      <c r="B10224">
        <f>TEXT(10223, "[$-170000]yyyy-mm-dd")</f>
        <v/>
      </c>
      <c r="C10224">
        <f>TEXT(10223, "[$-060000]yyyy-mm-dd")</f>
        <v/>
      </c>
      <c r="D10224" t="inlineStr">
        <is>
          <t>1346-07-04</t>
        </is>
      </c>
    </row>
    <row r="10225">
      <c r="A10225" s="1" t="n">
        <v>10224</v>
      </c>
      <c r="B10225">
        <f>TEXT(10224, "[$-170000]yyyy-mm-dd")</f>
        <v/>
      </c>
      <c r="C10225">
        <f>TEXT(10224, "[$-060000]yyyy-mm-dd")</f>
        <v/>
      </c>
      <c r="D10225" t="inlineStr">
        <is>
          <t>1346-07-05</t>
        </is>
      </c>
    </row>
    <row r="10226">
      <c r="A10226" s="1" t="n">
        <v>10225</v>
      </c>
      <c r="B10226">
        <f>TEXT(10225, "[$-170000]yyyy-mm-dd")</f>
        <v/>
      </c>
      <c r="C10226">
        <f>TEXT(10225, "[$-060000]yyyy-mm-dd")</f>
        <v/>
      </c>
      <c r="D10226" t="inlineStr">
        <is>
          <t>1346-07-06</t>
        </is>
      </c>
    </row>
    <row r="10227">
      <c r="A10227" s="1" t="n">
        <v>10226</v>
      </c>
      <c r="B10227">
        <f>TEXT(10226, "[$-170000]yyyy-mm-dd")</f>
        <v/>
      </c>
      <c r="C10227">
        <f>TEXT(10226, "[$-060000]yyyy-mm-dd")</f>
        <v/>
      </c>
      <c r="D10227" t="inlineStr">
        <is>
          <t>1346-07-07</t>
        </is>
      </c>
    </row>
    <row r="10228">
      <c r="A10228" s="1" t="n">
        <v>10227</v>
      </c>
      <c r="B10228">
        <f>TEXT(10227, "[$-170000]yyyy-mm-dd")</f>
        <v/>
      </c>
      <c r="C10228">
        <f>TEXT(10227, "[$-060000]yyyy-mm-dd")</f>
        <v/>
      </c>
      <c r="D10228" t="inlineStr">
        <is>
          <t>1346-07-08</t>
        </is>
      </c>
    </row>
    <row r="10229">
      <c r="A10229" s="1" t="n">
        <v>10228</v>
      </c>
      <c r="B10229">
        <f>TEXT(10228, "[$-170000]yyyy-mm-dd")</f>
        <v/>
      </c>
      <c r="C10229">
        <f>TEXT(10228, "[$-060000]yyyy-mm-dd")</f>
        <v/>
      </c>
      <c r="D10229" t="inlineStr">
        <is>
          <t>1346-07-09</t>
        </is>
      </c>
    </row>
    <row r="10230">
      <c r="A10230" s="1" t="n">
        <v>10229</v>
      </c>
      <c r="B10230">
        <f>TEXT(10229, "[$-170000]yyyy-mm-dd")</f>
        <v/>
      </c>
      <c r="C10230">
        <f>TEXT(10229, "[$-060000]yyyy-mm-dd")</f>
        <v/>
      </c>
      <c r="D10230" t="inlineStr">
        <is>
          <t>1346-07-10</t>
        </is>
      </c>
    </row>
    <row r="10231">
      <c r="A10231" s="1" t="n">
        <v>10230</v>
      </c>
      <c r="B10231">
        <f>TEXT(10230, "[$-170000]yyyy-mm-dd")</f>
        <v/>
      </c>
      <c r="C10231">
        <f>TEXT(10230, "[$-060000]yyyy-mm-dd")</f>
        <v/>
      </c>
      <c r="D10231" t="inlineStr">
        <is>
          <t>1346-07-11</t>
        </is>
      </c>
    </row>
    <row r="10232">
      <c r="A10232" s="1" t="n">
        <v>10231</v>
      </c>
      <c r="B10232">
        <f>TEXT(10231, "[$-170000]yyyy-mm-dd")</f>
        <v/>
      </c>
      <c r="C10232">
        <f>TEXT(10231, "[$-060000]yyyy-mm-dd")</f>
        <v/>
      </c>
      <c r="D10232" t="inlineStr">
        <is>
          <t>1346-07-12</t>
        </is>
      </c>
    </row>
    <row r="10233">
      <c r="A10233" s="1" t="n">
        <v>10232</v>
      </c>
      <c r="B10233">
        <f>TEXT(10232, "[$-170000]yyyy-mm-dd")</f>
        <v/>
      </c>
      <c r="C10233">
        <f>TEXT(10232, "[$-060000]yyyy-mm-dd")</f>
        <v/>
      </c>
      <c r="D10233" t="inlineStr">
        <is>
          <t>1346-07-13</t>
        </is>
      </c>
    </row>
    <row r="10234">
      <c r="A10234" s="1" t="n">
        <v>10233</v>
      </c>
      <c r="B10234">
        <f>TEXT(10233, "[$-170000]yyyy-mm-dd")</f>
        <v/>
      </c>
      <c r="C10234">
        <f>TEXT(10233, "[$-060000]yyyy-mm-dd")</f>
        <v/>
      </c>
      <c r="D10234" t="inlineStr">
        <is>
          <t>1346-07-14</t>
        </is>
      </c>
    </row>
    <row r="10235">
      <c r="A10235" s="1" t="n">
        <v>10234</v>
      </c>
      <c r="B10235">
        <f>TEXT(10234, "[$-170000]yyyy-mm-dd")</f>
        <v/>
      </c>
      <c r="C10235">
        <f>TEXT(10234, "[$-060000]yyyy-mm-dd")</f>
        <v/>
      </c>
      <c r="D10235" t="inlineStr">
        <is>
          <t>1346-07-15</t>
        </is>
      </c>
    </row>
    <row r="10236">
      <c r="A10236" s="1" t="n">
        <v>10235</v>
      </c>
      <c r="B10236">
        <f>TEXT(10235, "[$-170000]yyyy-mm-dd")</f>
        <v/>
      </c>
      <c r="C10236">
        <f>TEXT(10235, "[$-060000]yyyy-mm-dd")</f>
        <v/>
      </c>
      <c r="D10236" t="inlineStr">
        <is>
          <t>1346-07-16</t>
        </is>
      </c>
    </row>
    <row r="10237">
      <c r="A10237" s="1" t="n">
        <v>10236</v>
      </c>
      <c r="B10237">
        <f>TEXT(10236, "[$-170000]yyyy-mm-dd")</f>
        <v/>
      </c>
      <c r="C10237">
        <f>TEXT(10236, "[$-060000]yyyy-mm-dd")</f>
        <v/>
      </c>
      <c r="D10237" t="inlineStr">
        <is>
          <t>1346-07-17</t>
        </is>
      </c>
    </row>
    <row r="10238">
      <c r="A10238" s="1" t="n">
        <v>10237</v>
      </c>
      <c r="B10238">
        <f>TEXT(10237, "[$-170000]yyyy-mm-dd")</f>
        <v/>
      </c>
      <c r="C10238">
        <f>TEXT(10237, "[$-060000]yyyy-mm-dd")</f>
        <v/>
      </c>
      <c r="D10238" t="inlineStr">
        <is>
          <t>1346-07-18</t>
        </is>
      </c>
    </row>
    <row r="10239">
      <c r="A10239" s="1" t="n">
        <v>10238</v>
      </c>
      <c r="B10239">
        <f>TEXT(10238, "[$-170000]yyyy-mm-dd")</f>
        <v/>
      </c>
      <c r="C10239">
        <f>TEXT(10238, "[$-060000]yyyy-mm-dd")</f>
        <v/>
      </c>
      <c r="D10239" t="inlineStr">
        <is>
          <t>1346-07-19</t>
        </is>
      </c>
    </row>
    <row r="10240">
      <c r="A10240" s="1" t="n">
        <v>10239</v>
      </c>
      <c r="B10240">
        <f>TEXT(10239, "[$-170000]yyyy-mm-dd")</f>
        <v/>
      </c>
      <c r="C10240">
        <f>TEXT(10239, "[$-060000]yyyy-mm-dd")</f>
        <v/>
      </c>
      <c r="D10240" t="inlineStr">
        <is>
          <t>1346-07-20</t>
        </is>
      </c>
    </row>
    <row r="10241">
      <c r="A10241" s="1" t="n">
        <v>10240</v>
      </c>
      <c r="B10241">
        <f>TEXT(10240, "[$-170000]yyyy-mm-dd")</f>
        <v/>
      </c>
      <c r="C10241">
        <f>TEXT(10240, "[$-060000]yyyy-mm-dd")</f>
        <v/>
      </c>
      <c r="D10241" t="inlineStr">
        <is>
          <t>1346-07-21</t>
        </is>
      </c>
    </row>
    <row r="10242">
      <c r="A10242" s="1" t="n">
        <v>10241</v>
      </c>
      <c r="B10242">
        <f>TEXT(10241, "[$-170000]yyyy-mm-dd")</f>
        <v/>
      </c>
      <c r="C10242">
        <f>TEXT(10241, "[$-060000]yyyy-mm-dd")</f>
        <v/>
      </c>
      <c r="D10242" t="inlineStr">
        <is>
          <t>1346-07-22</t>
        </is>
      </c>
    </row>
    <row r="10243">
      <c r="A10243" s="1" t="n">
        <v>10242</v>
      </c>
      <c r="B10243">
        <f>TEXT(10242, "[$-170000]yyyy-mm-dd")</f>
        <v/>
      </c>
      <c r="C10243">
        <f>TEXT(10242, "[$-060000]yyyy-mm-dd")</f>
        <v/>
      </c>
      <c r="D10243" t="inlineStr">
        <is>
          <t>1346-07-23</t>
        </is>
      </c>
    </row>
    <row r="10244">
      <c r="A10244" s="1" t="n">
        <v>10243</v>
      </c>
      <c r="B10244">
        <f>TEXT(10243, "[$-170000]yyyy-mm-dd")</f>
        <v/>
      </c>
      <c r="C10244">
        <f>TEXT(10243, "[$-060000]yyyy-mm-dd")</f>
        <v/>
      </c>
      <c r="D10244" t="inlineStr">
        <is>
          <t>1346-07-24</t>
        </is>
      </c>
    </row>
    <row r="10245">
      <c r="A10245" s="1" t="n">
        <v>10244</v>
      </c>
      <c r="B10245">
        <f>TEXT(10244, "[$-170000]yyyy-mm-dd")</f>
        <v/>
      </c>
      <c r="C10245">
        <f>TEXT(10244, "[$-060000]yyyy-mm-dd")</f>
        <v/>
      </c>
      <c r="D10245" t="inlineStr">
        <is>
          <t>1346-07-25</t>
        </is>
      </c>
    </row>
    <row r="10246">
      <c r="A10246" s="1" t="n">
        <v>10245</v>
      </c>
      <c r="B10246">
        <f>TEXT(10245, "[$-170000]yyyy-mm-dd")</f>
        <v/>
      </c>
      <c r="C10246">
        <f>TEXT(10245, "[$-060000]yyyy-mm-dd")</f>
        <v/>
      </c>
      <c r="D10246" t="inlineStr">
        <is>
          <t>1346-07-26</t>
        </is>
      </c>
    </row>
    <row r="10247">
      <c r="A10247" s="1" t="n">
        <v>10246</v>
      </c>
      <c r="B10247">
        <f>TEXT(10246, "[$-170000]yyyy-mm-dd")</f>
        <v/>
      </c>
      <c r="C10247">
        <f>TEXT(10246, "[$-060000]yyyy-mm-dd")</f>
        <v/>
      </c>
      <c r="D10247" t="inlineStr">
        <is>
          <t>1346-07-27</t>
        </is>
      </c>
    </row>
    <row r="10248">
      <c r="A10248" s="1" t="n">
        <v>10247</v>
      </c>
      <c r="B10248">
        <f>TEXT(10247, "[$-170000]yyyy-mm-dd")</f>
        <v/>
      </c>
      <c r="C10248">
        <f>TEXT(10247, "[$-060000]yyyy-mm-dd")</f>
        <v/>
      </c>
      <c r="D10248" t="inlineStr">
        <is>
          <t>1346-07-28</t>
        </is>
      </c>
    </row>
    <row r="10249">
      <c r="A10249" s="1" t="n">
        <v>10248</v>
      </c>
      <c r="B10249">
        <f>TEXT(10248, "[$-170000]yyyy-mm-dd")</f>
        <v/>
      </c>
      <c r="C10249">
        <f>TEXT(10248, "[$-060000]yyyy-mm-dd")</f>
        <v/>
      </c>
      <c r="D10249" t="inlineStr">
        <is>
          <t>1346-07-29</t>
        </is>
      </c>
    </row>
    <row r="10250">
      <c r="A10250" s="1" t="n">
        <v>10249</v>
      </c>
      <c r="B10250">
        <f>TEXT(10249, "[$-170000]yyyy-mm-dd")</f>
        <v/>
      </c>
      <c r="C10250">
        <f>TEXT(10249, "[$-060000]yyyy-mm-dd")</f>
        <v/>
      </c>
      <c r="D10250" t="inlineStr">
        <is>
          <t>1346-07-30</t>
        </is>
      </c>
    </row>
    <row r="10251">
      <c r="A10251" s="1" t="n">
        <v>10250</v>
      </c>
      <c r="B10251">
        <f>TEXT(10250, "[$-170000]yyyy-mm-dd")</f>
        <v/>
      </c>
      <c r="C10251">
        <f>TEXT(10250, "[$-060000]yyyy-mm-dd")</f>
        <v/>
      </c>
      <c r="D10251" t="inlineStr">
        <is>
          <t>1346-08-01</t>
        </is>
      </c>
    </row>
    <row r="10252">
      <c r="A10252" s="1" t="n">
        <v>10251</v>
      </c>
      <c r="B10252">
        <f>TEXT(10251, "[$-170000]yyyy-mm-dd")</f>
        <v/>
      </c>
      <c r="C10252">
        <f>TEXT(10251, "[$-060000]yyyy-mm-dd")</f>
        <v/>
      </c>
      <c r="D10252" t="inlineStr">
        <is>
          <t>1346-08-02</t>
        </is>
      </c>
    </row>
    <row r="10253">
      <c r="A10253" s="1" t="n">
        <v>10252</v>
      </c>
      <c r="B10253">
        <f>TEXT(10252, "[$-170000]yyyy-mm-dd")</f>
        <v/>
      </c>
      <c r="C10253">
        <f>TEXT(10252, "[$-060000]yyyy-mm-dd")</f>
        <v/>
      </c>
      <c r="D10253" t="inlineStr">
        <is>
          <t>1346-08-03</t>
        </is>
      </c>
    </row>
    <row r="10254">
      <c r="A10254" s="1" t="n">
        <v>10253</v>
      </c>
      <c r="B10254">
        <f>TEXT(10253, "[$-170000]yyyy-mm-dd")</f>
        <v/>
      </c>
      <c r="C10254">
        <f>TEXT(10253, "[$-060000]yyyy-mm-dd")</f>
        <v/>
      </c>
      <c r="D10254" t="inlineStr">
        <is>
          <t>1346-08-04</t>
        </is>
      </c>
    </row>
    <row r="10255">
      <c r="A10255" s="1" t="n">
        <v>10254</v>
      </c>
      <c r="B10255">
        <f>TEXT(10254, "[$-170000]yyyy-mm-dd")</f>
        <v/>
      </c>
      <c r="C10255">
        <f>TEXT(10254, "[$-060000]yyyy-mm-dd")</f>
        <v/>
      </c>
      <c r="D10255" t="inlineStr">
        <is>
          <t>1346-08-05</t>
        </is>
      </c>
    </row>
    <row r="10256">
      <c r="A10256" s="1" t="n">
        <v>10255</v>
      </c>
      <c r="B10256">
        <f>TEXT(10255, "[$-170000]yyyy-mm-dd")</f>
        <v/>
      </c>
      <c r="C10256">
        <f>TEXT(10255, "[$-060000]yyyy-mm-dd")</f>
        <v/>
      </c>
      <c r="D10256" t="inlineStr">
        <is>
          <t>1346-08-06</t>
        </is>
      </c>
    </row>
    <row r="10257">
      <c r="A10257" s="1" t="n">
        <v>10256</v>
      </c>
      <c r="B10257">
        <f>TEXT(10256, "[$-170000]yyyy-mm-dd")</f>
        <v/>
      </c>
      <c r="C10257">
        <f>TEXT(10256, "[$-060000]yyyy-mm-dd")</f>
        <v/>
      </c>
      <c r="D10257" t="inlineStr">
        <is>
          <t>1346-08-07</t>
        </is>
      </c>
    </row>
    <row r="10258">
      <c r="A10258" s="1" t="n">
        <v>10257</v>
      </c>
      <c r="B10258">
        <f>TEXT(10257, "[$-170000]yyyy-mm-dd")</f>
        <v/>
      </c>
      <c r="C10258">
        <f>TEXT(10257, "[$-060000]yyyy-mm-dd")</f>
        <v/>
      </c>
      <c r="D10258" t="inlineStr">
        <is>
          <t>1346-08-08</t>
        </is>
      </c>
    </row>
    <row r="10259">
      <c r="A10259" s="1" t="n">
        <v>10258</v>
      </c>
      <c r="B10259">
        <f>TEXT(10258, "[$-170000]yyyy-mm-dd")</f>
        <v/>
      </c>
      <c r="C10259">
        <f>TEXT(10258, "[$-060000]yyyy-mm-dd")</f>
        <v/>
      </c>
      <c r="D10259" t="inlineStr">
        <is>
          <t>1346-08-09</t>
        </is>
      </c>
    </row>
    <row r="10260">
      <c r="A10260" s="1" t="n">
        <v>10259</v>
      </c>
      <c r="B10260">
        <f>TEXT(10259, "[$-170000]yyyy-mm-dd")</f>
        <v/>
      </c>
      <c r="C10260">
        <f>TEXT(10259, "[$-060000]yyyy-mm-dd")</f>
        <v/>
      </c>
      <c r="D10260" t="inlineStr">
        <is>
          <t>1346-08-10</t>
        </is>
      </c>
    </row>
    <row r="10261">
      <c r="A10261" s="1" t="n">
        <v>10260</v>
      </c>
      <c r="B10261">
        <f>TEXT(10260, "[$-170000]yyyy-mm-dd")</f>
        <v/>
      </c>
      <c r="C10261">
        <f>TEXT(10260, "[$-060000]yyyy-mm-dd")</f>
        <v/>
      </c>
      <c r="D10261" t="inlineStr">
        <is>
          <t>1346-08-11</t>
        </is>
      </c>
    </row>
    <row r="10262">
      <c r="A10262" s="1" t="n">
        <v>10261</v>
      </c>
      <c r="B10262">
        <f>TEXT(10261, "[$-170000]yyyy-mm-dd")</f>
        <v/>
      </c>
      <c r="C10262">
        <f>TEXT(10261, "[$-060000]yyyy-mm-dd")</f>
        <v/>
      </c>
      <c r="D10262" t="inlineStr">
        <is>
          <t>1346-08-12</t>
        </is>
      </c>
    </row>
    <row r="10263">
      <c r="A10263" s="1" t="n">
        <v>10262</v>
      </c>
      <c r="B10263">
        <f>TEXT(10262, "[$-170000]yyyy-mm-dd")</f>
        <v/>
      </c>
      <c r="C10263">
        <f>TEXT(10262, "[$-060000]yyyy-mm-dd")</f>
        <v/>
      </c>
      <c r="D10263" t="inlineStr">
        <is>
          <t>1346-08-13</t>
        </is>
      </c>
    </row>
    <row r="10264">
      <c r="A10264" s="1" t="n">
        <v>10263</v>
      </c>
      <c r="B10264">
        <f>TEXT(10263, "[$-170000]yyyy-mm-dd")</f>
        <v/>
      </c>
      <c r="C10264">
        <f>TEXT(10263, "[$-060000]yyyy-mm-dd")</f>
        <v/>
      </c>
      <c r="D10264" t="inlineStr">
        <is>
          <t>1346-08-14</t>
        </is>
      </c>
    </row>
    <row r="10265">
      <c r="A10265" s="1" t="n">
        <v>10264</v>
      </c>
      <c r="B10265">
        <f>TEXT(10264, "[$-170000]yyyy-mm-dd")</f>
        <v/>
      </c>
      <c r="C10265">
        <f>TEXT(10264, "[$-060000]yyyy-mm-dd")</f>
        <v/>
      </c>
      <c r="D10265" t="inlineStr">
        <is>
          <t>1346-08-15</t>
        </is>
      </c>
    </row>
    <row r="10266">
      <c r="A10266" s="1" t="n">
        <v>10265</v>
      </c>
      <c r="B10266">
        <f>TEXT(10265, "[$-170000]yyyy-mm-dd")</f>
        <v/>
      </c>
      <c r="C10266">
        <f>TEXT(10265, "[$-060000]yyyy-mm-dd")</f>
        <v/>
      </c>
      <c r="D10266" t="inlineStr">
        <is>
          <t>1346-08-16</t>
        </is>
      </c>
    </row>
    <row r="10267">
      <c r="A10267" s="1" t="n">
        <v>10266</v>
      </c>
      <c r="B10267">
        <f>TEXT(10266, "[$-170000]yyyy-mm-dd")</f>
        <v/>
      </c>
      <c r="C10267">
        <f>TEXT(10266, "[$-060000]yyyy-mm-dd")</f>
        <v/>
      </c>
      <c r="D10267" t="inlineStr">
        <is>
          <t>1346-08-17</t>
        </is>
      </c>
    </row>
    <row r="10268">
      <c r="A10268" s="1" t="n">
        <v>10267</v>
      </c>
      <c r="B10268">
        <f>TEXT(10267, "[$-170000]yyyy-mm-dd")</f>
        <v/>
      </c>
      <c r="C10268">
        <f>TEXT(10267, "[$-060000]yyyy-mm-dd")</f>
        <v/>
      </c>
      <c r="D10268" t="inlineStr">
        <is>
          <t>1346-08-18</t>
        </is>
      </c>
    </row>
    <row r="10269">
      <c r="A10269" s="1" t="n">
        <v>10268</v>
      </c>
      <c r="B10269">
        <f>TEXT(10268, "[$-170000]yyyy-mm-dd")</f>
        <v/>
      </c>
      <c r="C10269">
        <f>TEXT(10268, "[$-060000]yyyy-mm-dd")</f>
        <v/>
      </c>
      <c r="D10269" t="inlineStr">
        <is>
          <t>1346-08-19</t>
        </is>
      </c>
    </row>
    <row r="10270">
      <c r="A10270" s="1" t="n">
        <v>10269</v>
      </c>
      <c r="B10270">
        <f>TEXT(10269, "[$-170000]yyyy-mm-dd")</f>
        <v/>
      </c>
      <c r="C10270">
        <f>TEXT(10269, "[$-060000]yyyy-mm-dd")</f>
        <v/>
      </c>
      <c r="D10270" t="inlineStr">
        <is>
          <t>1346-08-20</t>
        </is>
      </c>
    </row>
    <row r="10271">
      <c r="A10271" s="1" t="n">
        <v>10270</v>
      </c>
      <c r="B10271">
        <f>TEXT(10270, "[$-170000]yyyy-mm-dd")</f>
        <v/>
      </c>
      <c r="C10271">
        <f>TEXT(10270, "[$-060000]yyyy-mm-dd")</f>
        <v/>
      </c>
      <c r="D10271" t="inlineStr">
        <is>
          <t>1346-08-21</t>
        </is>
      </c>
    </row>
    <row r="10272">
      <c r="A10272" s="1" t="n">
        <v>10271</v>
      </c>
      <c r="B10272">
        <f>TEXT(10271, "[$-170000]yyyy-mm-dd")</f>
        <v/>
      </c>
      <c r="C10272">
        <f>TEXT(10271, "[$-060000]yyyy-mm-dd")</f>
        <v/>
      </c>
      <c r="D10272" t="inlineStr">
        <is>
          <t>1346-08-22</t>
        </is>
      </c>
    </row>
    <row r="10273">
      <c r="A10273" s="1" t="n">
        <v>10272</v>
      </c>
      <c r="B10273">
        <f>TEXT(10272, "[$-170000]yyyy-mm-dd")</f>
        <v/>
      </c>
      <c r="C10273">
        <f>TEXT(10272, "[$-060000]yyyy-mm-dd")</f>
        <v/>
      </c>
      <c r="D10273" t="inlineStr">
        <is>
          <t>1346-08-23</t>
        </is>
      </c>
    </row>
    <row r="10274">
      <c r="A10274" s="1" t="n">
        <v>10273</v>
      </c>
      <c r="B10274">
        <f>TEXT(10273, "[$-170000]yyyy-mm-dd")</f>
        <v/>
      </c>
      <c r="C10274">
        <f>TEXT(10273, "[$-060000]yyyy-mm-dd")</f>
        <v/>
      </c>
      <c r="D10274" t="inlineStr">
        <is>
          <t>1346-08-24</t>
        </is>
      </c>
    </row>
    <row r="10275">
      <c r="A10275" s="1" t="n">
        <v>10274</v>
      </c>
      <c r="B10275">
        <f>TEXT(10274, "[$-170000]yyyy-mm-dd")</f>
        <v/>
      </c>
      <c r="C10275">
        <f>TEXT(10274, "[$-060000]yyyy-mm-dd")</f>
        <v/>
      </c>
      <c r="D10275" t="inlineStr">
        <is>
          <t>1346-08-25</t>
        </is>
      </c>
    </row>
    <row r="10276">
      <c r="A10276" s="1" t="n">
        <v>10275</v>
      </c>
      <c r="B10276">
        <f>TEXT(10275, "[$-170000]yyyy-mm-dd")</f>
        <v/>
      </c>
      <c r="C10276">
        <f>TEXT(10275, "[$-060000]yyyy-mm-dd")</f>
        <v/>
      </c>
      <c r="D10276" t="inlineStr">
        <is>
          <t>1346-08-26</t>
        </is>
      </c>
    </row>
    <row r="10277">
      <c r="A10277" s="1" t="n">
        <v>10276</v>
      </c>
      <c r="B10277">
        <f>TEXT(10276, "[$-170000]yyyy-mm-dd")</f>
        <v/>
      </c>
      <c r="C10277">
        <f>TEXT(10276, "[$-060000]yyyy-mm-dd")</f>
        <v/>
      </c>
      <c r="D10277" t="inlineStr">
        <is>
          <t>1346-08-27</t>
        </is>
      </c>
    </row>
    <row r="10278">
      <c r="A10278" s="1" t="n">
        <v>10277</v>
      </c>
      <c r="B10278">
        <f>TEXT(10277, "[$-170000]yyyy-mm-dd")</f>
        <v/>
      </c>
      <c r="C10278">
        <f>TEXT(10277, "[$-060000]yyyy-mm-dd")</f>
        <v/>
      </c>
      <c r="D10278" t="inlineStr">
        <is>
          <t>1346-08-28</t>
        </is>
      </c>
    </row>
    <row r="10279">
      <c r="A10279" s="1" t="n">
        <v>10278</v>
      </c>
      <c r="B10279">
        <f>TEXT(10278, "[$-170000]yyyy-mm-dd")</f>
        <v/>
      </c>
      <c r="C10279">
        <f>TEXT(10278, "[$-060000]yyyy-mm-dd")</f>
        <v/>
      </c>
      <c r="D10279" t="inlineStr">
        <is>
          <t>1346-08-29</t>
        </is>
      </c>
    </row>
    <row r="10280">
      <c r="A10280" s="1" t="n">
        <v>10279</v>
      </c>
      <c r="B10280">
        <f>TEXT(10279, "[$-170000]yyyy-mm-dd")</f>
        <v/>
      </c>
      <c r="C10280">
        <f>TEXT(10279, "[$-060000]yyyy-mm-dd")</f>
        <v/>
      </c>
      <c r="D10280" t="inlineStr">
        <is>
          <t>1346-09-01</t>
        </is>
      </c>
    </row>
    <row r="10281">
      <c r="A10281" s="1" t="n">
        <v>10280</v>
      </c>
      <c r="B10281">
        <f>TEXT(10280, "[$-170000]yyyy-mm-dd")</f>
        <v/>
      </c>
      <c r="C10281">
        <f>TEXT(10280, "[$-060000]yyyy-mm-dd")</f>
        <v/>
      </c>
      <c r="D10281" t="inlineStr">
        <is>
          <t>1346-09-02</t>
        </is>
      </c>
    </row>
    <row r="10282">
      <c r="A10282" s="1" t="n">
        <v>10281</v>
      </c>
      <c r="B10282">
        <f>TEXT(10281, "[$-170000]yyyy-mm-dd")</f>
        <v/>
      </c>
      <c r="C10282">
        <f>TEXT(10281, "[$-060000]yyyy-mm-dd")</f>
        <v/>
      </c>
      <c r="D10282" t="inlineStr">
        <is>
          <t>1346-09-03</t>
        </is>
      </c>
    </row>
    <row r="10283">
      <c r="A10283" s="1" t="n">
        <v>10282</v>
      </c>
      <c r="B10283">
        <f>TEXT(10282, "[$-170000]yyyy-mm-dd")</f>
        <v/>
      </c>
      <c r="C10283">
        <f>TEXT(10282, "[$-060000]yyyy-mm-dd")</f>
        <v/>
      </c>
      <c r="D10283" t="inlineStr">
        <is>
          <t>1346-09-04</t>
        </is>
      </c>
    </row>
    <row r="10284">
      <c r="A10284" s="1" t="n">
        <v>10283</v>
      </c>
      <c r="B10284">
        <f>TEXT(10283, "[$-170000]yyyy-mm-dd")</f>
        <v/>
      </c>
      <c r="C10284">
        <f>TEXT(10283, "[$-060000]yyyy-mm-dd")</f>
        <v/>
      </c>
      <c r="D10284" t="inlineStr">
        <is>
          <t>1346-09-05</t>
        </is>
      </c>
    </row>
    <row r="10285">
      <c r="A10285" s="1" t="n">
        <v>10284</v>
      </c>
      <c r="B10285">
        <f>TEXT(10284, "[$-170000]yyyy-mm-dd")</f>
        <v/>
      </c>
      <c r="C10285">
        <f>TEXT(10284, "[$-060000]yyyy-mm-dd")</f>
        <v/>
      </c>
      <c r="D10285" t="inlineStr">
        <is>
          <t>1346-09-06</t>
        </is>
      </c>
    </row>
    <row r="10286">
      <c r="A10286" s="1" t="n">
        <v>10285</v>
      </c>
      <c r="B10286">
        <f>TEXT(10285, "[$-170000]yyyy-mm-dd")</f>
        <v/>
      </c>
      <c r="C10286">
        <f>TEXT(10285, "[$-060000]yyyy-mm-dd")</f>
        <v/>
      </c>
      <c r="D10286" t="inlineStr">
        <is>
          <t>1346-09-07</t>
        </is>
      </c>
    </row>
    <row r="10287">
      <c r="A10287" s="1" t="n">
        <v>10286</v>
      </c>
      <c r="B10287">
        <f>TEXT(10286, "[$-170000]yyyy-mm-dd")</f>
        <v/>
      </c>
      <c r="C10287">
        <f>TEXT(10286, "[$-060000]yyyy-mm-dd")</f>
        <v/>
      </c>
      <c r="D10287" t="inlineStr">
        <is>
          <t>1346-09-08</t>
        </is>
      </c>
    </row>
    <row r="10288">
      <c r="A10288" s="1" t="n">
        <v>10287</v>
      </c>
      <c r="B10288">
        <f>TEXT(10287, "[$-170000]yyyy-mm-dd")</f>
        <v/>
      </c>
      <c r="C10288">
        <f>TEXT(10287, "[$-060000]yyyy-mm-dd")</f>
        <v/>
      </c>
      <c r="D10288" t="inlineStr">
        <is>
          <t>1346-09-09</t>
        </is>
      </c>
    </row>
    <row r="10289">
      <c r="A10289" s="1" t="n">
        <v>10288</v>
      </c>
      <c r="B10289">
        <f>TEXT(10288, "[$-170000]yyyy-mm-dd")</f>
        <v/>
      </c>
      <c r="C10289">
        <f>TEXT(10288, "[$-060000]yyyy-mm-dd")</f>
        <v/>
      </c>
      <c r="D10289" t="inlineStr">
        <is>
          <t>1346-09-10</t>
        </is>
      </c>
    </row>
    <row r="10290">
      <c r="A10290" s="1" t="n">
        <v>10289</v>
      </c>
      <c r="B10290">
        <f>TEXT(10289, "[$-170000]yyyy-mm-dd")</f>
        <v/>
      </c>
      <c r="C10290">
        <f>TEXT(10289, "[$-060000]yyyy-mm-dd")</f>
        <v/>
      </c>
      <c r="D10290" t="inlineStr">
        <is>
          <t>1346-09-11</t>
        </is>
      </c>
    </row>
    <row r="10291">
      <c r="A10291" s="1" t="n">
        <v>10290</v>
      </c>
      <c r="B10291">
        <f>TEXT(10290, "[$-170000]yyyy-mm-dd")</f>
        <v/>
      </c>
      <c r="C10291">
        <f>TEXT(10290, "[$-060000]yyyy-mm-dd")</f>
        <v/>
      </c>
      <c r="D10291" t="inlineStr">
        <is>
          <t>1346-09-12</t>
        </is>
      </c>
    </row>
    <row r="10292">
      <c r="A10292" s="1" t="n">
        <v>10291</v>
      </c>
      <c r="B10292">
        <f>TEXT(10291, "[$-170000]yyyy-mm-dd")</f>
        <v/>
      </c>
      <c r="C10292">
        <f>TEXT(10291, "[$-060000]yyyy-mm-dd")</f>
        <v/>
      </c>
      <c r="D10292" t="inlineStr">
        <is>
          <t>1346-09-13</t>
        </is>
      </c>
    </row>
    <row r="10293">
      <c r="A10293" s="1" t="n">
        <v>10292</v>
      </c>
      <c r="B10293">
        <f>TEXT(10292, "[$-170000]yyyy-mm-dd")</f>
        <v/>
      </c>
      <c r="C10293">
        <f>TEXT(10292, "[$-060000]yyyy-mm-dd")</f>
        <v/>
      </c>
      <c r="D10293" t="inlineStr">
        <is>
          <t>1346-09-14</t>
        </is>
      </c>
    </row>
    <row r="10294">
      <c r="A10294" s="1" t="n">
        <v>10293</v>
      </c>
      <c r="B10294">
        <f>TEXT(10293, "[$-170000]yyyy-mm-dd")</f>
        <v/>
      </c>
      <c r="C10294">
        <f>TEXT(10293, "[$-060000]yyyy-mm-dd")</f>
        <v/>
      </c>
      <c r="D10294" t="inlineStr">
        <is>
          <t>1346-09-15</t>
        </is>
      </c>
    </row>
    <row r="10295">
      <c r="A10295" s="1" t="n">
        <v>10294</v>
      </c>
      <c r="B10295">
        <f>TEXT(10294, "[$-170000]yyyy-mm-dd")</f>
        <v/>
      </c>
      <c r="C10295">
        <f>TEXT(10294, "[$-060000]yyyy-mm-dd")</f>
        <v/>
      </c>
      <c r="D10295" t="inlineStr">
        <is>
          <t>1346-09-16</t>
        </is>
      </c>
    </row>
    <row r="10296">
      <c r="A10296" s="1" t="n">
        <v>10295</v>
      </c>
      <c r="B10296">
        <f>TEXT(10295, "[$-170000]yyyy-mm-dd")</f>
        <v/>
      </c>
      <c r="C10296">
        <f>TEXT(10295, "[$-060000]yyyy-mm-dd")</f>
        <v/>
      </c>
      <c r="D10296" t="inlineStr">
        <is>
          <t>1346-09-17</t>
        </is>
      </c>
    </row>
    <row r="10297">
      <c r="A10297" s="1" t="n">
        <v>10296</v>
      </c>
      <c r="B10297">
        <f>TEXT(10296, "[$-170000]yyyy-mm-dd")</f>
        <v/>
      </c>
      <c r="C10297">
        <f>TEXT(10296, "[$-060000]yyyy-mm-dd")</f>
        <v/>
      </c>
      <c r="D10297" t="inlineStr">
        <is>
          <t>1346-09-18</t>
        </is>
      </c>
    </row>
    <row r="10298">
      <c r="A10298" s="1" t="n">
        <v>10297</v>
      </c>
      <c r="B10298">
        <f>TEXT(10297, "[$-170000]yyyy-mm-dd")</f>
        <v/>
      </c>
      <c r="C10298">
        <f>TEXT(10297, "[$-060000]yyyy-mm-dd")</f>
        <v/>
      </c>
      <c r="D10298" t="inlineStr">
        <is>
          <t>1346-09-19</t>
        </is>
      </c>
    </row>
    <row r="10299">
      <c r="A10299" s="1" t="n">
        <v>10298</v>
      </c>
      <c r="B10299">
        <f>TEXT(10298, "[$-170000]yyyy-mm-dd")</f>
        <v/>
      </c>
      <c r="C10299">
        <f>TEXT(10298, "[$-060000]yyyy-mm-dd")</f>
        <v/>
      </c>
      <c r="D10299" t="inlineStr">
        <is>
          <t>1346-09-20</t>
        </is>
      </c>
    </row>
    <row r="10300">
      <c r="A10300" s="1" t="n">
        <v>10299</v>
      </c>
      <c r="B10300">
        <f>TEXT(10299, "[$-170000]yyyy-mm-dd")</f>
        <v/>
      </c>
      <c r="C10300">
        <f>TEXT(10299, "[$-060000]yyyy-mm-dd")</f>
        <v/>
      </c>
      <c r="D10300" t="inlineStr">
        <is>
          <t>1346-09-21</t>
        </is>
      </c>
    </row>
    <row r="10301">
      <c r="A10301" s="1" t="n">
        <v>10300</v>
      </c>
      <c r="B10301">
        <f>TEXT(10300, "[$-170000]yyyy-mm-dd")</f>
        <v/>
      </c>
      <c r="C10301">
        <f>TEXT(10300, "[$-060000]yyyy-mm-dd")</f>
        <v/>
      </c>
      <c r="D10301" t="inlineStr">
        <is>
          <t>1346-09-22</t>
        </is>
      </c>
    </row>
    <row r="10302">
      <c r="A10302" s="1" t="n">
        <v>10301</v>
      </c>
      <c r="B10302">
        <f>TEXT(10301, "[$-170000]yyyy-mm-dd")</f>
        <v/>
      </c>
      <c r="C10302">
        <f>TEXT(10301, "[$-060000]yyyy-mm-dd")</f>
        <v/>
      </c>
      <c r="D10302" t="inlineStr">
        <is>
          <t>1346-09-23</t>
        </is>
      </c>
    </row>
    <row r="10303">
      <c r="A10303" s="1" t="n">
        <v>10302</v>
      </c>
      <c r="B10303">
        <f>TEXT(10302, "[$-170000]yyyy-mm-dd")</f>
        <v/>
      </c>
      <c r="C10303">
        <f>TEXT(10302, "[$-060000]yyyy-mm-dd")</f>
        <v/>
      </c>
      <c r="D10303" t="inlineStr">
        <is>
          <t>1346-09-24</t>
        </is>
      </c>
    </row>
    <row r="10304">
      <c r="A10304" s="1" t="n">
        <v>10303</v>
      </c>
      <c r="B10304">
        <f>TEXT(10303, "[$-170000]yyyy-mm-dd")</f>
        <v/>
      </c>
      <c r="C10304">
        <f>TEXT(10303, "[$-060000]yyyy-mm-dd")</f>
        <v/>
      </c>
      <c r="D10304" t="inlineStr">
        <is>
          <t>1346-09-25</t>
        </is>
      </c>
    </row>
    <row r="10305">
      <c r="A10305" s="1" t="n">
        <v>10304</v>
      </c>
      <c r="B10305">
        <f>TEXT(10304, "[$-170000]yyyy-mm-dd")</f>
        <v/>
      </c>
      <c r="C10305">
        <f>TEXT(10304, "[$-060000]yyyy-mm-dd")</f>
        <v/>
      </c>
      <c r="D10305" t="inlineStr">
        <is>
          <t>1346-09-26</t>
        </is>
      </c>
    </row>
    <row r="10306">
      <c r="A10306" s="1" t="n">
        <v>10305</v>
      </c>
      <c r="B10306">
        <f>TEXT(10305, "[$-170000]yyyy-mm-dd")</f>
        <v/>
      </c>
      <c r="C10306">
        <f>TEXT(10305, "[$-060000]yyyy-mm-dd")</f>
        <v/>
      </c>
      <c r="D10306" t="inlineStr">
        <is>
          <t>1346-09-27</t>
        </is>
      </c>
    </row>
    <row r="10307">
      <c r="A10307" s="1" t="n">
        <v>10306</v>
      </c>
      <c r="B10307">
        <f>TEXT(10306, "[$-170000]yyyy-mm-dd")</f>
        <v/>
      </c>
      <c r="C10307">
        <f>TEXT(10306, "[$-060000]yyyy-mm-dd")</f>
        <v/>
      </c>
      <c r="D10307" t="inlineStr">
        <is>
          <t>1346-09-28</t>
        </is>
      </c>
    </row>
    <row r="10308">
      <c r="A10308" s="1" t="n">
        <v>10307</v>
      </c>
      <c r="B10308">
        <f>TEXT(10307, "[$-170000]yyyy-mm-dd")</f>
        <v/>
      </c>
      <c r="C10308">
        <f>TEXT(10307, "[$-060000]yyyy-mm-dd")</f>
        <v/>
      </c>
      <c r="D10308" t="inlineStr">
        <is>
          <t>1346-09-29</t>
        </is>
      </c>
    </row>
    <row r="10309">
      <c r="A10309" s="1" t="n">
        <v>10308</v>
      </c>
      <c r="B10309">
        <f>TEXT(10308, "[$-170000]yyyy-mm-dd")</f>
        <v/>
      </c>
      <c r="C10309">
        <f>TEXT(10308, "[$-060000]yyyy-mm-dd")</f>
        <v/>
      </c>
      <c r="D10309" t="inlineStr">
        <is>
          <t>1346-09-30</t>
        </is>
      </c>
    </row>
    <row r="10310">
      <c r="A10310" s="1" t="n">
        <v>10309</v>
      </c>
      <c r="B10310">
        <f>TEXT(10309, "[$-170000]yyyy-mm-dd")</f>
        <v/>
      </c>
      <c r="C10310">
        <f>TEXT(10309, "[$-060000]yyyy-mm-dd")</f>
        <v/>
      </c>
      <c r="D10310" t="inlineStr">
        <is>
          <t>1346-10-01</t>
        </is>
      </c>
    </row>
    <row r="10311">
      <c r="A10311" s="1" t="n">
        <v>10310</v>
      </c>
      <c r="B10311">
        <f>TEXT(10310, "[$-170000]yyyy-mm-dd")</f>
        <v/>
      </c>
      <c r="C10311">
        <f>TEXT(10310, "[$-060000]yyyy-mm-dd")</f>
        <v/>
      </c>
      <c r="D10311" t="inlineStr">
        <is>
          <t>1346-10-02</t>
        </is>
      </c>
    </row>
    <row r="10312">
      <c r="A10312" s="1" t="n">
        <v>10311</v>
      </c>
      <c r="B10312">
        <f>TEXT(10311, "[$-170000]yyyy-mm-dd")</f>
        <v/>
      </c>
      <c r="C10312">
        <f>TEXT(10311, "[$-060000]yyyy-mm-dd")</f>
        <v/>
      </c>
      <c r="D10312" t="inlineStr">
        <is>
          <t>1346-10-03</t>
        </is>
      </c>
    </row>
    <row r="10313">
      <c r="A10313" s="1" t="n">
        <v>10312</v>
      </c>
      <c r="B10313">
        <f>TEXT(10312, "[$-170000]yyyy-mm-dd")</f>
        <v/>
      </c>
      <c r="C10313">
        <f>TEXT(10312, "[$-060000]yyyy-mm-dd")</f>
        <v/>
      </c>
      <c r="D10313" t="inlineStr">
        <is>
          <t>1346-10-04</t>
        </is>
      </c>
    </row>
    <row r="10314">
      <c r="A10314" s="1" t="n">
        <v>10313</v>
      </c>
      <c r="B10314">
        <f>TEXT(10313, "[$-170000]yyyy-mm-dd")</f>
        <v/>
      </c>
      <c r="C10314">
        <f>TEXT(10313, "[$-060000]yyyy-mm-dd")</f>
        <v/>
      </c>
      <c r="D10314" t="inlineStr">
        <is>
          <t>1346-10-05</t>
        </is>
      </c>
    </row>
    <row r="10315">
      <c r="A10315" s="1" t="n">
        <v>10314</v>
      </c>
      <c r="B10315">
        <f>TEXT(10314, "[$-170000]yyyy-mm-dd")</f>
        <v/>
      </c>
      <c r="C10315">
        <f>TEXT(10314, "[$-060000]yyyy-mm-dd")</f>
        <v/>
      </c>
      <c r="D10315" t="inlineStr">
        <is>
          <t>1346-10-06</t>
        </is>
      </c>
    </row>
    <row r="10316">
      <c r="A10316" s="1" t="n">
        <v>10315</v>
      </c>
      <c r="B10316">
        <f>TEXT(10315, "[$-170000]yyyy-mm-dd")</f>
        <v/>
      </c>
      <c r="C10316">
        <f>TEXT(10315, "[$-060000]yyyy-mm-dd")</f>
        <v/>
      </c>
      <c r="D10316" t="inlineStr">
        <is>
          <t>1346-10-07</t>
        </is>
      </c>
    </row>
    <row r="10317">
      <c r="A10317" s="1" t="n">
        <v>10316</v>
      </c>
      <c r="B10317">
        <f>TEXT(10316, "[$-170000]yyyy-mm-dd")</f>
        <v/>
      </c>
      <c r="C10317">
        <f>TEXT(10316, "[$-060000]yyyy-mm-dd")</f>
        <v/>
      </c>
      <c r="D10317" t="inlineStr">
        <is>
          <t>1346-10-08</t>
        </is>
      </c>
    </row>
    <row r="10318">
      <c r="A10318" s="1" t="n">
        <v>10317</v>
      </c>
      <c r="B10318">
        <f>TEXT(10317, "[$-170000]yyyy-mm-dd")</f>
        <v/>
      </c>
      <c r="C10318">
        <f>TEXT(10317, "[$-060000]yyyy-mm-dd")</f>
        <v/>
      </c>
      <c r="D10318" t="inlineStr">
        <is>
          <t>1346-10-09</t>
        </is>
      </c>
    </row>
    <row r="10319">
      <c r="A10319" s="1" t="n">
        <v>10318</v>
      </c>
      <c r="B10319">
        <f>TEXT(10318, "[$-170000]yyyy-mm-dd")</f>
        <v/>
      </c>
      <c r="C10319">
        <f>TEXT(10318, "[$-060000]yyyy-mm-dd")</f>
        <v/>
      </c>
      <c r="D10319" t="inlineStr">
        <is>
          <t>1346-10-10</t>
        </is>
      </c>
    </row>
    <row r="10320">
      <c r="A10320" s="1" t="n">
        <v>10319</v>
      </c>
      <c r="B10320">
        <f>TEXT(10319, "[$-170000]yyyy-mm-dd")</f>
        <v/>
      </c>
      <c r="C10320">
        <f>TEXT(10319, "[$-060000]yyyy-mm-dd")</f>
        <v/>
      </c>
      <c r="D10320" t="inlineStr">
        <is>
          <t>1346-10-11</t>
        </is>
      </c>
    </row>
    <row r="10321">
      <c r="A10321" s="1" t="n">
        <v>10320</v>
      </c>
      <c r="B10321">
        <f>TEXT(10320, "[$-170000]yyyy-mm-dd")</f>
        <v/>
      </c>
      <c r="C10321">
        <f>TEXT(10320, "[$-060000]yyyy-mm-dd")</f>
        <v/>
      </c>
      <c r="D10321" t="inlineStr">
        <is>
          <t>1346-10-12</t>
        </is>
      </c>
    </row>
    <row r="10322">
      <c r="A10322" s="1" t="n">
        <v>10321</v>
      </c>
      <c r="B10322">
        <f>TEXT(10321, "[$-170000]yyyy-mm-dd")</f>
        <v/>
      </c>
      <c r="C10322">
        <f>TEXT(10321, "[$-060000]yyyy-mm-dd")</f>
        <v/>
      </c>
      <c r="D10322" t="inlineStr">
        <is>
          <t>1346-10-13</t>
        </is>
      </c>
    </row>
    <row r="10323">
      <c r="A10323" s="1" t="n">
        <v>10322</v>
      </c>
      <c r="B10323">
        <f>TEXT(10322, "[$-170000]yyyy-mm-dd")</f>
        <v/>
      </c>
      <c r="C10323">
        <f>TEXT(10322, "[$-060000]yyyy-mm-dd")</f>
        <v/>
      </c>
      <c r="D10323" t="inlineStr">
        <is>
          <t>1346-10-14</t>
        </is>
      </c>
    </row>
    <row r="10324">
      <c r="A10324" s="1" t="n">
        <v>10323</v>
      </c>
      <c r="B10324">
        <f>TEXT(10323, "[$-170000]yyyy-mm-dd")</f>
        <v/>
      </c>
      <c r="C10324">
        <f>TEXT(10323, "[$-060000]yyyy-mm-dd")</f>
        <v/>
      </c>
      <c r="D10324" t="inlineStr">
        <is>
          <t>1346-10-15</t>
        </is>
      </c>
    </row>
    <row r="10325">
      <c r="A10325" s="1" t="n">
        <v>10324</v>
      </c>
      <c r="B10325">
        <f>TEXT(10324, "[$-170000]yyyy-mm-dd")</f>
        <v/>
      </c>
      <c r="C10325">
        <f>TEXT(10324, "[$-060000]yyyy-mm-dd")</f>
        <v/>
      </c>
      <c r="D10325" t="inlineStr">
        <is>
          <t>1346-10-16</t>
        </is>
      </c>
    </row>
    <row r="10326">
      <c r="A10326" s="1" t="n">
        <v>10325</v>
      </c>
      <c r="B10326">
        <f>TEXT(10325, "[$-170000]yyyy-mm-dd")</f>
        <v/>
      </c>
      <c r="C10326">
        <f>TEXT(10325, "[$-060000]yyyy-mm-dd")</f>
        <v/>
      </c>
      <c r="D10326" t="inlineStr">
        <is>
          <t>1346-10-17</t>
        </is>
      </c>
    </row>
    <row r="10327">
      <c r="A10327" s="1" t="n">
        <v>10326</v>
      </c>
      <c r="B10327">
        <f>TEXT(10326, "[$-170000]yyyy-mm-dd")</f>
        <v/>
      </c>
      <c r="C10327">
        <f>TEXT(10326, "[$-060000]yyyy-mm-dd")</f>
        <v/>
      </c>
      <c r="D10327" t="inlineStr">
        <is>
          <t>1346-10-18</t>
        </is>
      </c>
    </row>
    <row r="10328">
      <c r="A10328" s="1" t="n">
        <v>10327</v>
      </c>
      <c r="B10328">
        <f>TEXT(10327, "[$-170000]yyyy-mm-dd")</f>
        <v/>
      </c>
      <c r="C10328">
        <f>TEXT(10327, "[$-060000]yyyy-mm-dd")</f>
        <v/>
      </c>
      <c r="D10328" t="inlineStr">
        <is>
          <t>1346-10-19</t>
        </is>
      </c>
    </row>
    <row r="10329">
      <c r="A10329" s="1" t="n">
        <v>10328</v>
      </c>
      <c r="B10329">
        <f>TEXT(10328, "[$-170000]yyyy-mm-dd")</f>
        <v/>
      </c>
      <c r="C10329">
        <f>TEXT(10328, "[$-060000]yyyy-mm-dd")</f>
        <v/>
      </c>
      <c r="D10329" t="inlineStr">
        <is>
          <t>1346-10-20</t>
        </is>
      </c>
    </row>
    <row r="10330">
      <c r="A10330" s="1" t="n">
        <v>10329</v>
      </c>
      <c r="B10330">
        <f>TEXT(10329, "[$-170000]yyyy-mm-dd")</f>
        <v/>
      </c>
      <c r="C10330">
        <f>TEXT(10329, "[$-060000]yyyy-mm-dd")</f>
        <v/>
      </c>
      <c r="D10330" t="inlineStr">
        <is>
          <t>1346-10-21</t>
        </is>
      </c>
    </row>
    <row r="10331">
      <c r="A10331" s="1" t="n">
        <v>10330</v>
      </c>
      <c r="B10331">
        <f>TEXT(10330, "[$-170000]yyyy-mm-dd")</f>
        <v/>
      </c>
      <c r="C10331">
        <f>TEXT(10330, "[$-060000]yyyy-mm-dd")</f>
        <v/>
      </c>
      <c r="D10331" t="inlineStr">
        <is>
          <t>1346-10-22</t>
        </is>
      </c>
    </row>
    <row r="10332">
      <c r="A10332" s="1" t="n">
        <v>10331</v>
      </c>
      <c r="B10332">
        <f>TEXT(10331, "[$-170000]yyyy-mm-dd")</f>
        <v/>
      </c>
      <c r="C10332">
        <f>TEXT(10331, "[$-060000]yyyy-mm-dd")</f>
        <v/>
      </c>
      <c r="D10332" t="inlineStr">
        <is>
          <t>1346-10-23</t>
        </is>
      </c>
    </row>
    <row r="10333">
      <c r="A10333" s="1" t="n">
        <v>10332</v>
      </c>
      <c r="B10333">
        <f>TEXT(10332, "[$-170000]yyyy-mm-dd")</f>
        <v/>
      </c>
      <c r="C10333">
        <f>TEXT(10332, "[$-060000]yyyy-mm-dd")</f>
        <v/>
      </c>
      <c r="D10333" t="inlineStr">
        <is>
          <t>1346-10-24</t>
        </is>
      </c>
    </row>
    <row r="10334">
      <c r="A10334" s="1" t="n">
        <v>10333</v>
      </c>
      <c r="B10334">
        <f>TEXT(10333, "[$-170000]yyyy-mm-dd")</f>
        <v/>
      </c>
      <c r="C10334">
        <f>TEXT(10333, "[$-060000]yyyy-mm-dd")</f>
        <v/>
      </c>
      <c r="D10334" t="inlineStr">
        <is>
          <t>1346-10-25</t>
        </is>
      </c>
    </row>
    <row r="10335">
      <c r="A10335" s="1" t="n">
        <v>10334</v>
      </c>
      <c r="B10335">
        <f>TEXT(10334, "[$-170000]yyyy-mm-dd")</f>
        <v/>
      </c>
      <c r="C10335">
        <f>TEXT(10334, "[$-060000]yyyy-mm-dd")</f>
        <v/>
      </c>
      <c r="D10335" t="inlineStr">
        <is>
          <t>1346-10-26</t>
        </is>
      </c>
    </row>
    <row r="10336">
      <c r="A10336" s="1" t="n">
        <v>10335</v>
      </c>
      <c r="B10336">
        <f>TEXT(10335, "[$-170000]yyyy-mm-dd")</f>
        <v/>
      </c>
      <c r="C10336">
        <f>TEXT(10335, "[$-060000]yyyy-mm-dd")</f>
        <v/>
      </c>
      <c r="D10336" t="inlineStr">
        <is>
          <t>1346-10-27</t>
        </is>
      </c>
    </row>
    <row r="10337">
      <c r="A10337" s="1" t="n">
        <v>10336</v>
      </c>
      <c r="B10337">
        <f>TEXT(10336, "[$-170000]yyyy-mm-dd")</f>
        <v/>
      </c>
      <c r="C10337">
        <f>TEXT(10336, "[$-060000]yyyy-mm-dd")</f>
        <v/>
      </c>
      <c r="D10337" t="inlineStr">
        <is>
          <t>1346-10-28</t>
        </is>
      </c>
    </row>
    <row r="10338">
      <c r="A10338" s="1" t="n">
        <v>10337</v>
      </c>
      <c r="B10338">
        <f>TEXT(10337, "[$-170000]yyyy-mm-dd")</f>
        <v/>
      </c>
      <c r="C10338">
        <f>TEXT(10337, "[$-060000]yyyy-mm-dd")</f>
        <v/>
      </c>
      <c r="D10338" t="inlineStr">
        <is>
          <t>1346-10-29</t>
        </is>
      </c>
    </row>
    <row r="10339">
      <c r="A10339" s="1" t="n">
        <v>10338</v>
      </c>
      <c r="B10339">
        <f>TEXT(10338, "[$-170000]yyyy-mm-dd")</f>
        <v/>
      </c>
      <c r="C10339">
        <f>TEXT(10338, "[$-060000]yyyy-mm-dd")</f>
        <v/>
      </c>
      <c r="D10339" t="inlineStr">
        <is>
          <t>1346-11-01</t>
        </is>
      </c>
    </row>
    <row r="10340">
      <c r="A10340" s="1" t="n">
        <v>10339</v>
      </c>
      <c r="B10340">
        <f>TEXT(10339, "[$-170000]yyyy-mm-dd")</f>
        <v/>
      </c>
      <c r="C10340">
        <f>TEXT(10339, "[$-060000]yyyy-mm-dd")</f>
        <v/>
      </c>
      <c r="D10340" t="inlineStr">
        <is>
          <t>1346-11-02</t>
        </is>
      </c>
    </row>
    <row r="10341">
      <c r="A10341" s="1" t="n">
        <v>10340</v>
      </c>
      <c r="B10341">
        <f>TEXT(10340, "[$-170000]yyyy-mm-dd")</f>
        <v/>
      </c>
      <c r="C10341">
        <f>TEXT(10340, "[$-060000]yyyy-mm-dd")</f>
        <v/>
      </c>
      <c r="D10341" t="inlineStr">
        <is>
          <t>1346-11-03</t>
        </is>
      </c>
    </row>
    <row r="10342">
      <c r="A10342" s="1" t="n">
        <v>10341</v>
      </c>
      <c r="B10342">
        <f>TEXT(10341, "[$-170000]yyyy-mm-dd")</f>
        <v/>
      </c>
      <c r="C10342">
        <f>TEXT(10341, "[$-060000]yyyy-mm-dd")</f>
        <v/>
      </c>
      <c r="D10342" t="inlineStr">
        <is>
          <t>1346-11-04</t>
        </is>
      </c>
    </row>
    <row r="10343">
      <c r="A10343" s="1" t="n">
        <v>10342</v>
      </c>
      <c r="B10343">
        <f>TEXT(10342, "[$-170000]yyyy-mm-dd")</f>
        <v/>
      </c>
      <c r="C10343">
        <f>TEXT(10342, "[$-060000]yyyy-mm-dd")</f>
        <v/>
      </c>
      <c r="D10343" t="inlineStr">
        <is>
          <t>1346-11-05</t>
        </is>
      </c>
    </row>
    <row r="10344">
      <c r="A10344" s="1" t="n">
        <v>10343</v>
      </c>
      <c r="B10344">
        <f>TEXT(10343, "[$-170000]yyyy-mm-dd")</f>
        <v/>
      </c>
      <c r="C10344">
        <f>TEXT(10343, "[$-060000]yyyy-mm-dd")</f>
        <v/>
      </c>
      <c r="D10344" t="inlineStr">
        <is>
          <t>1346-11-06</t>
        </is>
      </c>
    </row>
    <row r="10345">
      <c r="A10345" s="1" t="n">
        <v>10344</v>
      </c>
      <c r="B10345">
        <f>TEXT(10344, "[$-170000]yyyy-mm-dd")</f>
        <v/>
      </c>
      <c r="C10345">
        <f>TEXT(10344, "[$-060000]yyyy-mm-dd")</f>
        <v/>
      </c>
      <c r="D10345" t="inlineStr">
        <is>
          <t>1346-11-07</t>
        </is>
      </c>
    </row>
    <row r="10346">
      <c r="A10346" s="1" t="n">
        <v>10345</v>
      </c>
      <c r="B10346">
        <f>TEXT(10345, "[$-170000]yyyy-mm-dd")</f>
        <v/>
      </c>
      <c r="C10346">
        <f>TEXT(10345, "[$-060000]yyyy-mm-dd")</f>
        <v/>
      </c>
      <c r="D10346" t="inlineStr">
        <is>
          <t>1346-11-08</t>
        </is>
      </c>
    </row>
    <row r="10347">
      <c r="A10347" s="1" t="n">
        <v>10346</v>
      </c>
      <c r="B10347">
        <f>TEXT(10346, "[$-170000]yyyy-mm-dd")</f>
        <v/>
      </c>
      <c r="C10347">
        <f>TEXT(10346, "[$-060000]yyyy-mm-dd")</f>
        <v/>
      </c>
      <c r="D10347" t="inlineStr">
        <is>
          <t>1346-11-09</t>
        </is>
      </c>
    </row>
    <row r="10348">
      <c r="A10348" s="1" t="n">
        <v>10347</v>
      </c>
      <c r="B10348">
        <f>TEXT(10347, "[$-170000]yyyy-mm-dd")</f>
        <v/>
      </c>
      <c r="C10348">
        <f>TEXT(10347, "[$-060000]yyyy-mm-dd")</f>
        <v/>
      </c>
      <c r="D10348" t="inlineStr">
        <is>
          <t>1346-11-10</t>
        </is>
      </c>
    </row>
    <row r="10349">
      <c r="A10349" s="1" t="n">
        <v>10348</v>
      </c>
      <c r="B10349">
        <f>TEXT(10348, "[$-170000]yyyy-mm-dd")</f>
        <v/>
      </c>
      <c r="C10349">
        <f>TEXT(10348, "[$-060000]yyyy-mm-dd")</f>
        <v/>
      </c>
      <c r="D10349" t="inlineStr">
        <is>
          <t>1346-11-11</t>
        </is>
      </c>
    </row>
    <row r="10350">
      <c r="A10350" s="1" t="n">
        <v>10349</v>
      </c>
      <c r="B10350">
        <f>TEXT(10349, "[$-170000]yyyy-mm-dd")</f>
        <v/>
      </c>
      <c r="C10350">
        <f>TEXT(10349, "[$-060000]yyyy-mm-dd")</f>
        <v/>
      </c>
      <c r="D10350" t="inlineStr">
        <is>
          <t>1346-11-12</t>
        </is>
      </c>
    </row>
    <row r="10351">
      <c r="A10351" s="1" t="n">
        <v>10350</v>
      </c>
      <c r="B10351">
        <f>TEXT(10350, "[$-170000]yyyy-mm-dd")</f>
        <v/>
      </c>
      <c r="C10351">
        <f>TEXT(10350, "[$-060000]yyyy-mm-dd")</f>
        <v/>
      </c>
      <c r="D10351" t="inlineStr">
        <is>
          <t>1346-11-13</t>
        </is>
      </c>
    </row>
    <row r="10352">
      <c r="A10352" s="1" t="n">
        <v>10351</v>
      </c>
      <c r="B10352">
        <f>TEXT(10351, "[$-170000]yyyy-mm-dd")</f>
        <v/>
      </c>
      <c r="C10352">
        <f>TEXT(10351, "[$-060000]yyyy-mm-dd")</f>
        <v/>
      </c>
      <c r="D10352" t="inlineStr">
        <is>
          <t>1346-11-14</t>
        </is>
      </c>
    </row>
    <row r="10353">
      <c r="A10353" s="1" t="n">
        <v>10352</v>
      </c>
      <c r="B10353">
        <f>TEXT(10352, "[$-170000]yyyy-mm-dd")</f>
        <v/>
      </c>
      <c r="C10353">
        <f>TEXT(10352, "[$-060000]yyyy-mm-dd")</f>
        <v/>
      </c>
      <c r="D10353" t="inlineStr">
        <is>
          <t>1346-11-15</t>
        </is>
      </c>
    </row>
    <row r="10354">
      <c r="A10354" s="1" t="n">
        <v>10353</v>
      </c>
      <c r="B10354">
        <f>TEXT(10353, "[$-170000]yyyy-mm-dd")</f>
        <v/>
      </c>
      <c r="C10354">
        <f>TEXT(10353, "[$-060000]yyyy-mm-dd")</f>
        <v/>
      </c>
      <c r="D10354" t="inlineStr">
        <is>
          <t>1346-11-16</t>
        </is>
      </c>
    </row>
    <row r="10355">
      <c r="A10355" s="1" t="n">
        <v>10354</v>
      </c>
      <c r="B10355">
        <f>TEXT(10354, "[$-170000]yyyy-mm-dd")</f>
        <v/>
      </c>
      <c r="C10355">
        <f>TEXT(10354, "[$-060000]yyyy-mm-dd")</f>
        <v/>
      </c>
      <c r="D10355" t="inlineStr">
        <is>
          <t>1346-11-17</t>
        </is>
      </c>
    </row>
    <row r="10356">
      <c r="A10356" s="1" t="n">
        <v>10355</v>
      </c>
      <c r="B10356">
        <f>TEXT(10355, "[$-170000]yyyy-mm-dd")</f>
        <v/>
      </c>
      <c r="C10356">
        <f>TEXT(10355, "[$-060000]yyyy-mm-dd")</f>
        <v/>
      </c>
      <c r="D10356" t="inlineStr">
        <is>
          <t>1346-11-18</t>
        </is>
      </c>
    </row>
    <row r="10357">
      <c r="A10357" s="1" t="n">
        <v>10356</v>
      </c>
      <c r="B10357">
        <f>TEXT(10356, "[$-170000]yyyy-mm-dd")</f>
        <v/>
      </c>
      <c r="C10357">
        <f>TEXT(10356, "[$-060000]yyyy-mm-dd")</f>
        <v/>
      </c>
      <c r="D10357" t="inlineStr">
        <is>
          <t>1346-11-19</t>
        </is>
      </c>
    </row>
    <row r="10358">
      <c r="A10358" s="1" t="n">
        <v>10357</v>
      </c>
      <c r="B10358">
        <f>TEXT(10357, "[$-170000]yyyy-mm-dd")</f>
        <v/>
      </c>
      <c r="C10358">
        <f>TEXT(10357, "[$-060000]yyyy-mm-dd")</f>
        <v/>
      </c>
      <c r="D10358" t="inlineStr">
        <is>
          <t>1346-11-20</t>
        </is>
      </c>
    </row>
    <row r="10359">
      <c r="A10359" s="1" t="n">
        <v>10358</v>
      </c>
      <c r="B10359">
        <f>TEXT(10358, "[$-170000]yyyy-mm-dd")</f>
        <v/>
      </c>
      <c r="C10359">
        <f>TEXT(10358, "[$-060000]yyyy-mm-dd")</f>
        <v/>
      </c>
      <c r="D10359" t="inlineStr">
        <is>
          <t>1346-11-21</t>
        </is>
      </c>
    </row>
    <row r="10360">
      <c r="A10360" s="1" t="n">
        <v>10359</v>
      </c>
      <c r="B10360">
        <f>TEXT(10359, "[$-170000]yyyy-mm-dd")</f>
        <v/>
      </c>
      <c r="C10360">
        <f>TEXT(10359, "[$-060000]yyyy-mm-dd")</f>
        <v/>
      </c>
      <c r="D10360" t="inlineStr">
        <is>
          <t>1346-11-22</t>
        </is>
      </c>
    </row>
    <row r="10361">
      <c r="A10361" s="1" t="n">
        <v>10360</v>
      </c>
      <c r="B10361">
        <f>TEXT(10360, "[$-170000]yyyy-mm-dd")</f>
        <v/>
      </c>
      <c r="C10361">
        <f>TEXT(10360, "[$-060000]yyyy-mm-dd")</f>
        <v/>
      </c>
      <c r="D10361" t="inlineStr">
        <is>
          <t>1346-11-23</t>
        </is>
      </c>
    </row>
    <row r="10362">
      <c r="A10362" s="1" t="n">
        <v>10361</v>
      </c>
      <c r="B10362">
        <f>TEXT(10361, "[$-170000]yyyy-mm-dd")</f>
        <v/>
      </c>
      <c r="C10362">
        <f>TEXT(10361, "[$-060000]yyyy-mm-dd")</f>
        <v/>
      </c>
      <c r="D10362" t="inlineStr">
        <is>
          <t>1346-11-24</t>
        </is>
      </c>
    </row>
    <row r="10363">
      <c r="A10363" s="1" t="n">
        <v>10362</v>
      </c>
      <c r="B10363">
        <f>TEXT(10362, "[$-170000]yyyy-mm-dd")</f>
        <v/>
      </c>
      <c r="C10363">
        <f>TEXT(10362, "[$-060000]yyyy-mm-dd")</f>
        <v/>
      </c>
      <c r="D10363" t="inlineStr">
        <is>
          <t>1346-11-25</t>
        </is>
      </c>
    </row>
    <row r="10364">
      <c r="A10364" s="1" t="n">
        <v>10363</v>
      </c>
      <c r="B10364">
        <f>TEXT(10363, "[$-170000]yyyy-mm-dd")</f>
        <v/>
      </c>
      <c r="C10364">
        <f>TEXT(10363, "[$-060000]yyyy-mm-dd")</f>
        <v/>
      </c>
      <c r="D10364" t="inlineStr">
        <is>
          <t>1346-11-26</t>
        </is>
      </c>
    </row>
    <row r="10365">
      <c r="A10365" s="1" t="n">
        <v>10364</v>
      </c>
      <c r="B10365">
        <f>TEXT(10364, "[$-170000]yyyy-mm-dd")</f>
        <v/>
      </c>
      <c r="C10365">
        <f>TEXT(10364, "[$-060000]yyyy-mm-dd")</f>
        <v/>
      </c>
      <c r="D10365" t="inlineStr">
        <is>
          <t>1346-11-27</t>
        </is>
      </c>
    </row>
    <row r="10366">
      <c r="A10366" s="1" t="n">
        <v>10365</v>
      </c>
      <c r="B10366">
        <f>TEXT(10365, "[$-170000]yyyy-mm-dd")</f>
        <v/>
      </c>
      <c r="C10366">
        <f>TEXT(10365, "[$-060000]yyyy-mm-dd")</f>
        <v/>
      </c>
      <c r="D10366" t="inlineStr">
        <is>
          <t>1346-11-28</t>
        </is>
      </c>
    </row>
    <row r="10367">
      <c r="A10367" s="1" t="n">
        <v>10366</v>
      </c>
      <c r="B10367">
        <f>TEXT(10366, "[$-170000]yyyy-mm-dd")</f>
        <v/>
      </c>
      <c r="C10367">
        <f>TEXT(10366, "[$-060000]yyyy-mm-dd")</f>
        <v/>
      </c>
      <c r="D10367" t="inlineStr">
        <is>
          <t>1346-11-29</t>
        </is>
      </c>
    </row>
    <row r="10368">
      <c r="A10368" s="1" t="n">
        <v>10367</v>
      </c>
      <c r="B10368">
        <f>TEXT(10367, "[$-170000]yyyy-mm-dd")</f>
        <v/>
      </c>
      <c r="C10368">
        <f>TEXT(10367, "[$-060000]yyyy-mm-dd")</f>
        <v/>
      </c>
      <c r="D10368" t="inlineStr">
        <is>
          <t>1346-11-30</t>
        </is>
      </c>
    </row>
    <row r="10369">
      <c r="A10369" s="1" t="n">
        <v>10368</v>
      </c>
      <c r="B10369">
        <f>TEXT(10368, "[$-170000]yyyy-mm-dd")</f>
        <v/>
      </c>
      <c r="C10369">
        <f>TEXT(10368, "[$-060000]yyyy-mm-dd")</f>
        <v/>
      </c>
      <c r="D10369" t="inlineStr">
        <is>
          <t>1346-12-01</t>
        </is>
      </c>
    </row>
    <row r="10370">
      <c r="A10370" s="1" t="n">
        <v>10369</v>
      </c>
      <c r="B10370">
        <f>TEXT(10369, "[$-170000]yyyy-mm-dd")</f>
        <v/>
      </c>
      <c r="C10370">
        <f>TEXT(10369, "[$-060000]yyyy-mm-dd")</f>
        <v/>
      </c>
      <c r="D10370" t="inlineStr">
        <is>
          <t>1346-12-02</t>
        </is>
      </c>
    </row>
    <row r="10371">
      <c r="A10371" s="1" t="n">
        <v>10370</v>
      </c>
      <c r="B10371">
        <f>TEXT(10370, "[$-170000]yyyy-mm-dd")</f>
        <v/>
      </c>
      <c r="C10371">
        <f>TEXT(10370, "[$-060000]yyyy-mm-dd")</f>
        <v/>
      </c>
      <c r="D10371" t="inlineStr">
        <is>
          <t>1346-12-03</t>
        </is>
      </c>
    </row>
    <row r="10372">
      <c r="A10372" s="1" t="n">
        <v>10371</v>
      </c>
      <c r="B10372">
        <f>TEXT(10371, "[$-170000]yyyy-mm-dd")</f>
        <v/>
      </c>
      <c r="C10372">
        <f>TEXT(10371, "[$-060000]yyyy-mm-dd")</f>
        <v/>
      </c>
      <c r="D10372" t="inlineStr">
        <is>
          <t>1346-12-04</t>
        </is>
      </c>
    </row>
    <row r="10373">
      <c r="A10373" s="1" t="n">
        <v>10372</v>
      </c>
      <c r="B10373">
        <f>TEXT(10372, "[$-170000]yyyy-mm-dd")</f>
        <v/>
      </c>
      <c r="C10373">
        <f>TEXT(10372, "[$-060000]yyyy-mm-dd")</f>
        <v/>
      </c>
      <c r="D10373" t="inlineStr">
        <is>
          <t>1346-12-05</t>
        </is>
      </c>
    </row>
    <row r="10374">
      <c r="A10374" s="1" t="n">
        <v>10373</v>
      </c>
      <c r="B10374">
        <f>TEXT(10373, "[$-170000]yyyy-mm-dd")</f>
        <v/>
      </c>
      <c r="C10374">
        <f>TEXT(10373, "[$-060000]yyyy-mm-dd")</f>
        <v/>
      </c>
      <c r="D10374" t="inlineStr">
        <is>
          <t>1346-12-06</t>
        </is>
      </c>
    </row>
    <row r="10375">
      <c r="A10375" s="1" t="n">
        <v>10374</v>
      </c>
      <c r="B10375">
        <f>TEXT(10374, "[$-170000]yyyy-mm-dd")</f>
        <v/>
      </c>
      <c r="C10375">
        <f>TEXT(10374, "[$-060000]yyyy-mm-dd")</f>
        <v/>
      </c>
      <c r="D10375" t="inlineStr">
        <is>
          <t>1346-12-07</t>
        </is>
      </c>
    </row>
    <row r="10376">
      <c r="A10376" s="1" t="n">
        <v>10375</v>
      </c>
      <c r="B10376">
        <f>TEXT(10375, "[$-170000]yyyy-mm-dd")</f>
        <v/>
      </c>
      <c r="C10376">
        <f>TEXT(10375, "[$-060000]yyyy-mm-dd")</f>
        <v/>
      </c>
      <c r="D10376" t="inlineStr">
        <is>
          <t>1346-12-08</t>
        </is>
      </c>
    </row>
    <row r="10377">
      <c r="A10377" s="1" t="n">
        <v>10376</v>
      </c>
      <c r="B10377">
        <f>TEXT(10376, "[$-170000]yyyy-mm-dd")</f>
        <v/>
      </c>
      <c r="C10377">
        <f>TEXT(10376, "[$-060000]yyyy-mm-dd")</f>
        <v/>
      </c>
      <c r="D10377" t="inlineStr">
        <is>
          <t>1346-12-09</t>
        </is>
      </c>
    </row>
    <row r="10378">
      <c r="A10378" s="1" t="n">
        <v>10377</v>
      </c>
      <c r="B10378">
        <f>TEXT(10377, "[$-170000]yyyy-mm-dd")</f>
        <v/>
      </c>
      <c r="C10378">
        <f>TEXT(10377, "[$-060000]yyyy-mm-dd")</f>
        <v/>
      </c>
      <c r="D10378" t="inlineStr">
        <is>
          <t>1346-12-10</t>
        </is>
      </c>
    </row>
    <row r="10379">
      <c r="A10379" s="1" t="n">
        <v>10378</v>
      </c>
      <c r="B10379">
        <f>TEXT(10378, "[$-170000]yyyy-mm-dd")</f>
        <v/>
      </c>
      <c r="C10379">
        <f>TEXT(10378, "[$-060000]yyyy-mm-dd")</f>
        <v/>
      </c>
      <c r="D10379" t="inlineStr">
        <is>
          <t>1346-12-11</t>
        </is>
      </c>
    </row>
    <row r="10380">
      <c r="A10380" s="1" t="n">
        <v>10379</v>
      </c>
      <c r="B10380">
        <f>TEXT(10379, "[$-170000]yyyy-mm-dd")</f>
        <v/>
      </c>
      <c r="C10380">
        <f>TEXT(10379, "[$-060000]yyyy-mm-dd")</f>
        <v/>
      </c>
      <c r="D10380" t="inlineStr">
        <is>
          <t>1346-12-12</t>
        </is>
      </c>
    </row>
    <row r="10381">
      <c r="A10381" s="1" t="n">
        <v>10380</v>
      </c>
      <c r="B10381">
        <f>TEXT(10380, "[$-170000]yyyy-mm-dd")</f>
        <v/>
      </c>
      <c r="C10381">
        <f>TEXT(10380, "[$-060000]yyyy-mm-dd")</f>
        <v/>
      </c>
      <c r="D10381" t="inlineStr">
        <is>
          <t>1346-12-13</t>
        </is>
      </c>
    </row>
    <row r="10382">
      <c r="A10382" s="1" t="n">
        <v>10381</v>
      </c>
      <c r="B10382">
        <f>TEXT(10381, "[$-170000]yyyy-mm-dd")</f>
        <v/>
      </c>
      <c r="C10382">
        <f>TEXT(10381, "[$-060000]yyyy-mm-dd")</f>
        <v/>
      </c>
      <c r="D10382" t="inlineStr">
        <is>
          <t>1346-12-14</t>
        </is>
      </c>
    </row>
    <row r="10383">
      <c r="A10383" s="1" t="n">
        <v>10382</v>
      </c>
      <c r="B10383">
        <f>TEXT(10382, "[$-170000]yyyy-mm-dd")</f>
        <v/>
      </c>
      <c r="C10383">
        <f>TEXT(10382, "[$-060000]yyyy-mm-dd")</f>
        <v/>
      </c>
      <c r="D10383" t="inlineStr">
        <is>
          <t>1346-12-15</t>
        </is>
      </c>
    </row>
    <row r="10384">
      <c r="A10384" s="1" t="n">
        <v>10383</v>
      </c>
      <c r="B10384">
        <f>TEXT(10383, "[$-170000]yyyy-mm-dd")</f>
        <v/>
      </c>
      <c r="C10384">
        <f>TEXT(10383, "[$-060000]yyyy-mm-dd")</f>
        <v/>
      </c>
      <c r="D10384" t="inlineStr">
        <is>
          <t>1346-12-16</t>
        </is>
      </c>
    </row>
    <row r="10385">
      <c r="A10385" s="1" t="n">
        <v>10384</v>
      </c>
      <c r="B10385">
        <f>TEXT(10384, "[$-170000]yyyy-mm-dd")</f>
        <v/>
      </c>
      <c r="C10385">
        <f>TEXT(10384, "[$-060000]yyyy-mm-dd")</f>
        <v/>
      </c>
      <c r="D10385" t="inlineStr">
        <is>
          <t>1346-12-17</t>
        </is>
      </c>
    </row>
    <row r="10386">
      <c r="A10386" s="1" t="n">
        <v>10385</v>
      </c>
      <c r="B10386">
        <f>TEXT(10385, "[$-170000]yyyy-mm-dd")</f>
        <v/>
      </c>
      <c r="C10386">
        <f>TEXT(10385, "[$-060000]yyyy-mm-dd")</f>
        <v/>
      </c>
      <c r="D10386" t="inlineStr">
        <is>
          <t>1346-12-18</t>
        </is>
      </c>
    </row>
    <row r="10387">
      <c r="A10387" s="1" t="n">
        <v>10386</v>
      </c>
      <c r="B10387">
        <f>TEXT(10386, "[$-170000]yyyy-mm-dd")</f>
        <v/>
      </c>
      <c r="C10387">
        <f>TEXT(10386, "[$-060000]yyyy-mm-dd")</f>
        <v/>
      </c>
      <c r="D10387" t="inlineStr">
        <is>
          <t>1346-12-19</t>
        </is>
      </c>
    </row>
    <row r="10388">
      <c r="A10388" s="1" t="n">
        <v>10387</v>
      </c>
      <c r="B10388">
        <f>TEXT(10387, "[$-170000]yyyy-mm-dd")</f>
        <v/>
      </c>
      <c r="C10388">
        <f>TEXT(10387, "[$-060000]yyyy-mm-dd")</f>
        <v/>
      </c>
      <c r="D10388" t="inlineStr">
        <is>
          <t>1346-12-20</t>
        </is>
      </c>
    </row>
    <row r="10389">
      <c r="A10389" s="1" t="n">
        <v>10388</v>
      </c>
      <c r="B10389">
        <f>TEXT(10388, "[$-170000]yyyy-mm-dd")</f>
        <v/>
      </c>
      <c r="C10389">
        <f>TEXT(10388, "[$-060000]yyyy-mm-dd")</f>
        <v/>
      </c>
      <c r="D10389" t="inlineStr">
        <is>
          <t>1346-12-21</t>
        </is>
      </c>
    </row>
    <row r="10390">
      <c r="A10390" s="1" t="n">
        <v>10389</v>
      </c>
      <c r="B10390">
        <f>TEXT(10389, "[$-170000]yyyy-mm-dd")</f>
        <v/>
      </c>
      <c r="C10390">
        <f>TEXT(10389, "[$-060000]yyyy-mm-dd")</f>
        <v/>
      </c>
      <c r="D10390" t="inlineStr">
        <is>
          <t>1346-12-22</t>
        </is>
      </c>
    </row>
    <row r="10391">
      <c r="A10391" s="1" t="n">
        <v>10390</v>
      </c>
      <c r="B10391">
        <f>TEXT(10390, "[$-170000]yyyy-mm-dd")</f>
        <v/>
      </c>
      <c r="C10391">
        <f>TEXT(10390, "[$-060000]yyyy-mm-dd")</f>
        <v/>
      </c>
      <c r="D10391" t="inlineStr">
        <is>
          <t>1346-12-23</t>
        </is>
      </c>
    </row>
    <row r="10392">
      <c r="A10392" s="1" t="n">
        <v>10391</v>
      </c>
      <c r="B10392">
        <f>TEXT(10391, "[$-170000]yyyy-mm-dd")</f>
        <v/>
      </c>
      <c r="C10392">
        <f>TEXT(10391, "[$-060000]yyyy-mm-dd")</f>
        <v/>
      </c>
      <c r="D10392" t="inlineStr">
        <is>
          <t>1346-12-24</t>
        </is>
      </c>
    </row>
    <row r="10393">
      <c r="A10393" s="1" t="n">
        <v>10392</v>
      </c>
      <c r="B10393">
        <f>TEXT(10392, "[$-170000]yyyy-mm-dd")</f>
        <v/>
      </c>
      <c r="C10393">
        <f>TEXT(10392, "[$-060000]yyyy-mm-dd")</f>
        <v/>
      </c>
      <c r="D10393" t="inlineStr">
        <is>
          <t>1346-12-25</t>
        </is>
      </c>
    </row>
    <row r="10394">
      <c r="A10394" s="1" t="n">
        <v>10393</v>
      </c>
      <c r="B10394">
        <f>TEXT(10393, "[$-170000]yyyy-mm-dd")</f>
        <v/>
      </c>
      <c r="C10394">
        <f>TEXT(10393, "[$-060000]yyyy-mm-dd")</f>
        <v/>
      </c>
      <c r="D10394" t="inlineStr">
        <is>
          <t>1346-12-26</t>
        </is>
      </c>
    </row>
    <row r="10395">
      <c r="A10395" s="1" t="n">
        <v>10394</v>
      </c>
      <c r="B10395">
        <f>TEXT(10394, "[$-170000]yyyy-mm-dd")</f>
        <v/>
      </c>
      <c r="C10395">
        <f>TEXT(10394, "[$-060000]yyyy-mm-dd")</f>
        <v/>
      </c>
      <c r="D10395" t="inlineStr">
        <is>
          <t>1346-12-27</t>
        </is>
      </c>
    </row>
    <row r="10396">
      <c r="A10396" s="1" t="n">
        <v>10395</v>
      </c>
      <c r="B10396">
        <f>TEXT(10395, "[$-170000]yyyy-mm-dd")</f>
        <v/>
      </c>
      <c r="C10396">
        <f>TEXT(10395, "[$-060000]yyyy-mm-dd")</f>
        <v/>
      </c>
      <c r="D10396" t="inlineStr">
        <is>
          <t>1346-12-28</t>
        </is>
      </c>
    </row>
    <row r="10397">
      <c r="A10397" s="1" t="n">
        <v>10396</v>
      </c>
      <c r="B10397">
        <f>TEXT(10396, "[$-170000]yyyy-mm-dd")</f>
        <v/>
      </c>
      <c r="C10397">
        <f>TEXT(10396, "[$-060000]yyyy-mm-dd")</f>
        <v/>
      </c>
      <c r="D10397" t="inlineStr">
        <is>
          <t>1346-12-29</t>
        </is>
      </c>
    </row>
    <row r="10398">
      <c r="A10398" s="1" t="n">
        <v>10397</v>
      </c>
      <c r="B10398">
        <f>TEXT(10397, "[$-170000]yyyy-mm-dd")</f>
        <v/>
      </c>
      <c r="C10398">
        <f>TEXT(10397, "[$-060000]yyyy-mm-dd")</f>
        <v/>
      </c>
      <c r="D10398" t="inlineStr">
        <is>
          <t>1346-12-30</t>
        </is>
      </c>
    </row>
    <row r="10399">
      <c r="A10399" s="1" t="n">
        <v>10398</v>
      </c>
      <c r="B10399">
        <f>TEXT(10398, "[$-170000]yyyy-mm-dd")</f>
        <v/>
      </c>
      <c r="C10399">
        <f>TEXT(10398, "[$-060000]yyyy-mm-dd")</f>
        <v/>
      </c>
      <c r="D10399" t="inlineStr">
        <is>
          <t>1347-01-01</t>
        </is>
      </c>
    </row>
    <row r="10400">
      <c r="A10400" s="1" t="n">
        <v>10399</v>
      </c>
      <c r="B10400">
        <f>TEXT(10399, "[$-170000]yyyy-mm-dd")</f>
        <v/>
      </c>
      <c r="C10400">
        <f>TEXT(10399, "[$-060000]yyyy-mm-dd")</f>
        <v/>
      </c>
      <c r="D10400" t="inlineStr">
        <is>
          <t>1347-01-02</t>
        </is>
      </c>
    </row>
    <row r="10401">
      <c r="A10401" s="1" t="n">
        <v>10400</v>
      </c>
      <c r="B10401">
        <f>TEXT(10400, "[$-170000]yyyy-mm-dd")</f>
        <v/>
      </c>
      <c r="C10401">
        <f>TEXT(10400, "[$-060000]yyyy-mm-dd")</f>
        <v/>
      </c>
      <c r="D10401" t="inlineStr">
        <is>
          <t>1347-01-03</t>
        </is>
      </c>
    </row>
    <row r="10402">
      <c r="A10402" s="1" t="n">
        <v>10401</v>
      </c>
      <c r="B10402">
        <f>TEXT(10401, "[$-170000]yyyy-mm-dd")</f>
        <v/>
      </c>
      <c r="C10402">
        <f>TEXT(10401, "[$-060000]yyyy-mm-dd")</f>
        <v/>
      </c>
      <c r="D10402" t="inlineStr">
        <is>
          <t>1347-01-04</t>
        </is>
      </c>
    </row>
    <row r="10403">
      <c r="A10403" s="1" t="n">
        <v>10402</v>
      </c>
      <c r="B10403">
        <f>TEXT(10402, "[$-170000]yyyy-mm-dd")</f>
        <v/>
      </c>
      <c r="C10403">
        <f>TEXT(10402, "[$-060000]yyyy-mm-dd")</f>
        <v/>
      </c>
      <c r="D10403" t="inlineStr">
        <is>
          <t>1347-01-05</t>
        </is>
      </c>
    </row>
    <row r="10404">
      <c r="A10404" s="1" t="n">
        <v>10403</v>
      </c>
      <c r="B10404">
        <f>TEXT(10403, "[$-170000]yyyy-mm-dd")</f>
        <v/>
      </c>
      <c r="C10404">
        <f>TEXT(10403, "[$-060000]yyyy-mm-dd")</f>
        <v/>
      </c>
      <c r="D10404" t="inlineStr">
        <is>
          <t>1347-01-06</t>
        </is>
      </c>
    </row>
    <row r="10405">
      <c r="A10405" s="1" t="n">
        <v>10404</v>
      </c>
      <c r="B10405">
        <f>TEXT(10404, "[$-170000]yyyy-mm-dd")</f>
        <v/>
      </c>
      <c r="C10405">
        <f>TEXT(10404, "[$-060000]yyyy-mm-dd")</f>
        <v/>
      </c>
      <c r="D10405" t="inlineStr">
        <is>
          <t>1347-01-07</t>
        </is>
      </c>
    </row>
    <row r="10406">
      <c r="A10406" s="1" t="n">
        <v>10405</v>
      </c>
      <c r="B10406">
        <f>TEXT(10405, "[$-170000]yyyy-mm-dd")</f>
        <v/>
      </c>
      <c r="C10406">
        <f>TEXT(10405, "[$-060000]yyyy-mm-dd")</f>
        <v/>
      </c>
      <c r="D10406" t="inlineStr">
        <is>
          <t>1347-01-08</t>
        </is>
      </c>
    </row>
    <row r="10407">
      <c r="A10407" s="1" t="n">
        <v>10406</v>
      </c>
      <c r="B10407">
        <f>TEXT(10406, "[$-170000]yyyy-mm-dd")</f>
        <v/>
      </c>
      <c r="C10407">
        <f>TEXT(10406, "[$-060000]yyyy-mm-dd")</f>
        <v/>
      </c>
      <c r="D10407" t="inlineStr">
        <is>
          <t>1347-01-09</t>
        </is>
      </c>
    </row>
    <row r="10408">
      <c r="A10408" s="1" t="n">
        <v>10407</v>
      </c>
      <c r="B10408">
        <f>TEXT(10407, "[$-170000]yyyy-mm-dd")</f>
        <v/>
      </c>
      <c r="C10408">
        <f>TEXT(10407, "[$-060000]yyyy-mm-dd")</f>
        <v/>
      </c>
      <c r="D10408" t="inlineStr">
        <is>
          <t>1347-01-10</t>
        </is>
      </c>
    </row>
    <row r="10409">
      <c r="A10409" s="1" t="n">
        <v>10408</v>
      </c>
      <c r="B10409">
        <f>TEXT(10408, "[$-170000]yyyy-mm-dd")</f>
        <v/>
      </c>
      <c r="C10409">
        <f>TEXT(10408, "[$-060000]yyyy-mm-dd")</f>
        <v/>
      </c>
      <c r="D10409" t="inlineStr">
        <is>
          <t>1347-01-11</t>
        </is>
      </c>
    </row>
    <row r="10410">
      <c r="A10410" s="1" t="n">
        <v>10409</v>
      </c>
      <c r="B10410">
        <f>TEXT(10409, "[$-170000]yyyy-mm-dd")</f>
        <v/>
      </c>
      <c r="C10410">
        <f>TEXT(10409, "[$-060000]yyyy-mm-dd")</f>
        <v/>
      </c>
      <c r="D10410" t="inlineStr">
        <is>
          <t>1347-01-12</t>
        </is>
      </c>
    </row>
    <row r="10411">
      <c r="A10411" s="1" t="n">
        <v>10410</v>
      </c>
      <c r="B10411">
        <f>TEXT(10410, "[$-170000]yyyy-mm-dd")</f>
        <v/>
      </c>
      <c r="C10411">
        <f>TEXT(10410, "[$-060000]yyyy-mm-dd")</f>
        <v/>
      </c>
      <c r="D10411" t="inlineStr">
        <is>
          <t>1347-01-13</t>
        </is>
      </c>
    </row>
    <row r="10412">
      <c r="A10412" s="1" t="n">
        <v>10411</v>
      </c>
      <c r="B10412">
        <f>TEXT(10411, "[$-170000]yyyy-mm-dd")</f>
        <v/>
      </c>
      <c r="C10412">
        <f>TEXT(10411, "[$-060000]yyyy-mm-dd")</f>
        <v/>
      </c>
      <c r="D10412" t="inlineStr">
        <is>
          <t>1347-01-14</t>
        </is>
      </c>
    </row>
    <row r="10413">
      <c r="A10413" s="1" t="n">
        <v>10412</v>
      </c>
      <c r="B10413">
        <f>TEXT(10412, "[$-170000]yyyy-mm-dd")</f>
        <v/>
      </c>
      <c r="C10413">
        <f>TEXT(10412, "[$-060000]yyyy-mm-dd")</f>
        <v/>
      </c>
      <c r="D10413" t="inlineStr">
        <is>
          <t>1347-01-15</t>
        </is>
      </c>
    </row>
    <row r="10414">
      <c r="A10414" s="1" t="n">
        <v>10413</v>
      </c>
      <c r="B10414">
        <f>TEXT(10413, "[$-170000]yyyy-mm-dd")</f>
        <v/>
      </c>
      <c r="C10414">
        <f>TEXT(10413, "[$-060000]yyyy-mm-dd")</f>
        <v/>
      </c>
      <c r="D10414" t="inlineStr">
        <is>
          <t>1347-01-16</t>
        </is>
      </c>
    </row>
    <row r="10415">
      <c r="A10415" s="1" t="n">
        <v>10414</v>
      </c>
      <c r="B10415">
        <f>TEXT(10414, "[$-170000]yyyy-mm-dd")</f>
        <v/>
      </c>
      <c r="C10415">
        <f>TEXT(10414, "[$-060000]yyyy-mm-dd")</f>
        <v/>
      </c>
      <c r="D10415" t="inlineStr">
        <is>
          <t>1347-01-17</t>
        </is>
      </c>
    </row>
    <row r="10416">
      <c r="A10416" s="1" t="n">
        <v>10415</v>
      </c>
      <c r="B10416">
        <f>TEXT(10415, "[$-170000]yyyy-mm-dd")</f>
        <v/>
      </c>
      <c r="C10416">
        <f>TEXT(10415, "[$-060000]yyyy-mm-dd")</f>
        <v/>
      </c>
      <c r="D10416" t="inlineStr">
        <is>
          <t>1347-01-18</t>
        </is>
      </c>
    </row>
    <row r="10417">
      <c r="A10417" s="1" t="n">
        <v>10416</v>
      </c>
      <c r="B10417">
        <f>TEXT(10416, "[$-170000]yyyy-mm-dd")</f>
        <v/>
      </c>
      <c r="C10417">
        <f>TEXT(10416, "[$-060000]yyyy-mm-dd")</f>
        <v/>
      </c>
      <c r="D10417" t="inlineStr">
        <is>
          <t>1347-01-19</t>
        </is>
      </c>
    </row>
    <row r="10418">
      <c r="A10418" s="1" t="n">
        <v>10417</v>
      </c>
      <c r="B10418">
        <f>TEXT(10417, "[$-170000]yyyy-mm-dd")</f>
        <v/>
      </c>
      <c r="C10418">
        <f>TEXT(10417, "[$-060000]yyyy-mm-dd")</f>
        <v/>
      </c>
      <c r="D10418" t="inlineStr">
        <is>
          <t>1347-01-20</t>
        </is>
      </c>
    </row>
    <row r="10419">
      <c r="A10419" s="1" t="n">
        <v>10418</v>
      </c>
      <c r="B10419">
        <f>TEXT(10418, "[$-170000]yyyy-mm-dd")</f>
        <v/>
      </c>
      <c r="C10419">
        <f>TEXT(10418, "[$-060000]yyyy-mm-dd")</f>
        <v/>
      </c>
      <c r="D10419" t="inlineStr">
        <is>
          <t>1347-01-21</t>
        </is>
      </c>
    </row>
    <row r="10420">
      <c r="A10420" s="1" t="n">
        <v>10419</v>
      </c>
      <c r="B10420">
        <f>TEXT(10419, "[$-170000]yyyy-mm-dd")</f>
        <v/>
      </c>
      <c r="C10420">
        <f>TEXT(10419, "[$-060000]yyyy-mm-dd")</f>
        <v/>
      </c>
      <c r="D10420" t="inlineStr">
        <is>
          <t>1347-01-22</t>
        </is>
      </c>
    </row>
    <row r="10421">
      <c r="A10421" s="1" t="n">
        <v>10420</v>
      </c>
      <c r="B10421">
        <f>TEXT(10420, "[$-170000]yyyy-mm-dd")</f>
        <v/>
      </c>
      <c r="C10421">
        <f>TEXT(10420, "[$-060000]yyyy-mm-dd")</f>
        <v/>
      </c>
      <c r="D10421" t="inlineStr">
        <is>
          <t>1347-01-23</t>
        </is>
      </c>
    </row>
    <row r="10422">
      <c r="A10422" s="1" t="n">
        <v>10421</v>
      </c>
      <c r="B10422">
        <f>TEXT(10421, "[$-170000]yyyy-mm-dd")</f>
        <v/>
      </c>
      <c r="C10422">
        <f>TEXT(10421, "[$-060000]yyyy-mm-dd")</f>
        <v/>
      </c>
      <c r="D10422" t="inlineStr">
        <is>
          <t>1347-01-24</t>
        </is>
      </c>
    </row>
    <row r="10423">
      <c r="A10423" s="1" t="n">
        <v>10422</v>
      </c>
      <c r="B10423">
        <f>TEXT(10422, "[$-170000]yyyy-mm-dd")</f>
        <v/>
      </c>
      <c r="C10423">
        <f>TEXT(10422, "[$-060000]yyyy-mm-dd")</f>
        <v/>
      </c>
      <c r="D10423" t="inlineStr">
        <is>
          <t>1347-01-25</t>
        </is>
      </c>
    </row>
    <row r="10424">
      <c r="A10424" s="1" t="n">
        <v>10423</v>
      </c>
      <c r="B10424">
        <f>TEXT(10423, "[$-170000]yyyy-mm-dd")</f>
        <v/>
      </c>
      <c r="C10424">
        <f>TEXT(10423, "[$-060000]yyyy-mm-dd")</f>
        <v/>
      </c>
      <c r="D10424" t="inlineStr">
        <is>
          <t>1347-01-26</t>
        </is>
      </c>
    </row>
    <row r="10425">
      <c r="A10425" s="1" t="n">
        <v>10424</v>
      </c>
      <c r="B10425">
        <f>TEXT(10424, "[$-170000]yyyy-mm-dd")</f>
        <v/>
      </c>
      <c r="C10425">
        <f>TEXT(10424, "[$-060000]yyyy-mm-dd")</f>
        <v/>
      </c>
      <c r="D10425" t="inlineStr">
        <is>
          <t>1347-01-27</t>
        </is>
      </c>
    </row>
    <row r="10426">
      <c r="A10426" s="1" t="n">
        <v>10425</v>
      </c>
      <c r="B10426">
        <f>TEXT(10425, "[$-170000]yyyy-mm-dd")</f>
        <v/>
      </c>
      <c r="C10426">
        <f>TEXT(10425, "[$-060000]yyyy-mm-dd")</f>
        <v/>
      </c>
      <c r="D10426" t="inlineStr">
        <is>
          <t>1347-01-28</t>
        </is>
      </c>
    </row>
    <row r="10427">
      <c r="A10427" s="1" t="n">
        <v>10426</v>
      </c>
      <c r="B10427">
        <f>TEXT(10426, "[$-170000]yyyy-mm-dd")</f>
        <v/>
      </c>
      <c r="C10427">
        <f>TEXT(10426, "[$-060000]yyyy-mm-dd")</f>
        <v/>
      </c>
      <c r="D10427" t="inlineStr">
        <is>
          <t>1347-01-29</t>
        </is>
      </c>
    </row>
    <row r="10428">
      <c r="A10428" s="1" t="n">
        <v>10427</v>
      </c>
      <c r="B10428">
        <f>TEXT(10427, "[$-170000]yyyy-mm-dd")</f>
        <v/>
      </c>
      <c r="C10428">
        <f>TEXT(10427, "[$-060000]yyyy-mm-dd")</f>
        <v/>
      </c>
      <c r="D10428" t="inlineStr">
        <is>
          <t>1347-01-30</t>
        </is>
      </c>
    </row>
    <row r="10429">
      <c r="A10429" s="1" t="n">
        <v>10428</v>
      </c>
      <c r="B10429">
        <f>TEXT(10428, "[$-170000]yyyy-mm-dd")</f>
        <v/>
      </c>
      <c r="C10429">
        <f>TEXT(10428, "[$-060000]yyyy-mm-dd")</f>
        <v/>
      </c>
      <c r="D10429" t="inlineStr">
        <is>
          <t>1347-02-01</t>
        </is>
      </c>
    </row>
    <row r="10430">
      <c r="A10430" s="1" t="n">
        <v>10429</v>
      </c>
      <c r="B10430">
        <f>TEXT(10429, "[$-170000]yyyy-mm-dd")</f>
        <v/>
      </c>
      <c r="C10430">
        <f>TEXT(10429, "[$-060000]yyyy-mm-dd")</f>
        <v/>
      </c>
      <c r="D10430" t="inlineStr">
        <is>
          <t>1347-02-02</t>
        </is>
      </c>
    </row>
    <row r="10431">
      <c r="A10431" s="1" t="n">
        <v>10430</v>
      </c>
      <c r="B10431">
        <f>TEXT(10430, "[$-170000]yyyy-mm-dd")</f>
        <v/>
      </c>
      <c r="C10431">
        <f>TEXT(10430, "[$-060000]yyyy-mm-dd")</f>
        <v/>
      </c>
      <c r="D10431" t="inlineStr">
        <is>
          <t>1347-02-03</t>
        </is>
      </c>
    </row>
    <row r="10432">
      <c r="A10432" s="1" t="n">
        <v>10431</v>
      </c>
      <c r="B10432">
        <f>TEXT(10431, "[$-170000]yyyy-mm-dd")</f>
        <v/>
      </c>
      <c r="C10432">
        <f>TEXT(10431, "[$-060000]yyyy-mm-dd")</f>
        <v/>
      </c>
      <c r="D10432" t="inlineStr">
        <is>
          <t>1347-02-04</t>
        </is>
      </c>
    </row>
    <row r="10433">
      <c r="A10433" s="1" t="n">
        <v>10432</v>
      </c>
      <c r="B10433">
        <f>TEXT(10432, "[$-170000]yyyy-mm-dd")</f>
        <v/>
      </c>
      <c r="C10433">
        <f>TEXT(10432, "[$-060000]yyyy-mm-dd")</f>
        <v/>
      </c>
      <c r="D10433" t="inlineStr">
        <is>
          <t>1347-02-05</t>
        </is>
      </c>
    </row>
    <row r="10434">
      <c r="A10434" s="1" t="n">
        <v>10433</v>
      </c>
      <c r="B10434">
        <f>TEXT(10433, "[$-170000]yyyy-mm-dd")</f>
        <v/>
      </c>
      <c r="C10434">
        <f>TEXT(10433, "[$-060000]yyyy-mm-dd")</f>
        <v/>
      </c>
      <c r="D10434" t="inlineStr">
        <is>
          <t>1347-02-06</t>
        </is>
      </c>
    </row>
    <row r="10435">
      <c r="A10435" s="1" t="n">
        <v>10434</v>
      </c>
      <c r="B10435">
        <f>TEXT(10434, "[$-170000]yyyy-mm-dd")</f>
        <v/>
      </c>
      <c r="C10435">
        <f>TEXT(10434, "[$-060000]yyyy-mm-dd")</f>
        <v/>
      </c>
      <c r="D10435" t="inlineStr">
        <is>
          <t>1347-02-07</t>
        </is>
      </c>
    </row>
    <row r="10436">
      <c r="A10436" s="1" t="n">
        <v>10435</v>
      </c>
      <c r="B10436">
        <f>TEXT(10435, "[$-170000]yyyy-mm-dd")</f>
        <v/>
      </c>
      <c r="C10436">
        <f>TEXT(10435, "[$-060000]yyyy-mm-dd")</f>
        <v/>
      </c>
      <c r="D10436" t="inlineStr">
        <is>
          <t>1347-02-08</t>
        </is>
      </c>
    </row>
    <row r="10437">
      <c r="A10437" s="1" t="n">
        <v>10436</v>
      </c>
      <c r="B10437">
        <f>TEXT(10436, "[$-170000]yyyy-mm-dd")</f>
        <v/>
      </c>
      <c r="C10437">
        <f>TEXT(10436, "[$-060000]yyyy-mm-dd")</f>
        <v/>
      </c>
      <c r="D10437" t="inlineStr">
        <is>
          <t>1347-02-09</t>
        </is>
      </c>
    </row>
    <row r="10438">
      <c r="A10438" s="1" t="n">
        <v>10437</v>
      </c>
      <c r="B10438">
        <f>TEXT(10437, "[$-170000]yyyy-mm-dd")</f>
        <v/>
      </c>
      <c r="C10438">
        <f>TEXT(10437, "[$-060000]yyyy-mm-dd")</f>
        <v/>
      </c>
      <c r="D10438" t="inlineStr">
        <is>
          <t>1347-02-10</t>
        </is>
      </c>
    </row>
    <row r="10439">
      <c r="A10439" s="1" t="n">
        <v>10438</v>
      </c>
      <c r="B10439">
        <f>TEXT(10438, "[$-170000]yyyy-mm-dd")</f>
        <v/>
      </c>
      <c r="C10439">
        <f>TEXT(10438, "[$-060000]yyyy-mm-dd")</f>
        <v/>
      </c>
      <c r="D10439" t="inlineStr">
        <is>
          <t>1347-02-11</t>
        </is>
      </c>
    </row>
    <row r="10440">
      <c r="A10440" s="1" t="n">
        <v>10439</v>
      </c>
      <c r="B10440">
        <f>TEXT(10439, "[$-170000]yyyy-mm-dd")</f>
        <v/>
      </c>
      <c r="C10440">
        <f>TEXT(10439, "[$-060000]yyyy-mm-dd")</f>
        <v/>
      </c>
      <c r="D10440" t="inlineStr">
        <is>
          <t>1347-02-12</t>
        </is>
      </c>
    </row>
    <row r="10441">
      <c r="A10441" s="1" t="n">
        <v>10440</v>
      </c>
      <c r="B10441">
        <f>TEXT(10440, "[$-170000]yyyy-mm-dd")</f>
        <v/>
      </c>
      <c r="C10441">
        <f>TEXT(10440, "[$-060000]yyyy-mm-dd")</f>
        <v/>
      </c>
      <c r="D10441" t="inlineStr">
        <is>
          <t>1347-02-13</t>
        </is>
      </c>
    </row>
    <row r="10442">
      <c r="A10442" s="1" t="n">
        <v>10441</v>
      </c>
      <c r="B10442">
        <f>TEXT(10441, "[$-170000]yyyy-mm-dd")</f>
        <v/>
      </c>
      <c r="C10442">
        <f>TEXT(10441, "[$-060000]yyyy-mm-dd")</f>
        <v/>
      </c>
      <c r="D10442" t="inlineStr">
        <is>
          <t>1347-02-14</t>
        </is>
      </c>
    </row>
    <row r="10443">
      <c r="A10443" s="1" t="n">
        <v>10442</v>
      </c>
      <c r="B10443">
        <f>TEXT(10442, "[$-170000]yyyy-mm-dd")</f>
        <v/>
      </c>
      <c r="C10443">
        <f>TEXT(10442, "[$-060000]yyyy-mm-dd")</f>
        <v/>
      </c>
      <c r="D10443" t="inlineStr">
        <is>
          <t>1347-02-15</t>
        </is>
      </c>
    </row>
    <row r="10444">
      <c r="A10444" s="1" t="n">
        <v>10443</v>
      </c>
      <c r="B10444">
        <f>TEXT(10443, "[$-170000]yyyy-mm-dd")</f>
        <v/>
      </c>
      <c r="C10444">
        <f>TEXT(10443, "[$-060000]yyyy-mm-dd")</f>
        <v/>
      </c>
      <c r="D10444" t="inlineStr">
        <is>
          <t>1347-02-16</t>
        </is>
      </c>
    </row>
    <row r="10445">
      <c r="A10445" s="1" t="n">
        <v>10444</v>
      </c>
      <c r="B10445">
        <f>TEXT(10444, "[$-170000]yyyy-mm-dd")</f>
        <v/>
      </c>
      <c r="C10445">
        <f>TEXT(10444, "[$-060000]yyyy-mm-dd")</f>
        <v/>
      </c>
      <c r="D10445" t="inlineStr">
        <is>
          <t>1347-02-17</t>
        </is>
      </c>
    </row>
    <row r="10446">
      <c r="A10446" s="1" t="n">
        <v>10445</v>
      </c>
      <c r="B10446">
        <f>TEXT(10445, "[$-170000]yyyy-mm-dd")</f>
        <v/>
      </c>
      <c r="C10446">
        <f>TEXT(10445, "[$-060000]yyyy-mm-dd")</f>
        <v/>
      </c>
      <c r="D10446" t="inlineStr">
        <is>
          <t>1347-02-18</t>
        </is>
      </c>
    </row>
    <row r="10447">
      <c r="A10447" s="1" t="n">
        <v>10446</v>
      </c>
      <c r="B10447">
        <f>TEXT(10446, "[$-170000]yyyy-mm-dd")</f>
        <v/>
      </c>
      <c r="C10447">
        <f>TEXT(10446, "[$-060000]yyyy-mm-dd")</f>
        <v/>
      </c>
      <c r="D10447" t="inlineStr">
        <is>
          <t>1347-02-19</t>
        </is>
      </c>
    </row>
    <row r="10448">
      <c r="A10448" s="1" t="n">
        <v>10447</v>
      </c>
      <c r="B10448">
        <f>TEXT(10447, "[$-170000]yyyy-mm-dd")</f>
        <v/>
      </c>
      <c r="C10448">
        <f>TEXT(10447, "[$-060000]yyyy-mm-dd")</f>
        <v/>
      </c>
      <c r="D10448" t="inlineStr">
        <is>
          <t>1347-02-20</t>
        </is>
      </c>
    </row>
    <row r="10449">
      <c r="A10449" s="1" t="n">
        <v>10448</v>
      </c>
      <c r="B10449">
        <f>TEXT(10448, "[$-170000]yyyy-mm-dd")</f>
        <v/>
      </c>
      <c r="C10449">
        <f>TEXT(10448, "[$-060000]yyyy-mm-dd")</f>
        <v/>
      </c>
      <c r="D10449" t="inlineStr">
        <is>
          <t>1347-02-21</t>
        </is>
      </c>
    </row>
    <row r="10450">
      <c r="A10450" s="1" t="n">
        <v>10449</v>
      </c>
      <c r="B10450">
        <f>TEXT(10449, "[$-170000]yyyy-mm-dd")</f>
        <v/>
      </c>
      <c r="C10450">
        <f>TEXT(10449, "[$-060000]yyyy-mm-dd")</f>
        <v/>
      </c>
      <c r="D10450" t="inlineStr">
        <is>
          <t>1347-02-22</t>
        </is>
      </c>
    </row>
    <row r="10451">
      <c r="A10451" s="1" t="n">
        <v>10450</v>
      </c>
      <c r="B10451">
        <f>TEXT(10450, "[$-170000]yyyy-mm-dd")</f>
        <v/>
      </c>
      <c r="C10451">
        <f>TEXT(10450, "[$-060000]yyyy-mm-dd")</f>
        <v/>
      </c>
      <c r="D10451" t="inlineStr">
        <is>
          <t>1347-02-23</t>
        </is>
      </c>
    </row>
    <row r="10452">
      <c r="A10452" s="1" t="n">
        <v>10451</v>
      </c>
      <c r="B10452">
        <f>TEXT(10451, "[$-170000]yyyy-mm-dd")</f>
        <v/>
      </c>
      <c r="C10452">
        <f>TEXT(10451, "[$-060000]yyyy-mm-dd")</f>
        <v/>
      </c>
      <c r="D10452" t="inlineStr">
        <is>
          <t>1347-02-24</t>
        </is>
      </c>
    </row>
    <row r="10453">
      <c r="A10453" s="1" t="n">
        <v>10452</v>
      </c>
      <c r="B10453">
        <f>TEXT(10452, "[$-170000]yyyy-mm-dd")</f>
        <v/>
      </c>
      <c r="C10453">
        <f>TEXT(10452, "[$-060000]yyyy-mm-dd")</f>
        <v/>
      </c>
      <c r="D10453" t="inlineStr">
        <is>
          <t>1347-02-25</t>
        </is>
      </c>
    </row>
    <row r="10454">
      <c r="A10454" s="1" t="n">
        <v>10453</v>
      </c>
      <c r="B10454">
        <f>TEXT(10453, "[$-170000]yyyy-mm-dd")</f>
        <v/>
      </c>
      <c r="C10454">
        <f>TEXT(10453, "[$-060000]yyyy-mm-dd")</f>
        <v/>
      </c>
      <c r="D10454" t="inlineStr">
        <is>
          <t>1347-02-26</t>
        </is>
      </c>
    </row>
    <row r="10455">
      <c r="A10455" s="1" t="n">
        <v>10454</v>
      </c>
      <c r="B10455">
        <f>TEXT(10454, "[$-170000]yyyy-mm-dd")</f>
        <v/>
      </c>
      <c r="C10455">
        <f>TEXT(10454, "[$-060000]yyyy-mm-dd")</f>
        <v/>
      </c>
      <c r="D10455" t="inlineStr">
        <is>
          <t>1347-02-27</t>
        </is>
      </c>
    </row>
    <row r="10456">
      <c r="A10456" s="1" t="n">
        <v>10455</v>
      </c>
      <c r="B10456">
        <f>TEXT(10455, "[$-170000]yyyy-mm-dd")</f>
        <v/>
      </c>
      <c r="C10456">
        <f>TEXT(10455, "[$-060000]yyyy-mm-dd")</f>
        <v/>
      </c>
      <c r="D10456" t="inlineStr">
        <is>
          <t>1347-02-28</t>
        </is>
      </c>
    </row>
    <row r="10457">
      <c r="A10457" s="1" t="n">
        <v>10456</v>
      </c>
      <c r="B10457">
        <f>TEXT(10456, "[$-170000]yyyy-mm-dd")</f>
        <v/>
      </c>
      <c r="C10457">
        <f>TEXT(10456, "[$-060000]yyyy-mm-dd")</f>
        <v/>
      </c>
      <c r="D10457" t="inlineStr">
        <is>
          <t>1347-02-29</t>
        </is>
      </c>
    </row>
    <row r="10458">
      <c r="A10458" s="1" t="n">
        <v>10457</v>
      </c>
      <c r="B10458">
        <f>TEXT(10457, "[$-170000]yyyy-mm-dd")</f>
        <v/>
      </c>
      <c r="C10458">
        <f>TEXT(10457, "[$-060000]yyyy-mm-dd")</f>
        <v/>
      </c>
      <c r="D10458" t="inlineStr">
        <is>
          <t>1347-03-01</t>
        </is>
      </c>
    </row>
    <row r="10459">
      <c r="A10459" s="1" t="n">
        <v>10458</v>
      </c>
      <c r="B10459">
        <f>TEXT(10458, "[$-170000]yyyy-mm-dd")</f>
        <v/>
      </c>
      <c r="C10459">
        <f>TEXT(10458, "[$-060000]yyyy-mm-dd")</f>
        <v/>
      </c>
      <c r="D10459" t="inlineStr">
        <is>
          <t>1347-03-02</t>
        </is>
      </c>
    </row>
    <row r="10460">
      <c r="A10460" s="1" t="n">
        <v>10459</v>
      </c>
      <c r="B10460">
        <f>TEXT(10459, "[$-170000]yyyy-mm-dd")</f>
        <v/>
      </c>
      <c r="C10460">
        <f>TEXT(10459, "[$-060000]yyyy-mm-dd")</f>
        <v/>
      </c>
      <c r="D10460" t="inlineStr">
        <is>
          <t>1347-03-03</t>
        </is>
      </c>
    </row>
    <row r="10461">
      <c r="A10461" s="1" t="n">
        <v>10460</v>
      </c>
      <c r="B10461">
        <f>TEXT(10460, "[$-170000]yyyy-mm-dd")</f>
        <v/>
      </c>
      <c r="C10461">
        <f>TEXT(10460, "[$-060000]yyyy-mm-dd")</f>
        <v/>
      </c>
      <c r="D10461" t="inlineStr">
        <is>
          <t>1347-03-04</t>
        </is>
      </c>
    </row>
    <row r="10462">
      <c r="A10462" s="1" t="n">
        <v>10461</v>
      </c>
      <c r="B10462">
        <f>TEXT(10461, "[$-170000]yyyy-mm-dd")</f>
        <v/>
      </c>
      <c r="C10462">
        <f>TEXT(10461, "[$-060000]yyyy-mm-dd")</f>
        <v/>
      </c>
      <c r="D10462" t="inlineStr">
        <is>
          <t>1347-03-05</t>
        </is>
      </c>
    </row>
    <row r="10463">
      <c r="A10463" s="1" t="n">
        <v>10462</v>
      </c>
      <c r="B10463">
        <f>TEXT(10462, "[$-170000]yyyy-mm-dd")</f>
        <v/>
      </c>
      <c r="C10463">
        <f>TEXT(10462, "[$-060000]yyyy-mm-dd")</f>
        <v/>
      </c>
      <c r="D10463" t="inlineStr">
        <is>
          <t>1347-03-06</t>
        </is>
      </c>
    </row>
    <row r="10464">
      <c r="A10464" s="1" t="n">
        <v>10463</v>
      </c>
      <c r="B10464">
        <f>TEXT(10463, "[$-170000]yyyy-mm-dd")</f>
        <v/>
      </c>
      <c r="C10464">
        <f>TEXT(10463, "[$-060000]yyyy-mm-dd")</f>
        <v/>
      </c>
      <c r="D10464" t="inlineStr">
        <is>
          <t>1347-03-07</t>
        </is>
      </c>
    </row>
    <row r="10465">
      <c r="A10465" s="1" t="n">
        <v>10464</v>
      </c>
      <c r="B10465">
        <f>TEXT(10464, "[$-170000]yyyy-mm-dd")</f>
        <v/>
      </c>
      <c r="C10465">
        <f>TEXT(10464, "[$-060000]yyyy-mm-dd")</f>
        <v/>
      </c>
      <c r="D10465" t="inlineStr">
        <is>
          <t>1347-03-08</t>
        </is>
      </c>
    </row>
    <row r="10466">
      <c r="A10466" s="1" t="n">
        <v>10465</v>
      </c>
      <c r="B10466">
        <f>TEXT(10465, "[$-170000]yyyy-mm-dd")</f>
        <v/>
      </c>
      <c r="C10466">
        <f>TEXT(10465, "[$-060000]yyyy-mm-dd")</f>
        <v/>
      </c>
      <c r="D10466" t="inlineStr">
        <is>
          <t>1347-03-09</t>
        </is>
      </c>
    </row>
    <row r="10467">
      <c r="A10467" s="1" t="n">
        <v>10466</v>
      </c>
      <c r="B10467">
        <f>TEXT(10466, "[$-170000]yyyy-mm-dd")</f>
        <v/>
      </c>
      <c r="C10467">
        <f>TEXT(10466, "[$-060000]yyyy-mm-dd")</f>
        <v/>
      </c>
      <c r="D10467" t="inlineStr">
        <is>
          <t>1347-03-10</t>
        </is>
      </c>
    </row>
    <row r="10468">
      <c r="A10468" s="1" t="n">
        <v>10467</v>
      </c>
      <c r="B10468">
        <f>TEXT(10467, "[$-170000]yyyy-mm-dd")</f>
        <v/>
      </c>
      <c r="C10468">
        <f>TEXT(10467, "[$-060000]yyyy-mm-dd")</f>
        <v/>
      </c>
      <c r="D10468" t="inlineStr">
        <is>
          <t>1347-03-11</t>
        </is>
      </c>
    </row>
    <row r="10469">
      <c r="A10469" s="1" t="n">
        <v>10468</v>
      </c>
      <c r="B10469">
        <f>TEXT(10468, "[$-170000]yyyy-mm-dd")</f>
        <v/>
      </c>
      <c r="C10469">
        <f>TEXT(10468, "[$-060000]yyyy-mm-dd")</f>
        <v/>
      </c>
      <c r="D10469" t="inlineStr">
        <is>
          <t>1347-03-12</t>
        </is>
      </c>
    </row>
    <row r="10470">
      <c r="A10470" s="1" t="n">
        <v>10469</v>
      </c>
      <c r="B10470">
        <f>TEXT(10469, "[$-170000]yyyy-mm-dd")</f>
        <v/>
      </c>
      <c r="C10470">
        <f>TEXT(10469, "[$-060000]yyyy-mm-dd")</f>
        <v/>
      </c>
      <c r="D10470" t="inlineStr">
        <is>
          <t>1347-03-13</t>
        </is>
      </c>
    </row>
    <row r="10471">
      <c r="A10471" s="1" t="n">
        <v>10470</v>
      </c>
      <c r="B10471">
        <f>TEXT(10470, "[$-170000]yyyy-mm-dd")</f>
        <v/>
      </c>
      <c r="C10471">
        <f>TEXT(10470, "[$-060000]yyyy-mm-dd")</f>
        <v/>
      </c>
      <c r="D10471" t="inlineStr">
        <is>
          <t>1347-03-14</t>
        </is>
      </c>
    </row>
    <row r="10472">
      <c r="A10472" s="1" t="n">
        <v>10471</v>
      </c>
      <c r="B10472">
        <f>TEXT(10471, "[$-170000]yyyy-mm-dd")</f>
        <v/>
      </c>
      <c r="C10472">
        <f>TEXT(10471, "[$-060000]yyyy-mm-dd")</f>
        <v/>
      </c>
      <c r="D10472" t="inlineStr">
        <is>
          <t>1347-03-15</t>
        </is>
      </c>
    </row>
    <row r="10473">
      <c r="A10473" s="1" t="n">
        <v>10472</v>
      </c>
      <c r="B10473">
        <f>TEXT(10472, "[$-170000]yyyy-mm-dd")</f>
        <v/>
      </c>
      <c r="C10473">
        <f>TEXT(10472, "[$-060000]yyyy-mm-dd")</f>
        <v/>
      </c>
      <c r="D10473" t="inlineStr">
        <is>
          <t>1347-03-16</t>
        </is>
      </c>
    </row>
    <row r="10474">
      <c r="A10474" s="1" t="n">
        <v>10473</v>
      </c>
      <c r="B10474">
        <f>TEXT(10473, "[$-170000]yyyy-mm-dd")</f>
        <v/>
      </c>
      <c r="C10474">
        <f>TEXT(10473, "[$-060000]yyyy-mm-dd")</f>
        <v/>
      </c>
      <c r="D10474" t="inlineStr">
        <is>
          <t>1347-03-17</t>
        </is>
      </c>
    </row>
    <row r="10475">
      <c r="A10475" s="1" t="n">
        <v>10474</v>
      </c>
      <c r="B10475">
        <f>TEXT(10474, "[$-170000]yyyy-mm-dd")</f>
        <v/>
      </c>
      <c r="C10475">
        <f>TEXT(10474, "[$-060000]yyyy-mm-dd")</f>
        <v/>
      </c>
      <c r="D10475" t="inlineStr">
        <is>
          <t>1347-03-18</t>
        </is>
      </c>
    </row>
    <row r="10476">
      <c r="A10476" s="1" t="n">
        <v>10475</v>
      </c>
      <c r="B10476">
        <f>TEXT(10475, "[$-170000]yyyy-mm-dd")</f>
        <v/>
      </c>
      <c r="C10476">
        <f>TEXT(10475, "[$-060000]yyyy-mm-dd")</f>
        <v/>
      </c>
      <c r="D10476" t="inlineStr">
        <is>
          <t>1347-03-19</t>
        </is>
      </c>
    </row>
    <row r="10477">
      <c r="A10477" s="1" t="n">
        <v>10476</v>
      </c>
      <c r="B10477">
        <f>TEXT(10476, "[$-170000]yyyy-mm-dd")</f>
        <v/>
      </c>
      <c r="C10477">
        <f>TEXT(10476, "[$-060000]yyyy-mm-dd")</f>
        <v/>
      </c>
      <c r="D10477" t="inlineStr">
        <is>
          <t>1347-03-20</t>
        </is>
      </c>
    </row>
    <row r="10478">
      <c r="A10478" s="1" t="n">
        <v>10477</v>
      </c>
      <c r="B10478">
        <f>TEXT(10477, "[$-170000]yyyy-mm-dd")</f>
        <v/>
      </c>
      <c r="C10478">
        <f>TEXT(10477, "[$-060000]yyyy-mm-dd")</f>
        <v/>
      </c>
      <c r="D10478" t="inlineStr">
        <is>
          <t>1347-03-21</t>
        </is>
      </c>
    </row>
    <row r="10479">
      <c r="A10479" s="1" t="n">
        <v>10478</v>
      </c>
      <c r="B10479">
        <f>TEXT(10478, "[$-170000]yyyy-mm-dd")</f>
        <v/>
      </c>
      <c r="C10479">
        <f>TEXT(10478, "[$-060000]yyyy-mm-dd")</f>
        <v/>
      </c>
      <c r="D10479" t="inlineStr">
        <is>
          <t>1347-03-22</t>
        </is>
      </c>
    </row>
    <row r="10480">
      <c r="A10480" s="1" t="n">
        <v>10479</v>
      </c>
      <c r="B10480">
        <f>TEXT(10479, "[$-170000]yyyy-mm-dd")</f>
        <v/>
      </c>
      <c r="C10480">
        <f>TEXT(10479, "[$-060000]yyyy-mm-dd")</f>
        <v/>
      </c>
      <c r="D10480" t="inlineStr">
        <is>
          <t>1347-03-23</t>
        </is>
      </c>
    </row>
    <row r="10481">
      <c r="A10481" s="1" t="n">
        <v>10480</v>
      </c>
      <c r="B10481">
        <f>TEXT(10480, "[$-170000]yyyy-mm-dd")</f>
        <v/>
      </c>
      <c r="C10481">
        <f>TEXT(10480, "[$-060000]yyyy-mm-dd")</f>
        <v/>
      </c>
      <c r="D10481" t="inlineStr">
        <is>
          <t>1347-03-24</t>
        </is>
      </c>
    </row>
    <row r="10482">
      <c r="A10482" s="1" t="n">
        <v>10481</v>
      </c>
      <c r="B10482">
        <f>TEXT(10481, "[$-170000]yyyy-mm-dd")</f>
        <v/>
      </c>
      <c r="C10482">
        <f>TEXT(10481, "[$-060000]yyyy-mm-dd")</f>
        <v/>
      </c>
      <c r="D10482" t="inlineStr">
        <is>
          <t>1347-03-25</t>
        </is>
      </c>
    </row>
    <row r="10483">
      <c r="A10483" s="1" t="n">
        <v>10482</v>
      </c>
      <c r="B10483">
        <f>TEXT(10482, "[$-170000]yyyy-mm-dd")</f>
        <v/>
      </c>
      <c r="C10483">
        <f>TEXT(10482, "[$-060000]yyyy-mm-dd")</f>
        <v/>
      </c>
      <c r="D10483" t="inlineStr">
        <is>
          <t>1347-03-26</t>
        </is>
      </c>
    </row>
    <row r="10484">
      <c r="A10484" s="1" t="n">
        <v>10483</v>
      </c>
      <c r="B10484">
        <f>TEXT(10483, "[$-170000]yyyy-mm-dd")</f>
        <v/>
      </c>
      <c r="C10484">
        <f>TEXT(10483, "[$-060000]yyyy-mm-dd")</f>
        <v/>
      </c>
      <c r="D10484" t="inlineStr">
        <is>
          <t>1347-03-27</t>
        </is>
      </c>
    </row>
    <row r="10485">
      <c r="A10485" s="1" t="n">
        <v>10484</v>
      </c>
      <c r="B10485">
        <f>TEXT(10484, "[$-170000]yyyy-mm-dd")</f>
        <v/>
      </c>
      <c r="C10485">
        <f>TEXT(10484, "[$-060000]yyyy-mm-dd")</f>
        <v/>
      </c>
      <c r="D10485" t="inlineStr">
        <is>
          <t>1347-03-28</t>
        </is>
      </c>
    </row>
    <row r="10486">
      <c r="A10486" s="1" t="n">
        <v>10485</v>
      </c>
      <c r="B10486">
        <f>TEXT(10485, "[$-170000]yyyy-mm-dd")</f>
        <v/>
      </c>
      <c r="C10486">
        <f>TEXT(10485, "[$-060000]yyyy-mm-dd")</f>
        <v/>
      </c>
      <c r="D10486" t="inlineStr">
        <is>
          <t>1347-03-29</t>
        </is>
      </c>
    </row>
    <row r="10487">
      <c r="A10487" s="1" t="n">
        <v>10486</v>
      </c>
      <c r="B10487">
        <f>TEXT(10486, "[$-170000]yyyy-mm-dd")</f>
        <v/>
      </c>
      <c r="C10487">
        <f>TEXT(10486, "[$-060000]yyyy-mm-dd")</f>
        <v/>
      </c>
      <c r="D10487" t="inlineStr">
        <is>
          <t>1347-03-30</t>
        </is>
      </c>
    </row>
    <row r="10488">
      <c r="A10488" s="1" t="n">
        <v>10487</v>
      </c>
      <c r="B10488">
        <f>TEXT(10487, "[$-170000]yyyy-mm-dd")</f>
        <v/>
      </c>
      <c r="C10488">
        <f>TEXT(10487, "[$-060000]yyyy-mm-dd")</f>
        <v/>
      </c>
      <c r="D10488" t="inlineStr">
        <is>
          <t>1347-04-01</t>
        </is>
      </c>
    </row>
    <row r="10489">
      <c r="A10489" s="1" t="n">
        <v>10488</v>
      </c>
      <c r="B10489">
        <f>TEXT(10488, "[$-170000]yyyy-mm-dd")</f>
        <v/>
      </c>
      <c r="C10489">
        <f>TEXT(10488, "[$-060000]yyyy-mm-dd")</f>
        <v/>
      </c>
      <c r="D10489" t="inlineStr">
        <is>
          <t>1347-04-02</t>
        </is>
      </c>
    </row>
    <row r="10490">
      <c r="A10490" s="1" t="n">
        <v>10489</v>
      </c>
      <c r="B10490">
        <f>TEXT(10489, "[$-170000]yyyy-mm-dd")</f>
        <v/>
      </c>
      <c r="C10490">
        <f>TEXT(10489, "[$-060000]yyyy-mm-dd")</f>
        <v/>
      </c>
      <c r="D10490" t="inlineStr">
        <is>
          <t>1347-04-03</t>
        </is>
      </c>
    </row>
    <row r="10491">
      <c r="A10491" s="1" t="n">
        <v>10490</v>
      </c>
      <c r="B10491">
        <f>TEXT(10490, "[$-170000]yyyy-mm-dd")</f>
        <v/>
      </c>
      <c r="C10491">
        <f>TEXT(10490, "[$-060000]yyyy-mm-dd")</f>
        <v/>
      </c>
      <c r="D10491" t="inlineStr">
        <is>
          <t>1347-04-04</t>
        </is>
      </c>
    </row>
    <row r="10492">
      <c r="A10492" s="1" t="n">
        <v>10491</v>
      </c>
      <c r="B10492">
        <f>TEXT(10491, "[$-170000]yyyy-mm-dd")</f>
        <v/>
      </c>
      <c r="C10492">
        <f>TEXT(10491, "[$-060000]yyyy-mm-dd")</f>
        <v/>
      </c>
      <c r="D10492" t="inlineStr">
        <is>
          <t>1347-04-05</t>
        </is>
      </c>
    </row>
    <row r="10493">
      <c r="A10493" s="1" t="n">
        <v>10492</v>
      </c>
      <c r="B10493">
        <f>TEXT(10492, "[$-170000]yyyy-mm-dd")</f>
        <v/>
      </c>
      <c r="C10493">
        <f>TEXT(10492, "[$-060000]yyyy-mm-dd")</f>
        <v/>
      </c>
      <c r="D10493" t="inlineStr">
        <is>
          <t>1347-04-06</t>
        </is>
      </c>
    </row>
    <row r="10494">
      <c r="A10494" s="1" t="n">
        <v>10493</v>
      </c>
      <c r="B10494">
        <f>TEXT(10493, "[$-170000]yyyy-mm-dd")</f>
        <v/>
      </c>
      <c r="C10494">
        <f>TEXT(10493, "[$-060000]yyyy-mm-dd")</f>
        <v/>
      </c>
      <c r="D10494" t="inlineStr">
        <is>
          <t>1347-04-07</t>
        </is>
      </c>
    </row>
    <row r="10495">
      <c r="A10495" s="1" t="n">
        <v>10494</v>
      </c>
      <c r="B10495">
        <f>TEXT(10494, "[$-170000]yyyy-mm-dd")</f>
        <v/>
      </c>
      <c r="C10495">
        <f>TEXT(10494, "[$-060000]yyyy-mm-dd")</f>
        <v/>
      </c>
      <c r="D10495" t="inlineStr">
        <is>
          <t>1347-04-08</t>
        </is>
      </c>
    </row>
    <row r="10496">
      <c r="A10496" s="1" t="n">
        <v>10495</v>
      </c>
      <c r="B10496">
        <f>TEXT(10495, "[$-170000]yyyy-mm-dd")</f>
        <v/>
      </c>
      <c r="C10496">
        <f>TEXT(10495, "[$-060000]yyyy-mm-dd")</f>
        <v/>
      </c>
      <c r="D10496" t="inlineStr">
        <is>
          <t>1347-04-09</t>
        </is>
      </c>
    </row>
    <row r="10497">
      <c r="A10497" s="1" t="n">
        <v>10496</v>
      </c>
      <c r="B10497">
        <f>TEXT(10496, "[$-170000]yyyy-mm-dd")</f>
        <v/>
      </c>
      <c r="C10497">
        <f>TEXT(10496, "[$-060000]yyyy-mm-dd")</f>
        <v/>
      </c>
      <c r="D10497" t="inlineStr">
        <is>
          <t>1347-04-10</t>
        </is>
      </c>
    </row>
    <row r="10498">
      <c r="A10498" s="1" t="n">
        <v>10497</v>
      </c>
      <c r="B10498">
        <f>TEXT(10497, "[$-170000]yyyy-mm-dd")</f>
        <v/>
      </c>
      <c r="C10498">
        <f>TEXT(10497, "[$-060000]yyyy-mm-dd")</f>
        <v/>
      </c>
      <c r="D10498" t="inlineStr">
        <is>
          <t>1347-04-11</t>
        </is>
      </c>
    </row>
    <row r="10499">
      <c r="A10499" s="1" t="n">
        <v>10498</v>
      </c>
      <c r="B10499">
        <f>TEXT(10498, "[$-170000]yyyy-mm-dd")</f>
        <v/>
      </c>
      <c r="C10499">
        <f>TEXT(10498, "[$-060000]yyyy-mm-dd")</f>
        <v/>
      </c>
      <c r="D10499" t="inlineStr">
        <is>
          <t>1347-04-12</t>
        </is>
      </c>
    </row>
    <row r="10500">
      <c r="A10500" s="1" t="n">
        <v>10499</v>
      </c>
      <c r="B10500">
        <f>TEXT(10499, "[$-170000]yyyy-mm-dd")</f>
        <v/>
      </c>
      <c r="C10500">
        <f>TEXT(10499, "[$-060000]yyyy-mm-dd")</f>
        <v/>
      </c>
      <c r="D10500" t="inlineStr">
        <is>
          <t>1347-04-13</t>
        </is>
      </c>
    </row>
    <row r="10501">
      <c r="A10501" s="1" t="n">
        <v>10500</v>
      </c>
      <c r="B10501">
        <f>TEXT(10500, "[$-170000]yyyy-mm-dd")</f>
        <v/>
      </c>
      <c r="C10501">
        <f>TEXT(10500, "[$-060000]yyyy-mm-dd")</f>
        <v/>
      </c>
      <c r="D10501" t="inlineStr">
        <is>
          <t>1347-04-14</t>
        </is>
      </c>
    </row>
    <row r="10502">
      <c r="A10502" s="1" t="n">
        <v>10501</v>
      </c>
      <c r="B10502">
        <f>TEXT(10501, "[$-170000]yyyy-mm-dd")</f>
        <v/>
      </c>
      <c r="C10502">
        <f>TEXT(10501, "[$-060000]yyyy-mm-dd")</f>
        <v/>
      </c>
      <c r="D10502" t="inlineStr">
        <is>
          <t>1347-04-15</t>
        </is>
      </c>
    </row>
    <row r="10503">
      <c r="A10503" s="1" t="n">
        <v>10502</v>
      </c>
      <c r="B10503">
        <f>TEXT(10502, "[$-170000]yyyy-mm-dd")</f>
        <v/>
      </c>
      <c r="C10503">
        <f>TEXT(10502, "[$-060000]yyyy-mm-dd")</f>
        <v/>
      </c>
      <c r="D10503" t="inlineStr">
        <is>
          <t>1347-04-16</t>
        </is>
      </c>
    </row>
    <row r="10504">
      <c r="A10504" s="1" t="n">
        <v>10503</v>
      </c>
      <c r="B10504">
        <f>TEXT(10503, "[$-170000]yyyy-mm-dd")</f>
        <v/>
      </c>
      <c r="C10504">
        <f>TEXT(10503, "[$-060000]yyyy-mm-dd")</f>
        <v/>
      </c>
      <c r="D10504" t="inlineStr">
        <is>
          <t>1347-04-17</t>
        </is>
      </c>
    </row>
    <row r="10505">
      <c r="A10505" s="1" t="n">
        <v>10504</v>
      </c>
      <c r="B10505">
        <f>TEXT(10504, "[$-170000]yyyy-mm-dd")</f>
        <v/>
      </c>
      <c r="C10505">
        <f>TEXT(10504, "[$-060000]yyyy-mm-dd")</f>
        <v/>
      </c>
      <c r="D10505" t="inlineStr">
        <is>
          <t>1347-04-18</t>
        </is>
      </c>
    </row>
    <row r="10506">
      <c r="A10506" s="1" t="n">
        <v>10505</v>
      </c>
      <c r="B10506">
        <f>TEXT(10505, "[$-170000]yyyy-mm-dd")</f>
        <v/>
      </c>
      <c r="C10506">
        <f>TEXT(10505, "[$-060000]yyyy-mm-dd")</f>
        <v/>
      </c>
      <c r="D10506" t="inlineStr">
        <is>
          <t>1347-04-19</t>
        </is>
      </c>
    </row>
    <row r="10507">
      <c r="A10507" s="1" t="n">
        <v>10506</v>
      </c>
      <c r="B10507">
        <f>TEXT(10506, "[$-170000]yyyy-mm-dd")</f>
        <v/>
      </c>
      <c r="C10507">
        <f>TEXT(10506, "[$-060000]yyyy-mm-dd")</f>
        <v/>
      </c>
      <c r="D10507" t="inlineStr">
        <is>
          <t>1347-04-20</t>
        </is>
      </c>
    </row>
    <row r="10508">
      <c r="A10508" s="1" t="n">
        <v>10507</v>
      </c>
      <c r="B10508">
        <f>TEXT(10507, "[$-170000]yyyy-mm-dd")</f>
        <v/>
      </c>
      <c r="C10508">
        <f>TEXT(10507, "[$-060000]yyyy-mm-dd")</f>
        <v/>
      </c>
      <c r="D10508" t="inlineStr">
        <is>
          <t>1347-04-21</t>
        </is>
      </c>
    </row>
    <row r="10509">
      <c r="A10509" s="1" t="n">
        <v>10508</v>
      </c>
      <c r="B10509">
        <f>TEXT(10508, "[$-170000]yyyy-mm-dd")</f>
        <v/>
      </c>
      <c r="C10509">
        <f>TEXT(10508, "[$-060000]yyyy-mm-dd")</f>
        <v/>
      </c>
      <c r="D10509" t="inlineStr">
        <is>
          <t>1347-04-22</t>
        </is>
      </c>
    </row>
    <row r="10510">
      <c r="A10510" s="1" t="n">
        <v>10509</v>
      </c>
      <c r="B10510">
        <f>TEXT(10509, "[$-170000]yyyy-mm-dd")</f>
        <v/>
      </c>
      <c r="C10510">
        <f>TEXT(10509, "[$-060000]yyyy-mm-dd")</f>
        <v/>
      </c>
      <c r="D10510" t="inlineStr">
        <is>
          <t>1347-04-23</t>
        </is>
      </c>
    </row>
    <row r="10511">
      <c r="A10511" s="1" t="n">
        <v>10510</v>
      </c>
      <c r="B10511">
        <f>TEXT(10510, "[$-170000]yyyy-mm-dd")</f>
        <v/>
      </c>
      <c r="C10511">
        <f>TEXT(10510, "[$-060000]yyyy-mm-dd")</f>
        <v/>
      </c>
      <c r="D10511" t="inlineStr">
        <is>
          <t>1347-04-24</t>
        </is>
      </c>
    </row>
    <row r="10512">
      <c r="A10512" s="1" t="n">
        <v>10511</v>
      </c>
      <c r="B10512">
        <f>TEXT(10511, "[$-170000]yyyy-mm-dd")</f>
        <v/>
      </c>
      <c r="C10512">
        <f>TEXT(10511, "[$-060000]yyyy-mm-dd")</f>
        <v/>
      </c>
      <c r="D10512" t="inlineStr">
        <is>
          <t>1347-04-25</t>
        </is>
      </c>
    </row>
    <row r="10513">
      <c r="A10513" s="1" t="n">
        <v>10512</v>
      </c>
      <c r="B10513">
        <f>TEXT(10512, "[$-170000]yyyy-mm-dd")</f>
        <v/>
      </c>
      <c r="C10513">
        <f>TEXT(10512, "[$-060000]yyyy-mm-dd")</f>
        <v/>
      </c>
      <c r="D10513" t="inlineStr">
        <is>
          <t>1347-04-26</t>
        </is>
      </c>
    </row>
    <row r="10514">
      <c r="A10514" s="1" t="n">
        <v>10513</v>
      </c>
      <c r="B10514">
        <f>TEXT(10513, "[$-170000]yyyy-mm-dd")</f>
        <v/>
      </c>
      <c r="C10514">
        <f>TEXT(10513, "[$-060000]yyyy-mm-dd")</f>
        <v/>
      </c>
      <c r="D10514" t="inlineStr">
        <is>
          <t>1347-04-27</t>
        </is>
      </c>
    </row>
    <row r="10515">
      <c r="A10515" s="1" t="n">
        <v>10514</v>
      </c>
      <c r="B10515">
        <f>TEXT(10514, "[$-170000]yyyy-mm-dd")</f>
        <v/>
      </c>
      <c r="C10515">
        <f>TEXT(10514, "[$-060000]yyyy-mm-dd")</f>
        <v/>
      </c>
      <c r="D10515" t="inlineStr">
        <is>
          <t>1347-04-28</t>
        </is>
      </c>
    </row>
    <row r="10516">
      <c r="A10516" s="1" t="n">
        <v>10515</v>
      </c>
      <c r="B10516">
        <f>TEXT(10515, "[$-170000]yyyy-mm-dd")</f>
        <v/>
      </c>
      <c r="C10516">
        <f>TEXT(10515, "[$-060000]yyyy-mm-dd")</f>
        <v/>
      </c>
      <c r="D10516" t="inlineStr">
        <is>
          <t>1347-04-29</t>
        </is>
      </c>
    </row>
    <row r="10517">
      <c r="A10517" s="1" t="n">
        <v>10516</v>
      </c>
      <c r="B10517">
        <f>TEXT(10516, "[$-170000]yyyy-mm-dd")</f>
        <v/>
      </c>
      <c r="C10517">
        <f>TEXT(10516, "[$-060000]yyyy-mm-dd")</f>
        <v/>
      </c>
      <c r="D10517" t="inlineStr">
        <is>
          <t>1347-05-01</t>
        </is>
      </c>
    </row>
    <row r="10518">
      <c r="A10518" s="1" t="n">
        <v>10517</v>
      </c>
      <c r="B10518">
        <f>TEXT(10517, "[$-170000]yyyy-mm-dd")</f>
        <v/>
      </c>
      <c r="C10518">
        <f>TEXT(10517, "[$-060000]yyyy-mm-dd")</f>
        <v/>
      </c>
      <c r="D10518" t="inlineStr">
        <is>
          <t>1347-05-02</t>
        </is>
      </c>
    </row>
    <row r="10519">
      <c r="A10519" s="1" t="n">
        <v>10518</v>
      </c>
      <c r="B10519">
        <f>TEXT(10518, "[$-170000]yyyy-mm-dd")</f>
        <v/>
      </c>
      <c r="C10519">
        <f>TEXT(10518, "[$-060000]yyyy-mm-dd")</f>
        <v/>
      </c>
      <c r="D10519" t="inlineStr">
        <is>
          <t>1347-05-03</t>
        </is>
      </c>
    </row>
    <row r="10520">
      <c r="A10520" s="1" t="n">
        <v>10519</v>
      </c>
      <c r="B10520">
        <f>TEXT(10519, "[$-170000]yyyy-mm-dd")</f>
        <v/>
      </c>
      <c r="C10520">
        <f>TEXT(10519, "[$-060000]yyyy-mm-dd")</f>
        <v/>
      </c>
      <c r="D10520" t="inlineStr">
        <is>
          <t>1347-05-04</t>
        </is>
      </c>
    </row>
    <row r="10521">
      <c r="A10521" s="1" t="n">
        <v>10520</v>
      </c>
      <c r="B10521">
        <f>TEXT(10520, "[$-170000]yyyy-mm-dd")</f>
        <v/>
      </c>
      <c r="C10521">
        <f>TEXT(10520, "[$-060000]yyyy-mm-dd")</f>
        <v/>
      </c>
      <c r="D10521" t="inlineStr">
        <is>
          <t>1347-05-05</t>
        </is>
      </c>
    </row>
    <row r="10522">
      <c r="A10522" s="1" t="n">
        <v>10521</v>
      </c>
      <c r="B10522">
        <f>TEXT(10521, "[$-170000]yyyy-mm-dd")</f>
        <v/>
      </c>
      <c r="C10522">
        <f>TEXT(10521, "[$-060000]yyyy-mm-dd")</f>
        <v/>
      </c>
      <c r="D10522" t="inlineStr">
        <is>
          <t>1347-05-06</t>
        </is>
      </c>
    </row>
    <row r="10523">
      <c r="A10523" s="1" t="n">
        <v>10522</v>
      </c>
      <c r="B10523">
        <f>TEXT(10522, "[$-170000]yyyy-mm-dd")</f>
        <v/>
      </c>
      <c r="C10523">
        <f>TEXT(10522, "[$-060000]yyyy-mm-dd")</f>
        <v/>
      </c>
      <c r="D10523" t="inlineStr">
        <is>
          <t>1347-05-07</t>
        </is>
      </c>
    </row>
    <row r="10524">
      <c r="A10524" s="1" t="n">
        <v>10523</v>
      </c>
      <c r="B10524">
        <f>TEXT(10523, "[$-170000]yyyy-mm-dd")</f>
        <v/>
      </c>
      <c r="C10524">
        <f>TEXT(10523, "[$-060000]yyyy-mm-dd")</f>
        <v/>
      </c>
      <c r="D10524" t="inlineStr">
        <is>
          <t>1347-05-08</t>
        </is>
      </c>
    </row>
    <row r="10525">
      <c r="A10525" s="1" t="n">
        <v>10524</v>
      </c>
      <c r="B10525">
        <f>TEXT(10524, "[$-170000]yyyy-mm-dd")</f>
        <v/>
      </c>
      <c r="C10525">
        <f>TEXT(10524, "[$-060000]yyyy-mm-dd")</f>
        <v/>
      </c>
      <c r="D10525" t="inlineStr">
        <is>
          <t>1347-05-09</t>
        </is>
      </c>
    </row>
    <row r="10526">
      <c r="A10526" s="1" t="n">
        <v>10525</v>
      </c>
      <c r="B10526">
        <f>TEXT(10525, "[$-170000]yyyy-mm-dd")</f>
        <v/>
      </c>
      <c r="C10526">
        <f>TEXT(10525, "[$-060000]yyyy-mm-dd")</f>
        <v/>
      </c>
      <c r="D10526" t="inlineStr">
        <is>
          <t>1347-05-10</t>
        </is>
      </c>
    </row>
    <row r="10527">
      <c r="A10527" s="1" t="n">
        <v>10526</v>
      </c>
      <c r="B10527">
        <f>TEXT(10526, "[$-170000]yyyy-mm-dd")</f>
        <v/>
      </c>
      <c r="C10527">
        <f>TEXT(10526, "[$-060000]yyyy-mm-dd")</f>
        <v/>
      </c>
      <c r="D10527" t="inlineStr">
        <is>
          <t>1347-05-11</t>
        </is>
      </c>
    </row>
    <row r="10528">
      <c r="A10528" s="1" t="n">
        <v>10527</v>
      </c>
      <c r="B10528">
        <f>TEXT(10527, "[$-170000]yyyy-mm-dd")</f>
        <v/>
      </c>
      <c r="C10528">
        <f>TEXT(10527, "[$-060000]yyyy-mm-dd")</f>
        <v/>
      </c>
      <c r="D10528" t="inlineStr">
        <is>
          <t>1347-05-12</t>
        </is>
      </c>
    </row>
    <row r="10529">
      <c r="A10529" s="1" t="n">
        <v>10528</v>
      </c>
      <c r="B10529">
        <f>TEXT(10528, "[$-170000]yyyy-mm-dd")</f>
        <v/>
      </c>
      <c r="C10529">
        <f>TEXT(10528, "[$-060000]yyyy-mm-dd")</f>
        <v/>
      </c>
      <c r="D10529" t="inlineStr">
        <is>
          <t>1347-05-13</t>
        </is>
      </c>
    </row>
    <row r="10530">
      <c r="A10530" s="1" t="n">
        <v>10529</v>
      </c>
      <c r="B10530">
        <f>TEXT(10529, "[$-170000]yyyy-mm-dd")</f>
        <v/>
      </c>
      <c r="C10530">
        <f>TEXT(10529, "[$-060000]yyyy-mm-dd")</f>
        <v/>
      </c>
      <c r="D10530" t="inlineStr">
        <is>
          <t>1347-05-14</t>
        </is>
      </c>
    </row>
    <row r="10531">
      <c r="A10531" s="1" t="n">
        <v>10530</v>
      </c>
      <c r="B10531">
        <f>TEXT(10530, "[$-170000]yyyy-mm-dd")</f>
        <v/>
      </c>
      <c r="C10531">
        <f>TEXT(10530, "[$-060000]yyyy-mm-dd")</f>
        <v/>
      </c>
      <c r="D10531" t="inlineStr">
        <is>
          <t>1347-05-15</t>
        </is>
      </c>
    </row>
    <row r="10532">
      <c r="A10532" s="1" t="n">
        <v>10531</v>
      </c>
      <c r="B10532">
        <f>TEXT(10531, "[$-170000]yyyy-mm-dd")</f>
        <v/>
      </c>
      <c r="C10532">
        <f>TEXT(10531, "[$-060000]yyyy-mm-dd")</f>
        <v/>
      </c>
      <c r="D10532" t="inlineStr">
        <is>
          <t>1347-05-16</t>
        </is>
      </c>
    </row>
    <row r="10533">
      <c r="A10533" s="1" t="n">
        <v>10532</v>
      </c>
      <c r="B10533">
        <f>TEXT(10532, "[$-170000]yyyy-mm-dd")</f>
        <v/>
      </c>
      <c r="C10533">
        <f>TEXT(10532, "[$-060000]yyyy-mm-dd")</f>
        <v/>
      </c>
      <c r="D10533" t="inlineStr">
        <is>
          <t>1347-05-17</t>
        </is>
      </c>
    </row>
    <row r="10534">
      <c r="A10534" s="1" t="n">
        <v>10533</v>
      </c>
      <c r="B10534">
        <f>TEXT(10533, "[$-170000]yyyy-mm-dd")</f>
        <v/>
      </c>
      <c r="C10534">
        <f>TEXT(10533, "[$-060000]yyyy-mm-dd")</f>
        <v/>
      </c>
      <c r="D10534" t="inlineStr">
        <is>
          <t>1347-05-18</t>
        </is>
      </c>
    </row>
    <row r="10535">
      <c r="A10535" s="1" t="n">
        <v>10534</v>
      </c>
      <c r="B10535">
        <f>TEXT(10534, "[$-170000]yyyy-mm-dd")</f>
        <v/>
      </c>
      <c r="C10535">
        <f>TEXT(10534, "[$-060000]yyyy-mm-dd")</f>
        <v/>
      </c>
      <c r="D10535" t="inlineStr">
        <is>
          <t>1347-05-19</t>
        </is>
      </c>
    </row>
    <row r="10536">
      <c r="A10536" s="1" t="n">
        <v>10535</v>
      </c>
      <c r="B10536">
        <f>TEXT(10535, "[$-170000]yyyy-mm-dd")</f>
        <v/>
      </c>
      <c r="C10536">
        <f>TEXT(10535, "[$-060000]yyyy-mm-dd")</f>
        <v/>
      </c>
      <c r="D10536" t="inlineStr">
        <is>
          <t>1347-05-20</t>
        </is>
      </c>
    </row>
    <row r="10537">
      <c r="A10537" s="1" t="n">
        <v>10536</v>
      </c>
      <c r="B10537">
        <f>TEXT(10536, "[$-170000]yyyy-mm-dd")</f>
        <v/>
      </c>
      <c r="C10537">
        <f>TEXT(10536, "[$-060000]yyyy-mm-dd")</f>
        <v/>
      </c>
      <c r="D10537" t="inlineStr">
        <is>
          <t>1347-05-21</t>
        </is>
      </c>
    </row>
    <row r="10538">
      <c r="A10538" s="1" t="n">
        <v>10537</v>
      </c>
      <c r="B10538">
        <f>TEXT(10537, "[$-170000]yyyy-mm-dd")</f>
        <v/>
      </c>
      <c r="C10538">
        <f>TEXT(10537, "[$-060000]yyyy-mm-dd")</f>
        <v/>
      </c>
      <c r="D10538" t="inlineStr">
        <is>
          <t>1347-05-22</t>
        </is>
      </c>
    </row>
    <row r="10539">
      <c r="A10539" s="1" t="n">
        <v>10538</v>
      </c>
      <c r="B10539">
        <f>TEXT(10538, "[$-170000]yyyy-mm-dd")</f>
        <v/>
      </c>
      <c r="C10539">
        <f>TEXT(10538, "[$-060000]yyyy-mm-dd")</f>
        <v/>
      </c>
      <c r="D10539" t="inlineStr">
        <is>
          <t>1347-05-23</t>
        </is>
      </c>
    </row>
    <row r="10540">
      <c r="A10540" s="1" t="n">
        <v>10539</v>
      </c>
      <c r="B10540">
        <f>TEXT(10539, "[$-170000]yyyy-mm-dd")</f>
        <v/>
      </c>
      <c r="C10540">
        <f>TEXT(10539, "[$-060000]yyyy-mm-dd")</f>
        <v/>
      </c>
      <c r="D10540" t="inlineStr">
        <is>
          <t>1347-05-24</t>
        </is>
      </c>
    </row>
    <row r="10541">
      <c r="A10541" s="1" t="n">
        <v>10540</v>
      </c>
      <c r="B10541">
        <f>TEXT(10540, "[$-170000]yyyy-mm-dd")</f>
        <v/>
      </c>
      <c r="C10541">
        <f>TEXT(10540, "[$-060000]yyyy-mm-dd")</f>
        <v/>
      </c>
      <c r="D10541" t="inlineStr">
        <is>
          <t>1347-05-25</t>
        </is>
      </c>
    </row>
    <row r="10542">
      <c r="A10542" s="1" t="n">
        <v>10541</v>
      </c>
      <c r="B10542">
        <f>TEXT(10541, "[$-170000]yyyy-mm-dd")</f>
        <v/>
      </c>
      <c r="C10542">
        <f>TEXT(10541, "[$-060000]yyyy-mm-dd")</f>
        <v/>
      </c>
      <c r="D10542" t="inlineStr">
        <is>
          <t>1347-05-26</t>
        </is>
      </c>
    </row>
    <row r="10543">
      <c r="A10543" s="1" t="n">
        <v>10542</v>
      </c>
      <c r="B10543">
        <f>TEXT(10542, "[$-170000]yyyy-mm-dd")</f>
        <v/>
      </c>
      <c r="C10543">
        <f>TEXT(10542, "[$-060000]yyyy-mm-dd")</f>
        <v/>
      </c>
      <c r="D10543" t="inlineStr">
        <is>
          <t>1347-05-27</t>
        </is>
      </c>
    </row>
    <row r="10544">
      <c r="A10544" s="1" t="n">
        <v>10543</v>
      </c>
      <c r="B10544">
        <f>TEXT(10543, "[$-170000]yyyy-mm-dd")</f>
        <v/>
      </c>
      <c r="C10544">
        <f>TEXT(10543, "[$-060000]yyyy-mm-dd")</f>
        <v/>
      </c>
      <c r="D10544" t="inlineStr">
        <is>
          <t>1347-05-28</t>
        </is>
      </c>
    </row>
    <row r="10545">
      <c r="A10545" s="1" t="n">
        <v>10544</v>
      </c>
      <c r="B10545">
        <f>TEXT(10544, "[$-170000]yyyy-mm-dd")</f>
        <v/>
      </c>
      <c r="C10545">
        <f>TEXT(10544, "[$-060000]yyyy-mm-dd")</f>
        <v/>
      </c>
      <c r="D10545" t="inlineStr">
        <is>
          <t>1347-05-29</t>
        </is>
      </c>
    </row>
    <row r="10546">
      <c r="A10546" s="1" t="n">
        <v>10545</v>
      </c>
      <c r="B10546">
        <f>TEXT(10545, "[$-170000]yyyy-mm-dd")</f>
        <v/>
      </c>
      <c r="C10546">
        <f>TEXT(10545, "[$-060000]yyyy-mm-dd")</f>
        <v/>
      </c>
      <c r="D10546" t="inlineStr">
        <is>
          <t>1347-05-30</t>
        </is>
      </c>
    </row>
    <row r="10547">
      <c r="A10547" s="1" t="n">
        <v>10546</v>
      </c>
      <c r="B10547">
        <f>TEXT(10546, "[$-170000]yyyy-mm-dd")</f>
        <v/>
      </c>
      <c r="C10547">
        <f>TEXT(10546, "[$-060000]yyyy-mm-dd")</f>
        <v/>
      </c>
      <c r="D10547" t="inlineStr">
        <is>
          <t>1347-06-01</t>
        </is>
      </c>
    </row>
    <row r="10548">
      <c r="A10548" s="1" t="n">
        <v>10547</v>
      </c>
      <c r="B10548">
        <f>TEXT(10547, "[$-170000]yyyy-mm-dd")</f>
        <v/>
      </c>
      <c r="C10548">
        <f>TEXT(10547, "[$-060000]yyyy-mm-dd")</f>
        <v/>
      </c>
      <c r="D10548" t="inlineStr">
        <is>
          <t>1347-06-02</t>
        </is>
      </c>
    </row>
    <row r="10549">
      <c r="A10549" s="1" t="n">
        <v>10548</v>
      </c>
      <c r="B10549">
        <f>TEXT(10548, "[$-170000]yyyy-mm-dd")</f>
        <v/>
      </c>
      <c r="C10549">
        <f>TEXT(10548, "[$-060000]yyyy-mm-dd")</f>
        <v/>
      </c>
      <c r="D10549" t="inlineStr">
        <is>
          <t>1347-06-03</t>
        </is>
      </c>
    </row>
    <row r="10550">
      <c r="A10550" s="1" t="n">
        <v>10549</v>
      </c>
      <c r="B10550">
        <f>TEXT(10549, "[$-170000]yyyy-mm-dd")</f>
        <v/>
      </c>
      <c r="C10550">
        <f>TEXT(10549, "[$-060000]yyyy-mm-dd")</f>
        <v/>
      </c>
      <c r="D10550" t="inlineStr">
        <is>
          <t>1347-06-04</t>
        </is>
      </c>
    </row>
    <row r="10551">
      <c r="A10551" s="1" t="n">
        <v>10550</v>
      </c>
      <c r="B10551">
        <f>TEXT(10550, "[$-170000]yyyy-mm-dd")</f>
        <v/>
      </c>
      <c r="C10551">
        <f>TEXT(10550, "[$-060000]yyyy-mm-dd")</f>
        <v/>
      </c>
      <c r="D10551" t="inlineStr">
        <is>
          <t>1347-06-05</t>
        </is>
      </c>
    </row>
    <row r="10552">
      <c r="A10552" s="1" t="n">
        <v>10551</v>
      </c>
      <c r="B10552">
        <f>TEXT(10551, "[$-170000]yyyy-mm-dd")</f>
        <v/>
      </c>
      <c r="C10552">
        <f>TEXT(10551, "[$-060000]yyyy-mm-dd")</f>
        <v/>
      </c>
      <c r="D10552" t="inlineStr">
        <is>
          <t>1347-06-06</t>
        </is>
      </c>
    </row>
    <row r="10553">
      <c r="A10553" s="1" t="n">
        <v>10552</v>
      </c>
      <c r="B10553">
        <f>TEXT(10552, "[$-170000]yyyy-mm-dd")</f>
        <v/>
      </c>
      <c r="C10553">
        <f>TEXT(10552, "[$-060000]yyyy-mm-dd")</f>
        <v/>
      </c>
      <c r="D10553" t="inlineStr">
        <is>
          <t>1347-06-07</t>
        </is>
      </c>
    </row>
    <row r="10554">
      <c r="A10554" s="1" t="n">
        <v>10553</v>
      </c>
      <c r="B10554">
        <f>TEXT(10553, "[$-170000]yyyy-mm-dd")</f>
        <v/>
      </c>
      <c r="C10554">
        <f>TEXT(10553, "[$-060000]yyyy-mm-dd")</f>
        <v/>
      </c>
      <c r="D10554" t="inlineStr">
        <is>
          <t>1347-06-08</t>
        </is>
      </c>
    </row>
    <row r="10555">
      <c r="A10555" s="1" t="n">
        <v>10554</v>
      </c>
      <c r="B10555">
        <f>TEXT(10554, "[$-170000]yyyy-mm-dd")</f>
        <v/>
      </c>
      <c r="C10555">
        <f>TEXT(10554, "[$-060000]yyyy-mm-dd")</f>
        <v/>
      </c>
      <c r="D10555" t="inlineStr">
        <is>
          <t>1347-06-09</t>
        </is>
      </c>
    </row>
    <row r="10556">
      <c r="A10556" s="1" t="n">
        <v>10555</v>
      </c>
      <c r="B10556">
        <f>TEXT(10555, "[$-170000]yyyy-mm-dd")</f>
        <v/>
      </c>
      <c r="C10556">
        <f>TEXT(10555, "[$-060000]yyyy-mm-dd")</f>
        <v/>
      </c>
      <c r="D10556" t="inlineStr">
        <is>
          <t>1347-06-10</t>
        </is>
      </c>
    </row>
    <row r="10557">
      <c r="A10557" s="1" t="n">
        <v>10556</v>
      </c>
      <c r="B10557">
        <f>TEXT(10556, "[$-170000]yyyy-mm-dd")</f>
        <v/>
      </c>
      <c r="C10557">
        <f>TEXT(10556, "[$-060000]yyyy-mm-dd")</f>
        <v/>
      </c>
      <c r="D10557" t="inlineStr">
        <is>
          <t>1347-06-11</t>
        </is>
      </c>
    </row>
    <row r="10558">
      <c r="A10558" s="1" t="n">
        <v>10557</v>
      </c>
      <c r="B10558">
        <f>TEXT(10557, "[$-170000]yyyy-mm-dd")</f>
        <v/>
      </c>
      <c r="C10558">
        <f>TEXT(10557, "[$-060000]yyyy-mm-dd")</f>
        <v/>
      </c>
      <c r="D10558" t="inlineStr">
        <is>
          <t>1347-06-12</t>
        </is>
      </c>
    </row>
    <row r="10559">
      <c r="A10559" s="1" t="n">
        <v>10558</v>
      </c>
      <c r="B10559">
        <f>TEXT(10558, "[$-170000]yyyy-mm-dd")</f>
        <v/>
      </c>
      <c r="C10559">
        <f>TEXT(10558, "[$-060000]yyyy-mm-dd")</f>
        <v/>
      </c>
      <c r="D10559" t="inlineStr">
        <is>
          <t>1347-06-13</t>
        </is>
      </c>
    </row>
    <row r="10560">
      <c r="A10560" s="1" t="n">
        <v>10559</v>
      </c>
      <c r="B10560">
        <f>TEXT(10559, "[$-170000]yyyy-mm-dd")</f>
        <v/>
      </c>
      <c r="C10560">
        <f>TEXT(10559, "[$-060000]yyyy-mm-dd")</f>
        <v/>
      </c>
      <c r="D10560" t="inlineStr">
        <is>
          <t>1347-06-14</t>
        </is>
      </c>
    </row>
    <row r="10561">
      <c r="A10561" s="1" t="n">
        <v>10560</v>
      </c>
      <c r="B10561">
        <f>TEXT(10560, "[$-170000]yyyy-mm-dd")</f>
        <v/>
      </c>
      <c r="C10561">
        <f>TEXT(10560, "[$-060000]yyyy-mm-dd")</f>
        <v/>
      </c>
      <c r="D10561" t="inlineStr">
        <is>
          <t>1347-06-15</t>
        </is>
      </c>
    </row>
    <row r="10562">
      <c r="A10562" s="1" t="n">
        <v>10561</v>
      </c>
      <c r="B10562">
        <f>TEXT(10561, "[$-170000]yyyy-mm-dd")</f>
        <v/>
      </c>
      <c r="C10562">
        <f>TEXT(10561, "[$-060000]yyyy-mm-dd")</f>
        <v/>
      </c>
      <c r="D10562" t="inlineStr">
        <is>
          <t>1347-06-16</t>
        </is>
      </c>
    </row>
    <row r="10563">
      <c r="A10563" s="1" t="n">
        <v>10562</v>
      </c>
      <c r="B10563">
        <f>TEXT(10562, "[$-170000]yyyy-mm-dd")</f>
        <v/>
      </c>
      <c r="C10563">
        <f>TEXT(10562, "[$-060000]yyyy-mm-dd")</f>
        <v/>
      </c>
      <c r="D10563" t="inlineStr">
        <is>
          <t>1347-06-17</t>
        </is>
      </c>
    </row>
    <row r="10564">
      <c r="A10564" s="1" t="n">
        <v>10563</v>
      </c>
      <c r="B10564">
        <f>TEXT(10563, "[$-170000]yyyy-mm-dd")</f>
        <v/>
      </c>
      <c r="C10564">
        <f>TEXT(10563, "[$-060000]yyyy-mm-dd")</f>
        <v/>
      </c>
      <c r="D10564" t="inlineStr">
        <is>
          <t>1347-06-18</t>
        </is>
      </c>
    </row>
    <row r="10565">
      <c r="A10565" s="1" t="n">
        <v>10564</v>
      </c>
      <c r="B10565">
        <f>TEXT(10564, "[$-170000]yyyy-mm-dd")</f>
        <v/>
      </c>
      <c r="C10565">
        <f>TEXT(10564, "[$-060000]yyyy-mm-dd")</f>
        <v/>
      </c>
      <c r="D10565" t="inlineStr">
        <is>
          <t>1347-06-19</t>
        </is>
      </c>
    </row>
    <row r="10566">
      <c r="A10566" s="1" t="n">
        <v>10565</v>
      </c>
      <c r="B10566">
        <f>TEXT(10565, "[$-170000]yyyy-mm-dd")</f>
        <v/>
      </c>
      <c r="C10566">
        <f>TEXT(10565, "[$-060000]yyyy-mm-dd")</f>
        <v/>
      </c>
      <c r="D10566" t="inlineStr">
        <is>
          <t>1347-06-20</t>
        </is>
      </c>
    </row>
    <row r="10567">
      <c r="A10567" s="1" t="n">
        <v>10566</v>
      </c>
      <c r="B10567">
        <f>TEXT(10566, "[$-170000]yyyy-mm-dd")</f>
        <v/>
      </c>
      <c r="C10567">
        <f>TEXT(10566, "[$-060000]yyyy-mm-dd")</f>
        <v/>
      </c>
      <c r="D10567" t="inlineStr">
        <is>
          <t>1347-06-21</t>
        </is>
      </c>
    </row>
    <row r="10568">
      <c r="A10568" s="1" t="n">
        <v>10567</v>
      </c>
      <c r="B10568">
        <f>TEXT(10567, "[$-170000]yyyy-mm-dd")</f>
        <v/>
      </c>
      <c r="C10568">
        <f>TEXT(10567, "[$-060000]yyyy-mm-dd")</f>
        <v/>
      </c>
      <c r="D10568" t="inlineStr">
        <is>
          <t>1347-06-22</t>
        </is>
      </c>
    </row>
    <row r="10569">
      <c r="A10569" s="1" t="n">
        <v>10568</v>
      </c>
      <c r="B10569">
        <f>TEXT(10568, "[$-170000]yyyy-mm-dd")</f>
        <v/>
      </c>
      <c r="C10569">
        <f>TEXT(10568, "[$-060000]yyyy-mm-dd")</f>
        <v/>
      </c>
      <c r="D10569" t="inlineStr">
        <is>
          <t>1347-06-23</t>
        </is>
      </c>
    </row>
    <row r="10570">
      <c r="A10570" s="1" t="n">
        <v>10569</v>
      </c>
      <c r="B10570">
        <f>TEXT(10569, "[$-170000]yyyy-mm-dd")</f>
        <v/>
      </c>
      <c r="C10570">
        <f>TEXT(10569, "[$-060000]yyyy-mm-dd")</f>
        <v/>
      </c>
      <c r="D10570" t="inlineStr">
        <is>
          <t>1347-06-24</t>
        </is>
      </c>
    </row>
    <row r="10571">
      <c r="A10571" s="1" t="n">
        <v>10570</v>
      </c>
      <c r="B10571">
        <f>TEXT(10570, "[$-170000]yyyy-mm-dd")</f>
        <v/>
      </c>
      <c r="C10571">
        <f>TEXT(10570, "[$-060000]yyyy-mm-dd")</f>
        <v/>
      </c>
      <c r="D10571" t="inlineStr">
        <is>
          <t>1347-06-25</t>
        </is>
      </c>
    </row>
    <row r="10572">
      <c r="A10572" s="1" t="n">
        <v>10571</v>
      </c>
      <c r="B10572">
        <f>TEXT(10571, "[$-170000]yyyy-mm-dd")</f>
        <v/>
      </c>
      <c r="C10572">
        <f>TEXT(10571, "[$-060000]yyyy-mm-dd")</f>
        <v/>
      </c>
      <c r="D10572" t="inlineStr">
        <is>
          <t>1347-06-26</t>
        </is>
      </c>
    </row>
    <row r="10573">
      <c r="A10573" s="1" t="n">
        <v>10572</v>
      </c>
      <c r="B10573">
        <f>TEXT(10572, "[$-170000]yyyy-mm-dd")</f>
        <v/>
      </c>
      <c r="C10573">
        <f>TEXT(10572, "[$-060000]yyyy-mm-dd")</f>
        <v/>
      </c>
      <c r="D10573" t="inlineStr">
        <is>
          <t>1347-06-27</t>
        </is>
      </c>
    </row>
    <row r="10574">
      <c r="A10574" s="1" t="n">
        <v>10573</v>
      </c>
      <c r="B10574">
        <f>TEXT(10573, "[$-170000]yyyy-mm-dd")</f>
        <v/>
      </c>
      <c r="C10574">
        <f>TEXT(10573, "[$-060000]yyyy-mm-dd")</f>
        <v/>
      </c>
      <c r="D10574" t="inlineStr">
        <is>
          <t>1347-06-28</t>
        </is>
      </c>
    </row>
    <row r="10575">
      <c r="A10575" s="1" t="n">
        <v>10574</v>
      </c>
      <c r="B10575">
        <f>TEXT(10574, "[$-170000]yyyy-mm-dd")</f>
        <v/>
      </c>
      <c r="C10575">
        <f>TEXT(10574, "[$-060000]yyyy-mm-dd")</f>
        <v/>
      </c>
      <c r="D10575" t="inlineStr">
        <is>
          <t>1347-06-29</t>
        </is>
      </c>
    </row>
    <row r="10576">
      <c r="A10576" s="1" t="n">
        <v>10575</v>
      </c>
      <c r="B10576">
        <f>TEXT(10575, "[$-170000]yyyy-mm-dd")</f>
        <v/>
      </c>
      <c r="C10576">
        <f>TEXT(10575, "[$-060000]yyyy-mm-dd")</f>
        <v/>
      </c>
      <c r="D10576" t="inlineStr">
        <is>
          <t>1347-07-01</t>
        </is>
      </c>
    </row>
    <row r="10577">
      <c r="A10577" s="1" t="n">
        <v>10576</v>
      </c>
      <c r="B10577">
        <f>TEXT(10576, "[$-170000]yyyy-mm-dd")</f>
        <v/>
      </c>
      <c r="C10577">
        <f>TEXT(10576, "[$-060000]yyyy-mm-dd")</f>
        <v/>
      </c>
      <c r="D10577" t="inlineStr">
        <is>
          <t>1347-07-02</t>
        </is>
      </c>
    </row>
    <row r="10578">
      <c r="A10578" s="1" t="n">
        <v>10577</v>
      </c>
      <c r="B10578">
        <f>TEXT(10577, "[$-170000]yyyy-mm-dd")</f>
        <v/>
      </c>
      <c r="C10578">
        <f>TEXT(10577, "[$-060000]yyyy-mm-dd")</f>
        <v/>
      </c>
      <c r="D10578" t="inlineStr">
        <is>
          <t>1347-07-03</t>
        </is>
      </c>
    </row>
    <row r="10579">
      <c r="A10579" s="1" t="n">
        <v>10578</v>
      </c>
      <c r="B10579">
        <f>TEXT(10578, "[$-170000]yyyy-mm-dd")</f>
        <v/>
      </c>
      <c r="C10579">
        <f>TEXT(10578, "[$-060000]yyyy-mm-dd")</f>
        <v/>
      </c>
      <c r="D10579" t="inlineStr">
        <is>
          <t>1347-07-04</t>
        </is>
      </c>
    </row>
    <row r="10580">
      <c r="A10580" s="1" t="n">
        <v>10579</v>
      </c>
      <c r="B10580">
        <f>TEXT(10579, "[$-170000]yyyy-mm-dd")</f>
        <v/>
      </c>
      <c r="C10580">
        <f>TEXT(10579, "[$-060000]yyyy-mm-dd")</f>
        <v/>
      </c>
      <c r="D10580" t="inlineStr">
        <is>
          <t>1347-07-05</t>
        </is>
      </c>
    </row>
    <row r="10581">
      <c r="A10581" s="1" t="n">
        <v>10580</v>
      </c>
      <c r="B10581">
        <f>TEXT(10580, "[$-170000]yyyy-mm-dd")</f>
        <v/>
      </c>
      <c r="C10581">
        <f>TEXT(10580, "[$-060000]yyyy-mm-dd")</f>
        <v/>
      </c>
      <c r="D10581" t="inlineStr">
        <is>
          <t>1347-07-06</t>
        </is>
      </c>
    </row>
    <row r="10582">
      <c r="A10582" s="1" t="n">
        <v>10581</v>
      </c>
      <c r="B10582">
        <f>TEXT(10581, "[$-170000]yyyy-mm-dd")</f>
        <v/>
      </c>
      <c r="C10582">
        <f>TEXT(10581, "[$-060000]yyyy-mm-dd")</f>
        <v/>
      </c>
      <c r="D10582" t="inlineStr">
        <is>
          <t>1347-07-07</t>
        </is>
      </c>
    </row>
    <row r="10583">
      <c r="A10583" s="1" t="n">
        <v>10582</v>
      </c>
      <c r="B10583">
        <f>TEXT(10582, "[$-170000]yyyy-mm-dd")</f>
        <v/>
      </c>
      <c r="C10583">
        <f>TEXT(10582, "[$-060000]yyyy-mm-dd")</f>
        <v/>
      </c>
      <c r="D10583" t="inlineStr">
        <is>
          <t>1347-07-08</t>
        </is>
      </c>
    </row>
    <row r="10584">
      <c r="A10584" s="1" t="n">
        <v>10583</v>
      </c>
      <c r="B10584">
        <f>TEXT(10583, "[$-170000]yyyy-mm-dd")</f>
        <v/>
      </c>
      <c r="C10584">
        <f>TEXT(10583, "[$-060000]yyyy-mm-dd")</f>
        <v/>
      </c>
      <c r="D10584" t="inlineStr">
        <is>
          <t>1347-07-09</t>
        </is>
      </c>
    </row>
    <row r="10585">
      <c r="A10585" s="1" t="n">
        <v>10584</v>
      </c>
      <c r="B10585">
        <f>TEXT(10584, "[$-170000]yyyy-mm-dd")</f>
        <v/>
      </c>
      <c r="C10585">
        <f>TEXT(10584, "[$-060000]yyyy-mm-dd")</f>
        <v/>
      </c>
      <c r="D10585" t="inlineStr">
        <is>
          <t>1347-07-10</t>
        </is>
      </c>
    </row>
    <row r="10586">
      <c r="A10586" s="1" t="n">
        <v>10585</v>
      </c>
      <c r="B10586">
        <f>TEXT(10585, "[$-170000]yyyy-mm-dd")</f>
        <v/>
      </c>
      <c r="C10586">
        <f>TEXT(10585, "[$-060000]yyyy-mm-dd")</f>
        <v/>
      </c>
      <c r="D10586" t="inlineStr">
        <is>
          <t>1347-07-11</t>
        </is>
      </c>
    </row>
    <row r="10587">
      <c r="A10587" s="1" t="n">
        <v>10586</v>
      </c>
      <c r="B10587">
        <f>TEXT(10586, "[$-170000]yyyy-mm-dd")</f>
        <v/>
      </c>
      <c r="C10587">
        <f>TEXT(10586, "[$-060000]yyyy-mm-dd")</f>
        <v/>
      </c>
      <c r="D10587" t="inlineStr">
        <is>
          <t>1347-07-12</t>
        </is>
      </c>
    </row>
    <row r="10588">
      <c r="A10588" s="1" t="n">
        <v>10587</v>
      </c>
      <c r="B10588">
        <f>TEXT(10587, "[$-170000]yyyy-mm-dd")</f>
        <v/>
      </c>
      <c r="C10588">
        <f>TEXT(10587, "[$-060000]yyyy-mm-dd")</f>
        <v/>
      </c>
      <c r="D10588" t="inlineStr">
        <is>
          <t>1347-07-13</t>
        </is>
      </c>
    </row>
    <row r="10589">
      <c r="A10589" s="1" t="n">
        <v>10588</v>
      </c>
      <c r="B10589">
        <f>TEXT(10588, "[$-170000]yyyy-mm-dd")</f>
        <v/>
      </c>
      <c r="C10589">
        <f>TEXT(10588, "[$-060000]yyyy-mm-dd")</f>
        <v/>
      </c>
      <c r="D10589" t="inlineStr">
        <is>
          <t>1347-07-14</t>
        </is>
      </c>
    </row>
    <row r="10590">
      <c r="A10590" s="1" t="n">
        <v>10589</v>
      </c>
      <c r="B10590">
        <f>TEXT(10589, "[$-170000]yyyy-mm-dd")</f>
        <v/>
      </c>
      <c r="C10590">
        <f>TEXT(10589, "[$-060000]yyyy-mm-dd")</f>
        <v/>
      </c>
      <c r="D10590" t="inlineStr">
        <is>
          <t>1347-07-15</t>
        </is>
      </c>
    </row>
    <row r="10591">
      <c r="A10591" s="1" t="n">
        <v>10590</v>
      </c>
      <c r="B10591">
        <f>TEXT(10590, "[$-170000]yyyy-mm-dd")</f>
        <v/>
      </c>
      <c r="C10591">
        <f>TEXT(10590, "[$-060000]yyyy-mm-dd")</f>
        <v/>
      </c>
      <c r="D10591" t="inlineStr">
        <is>
          <t>1347-07-16</t>
        </is>
      </c>
    </row>
    <row r="10592">
      <c r="A10592" s="1" t="n">
        <v>10591</v>
      </c>
      <c r="B10592">
        <f>TEXT(10591, "[$-170000]yyyy-mm-dd")</f>
        <v/>
      </c>
      <c r="C10592">
        <f>TEXT(10591, "[$-060000]yyyy-mm-dd")</f>
        <v/>
      </c>
      <c r="D10592" t="inlineStr">
        <is>
          <t>1347-07-17</t>
        </is>
      </c>
    </row>
    <row r="10593">
      <c r="A10593" s="1" t="n">
        <v>10592</v>
      </c>
      <c r="B10593">
        <f>TEXT(10592, "[$-170000]yyyy-mm-dd")</f>
        <v/>
      </c>
      <c r="C10593">
        <f>TEXT(10592, "[$-060000]yyyy-mm-dd")</f>
        <v/>
      </c>
      <c r="D10593" t="inlineStr">
        <is>
          <t>1347-07-18</t>
        </is>
      </c>
    </row>
    <row r="10594">
      <c r="A10594" s="1" t="n">
        <v>10593</v>
      </c>
      <c r="B10594">
        <f>TEXT(10593, "[$-170000]yyyy-mm-dd")</f>
        <v/>
      </c>
      <c r="C10594">
        <f>TEXT(10593, "[$-060000]yyyy-mm-dd")</f>
        <v/>
      </c>
      <c r="D10594" t="inlineStr">
        <is>
          <t>1347-07-19</t>
        </is>
      </c>
    </row>
    <row r="10595">
      <c r="A10595" s="1" t="n">
        <v>10594</v>
      </c>
      <c r="B10595">
        <f>TEXT(10594, "[$-170000]yyyy-mm-dd")</f>
        <v/>
      </c>
      <c r="C10595">
        <f>TEXT(10594, "[$-060000]yyyy-mm-dd")</f>
        <v/>
      </c>
      <c r="D10595" t="inlineStr">
        <is>
          <t>1347-07-20</t>
        </is>
      </c>
    </row>
    <row r="10596">
      <c r="A10596" s="1" t="n">
        <v>10595</v>
      </c>
      <c r="B10596">
        <f>TEXT(10595, "[$-170000]yyyy-mm-dd")</f>
        <v/>
      </c>
      <c r="C10596">
        <f>TEXT(10595, "[$-060000]yyyy-mm-dd")</f>
        <v/>
      </c>
      <c r="D10596" t="inlineStr">
        <is>
          <t>1347-07-21</t>
        </is>
      </c>
    </row>
    <row r="10597">
      <c r="A10597" s="1" t="n">
        <v>10596</v>
      </c>
      <c r="B10597">
        <f>TEXT(10596, "[$-170000]yyyy-mm-dd")</f>
        <v/>
      </c>
      <c r="C10597">
        <f>TEXT(10596, "[$-060000]yyyy-mm-dd")</f>
        <v/>
      </c>
      <c r="D10597" t="inlineStr">
        <is>
          <t>1347-07-22</t>
        </is>
      </c>
    </row>
    <row r="10598">
      <c r="A10598" s="1" t="n">
        <v>10597</v>
      </c>
      <c r="B10598">
        <f>TEXT(10597, "[$-170000]yyyy-mm-dd")</f>
        <v/>
      </c>
      <c r="C10598">
        <f>TEXT(10597, "[$-060000]yyyy-mm-dd")</f>
        <v/>
      </c>
      <c r="D10598" t="inlineStr">
        <is>
          <t>1347-07-23</t>
        </is>
      </c>
    </row>
    <row r="10599">
      <c r="A10599" s="1" t="n">
        <v>10598</v>
      </c>
      <c r="B10599">
        <f>TEXT(10598, "[$-170000]yyyy-mm-dd")</f>
        <v/>
      </c>
      <c r="C10599">
        <f>TEXT(10598, "[$-060000]yyyy-mm-dd")</f>
        <v/>
      </c>
      <c r="D10599" t="inlineStr">
        <is>
          <t>1347-07-24</t>
        </is>
      </c>
    </row>
    <row r="10600">
      <c r="A10600" s="1" t="n">
        <v>10599</v>
      </c>
      <c r="B10600">
        <f>TEXT(10599, "[$-170000]yyyy-mm-dd")</f>
        <v/>
      </c>
      <c r="C10600">
        <f>TEXT(10599, "[$-060000]yyyy-mm-dd")</f>
        <v/>
      </c>
      <c r="D10600" t="inlineStr">
        <is>
          <t>1347-07-25</t>
        </is>
      </c>
    </row>
    <row r="10601">
      <c r="A10601" s="1" t="n">
        <v>10600</v>
      </c>
      <c r="B10601">
        <f>TEXT(10600, "[$-170000]yyyy-mm-dd")</f>
        <v/>
      </c>
      <c r="C10601">
        <f>TEXT(10600, "[$-060000]yyyy-mm-dd")</f>
        <v/>
      </c>
      <c r="D10601" t="inlineStr">
        <is>
          <t>1347-07-26</t>
        </is>
      </c>
    </row>
    <row r="10602">
      <c r="A10602" s="1" t="n">
        <v>10601</v>
      </c>
      <c r="B10602">
        <f>TEXT(10601, "[$-170000]yyyy-mm-dd")</f>
        <v/>
      </c>
      <c r="C10602">
        <f>TEXT(10601, "[$-060000]yyyy-mm-dd")</f>
        <v/>
      </c>
      <c r="D10602" t="inlineStr">
        <is>
          <t>1347-07-27</t>
        </is>
      </c>
    </row>
    <row r="10603">
      <c r="A10603" s="1" t="n">
        <v>10602</v>
      </c>
      <c r="B10603">
        <f>TEXT(10602, "[$-170000]yyyy-mm-dd")</f>
        <v/>
      </c>
      <c r="C10603">
        <f>TEXT(10602, "[$-060000]yyyy-mm-dd")</f>
        <v/>
      </c>
      <c r="D10603" t="inlineStr">
        <is>
          <t>1347-07-28</t>
        </is>
      </c>
    </row>
    <row r="10604">
      <c r="A10604" s="1" t="n">
        <v>10603</v>
      </c>
      <c r="B10604">
        <f>TEXT(10603, "[$-170000]yyyy-mm-dd")</f>
        <v/>
      </c>
      <c r="C10604">
        <f>TEXT(10603, "[$-060000]yyyy-mm-dd")</f>
        <v/>
      </c>
      <c r="D10604" t="inlineStr">
        <is>
          <t>1347-07-29</t>
        </is>
      </c>
    </row>
    <row r="10605">
      <c r="A10605" s="1" t="n">
        <v>10604</v>
      </c>
      <c r="B10605">
        <f>TEXT(10604, "[$-170000]yyyy-mm-dd")</f>
        <v/>
      </c>
      <c r="C10605">
        <f>TEXT(10604, "[$-060000]yyyy-mm-dd")</f>
        <v/>
      </c>
      <c r="D10605" t="inlineStr">
        <is>
          <t>1347-07-30</t>
        </is>
      </c>
    </row>
    <row r="10606">
      <c r="A10606" s="1" t="n">
        <v>10605</v>
      </c>
      <c r="B10606">
        <f>TEXT(10605, "[$-170000]yyyy-mm-dd")</f>
        <v/>
      </c>
      <c r="C10606">
        <f>TEXT(10605, "[$-060000]yyyy-mm-dd")</f>
        <v/>
      </c>
      <c r="D10606" t="inlineStr">
        <is>
          <t>1347-08-01</t>
        </is>
      </c>
    </row>
    <row r="10607">
      <c r="A10607" s="1" t="n">
        <v>10606</v>
      </c>
      <c r="B10607">
        <f>TEXT(10606, "[$-170000]yyyy-mm-dd")</f>
        <v/>
      </c>
      <c r="C10607">
        <f>TEXT(10606, "[$-060000]yyyy-mm-dd")</f>
        <v/>
      </c>
      <c r="D10607" t="inlineStr">
        <is>
          <t>1347-08-02</t>
        </is>
      </c>
    </row>
    <row r="10608">
      <c r="A10608" s="1" t="n">
        <v>10607</v>
      </c>
      <c r="B10608">
        <f>TEXT(10607, "[$-170000]yyyy-mm-dd")</f>
        <v/>
      </c>
      <c r="C10608">
        <f>TEXT(10607, "[$-060000]yyyy-mm-dd")</f>
        <v/>
      </c>
      <c r="D10608" t="inlineStr">
        <is>
          <t>1347-08-03</t>
        </is>
      </c>
    </row>
    <row r="10609">
      <c r="A10609" s="1" t="n">
        <v>10608</v>
      </c>
      <c r="B10609">
        <f>TEXT(10608, "[$-170000]yyyy-mm-dd")</f>
        <v/>
      </c>
      <c r="C10609">
        <f>TEXT(10608, "[$-060000]yyyy-mm-dd")</f>
        <v/>
      </c>
      <c r="D10609" t="inlineStr">
        <is>
          <t>1347-08-04</t>
        </is>
      </c>
    </row>
    <row r="10610">
      <c r="A10610" s="1" t="n">
        <v>10609</v>
      </c>
      <c r="B10610">
        <f>TEXT(10609, "[$-170000]yyyy-mm-dd")</f>
        <v/>
      </c>
      <c r="C10610">
        <f>TEXT(10609, "[$-060000]yyyy-mm-dd")</f>
        <v/>
      </c>
      <c r="D10610" t="inlineStr">
        <is>
          <t>1347-08-05</t>
        </is>
      </c>
    </row>
    <row r="10611">
      <c r="A10611" s="1" t="n">
        <v>10610</v>
      </c>
      <c r="B10611">
        <f>TEXT(10610, "[$-170000]yyyy-mm-dd")</f>
        <v/>
      </c>
      <c r="C10611">
        <f>TEXT(10610, "[$-060000]yyyy-mm-dd")</f>
        <v/>
      </c>
      <c r="D10611" t="inlineStr">
        <is>
          <t>1347-08-06</t>
        </is>
      </c>
    </row>
    <row r="10612">
      <c r="A10612" s="1" t="n">
        <v>10611</v>
      </c>
      <c r="B10612">
        <f>TEXT(10611, "[$-170000]yyyy-mm-dd")</f>
        <v/>
      </c>
      <c r="C10612">
        <f>TEXT(10611, "[$-060000]yyyy-mm-dd")</f>
        <v/>
      </c>
      <c r="D10612" t="inlineStr">
        <is>
          <t>1347-08-07</t>
        </is>
      </c>
    </row>
    <row r="10613">
      <c r="A10613" s="1" t="n">
        <v>10612</v>
      </c>
      <c r="B10613">
        <f>TEXT(10612, "[$-170000]yyyy-mm-dd")</f>
        <v/>
      </c>
      <c r="C10613">
        <f>TEXT(10612, "[$-060000]yyyy-mm-dd")</f>
        <v/>
      </c>
      <c r="D10613" t="inlineStr">
        <is>
          <t>1347-08-08</t>
        </is>
      </c>
    </row>
    <row r="10614">
      <c r="A10614" s="1" t="n">
        <v>10613</v>
      </c>
      <c r="B10614">
        <f>TEXT(10613, "[$-170000]yyyy-mm-dd")</f>
        <v/>
      </c>
      <c r="C10614">
        <f>TEXT(10613, "[$-060000]yyyy-mm-dd")</f>
        <v/>
      </c>
      <c r="D10614" t="inlineStr">
        <is>
          <t>1347-08-09</t>
        </is>
      </c>
    </row>
    <row r="10615">
      <c r="A10615" s="1" t="n">
        <v>10614</v>
      </c>
      <c r="B10615">
        <f>TEXT(10614, "[$-170000]yyyy-mm-dd")</f>
        <v/>
      </c>
      <c r="C10615">
        <f>TEXT(10614, "[$-060000]yyyy-mm-dd")</f>
        <v/>
      </c>
      <c r="D10615" t="inlineStr">
        <is>
          <t>1347-08-10</t>
        </is>
      </c>
    </row>
    <row r="10616">
      <c r="A10616" s="1" t="n">
        <v>10615</v>
      </c>
      <c r="B10616">
        <f>TEXT(10615, "[$-170000]yyyy-mm-dd")</f>
        <v/>
      </c>
      <c r="C10616">
        <f>TEXT(10615, "[$-060000]yyyy-mm-dd")</f>
        <v/>
      </c>
      <c r="D10616" t="inlineStr">
        <is>
          <t>1347-08-11</t>
        </is>
      </c>
    </row>
    <row r="10617">
      <c r="A10617" s="1" t="n">
        <v>10616</v>
      </c>
      <c r="B10617">
        <f>TEXT(10616, "[$-170000]yyyy-mm-dd")</f>
        <v/>
      </c>
      <c r="C10617">
        <f>TEXT(10616, "[$-060000]yyyy-mm-dd")</f>
        <v/>
      </c>
      <c r="D10617" t="inlineStr">
        <is>
          <t>1347-08-12</t>
        </is>
      </c>
    </row>
    <row r="10618">
      <c r="A10618" s="1" t="n">
        <v>10617</v>
      </c>
      <c r="B10618">
        <f>TEXT(10617, "[$-170000]yyyy-mm-dd")</f>
        <v/>
      </c>
      <c r="C10618">
        <f>TEXT(10617, "[$-060000]yyyy-mm-dd")</f>
        <v/>
      </c>
      <c r="D10618" t="inlineStr">
        <is>
          <t>1347-08-13</t>
        </is>
      </c>
    </row>
    <row r="10619">
      <c r="A10619" s="1" t="n">
        <v>10618</v>
      </c>
      <c r="B10619">
        <f>TEXT(10618, "[$-170000]yyyy-mm-dd")</f>
        <v/>
      </c>
      <c r="C10619">
        <f>TEXT(10618, "[$-060000]yyyy-mm-dd")</f>
        <v/>
      </c>
      <c r="D10619" t="inlineStr">
        <is>
          <t>1347-08-14</t>
        </is>
      </c>
    </row>
    <row r="10620">
      <c r="A10620" s="1" t="n">
        <v>10619</v>
      </c>
      <c r="B10620">
        <f>TEXT(10619, "[$-170000]yyyy-mm-dd")</f>
        <v/>
      </c>
      <c r="C10620">
        <f>TEXT(10619, "[$-060000]yyyy-mm-dd")</f>
        <v/>
      </c>
      <c r="D10620" t="inlineStr">
        <is>
          <t>1347-08-15</t>
        </is>
      </c>
    </row>
    <row r="10621">
      <c r="A10621" s="1" t="n">
        <v>10620</v>
      </c>
      <c r="B10621">
        <f>TEXT(10620, "[$-170000]yyyy-mm-dd")</f>
        <v/>
      </c>
      <c r="C10621">
        <f>TEXT(10620, "[$-060000]yyyy-mm-dd")</f>
        <v/>
      </c>
      <c r="D10621" t="inlineStr">
        <is>
          <t>1347-08-16</t>
        </is>
      </c>
    </row>
    <row r="10622">
      <c r="A10622" s="1" t="n">
        <v>10621</v>
      </c>
      <c r="B10622">
        <f>TEXT(10621, "[$-170000]yyyy-mm-dd")</f>
        <v/>
      </c>
      <c r="C10622">
        <f>TEXT(10621, "[$-060000]yyyy-mm-dd")</f>
        <v/>
      </c>
      <c r="D10622" t="inlineStr">
        <is>
          <t>1347-08-17</t>
        </is>
      </c>
    </row>
    <row r="10623">
      <c r="A10623" s="1" t="n">
        <v>10622</v>
      </c>
      <c r="B10623">
        <f>TEXT(10622, "[$-170000]yyyy-mm-dd")</f>
        <v/>
      </c>
      <c r="C10623">
        <f>TEXT(10622, "[$-060000]yyyy-mm-dd")</f>
        <v/>
      </c>
      <c r="D10623" t="inlineStr">
        <is>
          <t>1347-08-18</t>
        </is>
      </c>
    </row>
    <row r="10624">
      <c r="A10624" s="1" t="n">
        <v>10623</v>
      </c>
      <c r="B10624">
        <f>TEXT(10623, "[$-170000]yyyy-mm-dd")</f>
        <v/>
      </c>
      <c r="C10624">
        <f>TEXT(10623, "[$-060000]yyyy-mm-dd")</f>
        <v/>
      </c>
      <c r="D10624" t="inlineStr">
        <is>
          <t>1347-08-19</t>
        </is>
      </c>
    </row>
    <row r="10625">
      <c r="A10625" s="1" t="n">
        <v>10624</v>
      </c>
      <c r="B10625">
        <f>TEXT(10624, "[$-170000]yyyy-mm-dd")</f>
        <v/>
      </c>
      <c r="C10625">
        <f>TEXT(10624, "[$-060000]yyyy-mm-dd")</f>
        <v/>
      </c>
      <c r="D10625" t="inlineStr">
        <is>
          <t>1347-08-20</t>
        </is>
      </c>
    </row>
    <row r="10626">
      <c r="A10626" s="1" t="n">
        <v>10625</v>
      </c>
      <c r="B10626">
        <f>TEXT(10625, "[$-170000]yyyy-mm-dd")</f>
        <v/>
      </c>
      <c r="C10626">
        <f>TEXT(10625, "[$-060000]yyyy-mm-dd")</f>
        <v/>
      </c>
      <c r="D10626" t="inlineStr">
        <is>
          <t>1347-08-21</t>
        </is>
      </c>
    </row>
    <row r="10627">
      <c r="A10627" s="1" t="n">
        <v>10626</v>
      </c>
      <c r="B10627">
        <f>TEXT(10626, "[$-170000]yyyy-mm-dd")</f>
        <v/>
      </c>
      <c r="C10627">
        <f>TEXT(10626, "[$-060000]yyyy-mm-dd")</f>
        <v/>
      </c>
      <c r="D10627" t="inlineStr">
        <is>
          <t>1347-08-22</t>
        </is>
      </c>
    </row>
    <row r="10628">
      <c r="A10628" s="1" t="n">
        <v>10627</v>
      </c>
      <c r="B10628">
        <f>TEXT(10627, "[$-170000]yyyy-mm-dd")</f>
        <v/>
      </c>
      <c r="C10628">
        <f>TEXT(10627, "[$-060000]yyyy-mm-dd")</f>
        <v/>
      </c>
      <c r="D10628" t="inlineStr">
        <is>
          <t>1347-08-23</t>
        </is>
      </c>
    </row>
    <row r="10629">
      <c r="A10629" s="1" t="n">
        <v>10628</v>
      </c>
      <c r="B10629">
        <f>TEXT(10628, "[$-170000]yyyy-mm-dd")</f>
        <v/>
      </c>
      <c r="C10629">
        <f>TEXT(10628, "[$-060000]yyyy-mm-dd")</f>
        <v/>
      </c>
      <c r="D10629" t="inlineStr">
        <is>
          <t>1347-08-24</t>
        </is>
      </c>
    </row>
    <row r="10630">
      <c r="A10630" s="1" t="n">
        <v>10629</v>
      </c>
      <c r="B10630">
        <f>TEXT(10629, "[$-170000]yyyy-mm-dd")</f>
        <v/>
      </c>
      <c r="C10630">
        <f>TEXT(10629, "[$-060000]yyyy-mm-dd")</f>
        <v/>
      </c>
      <c r="D10630" t="inlineStr">
        <is>
          <t>1347-08-25</t>
        </is>
      </c>
    </row>
    <row r="10631">
      <c r="A10631" s="1" t="n">
        <v>10630</v>
      </c>
      <c r="B10631">
        <f>TEXT(10630, "[$-170000]yyyy-mm-dd")</f>
        <v/>
      </c>
      <c r="C10631">
        <f>TEXT(10630, "[$-060000]yyyy-mm-dd")</f>
        <v/>
      </c>
      <c r="D10631" t="inlineStr">
        <is>
          <t>1347-08-26</t>
        </is>
      </c>
    </row>
    <row r="10632">
      <c r="A10632" s="1" t="n">
        <v>10631</v>
      </c>
      <c r="B10632">
        <f>TEXT(10631, "[$-170000]yyyy-mm-dd")</f>
        <v/>
      </c>
      <c r="C10632">
        <f>TEXT(10631, "[$-060000]yyyy-mm-dd")</f>
        <v/>
      </c>
      <c r="D10632" t="inlineStr">
        <is>
          <t>1347-08-27</t>
        </is>
      </c>
    </row>
    <row r="10633">
      <c r="A10633" s="1" t="n">
        <v>10632</v>
      </c>
      <c r="B10633">
        <f>TEXT(10632, "[$-170000]yyyy-mm-dd")</f>
        <v/>
      </c>
      <c r="C10633">
        <f>TEXT(10632, "[$-060000]yyyy-mm-dd")</f>
        <v/>
      </c>
      <c r="D10633" t="inlineStr">
        <is>
          <t>1347-08-28</t>
        </is>
      </c>
    </row>
    <row r="10634">
      <c r="A10634" s="1" t="n">
        <v>10633</v>
      </c>
      <c r="B10634">
        <f>TEXT(10633, "[$-170000]yyyy-mm-dd")</f>
        <v/>
      </c>
      <c r="C10634">
        <f>TEXT(10633, "[$-060000]yyyy-mm-dd")</f>
        <v/>
      </c>
      <c r="D10634" t="inlineStr">
        <is>
          <t>1347-08-29</t>
        </is>
      </c>
    </row>
    <row r="10635">
      <c r="A10635" s="1" t="n">
        <v>10634</v>
      </c>
      <c r="B10635">
        <f>TEXT(10634, "[$-170000]yyyy-mm-dd")</f>
        <v/>
      </c>
      <c r="C10635">
        <f>TEXT(10634, "[$-060000]yyyy-mm-dd")</f>
        <v/>
      </c>
      <c r="D10635" t="inlineStr">
        <is>
          <t>1347-09-01</t>
        </is>
      </c>
    </row>
    <row r="10636">
      <c r="A10636" s="1" t="n">
        <v>10635</v>
      </c>
      <c r="B10636">
        <f>TEXT(10635, "[$-170000]yyyy-mm-dd")</f>
        <v/>
      </c>
      <c r="C10636">
        <f>TEXT(10635, "[$-060000]yyyy-mm-dd")</f>
        <v/>
      </c>
      <c r="D10636" t="inlineStr">
        <is>
          <t>1347-09-02</t>
        </is>
      </c>
    </row>
    <row r="10637">
      <c r="A10637" s="1" t="n">
        <v>10636</v>
      </c>
      <c r="B10637">
        <f>TEXT(10636, "[$-170000]yyyy-mm-dd")</f>
        <v/>
      </c>
      <c r="C10637">
        <f>TEXT(10636, "[$-060000]yyyy-mm-dd")</f>
        <v/>
      </c>
      <c r="D10637" t="inlineStr">
        <is>
          <t>1347-09-03</t>
        </is>
      </c>
    </row>
    <row r="10638">
      <c r="A10638" s="1" t="n">
        <v>10637</v>
      </c>
      <c r="B10638">
        <f>TEXT(10637, "[$-170000]yyyy-mm-dd")</f>
        <v/>
      </c>
      <c r="C10638">
        <f>TEXT(10637, "[$-060000]yyyy-mm-dd")</f>
        <v/>
      </c>
      <c r="D10638" t="inlineStr">
        <is>
          <t>1347-09-04</t>
        </is>
      </c>
    </row>
    <row r="10639">
      <c r="A10639" s="1" t="n">
        <v>10638</v>
      </c>
      <c r="B10639">
        <f>TEXT(10638, "[$-170000]yyyy-mm-dd")</f>
        <v/>
      </c>
      <c r="C10639">
        <f>TEXT(10638, "[$-060000]yyyy-mm-dd")</f>
        <v/>
      </c>
      <c r="D10639" t="inlineStr">
        <is>
          <t>1347-09-05</t>
        </is>
      </c>
    </row>
    <row r="10640">
      <c r="A10640" s="1" t="n">
        <v>10639</v>
      </c>
      <c r="B10640">
        <f>TEXT(10639, "[$-170000]yyyy-mm-dd")</f>
        <v/>
      </c>
      <c r="C10640">
        <f>TEXT(10639, "[$-060000]yyyy-mm-dd")</f>
        <v/>
      </c>
      <c r="D10640" t="inlineStr">
        <is>
          <t>1347-09-06</t>
        </is>
      </c>
    </row>
    <row r="10641">
      <c r="A10641" s="1" t="n">
        <v>10640</v>
      </c>
      <c r="B10641">
        <f>TEXT(10640, "[$-170000]yyyy-mm-dd")</f>
        <v/>
      </c>
      <c r="C10641">
        <f>TEXT(10640, "[$-060000]yyyy-mm-dd")</f>
        <v/>
      </c>
      <c r="D10641" t="inlineStr">
        <is>
          <t>1347-09-07</t>
        </is>
      </c>
    </row>
    <row r="10642">
      <c r="A10642" s="1" t="n">
        <v>10641</v>
      </c>
      <c r="B10642">
        <f>TEXT(10641, "[$-170000]yyyy-mm-dd")</f>
        <v/>
      </c>
      <c r="C10642">
        <f>TEXT(10641, "[$-060000]yyyy-mm-dd")</f>
        <v/>
      </c>
      <c r="D10642" t="inlineStr">
        <is>
          <t>1347-09-08</t>
        </is>
      </c>
    </row>
    <row r="10643">
      <c r="A10643" s="1" t="n">
        <v>10642</v>
      </c>
      <c r="B10643">
        <f>TEXT(10642, "[$-170000]yyyy-mm-dd")</f>
        <v/>
      </c>
      <c r="C10643">
        <f>TEXT(10642, "[$-060000]yyyy-mm-dd")</f>
        <v/>
      </c>
      <c r="D10643" t="inlineStr">
        <is>
          <t>1347-09-09</t>
        </is>
      </c>
    </row>
    <row r="10644">
      <c r="A10644" s="1" t="n">
        <v>10643</v>
      </c>
      <c r="B10644">
        <f>TEXT(10643, "[$-170000]yyyy-mm-dd")</f>
        <v/>
      </c>
      <c r="C10644">
        <f>TEXT(10643, "[$-060000]yyyy-mm-dd")</f>
        <v/>
      </c>
      <c r="D10644" t="inlineStr">
        <is>
          <t>1347-09-10</t>
        </is>
      </c>
    </row>
    <row r="10645">
      <c r="A10645" s="1" t="n">
        <v>10644</v>
      </c>
      <c r="B10645">
        <f>TEXT(10644, "[$-170000]yyyy-mm-dd")</f>
        <v/>
      </c>
      <c r="C10645">
        <f>TEXT(10644, "[$-060000]yyyy-mm-dd")</f>
        <v/>
      </c>
      <c r="D10645" t="inlineStr">
        <is>
          <t>1347-09-11</t>
        </is>
      </c>
    </row>
    <row r="10646">
      <c r="A10646" s="1" t="n">
        <v>10645</v>
      </c>
      <c r="B10646">
        <f>TEXT(10645, "[$-170000]yyyy-mm-dd")</f>
        <v/>
      </c>
      <c r="C10646">
        <f>TEXT(10645, "[$-060000]yyyy-mm-dd")</f>
        <v/>
      </c>
      <c r="D10646" t="inlineStr">
        <is>
          <t>1347-09-12</t>
        </is>
      </c>
    </row>
    <row r="10647">
      <c r="A10647" s="1" t="n">
        <v>10646</v>
      </c>
      <c r="B10647">
        <f>TEXT(10646, "[$-170000]yyyy-mm-dd")</f>
        <v/>
      </c>
      <c r="C10647">
        <f>TEXT(10646, "[$-060000]yyyy-mm-dd")</f>
        <v/>
      </c>
      <c r="D10647" t="inlineStr">
        <is>
          <t>1347-09-13</t>
        </is>
      </c>
    </row>
    <row r="10648">
      <c r="A10648" s="1" t="n">
        <v>10647</v>
      </c>
      <c r="B10648">
        <f>TEXT(10647, "[$-170000]yyyy-mm-dd")</f>
        <v/>
      </c>
      <c r="C10648">
        <f>TEXT(10647, "[$-060000]yyyy-mm-dd")</f>
        <v/>
      </c>
      <c r="D10648" t="inlineStr">
        <is>
          <t>1347-09-14</t>
        </is>
      </c>
    </row>
    <row r="10649">
      <c r="A10649" s="1" t="n">
        <v>10648</v>
      </c>
      <c r="B10649">
        <f>TEXT(10648, "[$-170000]yyyy-mm-dd")</f>
        <v/>
      </c>
      <c r="C10649">
        <f>TEXT(10648, "[$-060000]yyyy-mm-dd")</f>
        <v/>
      </c>
      <c r="D10649" t="inlineStr">
        <is>
          <t>1347-09-15</t>
        </is>
      </c>
    </row>
    <row r="10650">
      <c r="A10650" s="1" t="n">
        <v>10649</v>
      </c>
      <c r="B10650">
        <f>TEXT(10649, "[$-170000]yyyy-mm-dd")</f>
        <v/>
      </c>
      <c r="C10650">
        <f>TEXT(10649, "[$-060000]yyyy-mm-dd")</f>
        <v/>
      </c>
      <c r="D10650" t="inlineStr">
        <is>
          <t>1347-09-16</t>
        </is>
      </c>
    </row>
    <row r="10651">
      <c r="A10651" s="1" t="n">
        <v>10650</v>
      </c>
      <c r="B10651">
        <f>TEXT(10650, "[$-170000]yyyy-mm-dd")</f>
        <v/>
      </c>
      <c r="C10651">
        <f>TEXT(10650, "[$-060000]yyyy-mm-dd")</f>
        <v/>
      </c>
      <c r="D10651" t="inlineStr">
        <is>
          <t>1347-09-17</t>
        </is>
      </c>
    </row>
    <row r="10652">
      <c r="A10652" s="1" t="n">
        <v>10651</v>
      </c>
      <c r="B10652">
        <f>TEXT(10651, "[$-170000]yyyy-mm-dd")</f>
        <v/>
      </c>
      <c r="C10652">
        <f>TEXT(10651, "[$-060000]yyyy-mm-dd")</f>
        <v/>
      </c>
      <c r="D10652" t="inlineStr">
        <is>
          <t>1347-09-18</t>
        </is>
      </c>
    </row>
    <row r="10653">
      <c r="A10653" s="1" t="n">
        <v>10652</v>
      </c>
      <c r="B10653">
        <f>TEXT(10652, "[$-170000]yyyy-mm-dd")</f>
        <v/>
      </c>
      <c r="C10653">
        <f>TEXT(10652, "[$-060000]yyyy-mm-dd")</f>
        <v/>
      </c>
      <c r="D10653" t="inlineStr">
        <is>
          <t>1347-09-19</t>
        </is>
      </c>
    </row>
    <row r="10654">
      <c r="A10654" s="1" t="n">
        <v>10653</v>
      </c>
      <c r="B10654">
        <f>TEXT(10653, "[$-170000]yyyy-mm-dd")</f>
        <v/>
      </c>
      <c r="C10654">
        <f>TEXT(10653, "[$-060000]yyyy-mm-dd")</f>
        <v/>
      </c>
      <c r="D10654" t="inlineStr">
        <is>
          <t>1347-09-20</t>
        </is>
      </c>
    </row>
    <row r="10655">
      <c r="A10655" s="1" t="n">
        <v>10654</v>
      </c>
      <c r="B10655">
        <f>TEXT(10654, "[$-170000]yyyy-mm-dd")</f>
        <v/>
      </c>
      <c r="C10655">
        <f>TEXT(10654, "[$-060000]yyyy-mm-dd")</f>
        <v/>
      </c>
      <c r="D10655" t="inlineStr">
        <is>
          <t>1347-09-21</t>
        </is>
      </c>
    </row>
    <row r="10656">
      <c r="A10656" s="1" t="n">
        <v>10655</v>
      </c>
      <c r="B10656">
        <f>TEXT(10655, "[$-170000]yyyy-mm-dd")</f>
        <v/>
      </c>
      <c r="C10656">
        <f>TEXT(10655, "[$-060000]yyyy-mm-dd")</f>
        <v/>
      </c>
      <c r="D10656" t="inlineStr">
        <is>
          <t>1347-09-22</t>
        </is>
      </c>
    </row>
    <row r="10657">
      <c r="A10657" s="1" t="n">
        <v>10656</v>
      </c>
      <c r="B10657">
        <f>TEXT(10656, "[$-170000]yyyy-mm-dd")</f>
        <v/>
      </c>
      <c r="C10657">
        <f>TEXT(10656, "[$-060000]yyyy-mm-dd")</f>
        <v/>
      </c>
      <c r="D10657" t="inlineStr">
        <is>
          <t>1347-09-23</t>
        </is>
      </c>
    </row>
    <row r="10658">
      <c r="A10658" s="1" t="n">
        <v>10657</v>
      </c>
      <c r="B10658">
        <f>TEXT(10657, "[$-170000]yyyy-mm-dd")</f>
        <v/>
      </c>
      <c r="C10658">
        <f>TEXT(10657, "[$-060000]yyyy-mm-dd")</f>
        <v/>
      </c>
      <c r="D10658" t="inlineStr">
        <is>
          <t>1347-09-24</t>
        </is>
      </c>
    </row>
    <row r="10659">
      <c r="A10659" s="1" t="n">
        <v>10658</v>
      </c>
      <c r="B10659">
        <f>TEXT(10658, "[$-170000]yyyy-mm-dd")</f>
        <v/>
      </c>
      <c r="C10659">
        <f>TEXT(10658, "[$-060000]yyyy-mm-dd")</f>
        <v/>
      </c>
      <c r="D10659" t="inlineStr">
        <is>
          <t>1347-09-25</t>
        </is>
      </c>
    </row>
    <row r="10660">
      <c r="A10660" s="1" t="n">
        <v>10659</v>
      </c>
      <c r="B10660">
        <f>TEXT(10659, "[$-170000]yyyy-mm-dd")</f>
        <v/>
      </c>
      <c r="C10660">
        <f>TEXT(10659, "[$-060000]yyyy-mm-dd")</f>
        <v/>
      </c>
      <c r="D10660" t="inlineStr">
        <is>
          <t>1347-09-26</t>
        </is>
      </c>
    </row>
    <row r="10661">
      <c r="A10661" s="1" t="n">
        <v>10660</v>
      </c>
      <c r="B10661">
        <f>TEXT(10660, "[$-170000]yyyy-mm-dd")</f>
        <v/>
      </c>
      <c r="C10661">
        <f>TEXT(10660, "[$-060000]yyyy-mm-dd")</f>
        <v/>
      </c>
      <c r="D10661" t="inlineStr">
        <is>
          <t>1347-09-27</t>
        </is>
      </c>
    </row>
    <row r="10662">
      <c r="A10662" s="1" t="n">
        <v>10661</v>
      </c>
      <c r="B10662">
        <f>TEXT(10661, "[$-170000]yyyy-mm-dd")</f>
        <v/>
      </c>
      <c r="C10662">
        <f>TEXT(10661, "[$-060000]yyyy-mm-dd")</f>
        <v/>
      </c>
      <c r="D10662" t="inlineStr">
        <is>
          <t>1347-09-28</t>
        </is>
      </c>
    </row>
    <row r="10663">
      <c r="A10663" s="1" t="n">
        <v>10662</v>
      </c>
      <c r="B10663">
        <f>TEXT(10662, "[$-170000]yyyy-mm-dd")</f>
        <v/>
      </c>
      <c r="C10663">
        <f>TEXT(10662, "[$-060000]yyyy-mm-dd")</f>
        <v/>
      </c>
      <c r="D10663" t="inlineStr">
        <is>
          <t>1347-09-29</t>
        </is>
      </c>
    </row>
    <row r="10664">
      <c r="A10664" s="1" t="n">
        <v>10663</v>
      </c>
      <c r="B10664">
        <f>TEXT(10663, "[$-170000]yyyy-mm-dd")</f>
        <v/>
      </c>
      <c r="C10664">
        <f>TEXT(10663, "[$-060000]yyyy-mm-dd")</f>
        <v/>
      </c>
      <c r="D10664" t="inlineStr">
        <is>
          <t>1347-09-30</t>
        </is>
      </c>
    </row>
    <row r="10665">
      <c r="A10665" s="1" t="n">
        <v>10664</v>
      </c>
      <c r="B10665">
        <f>TEXT(10664, "[$-170000]yyyy-mm-dd")</f>
        <v/>
      </c>
      <c r="C10665">
        <f>TEXT(10664, "[$-060000]yyyy-mm-dd")</f>
        <v/>
      </c>
      <c r="D10665" t="inlineStr">
        <is>
          <t>1347-10-01</t>
        </is>
      </c>
    </row>
    <row r="10666">
      <c r="A10666" s="1" t="n">
        <v>10665</v>
      </c>
      <c r="B10666">
        <f>TEXT(10665, "[$-170000]yyyy-mm-dd")</f>
        <v/>
      </c>
      <c r="C10666">
        <f>TEXT(10665, "[$-060000]yyyy-mm-dd")</f>
        <v/>
      </c>
      <c r="D10666" t="inlineStr">
        <is>
          <t>1347-10-02</t>
        </is>
      </c>
    </row>
    <row r="10667">
      <c r="A10667" s="1" t="n">
        <v>10666</v>
      </c>
      <c r="B10667">
        <f>TEXT(10666, "[$-170000]yyyy-mm-dd")</f>
        <v/>
      </c>
      <c r="C10667">
        <f>TEXT(10666, "[$-060000]yyyy-mm-dd")</f>
        <v/>
      </c>
      <c r="D10667" t="inlineStr">
        <is>
          <t>1347-10-03</t>
        </is>
      </c>
    </row>
    <row r="10668">
      <c r="A10668" s="1" t="n">
        <v>10667</v>
      </c>
      <c r="B10668">
        <f>TEXT(10667, "[$-170000]yyyy-mm-dd")</f>
        <v/>
      </c>
      <c r="C10668">
        <f>TEXT(10667, "[$-060000]yyyy-mm-dd")</f>
        <v/>
      </c>
      <c r="D10668" t="inlineStr">
        <is>
          <t>1347-10-04</t>
        </is>
      </c>
    </row>
    <row r="10669">
      <c r="A10669" s="1" t="n">
        <v>10668</v>
      </c>
      <c r="B10669">
        <f>TEXT(10668, "[$-170000]yyyy-mm-dd")</f>
        <v/>
      </c>
      <c r="C10669">
        <f>TEXT(10668, "[$-060000]yyyy-mm-dd")</f>
        <v/>
      </c>
      <c r="D10669" t="inlineStr">
        <is>
          <t>1347-10-05</t>
        </is>
      </c>
    </row>
    <row r="10670">
      <c r="A10670" s="1" t="n">
        <v>10669</v>
      </c>
      <c r="B10670">
        <f>TEXT(10669, "[$-170000]yyyy-mm-dd")</f>
        <v/>
      </c>
      <c r="C10670">
        <f>TEXT(10669, "[$-060000]yyyy-mm-dd")</f>
        <v/>
      </c>
      <c r="D10670" t="inlineStr">
        <is>
          <t>1347-10-06</t>
        </is>
      </c>
    </row>
    <row r="10671">
      <c r="A10671" s="1" t="n">
        <v>10670</v>
      </c>
      <c r="B10671">
        <f>TEXT(10670, "[$-170000]yyyy-mm-dd")</f>
        <v/>
      </c>
      <c r="C10671">
        <f>TEXT(10670, "[$-060000]yyyy-mm-dd")</f>
        <v/>
      </c>
      <c r="D10671" t="inlineStr">
        <is>
          <t>1347-10-07</t>
        </is>
      </c>
    </row>
    <row r="10672">
      <c r="A10672" s="1" t="n">
        <v>10671</v>
      </c>
      <c r="B10672">
        <f>TEXT(10671, "[$-170000]yyyy-mm-dd")</f>
        <v/>
      </c>
      <c r="C10672">
        <f>TEXT(10671, "[$-060000]yyyy-mm-dd")</f>
        <v/>
      </c>
      <c r="D10672" t="inlineStr">
        <is>
          <t>1347-10-08</t>
        </is>
      </c>
    </row>
    <row r="10673">
      <c r="A10673" s="1" t="n">
        <v>10672</v>
      </c>
      <c r="B10673">
        <f>TEXT(10672, "[$-170000]yyyy-mm-dd")</f>
        <v/>
      </c>
      <c r="C10673">
        <f>TEXT(10672, "[$-060000]yyyy-mm-dd")</f>
        <v/>
      </c>
      <c r="D10673" t="inlineStr">
        <is>
          <t>1347-10-09</t>
        </is>
      </c>
    </row>
    <row r="10674">
      <c r="A10674" s="1" t="n">
        <v>10673</v>
      </c>
      <c r="B10674">
        <f>TEXT(10673, "[$-170000]yyyy-mm-dd")</f>
        <v/>
      </c>
      <c r="C10674">
        <f>TEXT(10673, "[$-060000]yyyy-mm-dd")</f>
        <v/>
      </c>
      <c r="D10674" t="inlineStr">
        <is>
          <t>1347-10-10</t>
        </is>
      </c>
    </row>
    <row r="10675">
      <c r="A10675" s="1" t="n">
        <v>10674</v>
      </c>
      <c r="B10675">
        <f>TEXT(10674, "[$-170000]yyyy-mm-dd")</f>
        <v/>
      </c>
      <c r="C10675">
        <f>TEXT(10674, "[$-060000]yyyy-mm-dd")</f>
        <v/>
      </c>
      <c r="D10675" t="inlineStr">
        <is>
          <t>1347-10-11</t>
        </is>
      </c>
    </row>
    <row r="10676">
      <c r="A10676" s="1" t="n">
        <v>10675</v>
      </c>
      <c r="B10676">
        <f>TEXT(10675, "[$-170000]yyyy-mm-dd")</f>
        <v/>
      </c>
      <c r="C10676">
        <f>TEXT(10675, "[$-060000]yyyy-mm-dd")</f>
        <v/>
      </c>
      <c r="D10676" t="inlineStr">
        <is>
          <t>1347-10-12</t>
        </is>
      </c>
    </row>
    <row r="10677">
      <c r="A10677" s="1" t="n">
        <v>10676</v>
      </c>
      <c r="B10677">
        <f>TEXT(10676, "[$-170000]yyyy-mm-dd")</f>
        <v/>
      </c>
      <c r="C10677">
        <f>TEXT(10676, "[$-060000]yyyy-mm-dd")</f>
        <v/>
      </c>
      <c r="D10677" t="inlineStr">
        <is>
          <t>1347-10-13</t>
        </is>
      </c>
    </row>
    <row r="10678">
      <c r="A10678" s="1" t="n">
        <v>10677</v>
      </c>
      <c r="B10678">
        <f>TEXT(10677, "[$-170000]yyyy-mm-dd")</f>
        <v/>
      </c>
      <c r="C10678">
        <f>TEXT(10677, "[$-060000]yyyy-mm-dd")</f>
        <v/>
      </c>
      <c r="D10678" t="inlineStr">
        <is>
          <t>1347-10-14</t>
        </is>
      </c>
    </row>
    <row r="10679">
      <c r="A10679" s="1" t="n">
        <v>10678</v>
      </c>
      <c r="B10679">
        <f>TEXT(10678, "[$-170000]yyyy-mm-dd")</f>
        <v/>
      </c>
      <c r="C10679">
        <f>TEXT(10678, "[$-060000]yyyy-mm-dd")</f>
        <v/>
      </c>
      <c r="D10679" t="inlineStr">
        <is>
          <t>1347-10-15</t>
        </is>
      </c>
    </row>
    <row r="10680">
      <c r="A10680" s="1" t="n">
        <v>10679</v>
      </c>
      <c r="B10680">
        <f>TEXT(10679, "[$-170000]yyyy-mm-dd")</f>
        <v/>
      </c>
      <c r="C10680">
        <f>TEXT(10679, "[$-060000]yyyy-mm-dd")</f>
        <v/>
      </c>
      <c r="D10680" t="inlineStr">
        <is>
          <t>1347-10-16</t>
        </is>
      </c>
    </row>
    <row r="10681">
      <c r="A10681" s="1" t="n">
        <v>10680</v>
      </c>
      <c r="B10681">
        <f>TEXT(10680, "[$-170000]yyyy-mm-dd")</f>
        <v/>
      </c>
      <c r="C10681">
        <f>TEXT(10680, "[$-060000]yyyy-mm-dd")</f>
        <v/>
      </c>
      <c r="D10681" t="inlineStr">
        <is>
          <t>1347-10-17</t>
        </is>
      </c>
    </row>
    <row r="10682">
      <c r="A10682" s="1" t="n">
        <v>10681</v>
      </c>
      <c r="B10682">
        <f>TEXT(10681, "[$-170000]yyyy-mm-dd")</f>
        <v/>
      </c>
      <c r="C10682">
        <f>TEXT(10681, "[$-060000]yyyy-mm-dd")</f>
        <v/>
      </c>
      <c r="D10682" t="inlineStr">
        <is>
          <t>1347-10-18</t>
        </is>
      </c>
    </row>
    <row r="10683">
      <c r="A10683" s="1" t="n">
        <v>10682</v>
      </c>
      <c r="B10683">
        <f>TEXT(10682, "[$-170000]yyyy-mm-dd")</f>
        <v/>
      </c>
      <c r="C10683">
        <f>TEXT(10682, "[$-060000]yyyy-mm-dd")</f>
        <v/>
      </c>
      <c r="D10683" t="inlineStr">
        <is>
          <t>1347-10-19</t>
        </is>
      </c>
    </row>
    <row r="10684">
      <c r="A10684" s="1" t="n">
        <v>10683</v>
      </c>
      <c r="B10684">
        <f>TEXT(10683, "[$-170000]yyyy-mm-dd")</f>
        <v/>
      </c>
      <c r="C10684">
        <f>TEXT(10683, "[$-060000]yyyy-mm-dd")</f>
        <v/>
      </c>
      <c r="D10684" t="inlineStr">
        <is>
          <t>1347-10-20</t>
        </is>
      </c>
    </row>
    <row r="10685">
      <c r="A10685" s="1" t="n">
        <v>10684</v>
      </c>
      <c r="B10685">
        <f>TEXT(10684, "[$-170000]yyyy-mm-dd")</f>
        <v/>
      </c>
      <c r="C10685">
        <f>TEXT(10684, "[$-060000]yyyy-mm-dd")</f>
        <v/>
      </c>
      <c r="D10685" t="inlineStr">
        <is>
          <t>1347-10-21</t>
        </is>
      </c>
    </row>
    <row r="10686">
      <c r="A10686" s="1" t="n">
        <v>10685</v>
      </c>
      <c r="B10686">
        <f>TEXT(10685, "[$-170000]yyyy-mm-dd")</f>
        <v/>
      </c>
      <c r="C10686">
        <f>TEXT(10685, "[$-060000]yyyy-mm-dd")</f>
        <v/>
      </c>
      <c r="D10686" t="inlineStr">
        <is>
          <t>1347-10-22</t>
        </is>
      </c>
    </row>
    <row r="10687">
      <c r="A10687" s="1" t="n">
        <v>10686</v>
      </c>
      <c r="B10687">
        <f>TEXT(10686, "[$-170000]yyyy-mm-dd")</f>
        <v/>
      </c>
      <c r="C10687">
        <f>TEXT(10686, "[$-060000]yyyy-mm-dd")</f>
        <v/>
      </c>
      <c r="D10687" t="inlineStr">
        <is>
          <t>1347-10-23</t>
        </is>
      </c>
    </row>
    <row r="10688">
      <c r="A10688" s="1" t="n">
        <v>10687</v>
      </c>
      <c r="B10688">
        <f>TEXT(10687, "[$-170000]yyyy-mm-dd")</f>
        <v/>
      </c>
      <c r="C10688">
        <f>TEXT(10687, "[$-060000]yyyy-mm-dd")</f>
        <v/>
      </c>
      <c r="D10688" t="inlineStr">
        <is>
          <t>1347-10-24</t>
        </is>
      </c>
    </row>
    <row r="10689">
      <c r="A10689" s="1" t="n">
        <v>10688</v>
      </c>
      <c r="B10689">
        <f>TEXT(10688, "[$-170000]yyyy-mm-dd")</f>
        <v/>
      </c>
      <c r="C10689">
        <f>TEXT(10688, "[$-060000]yyyy-mm-dd")</f>
        <v/>
      </c>
      <c r="D10689" t="inlineStr">
        <is>
          <t>1347-10-25</t>
        </is>
      </c>
    </row>
    <row r="10690">
      <c r="A10690" s="1" t="n">
        <v>10689</v>
      </c>
      <c r="B10690">
        <f>TEXT(10689, "[$-170000]yyyy-mm-dd")</f>
        <v/>
      </c>
      <c r="C10690">
        <f>TEXT(10689, "[$-060000]yyyy-mm-dd")</f>
        <v/>
      </c>
      <c r="D10690" t="inlineStr">
        <is>
          <t>1347-10-26</t>
        </is>
      </c>
    </row>
    <row r="10691">
      <c r="A10691" s="1" t="n">
        <v>10690</v>
      </c>
      <c r="B10691">
        <f>TEXT(10690, "[$-170000]yyyy-mm-dd")</f>
        <v/>
      </c>
      <c r="C10691">
        <f>TEXT(10690, "[$-060000]yyyy-mm-dd")</f>
        <v/>
      </c>
      <c r="D10691" t="inlineStr">
        <is>
          <t>1347-10-27</t>
        </is>
      </c>
    </row>
    <row r="10692">
      <c r="A10692" s="1" t="n">
        <v>10691</v>
      </c>
      <c r="B10692">
        <f>TEXT(10691, "[$-170000]yyyy-mm-dd")</f>
        <v/>
      </c>
      <c r="C10692">
        <f>TEXT(10691, "[$-060000]yyyy-mm-dd")</f>
        <v/>
      </c>
      <c r="D10692" t="inlineStr">
        <is>
          <t>1347-10-28</t>
        </is>
      </c>
    </row>
    <row r="10693">
      <c r="A10693" s="1" t="n">
        <v>10692</v>
      </c>
      <c r="B10693">
        <f>TEXT(10692, "[$-170000]yyyy-mm-dd")</f>
        <v/>
      </c>
      <c r="C10693">
        <f>TEXT(10692, "[$-060000]yyyy-mm-dd")</f>
        <v/>
      </c>
      <c r="D10693" t="inlineStr">
        <is>
          <t>1347-10-29</t>
        </is>
      </c>
    </row>
    <row r="10694">
      <c r="A10694" s="1" t="n">
        <v>10693</v>
      </c>
      <c r="B10694">
        <f>TEXT(10693, "[$-170000]yyyy-mm-dd")</f>
        <v/>
      </c>
      <c r="C10694">
        <f>TEXT(10693, "[$-060000]yyyy-mm-dd")</f>
        <v/>
      </c>
      <c r="D10694" t="inlineStr">
        <is>
          <t>1347-11-01</t>
        </is>
      </c>
    </row>
    <row r="10695">
      <c r="A10695" s="1" t="n">
        <v>10694</v>
      </c>
      <c r="B10695">
        <f>TEXT(10694, "[$-170000]yyyy-mm-dd")</f>
        <v/>
      </c>
      <c r="C10695">
        <f>TEXT(10694, "[$-060000]yyyy-mm-dd")</f>
        <v/>
      </c>
      <c r="D10695" t="inlineStr">
        <is>
          <t>1347-11-02</t>
        </is>
      </c>
    </row>
    <row r="10696">
      <c r="A10696" s="1" t="n">
        <v>10695</v>
      </c>
      <c r="B10696">
        <f>TEXT(10695, "[$-170000]yyyy-mm-dd")</f>
        <v/>
      </c>
      <c r="C10696">
        <f>TEXT(10695, "[$-060000]yyyy-mm-dd")</f>
        <v/>
      </c>
      <c r="D10696" t="inlineStr">
        <is>
          <t>1347-11-03</t>
        </is>
      </c>
    </row>
    <row r="10697">
      <c r="A10697" s="1" t="n">
        <v>10696</v>
      </c>
      <c r="B10697">
        <f>TEXT(10696, "[$-170000]yyyy-mm-dd")</f>
        <v/>
      </c>
      <c r="C10697">
        <f>TEXT(10696, "[$-060000]yyyy-mm-dd")</f>
        <v/>
      </c>
      <c r="D10697" t="inlineStr">
        <is>
          <t>1347-11-04</t>
        </is>
      </c>
    </row>
    <row r="10698">
      <c r="A10698" s="1" t="n">
        <v>10697</v>
      </c>
      <c r="B10698">
        <f>TEXT(10697, "[$-170000]yyyy-mm-dd")</f>
        <v/>
      </c>
      <c r="C10698">
        <f>TEXT(10697, "[$-060000]yyyy-mm-dd")</f>
        <v/>
      </c>
      <c r="D10698" t="inlineStr">
        <is>
          <t>1347-11-05</t>
        </is>
      </c>
    </row>
    <row r="10699">
      <c r="A10699" s="1" t="n">
        <v>10698</v>
      </c>
      <c r="B10699">
        <f>TEXT(10698, "[$-170000]yyyy-mm-dd")</f>
        <v/>
      </c>
      <c r="C10699">
        <f>TEXT(10698, "[$-060000]yyyy-mm-dd")</f>
        <v/>
      </c>
      <c r="D10699" t="inlineStr">
        <is>
          <t>1347-11-06</t>
        </is>
      </c>
    </row>
    <row r="10700">
      <c r="A10700" s="1" t="n">
        <v>10699</v>
      </c>
      <c r="B10700">
        <f>TEXT(10699, "[$-170000]yyyy-mm-dd")</f>
        <v/>
      </c>
      <c r="C10700">
        <f>TEXT(10699, "[$-060000]yyyy-mm-dd")</f>
        <v/>
      </c>
      <c r="D10700" t="inlineStr">
        <is>
          <t>1347-11-07</t>
        </is>
      </c>
    </row>
    <row r="10701">
      <c r="A10701" s="1" t="n">
        <v>10700</v>
      </c>
      <c r="B10701">
        <f>TEXT(10700, "[$-170000]yyyy-mm-dd")</f>
        <v/>
      </c>
      <c r="C10701">
        <f>TEXT(10700, "[$-060000]yyyy-mm-dd")</f>
        <v/>
      </c>
      <c r="D10701" t="inlineStr">
        <is>
          <t>1347-11-08</t>
        </is>
      </c>
    </row>
    <row r="10702">
      <c r="A10702" s="1" t="n">
        <v>10701</v>
      </c>
      <c r="B10702">
        <f>TEXT(10701, "[$-170000]yyyy-mm-dd")</f>
        <v/>
      </c>
      <c r="C10702">
        <f>TEXT(10701, "[$-060000]yyyy-mm-dd")</f>
        <v/>
      </c>
      <c r="D10702" t="inlineStr">
        <is>
          <t>1347-11-09</t>
        </is>
      </c>
    </row>
    <row r="10703">
      <c r="A10703" s="1" t="n">
        <v>10702</v>
      </c>
      <c r="B10703">
        <f>TEXT(10702, "[$-170000]yyyy-mm-dd")</f>
        <v/>
      </c>
      <c r="C10703">
        <f>TEXT(10702, "[$-060000]yyyy-mm-dd")</f>
        <v/>
      </c>
      <c r="D10703" t="inlineStr">
        <is>
          <t>1347-11-10</t>
        </is>
      </c>
    </row>
    <row r="10704">
      <c r="A10704" s="1" t="n">
        <v>10703</v>
      </c>
      <c r="B10704">
        <f>TEXT(10703, "[$-170000]yyyy-mm-dd")</f>
        <v/>
      </c>
      <c r="C10704">
        <f>TEXT(10703, "[$-060000]yyyy-mm-dd")</f>
        <v/>
      </c>
      <c r="D10704" t="inlineStr">
        <is>
          <t>1347-11-11</t>
        </is>
      </c>
    </row>
    <row r="10705">
      <c r="A10705" s="1" t="n">
        <v>10704</v>
      </c>
      <c r="B10705">
        <f>TEXT(10704, "[$-170000]yyyy-mm-dd")</f>
        <v/>
      </c>
      <c r="C10705">
        <f>TEXT(10704, "[$-060000]yyyy-mm-dd")</f>
        <v/>
      </c>
      <c r="D10705" t="inlineStr">
        <is>
          <t>1347-11-12</t>
        </is>
      </c>
    </row>
    <row r="10706">
      <c r="A10706" s="1" t="n">
        <v>10705</v>
      </c>
      <c r="B10706">
        <f>TEXT(10705, "[$-170000]yyyy-mm-dd")</f>
        <v/>
      </c>
      <c r="C10706">
        <f>TEXT(10705, "[$-060000]yyyy-mm-dd")</f>
        <v/>
      </c>
      <c r="D10706" t="inlineStr">
        <is>
          <t>1347-11-13</t>
        </is>
      </c>
    </row>
    <row r="10707">
      <c r="A10707" s="1" t="n">
        <v>10706</v>
      </c>
      <c r="B10707">
        <f>TEXT(10706, "[$-170000]yyyy-mm-dd")</f>
        <v/>
      </c>
      <c r="C10707">
        <f>TEXT(10706, "[$-060000]yyyy-mm-dd")</f>
        <v/>
      </c>
      <c r="D10707" t="inlineStr">
        <is>
          <t>1347-11-14</t>
        </is>
      </c>
    </row>
    <row r="10708">
      <c r="A10708" s="1" t="n">
        <v>10707</v>
      </c>
      <c r="B10708">
        <f>TEXT(10707, "[$-170000]yyyy-mm-dd")</f>
        <v/>
      </c>
      <c r="C10708">
        <f>TEXT(10707, "[$-060000]yyyy-mm-dd")</f>
        <v/>
      </c>
      <c r="D10708" t="inlineStr">
        <is>
          <t>1347-11-15</t>
        </is>
      </c>
    </row>
    <row r="10709">
      <c r="A10709" s="1" t="n">
        <v>10708</v>
      </c>
      <c r="B10709">
        <f>TEXT(10708, "[$-170000]yyyy-mm-dd")</f>
        <v/>
      </c>
      <c r="C10709">
        <f>TEXT(10708, "[$-060000]yyyy-mm-dd")</f>
        <v/>
      </c>
      <c r="D10709" t="inlineStr">
        <is>
          <t>1347-11-16</t>
        </is>
      </c>
    </row>
    <row r="10710">
      <c r="A10710" s="1" t="n">
        <v>10709</v>
      </c>
      <c r="B10710">
        <f>TEXT(10709, "[$-170000]yyyy-mm-dd")</f>
        <v/>
      </c>
      <c r="C10710">
        <f>TEXT(10709, "[$-060000]yyyy-mm-dd")</f>
        <v/>
      </c>
      <c r="D10710" t="inlineStr">
        <is>
          <t>1347-11-17</t>
        </is>
      </c>
    </row>
    <row r="10711">
      <c r="A10711" s="1" t="n">
        <v>10710</v>
      </c>
      <c r="B10711">
        <f>TEXT(10710, "[$-170000]yyyy-mm-dd")</f>
        <v/>
      </c>
      <c r="C10711">
        <f>TEXT(10710, "[$-060000]yyyy-mm-dd")</f>
        <v/>
      </c>
      <c r="D10711" t="inlineStr">
        <is>
          <t>1347-11-18</t>
        </is>
      </c>
    </row>
    <row r="10712">
      <c r="A10712" s="1" t="n">
        <v>10711</v>
      </c>
      <c r="B10712">
        <f>TEXT(10711, "[$-170000]yyyy-mm-dd")</f>
        <v/>
      </c>
      <c r="C10712">
        <f>TEXT(10711, "[$-060000]yyyy-mm-dd")</f>
        <v/>
      </c>
      <c r="D10712" t="inlineStr">
        <is>
          <t>1347-11-19</t>
        </is>
      </c>
    </row>
    <row r="10713">
      <c r="A10713" s="1" t="n">
        <v>10712</v>
      </c>
      <c r="B10713">
        <f>TEXT(10712, "[$-170000]yyyy-mm-dd")</f>
        <v/>
      </c>
      <c r="C10713">
        <f>TEXT(10712, "[$-060000]yyyy-mm-dd")</f>
        <v/>
      </c>
      <c r="D10713" t="inlineStr">
        <is>
          <t>1347-11-20</t>
        </is>
      </c>
    </row>
    <row r="10714">
      <c r="A10714" s="1" t="n">
        <v>10713</v>
      </c>
      <c r="B10714">
        <f>TEXT(10713, "[$-170000]yyyy-mm-dd")</f>
        <v/>
      </c>
      <c r="C10714">
        <f>TEXT(10713, "[$-060000]yyyy-mm-dd")</f>
        <v/>
      </c>
      <c r="D10714" t="inlineStr">
        <is>
          <t>1347-11-21</t>
        </is>
      </c>
    </row>
    <row r="10715">
      <c r="A10715" s="1" t="n">
        <v>10714</v>
      </c>
      <c r="B10715">
        <f>TEXT(10714, "[$-170000]yyyy-mm-dd")</f>
        <v/>
      </c>
      <c r="C10715">
        <f>TEXT(10714, "[$-060000]yyyy-mm-dd")</f>
        <v/>
      </c>
      <c r="D10715" t="inlineStr">
        <is>
          <t>1347-11-22</t>
        </is>
      </c>
    </row>
    <row r="10716">
      <c r="A10716" s="1" t="n">
        <v>10715</v>
      </c>
      <c r="B10716">
        <f>TEXT(10715, "[$-170000]yyyy-mm-dd")</f>
        <v/>
      </c>
      <c r="C10716">
        <f>TEXT(10715, "[$-060000]yyyy-mm-dd")</f>
        <v/>
      </c>
      <c r="D10716" t="inlineStr">
        <is>
          <t>1347-11-23</t>
        </is>
      </c>
    </row>
    <row r="10717">
      <c r="A10717" s="1" t="n">
        <v>10716</v>
      </c>
      <c r="B10717">
        <f>TEXT(10716, "[$-170000]yyyy-mm-dd")</f>
        <v/>
      </c>
      <c r="C10717">
        <f>TEXT(10716, "[$-060000]yyyy-mm-dd")</f>
        <v/>
      </c>
      <c r="D10717" t="inlineStr">
        <is>
          <t>1347-11-24</t>
        </is>
      </c>
    </row>
    <row r="10718">
      <c r="A10718" s="1" t="n">
        <v>10717</v>
      </c>
      <c r="B10718">
        <f>TEXT(10717, "[$-170000]yyyy-mm-dd")</f>
        <v/>
      </c>
      <c r="C10718">
        <f>TEXT(10717, "[$-060000]yyyy-mm-dd")</f>
        <v/>
      </c>
      <c r="D10718" t="inlineStr">
        <is>
          <t>1347-11-25</t>
        </is>
      </c>
    </row>
    <row r="10719">
      <c r="A10719" s="1" t="n">
        <v>10718</v>
      </c>
      <c r="B10719">
        <f>TEXT(10718, "[$-170000]yyyy-mm-dd")</f>
        <v/>
      </c>
      <c r="C10719">
        <f>TEXT(10718, "[$-060000]yyyy-mm-dd")</f>
        <v/>
      </c>
      <c r="D10719" t="inlineStr">
        <is>
          <t>1347-11-26</t>
        </is>
      </c>
    </row>
    <row r="10720">
      <c r="A10720" s="1" t="n">
        <v>10719</v>
      </c>
      <c r="B10720">
        <f>TEXT(10719, "[$-170000]yyyy-mm-dd")</f>
        <v/>
      </c>
      <c r="C10720">
        <f>TEXT(10719, "[$-060000]yyyy-mm-dd")</f>
        <v/>
      </c>
      <c r="D10720" t="inlineStr">
        <is>
          <t>1347-11-27</t>
        </is>
      </c>
    </row>
    <row r="10721">
      <c r="A10721" s="1" t="n">
        <v>10720</v>
      </c>
      <c r="B10721">
        <f>TEXT(10720, "[$-170000]yyyy-mm-dd")</f>
        <v/>
      </c>
      <c r="C10721">
        <f>TEXT(10720, "[$-060000]yyyy-mm-dd")</f>
        <v/>
      </c>
      <c r="D10721" t="inlineStr">
        <is>
          <t>1347-11-28</t>
        </is>
      </c>
    </row>
    <row r="10722">
      <c r="A10722" s="1" t="n">
        <v>10721</v>
      </c>
      <c r="B10722">
        <f>TEXT(10721, "[$-170000]yyyy-mm-dd")</f>
        <v/>
      </c>
      <c r="C10722">
        <f>TEXT(10721, "[$-060000]yyyy-mm-dd")</f>
        <v/>
      </c>
      <c r="D10722" t="inlineStr">
        <is>
          <t>1347-11-29</t>
        </is>
      </c>
    </row>
    <row r="10723">
      <c r="A10723" s="1" t="n">
        <v>10722</v>
      </c>
      <c r="B10723">
        <f>TEXT(10722, "[$-170000]yyyy-mm-dd")</f>
        <v/>
      </c>
      <c r="C10723">
        <f>TEXT(10722, "[$-060000]yyyy-mm-dd")</f>
        <v/>
      </c>
      <c r="D10723" t="inlineStr">
        <is>
          <t>1347-11-30</t>
        </is>
      </c>
    </row>
    <row r="10724">
      <c r="A10724" s="1" t="n">
        <v>10723</v>
      </c>
      <c r="B10724">
        <f>TEXT(10723, "[$-170000]yyyy-mm-dd")</f>
        <v/>
      </c>
      <c r="C10724">
        <f>TEXT(10723, "[$-060000]yyyy-mm-dd")</f>
        <v/>
      </c>
      <c r="D10724" t="inlineStr">
        <is>
          <t>1347-12-01</t>
        </is>
      </c>
    </row>
    <row r="10725">
      <c r="A10725" s="1" t="n">
        <v>10724</v>
      </c>
      <c r="B10725">
        <f>TEXT(10724, "[$-170000]yyyy-mm-dd")</f>
        <v/>
      </c>
      <c r="C10725">
        <f>TEXT(10724, "[$-060000]yyyy-mm-dd")</f>
        <v/>
      </c>
      <c r="D10725" t="inlineStr">
        <is>
          <t>1347-12-02</t>
        </is>
      </c>
    </row>
    <row r="10726">
      <c r="A10726" s="1" t="n">
        <v>10725</v>
      </c>
      <c r="B10726">
        <f>TEXT(10725, "[$-170000]yyyy-mm-dd")</f>
        <v/>
      </c>
      <c r="C10726">
        <f>TEXT(10725, "[$-060000]yyyy-mm-dd")</f>
        <v/>
      </c>
      <c r="D10726" t="inlineStr">
        <is>
          <t>1347-12-03</t>
        </is>
      </c>
    </row>
    <row r="10727">
      <c r="A10727" s="1" t="n">
        <v>10726</v>
      </c>
      <c r="B10727">
        <f>TEXT(10726, "[$-170000]yyyy-mm-dd")</f>
        <v/>
      </c>
      <c r="C10727">
        <f>TEXT(10726, "[$-060000]yyyy-mm-dd")</f>
        <v/>
      </c>
      <c r="D10727" t="inlineStr">
        <is>
          <t>1347-12-04</t>
        </is>
      </c>
    </row>
    <row r="10728">
      <c r="A10728" s="1" t="n">
        <v>10727</v>
      </c>
      <c r="B10728">
        <f>TEXT(10727, "[$-170000]yyyy-mm-dd")</f>
        <v/>
      </c>
      <c r="C10728">
        <f>TEXT(10727, "[$-060000]yyyy-mm-dd")</f>
        <v/>
      </c>
      <c r="D10728" t="inlineStr">
        <is>
          <t>1347-12-05</t>
        </is>
      </c>
    </row>
    <row r="10729">
      <c r="A10729" s="1" t="n">
        <v>10728</v>
      </c>
      <c r="B10729">
        <f>TEXT(10728, "[$-170000]yyyy-mm-dd")</f>
        <v/>
      </c>
      <c r="C10729">
        <f>TEXT(10728, "[$-060000]yyyy-mm-dd")</f>
        <v/>
      </c>
      <c r="D10729" t="inlineStr">
        <is>
          <t>1347-12-06</t>
        </is>
      </c>
    </row>
    <row r="10730">
      <c r="A10730" s="1" t="n">
        <v>10729</v>
      </c>
      <c r="B10730">
        <f>TEXT(10729, "[$-170000]yyyy-mm-dd")</f>
        <v/>
      </c>
      <c r="C10730">
        <f>TEXT(10729, "[$-060000]yyyy-mm-dd")</f>
        <v/>
      </c>
      <c r="D10730" t="inlineStr">
        <is>
          <t>1347-12-07</t>
        </is>
      </c>
    </row>
    <row r="10731">
      <c r="A10731" s="1" t="n">
        <v>10730</v>
      </c>
      <c r="B10731">
        <f>TEXT(10730, "[$-170000]yyyy-mm-dd")</f>
        <v/>
      </c>
      <c r="C10731">
        <f>TEXT(10730, "[$-060000]yyyy-mm-dd")</f>
        <v/>
      </c>
      <c r="D10731" t="inlineStr">
        <is>
          <t>1347-12-08</t>
        </is>
      </c>
    </row>
    <row r="10732">
      <c r="A10732" s="1" t="n">
        <v>10731</v>
      </c>
      <c r="B10732">
        <f>TEXT(10731, "[$-170000]yyyy-mm-dd")</f>
        <v/>
      </c>
      <c r="C10732">
        <f>TEXT(10731, "[$-060000]yyyy-mm-dd")</f>
        <v/>
      </c>
      <c r="D10732" t="inlineStr">
        <is>
          <t>1347-12-09</t>
        </is>
      </c>
    </row>
    <row r="10733">
      <c r="A10733" s="1" t="n">
        <v>10732</v>
      </c>
      <c r="B10733">
        <f>TEXT(10732, "[$-170000]yyyy-mm-dd")</f>
        <v/>
      </c>
      <c r="C10733">
        <f>TEXT(10732, "[$-060000]yyyy-mm-dd")</f>
        <v/>
      </c>
      <c r="D10733" t="inlineStr">
        <is>
          <t>1347-12-10</t>
        </is>
      </c>
    </row>
    <row r="10734">
      <c r="A10734" s="1" t="n">
        <v>10733</v>
      </c>
      <c r="B10734">
        <f>TEXT(10733, "[$-170000]yyyy-mm-dd")</f>
        <v/>
      </c>
      <c r="C10734">
        <f>TEXT(10733, "[$-060000]yyyy-mm-dd")</f>
        <v/>
      </c>
      <c r="D10734" t="inlineStr">
        <is>
          <t>1347-12-11</t>
        </is>
      </c>
    </row>
    <row r="10735">
      <c r="A10735" s="1" t="n">
        <v>10734</v>
      </c>
      <c r="B10735">
        <f>TEXT(10734, "[$-170000]yyyy-mm-dd")</f>
        <v/>
      </c>
      <c r="C10735">
        <f>TEXT(10734, "[$-060000]yyyy-mm-dd")</f>
        <v/>
      </c>
      <c r="D10735" t="inlineStr">
        <is>
          <t>1347-12-12</t>
        </is>
      </c>
    </row>
    <row r="10736">
      <c r="A10736" s="1" t="n">
        <v>10735</v>
      </c>
      <c r="B10736">
        <f>TEXT(10735, "[$-170000]yyyy-mm-dd")</f>
        <v/>
      </c>
      <c r="C10736">
        <f>TEXT(10735, "[$-060000]yyyy-mm-dd")</f>
        <v/>
      </c>
      <c r="D10736" t="inlineStr">
        <is>
          <t>1347-12-13</t>
        </is>
      </c>
    </row>
    <row r="10737">
      <c r="A10737" s="1" t="n">
        <v>10736</v>
      </c>
      <c r="B10737">
        <f>TEXT(10736, "[$-170000]yyyy-mm-dd")</f>
        <v/>
      </c>
      <c r="C10737">
        <f>TEXT(10736, "[$-060000]yyyy-mm-dd")</f>
        <v/>
      </c>
      <c r="D10737" t="inlineStr">
        <is>
          <t>1347-12-14</t>
        </is>
      </c>
    </row>
    <row r="10738">
      <c r="A10738" s="1" t="n">
        <v>10737</v>
      </c>
      <c r="B10738">
        <f>TEXT(10737, "[$-170000]yyyy-mm-dd")</f>
        <v/>
      </c>
      <c r="C10738">
        <f>TEXT(10737, "[$-060000]yyyy-mm-dd")</f>
        <v/>
      </c>
      <c r="D10738" t="inlineStr">
        <is>
          <t>1347-12-15</t>
        </is>
      </c>
    </row>
    <row r="10739">
      <c r="A10739" s="1" t="n">
        <v>10738</v>
      </c>
      <c r="B10739">
        <f>TEXT(10738, "[$-170000]yyyy-mm-dd")</f>
        <v/>
      </c>
      <c r="C10739">
        <f>TEXT(10738, "[$-060000]yyyy-mm-dd")</f>
        <v/>
      </c>
      <c r="D10739" t="inlineStr">
        <is>
          <t>1347-12-16</t>
        </is>
      </c>
    </row>
    <row r="10740">
      <c r="A10740" s="1" t="n">
        <v>10739</v>
      </c>
      <c r="B10740">
        <f>TEXT(10739, "[$-170000]yyyy-mm-dd")</f>
        <v/>
      </c>
      <c r="C10740">
        <f>TEXT(10739, "[$-060000]yyyy-mm-dd")</f>
        <v/>
      </c>
      <c r="D10740" t="inlineStr">
        <is>
          <t>1347-12-17</t>
        </is>
      </c>
    </row>
    <row r="10741">
      <c r="A10741" s="1" t="n">
        <v>10740</v>
      </c>
      <c r="B10741">
        <f>TEXT(10740, "[$-170000]yyyy-mm-dd")</f>
        <v/>
      </c>
      <c r="C10741">
        <f>TEXT(10740, "[$-060000]yyyy-mm-dd")</f>
        <v/>
      </c>
      <c r="D10741" t="inlineStr">
        <is>
          <t>1347-12-18</t>
        </is>
      </c>
    </row>
    <row r="10742">
      <c r="A10742" s="1" t="n">
        <v>10741</v>
      </c>
      <c r="B10742">
        <f>TEXT(10741, "[$-170000]yyyy-mm-dd")</f>
        <v/>
      </c>
      <c r="C10742">
        <f>TEXT(10741, "[$-060000]yyyy-mm-dd")</f>
        <v/>
      </c>
      <c r="D10742" t="inlineStr">
        <is>
          <t>1347-12-19</t>
        </is>
      </c>
    </row>
    <row r="10743">
      <c r="A10743" s="1" t="n">
        <v>10742</v>
      </c>
      <c r="B10743">
        <f>TEXT(10742, "[$-170000]yyyy-mm-dd")</f>
        <v/>
      </c>
      <c r="C10743">
        <f>TEXT(10742, "[$-060000]yyyy-mm-dd")</f>
        <v/>
      </c>
      <c r="D10743" t="inlineStr">
        <is>
          <t>1347-12-20</t>
        </is>
      </c>
    </row>
    <row r="10744">
      <c r="A10744" s="1" t="n">
        <v>10743</v>
      </c>
      <c r="B10744">
        <f>TEXT(10743, "[$-170000]yyyy-mm-dd")</f>
        <v/>
      </c>
      <c r="C10744">
        <f>TEXT(10743, "[$-060000]yyyy-mm-dd")</f>
        <v/>
      </c>
      <c r="D10744" t="inlineStr">
        <is>
          <t>1347-12-21</t>
        </is>
      </c>
    </row>
    <row r="10745">
      <c r="A10745" s="1" t="n">
        <v>10744</v>
      </c>
      <c r="B10745">
        <f>TEXT(10744, "[$-170000]yyyy-mm-dd")</f>
        <v/>
      </c>
      <c r="C10745">
        <f>TEXT(10744, "[$-060000]yyyy-mm-dd")</f>
        <v/>
      </c>
      <c r="D10745" t="inlineStr">
        <is>
          <t>1347-12-22</t>
        </is>
      </c>
    </row>
    <row r="10746">
      <c r="A10746" s="1" t="n">
        <v>10745</v>
      </c>
      <c r="B10746">
        <f>TEXT(10745, "[$-170000]yyyy-mm-dd")</f>
        <v/>
      </c>
      <c r="C10746">
        <f>TEXT(10745, "[$-060000]yyyy-mm-dd")</f>
        <v/>
      </c>
      <c r="D10746" t="inlineStr">
        <is>
          <t>1347-12-23</t>
        </is>
      </c>
    </row>
    <row r="10747">
      <c r="A10747" s="1" t="n">
        <v>10746</v>
      </c>
      <c r="B10747">
        <f>TEXT(10746, "[$-170000]yyyy-mm-dd")</f>
        <v/>
      </c>
      <c r="C10747">
        <f>TEXT(10746, "[$-060000]yyyy-mm-dd")</f>
        <v/>
      </c>
      <c r="D10747" t="inlineStr">
        <is>
          <t>1347-12-24</t>
        </is>
      </c>
    </row>
    <row r="10748">
      <c r="A10748" s="1" t="n">
        <v>10747</v>
      </c>
      <c r="B10748">
        <f>TEXT(10747, "[$-170000]yyyy-mm-dd")</f>
        <v/>
      </c>
      <c r="C10748">
        <f>TEXT(10747, "[$-060000]yyyy-mm-dd")</f>
        <v/>
      </c>
      <c r="D10748" t="inlineStr">
        <is>
          <t>1347-12-25</t>
        </is>
      </c>
    </row>
    <row r="10749">
      <c r="A10749" s="1" t="n">
        <v>10748</v>
      </c>
      <c r="B10749">
        <f>TEXT(10748, "[$-170000]yyyy-mm-dd")</f>
        <v/>
      </c>
      <c r="C10749">
        <f>TEXT(10748, "[$-060000]yyyy-mm-dd")</f>
        <v/>
      </c>
      <c r="D10749" t="inlineStr">
        <is>
          <t>1347-12-26</t>
        </is>
      </c>
    </row>
    <row r="10750">
      <c r="A10750" s="1" t="n">
        <v>10749</v>
      </c>
      <c r="B10750">
        <f>TEXT(10749, "[$-170000]yyyy-mm-dd")</f>
        <v/>
      </c>
      <c r="C10750">
        <f>TEXT(10749, "[$-060000]yyyy-mm-dd")</f>
        <v/>
      </c>
      <c r="D10750" t="inlineStr">
        <is>
          <t>1347-12-27</t>
        </is>
      </c>
    </row>
    <row r="10751">
      <c r="A10751" s="1" t="n">
        <v>10750</v>
      </c>
      <c r="B10751">
        <f>TEXT(10750, "[$-170000]yyyy-mm-dd")</f>
        <v/>
      </c>
      <c r="C10751">
        <f>TEXT(10750, "[$-060000]yyyy-mm-dd")</f>
        <v/>
      </c>
      <c r="D10751" t="inlineStr">
        <is>
          <t>1347-12-28</t>
        </is>
      </c>
    </row>
    <row r="10752">
      <c r="A10752" s="1" t="n">
        <v>10751</v>
      </c>
      <c r="B10752">
        <f>TEXT(10751, "[$-170000]yyyy-mm-dd")</f>
        <v/>
      </c>
      <c r="C10752">
        <f>TEXT(10751, "[$-060000]yyyy-mm-dd")</f>
        <v/>
      </c>
      <c r="D10752" t="inlineStr">
        <is>
          <t>1347-12-29</t>
        </is>
      </c>
    </row>
    <row r="10753">
      <c r="A10753" s="1" t="n">
        <v>10752</v>
      </c>
      <c r="B10753">
        <f>TEXT(10752, "[$-170000]yyyy-mm-dd")</f>
        <v/>
      </c>
      <c r="C10753">
        <f>TEXT(10752, "[$-060000]yyyy-mm-dd")</f>
        <v/>
      </c>
      <c r="D10753" t="inlineStr">
        <is>
          <t>1348-01-01</t>
        </is>
      </c>
    </row>
    <row r="10754">
      <c r="A10754" s="1" t="n">
        <v>10753</v>
      </c>
      <c r="B10754">
        <f>TEXT(10753, "[$-170000]yyyy-mm-dd")</f>
        <v/>
      </c>
      <c r="C10754">
        <f>TEXT(10753, "[$-060000]yyyy-mm-dd")</f>
        <v/>
      </c>
      <c r="D10754" t="inlineStr">
        <is>
          <t>1348-01-02</t>
        </is>
      </c>
    </row>
    <row r="10755">
      <c r="A10755" s="1" t="n">
        <v>10754</v>
      </c>
      <c r="B10755">
        <f>TEXT(10754, "[$-170000]yyyy-mm-dd")</f>
        <v/>
      </c>
      <c r="C10755">
        <f>TEXT(10754, "[$-060000]yyyy-mm-dd")</f>
        <v/>
      </c>
      <c r="D10755" t="inlineStr">
        <is>
          <t>1348-01-03</t>
        </is>
      </c>
    </row>
    <row r="10756">
      <c r="A10756" s="1" t="n">
        <v>10755</v>
      </c>
      <c r="B10756">
        <f>TEXT(10755, "[$-170000]yyyy-mm-dd")</f>
        <v/>
      </c>
      <c r="C10756">
        <f>TEXT(10755, "[$-060000]yyyy-mm-dd")</f>
        <v/>
      </c>
      <c r="D10756" t="inlineStr">
        <is>
          <t>1348-01-04</t>
        </is>
      </c>
    </row>
    <row r="10757">
      <c r="A10757" s="1" t="n">
        <v>10756</v>
      </c>
      <c r="B10757">
        <f>TEXT(10756, "[$-170000]yyyy-mm-dd")</f>
        <v/>
      </c>
      <c r="C10757">
        <f>TEXT(10756, "[$-060000]yyyy-mm-dd")</f>
        <v/>
      </c>
      <c r="D10757" t="inlineStr">
        <is>
          <t>1348-01-05</t>
        </is>
      </c>
    </row>
    <row r="10758">
      <c r="A10758" s="1" t="n">
        <v>10757</v>
      </c>
      <c r="B10758">
        <f>TEXT(10757, "[$-170000]yyyy-mm-dd")</f>
        <v/>
      </c>
      <c r="C10758">
        <f>TEXT(10757, "[$-060000]yyyy-mm-dd")</f>
        <v/>
      </c>
      <c r="D10758" t="inlineStr">
        <is>
          <t>1348-01-06</t>
        </is>
      </c>
    </row>
    <row r="10759">
      <c r="A10759" s="1" t="n">
        <v>10758</v>
      </c>
      <c r="B10759">
        <f>TEXT(10758, "[$-170000]yyyy-mm-dd")</f>
        <v/>
      </c>
      <c r="C10759">
        <f>TEXT(10758, "[$-060000]yyyy-mm-dd")</f>
        <v/>
      </c>
      <c r="D10759" t="inlineStr">
        <is>
          <t>1348-01-07</t>
        </is>
      </c>
    </row>
    <row r="10760">
      <c r="A10760" s="1" t="n">
        <v>10759</v>
      </c>
      <c r="B10760">
        <f>TEXT(10759, "[$-170000]yyyy-mm-dd")</f>
        <v/>
      </c>
      <c r="C10760">
        <f>TEXT(10759, "[$-060000]yyyy-mm-dd")</f>
        <v/>
      </c>
      <c r="D10760" t="inlineStr">
        <is>
          <t>1348-01-08</t>
        </is>
      </c>
    </row>
    <row r="10761">
      <c r="A10761" s="1" t="n">
        <v>10760</v>
      </c>
      <c r="B10761">
        <f>TEXT(10760, "[$-170000]yyyy-mm-dd")</f>
        <v/>
      </c>
      <c r="C10761">
        <f>TEXT(10760, "[$-060000]yyyy-mm-dd")</f>
        <v/>
      </c>
      <c r="D10761" t="inlineStr">
        <is>
          <t>1348-01-09</t>
        </is>
      </c>
    </row>
    <row r="10762">
      <c r="A10762" s="1" t="n">
        <v>10761</v>
      </c>
      <c r="B10762">
        <f>TEXT(10761, "[$-170000]yyyy-mm-dd")</f>
        <v/>
      </c>
      <c r="C10762">
        <f>TEXT(10761, "[$-060000]yyyy-mm-dd")</f>
        <v/>
      </c>
      <c r="D10762" t="inlineStr">
        <is>
          <t>1348-01-10</t>
        </is>
      </c>
    </row>
    <row r="10763">
      <c r="A10763" s="1" t="n">
        <v>10762</v>
      </c>
      <c r="B10763">
        <f>TEXT(10762, "[$-170000]yyyy-mm-dd")</f>
        <v/>
      </c>
      <c r="C10763">
        <f>TEXT(10762, "[$-060000]yyyy-mm-dd")</f>
        <v/>
      </c>
      <c r="D10763" t="inlineStr">
        <is>
          <t>1348-01-11</t>
        </is>
      </c>
    </row>
    <row r="10764">
      <c r="A10764" s="1" t="n">
        <v>10763</v>
      </c>
      <c r="B10764">
        <f>TEXT(10763, "[$-170000]yyyy-mm-dd")</f>
        <v/>
      </c>
      <c r="C10764">
        <f>TEXT(10763, "[$-060000]yyyy-mm-dd")</f>
        <v/>
      </c>
      <c r="D10764" t="inlineStr">
        <is>
          <t>1348-01-12</t>
        </is>
      </c>
    </row>
    <row r="10765">
      <c r="A10765" s="1" t="n">
        <v>10764</v>
      </c>
      <c r="B10765">
        <f>TEXT(10764, "[$-170000]yyyy-mm-dd")</f>
        <v/>
      </c>
      <c r="C10765">
        <f>TEXT(10764, "[$-060000]yyyy-mm-dd")</f>
        <v/>
      </c>
      <c r="D10765" t="inlineStr">
        <is>
          <t>1348-01-13</t>
        </is>
      </c>
    </row>
    <row r="10766">
      <c r="A10766" s="1" t="n">
        <v>10765</v>
      </c>
      <c r="B10766">
        <f>TEXT(10765, "[$-170000]yyyy-mm-dd")</f>
        <v/>
      </c>
      <c r="C10766">
        <f>TEXT(10765, "[$-060000]yyyy-mm-dd")</f>
        <v/>
      </c>
      <c r="D10766" t="inlineStr">
        <is>
          <t>1348-01-14</t>
        </is>
      </c>
    </row>
    <row r="10767">
      <c r="A10767" s="1" t="n">
        <v>10766</v>
      </c>
      <c r="B10767">
        <f>TEXT(10766, "[$-170000]yyyy-mm-dd")</f>
        <v/>
      </c>
      <c r="C10767">
        <f>TEXT(10766, "[$-060000]yyyy-mm-dd")</f>
        <v/>
      </c>
      <c r="D10767" t="inlineStr">
        <is>
          <t>1348-01-15</t>
        </is>
      </c>
    </row>
    <row r="10768">
      <c r="A10768" s="1" t="n">
        <v>10767</v>
      </c>
      <c r="B10768">
        <f>TEXT(10767, "[$-170000]yyyy-mm-dd")</f>
        <v/>
      </c>
      <c r="C10768">
        <f>TEXT(10767, "[$-060000]yyyy-mm-dd")</f>
        <v/>
      </c>
      <c r="D10768" t="inlineStr">
        <is>
          <t>1348-01-16</t>
        </is>
      </c>
    </row>
    <row r="10769">
      <c r="A10769" s="1" t="n">
        <v>10768</v>
      </c>
      <c r="B10769">
        <f>TEXT(10768, "[$-170000]yyyy-mm-dd")</f>
        <v/>
      </c>
      <c r="C10769">
        <f>TEXT(10768, "[$-060000]yyyy-mm-dd")</f>
        <v/>
      </c>
      <c r="D10769" t="inlineStr">
        <is>
          <t>1348-01-17</t>
        </is>
      </c>
    </row>
    <row r="10770">
      <c r="A10770" s="1" t="n">
        <v>10769</v>
      </c>
      <c r="B10770">
        <f>TEXT(10769, "[$-170000]yyyy-mm-dd")</f>
        <v/>
      </c>
      <c r="C10770">
        <f>TEXT(10769, "[$-060000]yyyy-mm-dd")</f>
        <v/>
      </c>
      <c r="D10770" t="inlineStr">
        <is>
          <t>1348-01-18</t>
        </is>
      </c>
    </row>
    <row r="10771">
      <c r="A10771" s="1" t="n">
        <v>10770</v>
      </c>
      <c r="B10771">
        <f>TEXT(10770, "[$-170000]yyyy-mm-dd")</f>
        <v/>
      </c>
      <c r="C10771">
        <f>TEXT(10770, "[$-060000]yyyy-mm-dd")</f>
        <v/>
      </c>
      <c r="D10771" t="inlineStr">
        <is>
          <t>1348-01-19</t>
        </is>
      </c>
    </row>
    <row r="10772">
      <c r="A10772" s="1" t="n">
        <v>10771</v>
      </c>
      <c r="B10772">
        <f>TEXT(10771, "[$-170000]yyyy-mm-dd")</f>
        <v/>
      </c>
      <c r="C10772">
        <f>TEXT(10771, "[$-060000]yyyy-mm-dd")</f>
        <v/>
      </c>
      <c r="D10772" t="inlineStr">
        <is>
          <t>1348-01-20</t>
        </is>
      </c>
    </row>
    <row r="10773">
      <c r="A10773" s="1" t="n">
        <v>10772</v>
      </c>
      <c r="B10773">
        <f>TEXT(10772, "[$-170000]yyyy-mm-dd")</f>
        <v/>
      </c>
      <c r="C10773">
        <f>TEXT(10772, "[$-060000]yyyy-mm-dd")</f>
        <v/>
      </c>
      <c r="D10773" t="inlineStr">
        <is>
          <t>1348-01-21</t>
        </is>
      </c>
    </row>
    <row r="10774">
      <c r="A10774" s="1" t="n">
        <v>10773</v>
      </c>
      <c r="B10774">
        <f>TEXT(10773, "[$-170000]yyyy-mm-dd")</f>
        <v/>
      </c>
      <c r="C10774">
        <f>TEXT(10773, "[$-060000]yyyy-mm-dd")</f>
        <v/>
      </c>
      <c r="D10774" t="inlineStr">
        <is>
          <t>1348-01-22</t>
        </is>
      </c>
    </row>
    <row r="10775">
      <c r="A10775" s="1" t="n">
        <v>10774</v>
      </c>
      <c r="B10775">
        <f>TEXT(10774, "[$-170000]yyyy-mm-dd")</f>
        <v/>
      </c>
      <c r="C10775">
        <f>TEXT(10774, "[$-060000]yyyy-mm-dd")</f>
        <v/>
      </c>
      <c r="D10775" t="inlineStr">
        <is>
          <t>1348-01-23</t>
        </is>
      </c>
    </row>
    <row r="10776">
      <c r="A10776" s="1" t="n">
        <v>10775</v>
      </c>
      <c r="B10776">
        <f>TEXT(10775, "[$-170000]yyyy-mm-dd")</f>
        <v/>
      </c>
      <c r="C10776">
        <f>TEXT(10775, "[$-060000]yyyy-mm-dd")</f>
        <v/>
      </c>
      <c r="D10776" t="inlineStr">
        <is>
          <t>1348-01-24</t>
        </is>
      </c>
    </row>
    <row r="10777">
      <c r="A10777" s="1" t="n">
        <v>10776</v>
      </c>
      <c r="B10777">
        <f>TEXT(10776, "[$-170000]yyyy-mm-dd")</f>
        <v/>
      </c>
      <c r="C10777">
        <f>TEXT(10776, "[$-060000]yyyy-mm-dd")</f>
        <v/>
      </c>
      <c r="D10777" t="inlineStr">
        <is>
          <t>1348-01-25</t>
        </is>
      </c>
    </row>
    <row r="10778">
      <c r="A10778" s="1" t="n">
        <v>10777</v>
      </c>
      <c r="B10778">
        <f>TEXT(10777, "[$-170000]yyyy-mm-dd")</f>
        <v/>
      </c>
      <c r="C10778">
        <f>TEXT(10777, "[$-060000]yyyy-mm-dd")</f>
        <v/>
      </c>
      <c r="D10778" t="inlineStr">
        <is>
          <t>1348-01-26</t>
        </is>
      </c>
    </row>
    <row r="10779">
      <c r="A10779" s="1" t="n">
        <v>10778</v>
      </c>
      <c r="B10779">
        <f>TEXT(10778, "[$-170000]yyyy-mm-dd")</f>
        <v/>
      </c>
      <c r="C10779">
        <f>TEXT(10778, "[$-060000]yyyy-mm-dd")</f>
        <v/>
      </c>
      <c r="D10779" t="inlineStr">
        <is>
          <t>1348-01-27</t>
        </is>
      </c>
    </row>
    <row r="10780">
      <c r="A10780" s="1" t="n">
        <v>10779</v>
      </c>
      <c r="B10780">
        <f>TEXT(10779, "[$-170000]yyyy-mm-dd")</f>
        <v/>
      </c>
      <c r="C10780">
        <f>TEXT(10779, "[$-060000]yyyy-mm-dd")</f>
        <v/>
      </c>
      <c r="D10780" t="inlineStr">
        <is>
          <t>1348-01-28</t>
        </is>
      </c>
    </row>
    <row r="10781">
      <c r="A10781" s="1" t="n">
        <v>10780</v>
      </c>
      <c r="B10781">
        <f>TEXT(10780, "[$-170000]yyyy-mm-dd")</f>
        <v/>
      </c>
      <c r="C10781">
        <f>TEXT(10780, "[$-060000]yyyy-mm-dd")</f>
        <v/>
      </c>
      <c r="D10781" t="inlineStr">
        <is>
          <t>1348-01-29</t>
        </is>
      </c>
    </row>
    <row r="10782">
      <c r="A10782" s="1" t="n">
        <v>10781</v>
      </c>
      <c r="B10782">
        <f>TEXT(10781, "[$-170000]yyyy-mm-dd")</f>
        <v/>
      </c>
      <c r="C10782">
        <f>TEXT(10781, "[$-060000]yyyy-mm-dd")</f>
        <v/>
      </c>
      <c r="D10782" t="inlineStr">
        <is>
          <t>1348-01-30</t>
        </is>
      </c>
    </row>
    <row r="10783">
      <c r="A10783" s="1" t="n">
        <v>10782</v>
      </c>
      <c r="B10783">
        <f>TEXT(10782, "[$-170000]yyyy-mm-dd")</f>
        <v/>
      </c>
      <c r="C10783">
        <f>TEXT(10782, "[$-060000]yyyy-mm-dd")</f>
        <v/>
      </c>
      <c r="D10783" t="inlineStr">
        <is>
          <t>1348-02-01</t>
        </is>
      </c>
    </row>
    <row r="10784">
      <c r="A10784" s="1" t="n">
        <v>10783</v>
      </c>
      <c r="B10784">
        <f>TEXT(10783, "[$-170000]yyyy-mm-dd")</f>
        <v/>
      </c>
      <c r="C10784">
        <f>TEXT(10783, "[$-060000]yyyy-mm-dd")</f>
        <v/>
      </c>
      <c r="D10784" t="inlineStr">
        <is>
          <t>1348-02-02</t>
        </is>
      </c>
    </row>
    <row r="10785">
      <c r="A10785" s="1" t="n">
        <v>10784</v>
      </c>
      <c r="B10785">
        <f>TEXT(10784, "[$-170000]yyyy-mm-dd")</f>
        <v/>
      </c>
      <c r="C10785">
        <f>TEXT(10784, "[$-060000]yyyy-mm-dd")</f>
        <v/>
      </c>
      <c r="D10785" t="inlineStr">
        <is>
          <t>1348-02-03</t>
        </is>
      </c>
    </row>
    <row r="10786">
      <c r="A10786" s="1" t="n">
        <v>10785</v>
      </c>
      <c r="B10786">
        <f>TEXT(10785, "[$-170000]yyyy-mm-dd")</f>
        <v/>
      </c>
      <c r="C10786">
        <f>TEXT(10785, "[$-060000]yyyy-mm-dd")</f>
        <v/>
      </c>
      <c r="D10786" t="inlineStr">
        <is>
          <t>1348-02-04</t>
        </is>
      </c>
    </row>
    <row r="10787">
      <c r="A10787" s="1" t="n">
        <v>10786</v>
      </c>
      <c r="B10787">
        <f>TEXT(10786, "[$-170000]yyyy-mm-dd")</f>
        <v/>
      </c>
      <c r="C10787">
        <f>TEXT(10786, "[$-060000]yyyy-mm-dd")</f>
        <v/>
      </c>
      <c r="D10787" t="inlineStr">
        <is>
          <t>1348-02-05</t>
        </is>
      </c>
    </row>
    <row r="10788">
      <c r="A10788" s="1" t="n">
        <v>10787</v>
      </c>
      <c r="B10788">
        <f>TEXT(10787, "[$-170000]yyyy-mm-dd")</f>
        <v/>
      </c>
      <c r="C10788">
        <f>TEXT(10787, "[$-060000]yyyy-mm-dd")</f>
        <v/>
      </c>
      <c r="D10788" t="inlineStr">
        <is>
          <t>1348-02-06</t>
        </is>
      </c>
    </row>
    <row r="10789">
      <c r="A10789" s="1" t="n">
        <v>10788</v>
      </c>
      <c r="B10789">
        <f>TEXT(10788, "[$-170000]yyyy-mm-dd")</f>
        <v/>
      </c>
      <c r="C10789">
        <f>TEXT(10788, "[$-060000]yyyy-mm-dd")</f>
        <v/>
      </c>
      <c r="D10789" t="inlineStr">
        <is>
          <t>1348-02-07</t>
        </is>
      </c>
    </row>
    <row r="10790">
      <c r="A10790" s="1" t="n">
        <v>10789</v>
      </c>
      <c r="B10790">
        <f>TEXT(10789, "[$-170000]yyyy-mm-dd")</f>
        <v/>
      </c>
      <c r="C10790">
        <f>TEXT(10789, "[$-060000]yyyy-mm-dd")</f>
        <v/>
      </c>
      <c r="D10790" t="inlineStr">
        <is>
          <t>1348-02-08</t>
        </is>
      </c>
    </row>
    <row r="10791">
      <c r="A10791" s="1" t="n">
        <v>10790</v>
      </c>
      <c r="B10791">
        <f>TEXT(10790, "[$-170000]yyyy-mm-dd")</f>
        <v/>
      </c>
      <c r="C10791">
        <f>TEXT(10790, "[$-060000]yyyy-mm-dd")</f>
        <v/>
      </c>
      <c r="D10791" t="inlineStr">
        <is>
          <t>1348-02-09</t>
        </is>
      </c>
    </row>
    <row r="10792">
      <c r="A10792" s="1" t="n">
        <v>10791</v>
      </c>
      <c r="B10792">
        <f>TEXT(10791, "[$-170000]yyyy-mm-dd")</f>
        <v/>
      </c>
      <c r="C10792">
        <f>TEXT(10791, "[$-060000]yyyy-mm-dd")</f>
        <v/>
      </c>
      <c r="D10792" t="inlineStr">
        <is>
          <t>1348-02-10</t>
        </is>
      </c>
    </row>
    <row r="10793">
      <c r="A10793" s="1" t="n">
        <v>10792</v>
      </c>
      <c r="B10793">
        <f>TEXT(10792, "[$-170000]yyyy-mm-dd")</f>
        <v/>
      </c>
      <c r="C10793">
        <f>TEXT(10792, "[$-060000]yyyy-mm-dd")</f>
        <v/>
      </c>
      <c r="D10793" t="inlineStr">
        <is>
          <t>1348-02-11</t>
        </is>
      </c>
    </row>
    <row r="10794">
      <c r="A10794" s="1" t="n">
        <v>10793</v>
      </c>
      <c r="B10794">
        <f>TEXT(10793, "[$-170000]yyyy-mm-dd")</f>
        <v/>
      </c>
      <c r="C10794">
        <f>TEXT(10793, "[$-060000]yyyy-mm-dd")</f>
        <v/>
      </c>
      <c r="D10794" t="inlineStr">
        <is>
          <t>1348-02-12</t>
        </is>
      </c>
    </row>
    <row r="10795">
      <c r="A10795" s="1" t="n">
        <v>10794</v>
      </c>
      <c r="B10795">
        <f>TEXT(10794, "[$-170000]yyyy-mm-dd")</f>
        <v/>
      </c>
      <c r="C10795">
        <f>TEXT(10794, "[$-060000]yyyy-mm-dd")</f>
        <v/>
      </c>
      <c r="D10795" t="inlineStr">
        <is>
          <t>1348-02-13</t>
        </is>
      </c>
    </row>
    <row r="10796">
      <c r="A10796" s="1" t="n">
        <v>10795</v>
      </c>
      <c r="B10796">
        <f>TEXT(10795, "[$-170000]yyyy-mm-dd")</f>
        <v/>
      </c>
      <c r="C10796">
        <f>TEXT(10795, "[$-060000]yyyy-mm-dd")</f>
        <v/>
      </c>
      <c r="D10796" t="inlineStr">
        <is>
          <t>1348-02-14</t>
        </is>
      </c>
    </row>
    <row r="10797">
      <c r="A10797" s="1" t="n">
        <v>10796</v>
      </c>
      <c r="B10797">
        <f>TEXT(10796, "[$-170000]yyyy-mm-dd")</f>
        <v/>
      </c>
      <c r="C10797">
        <f>TEXT(10796, "[$-060000]yyyy-mm-dd")</f>
        <v/>
      </c>
      <c r="D10797" t="inlineStr">
        <is>
          <t>1348-02-15</t>
        </is>
      </c>
    </row>
    <row r="10798">
      <c r="A10798" s="1" t="n">
        <v>10797</v>
      </c>
      <c r="B10798">
        <f>TEXT(10797, "[$-170000]yyyy-mm-dd")</f>
        <v/>
      </c>
      <c r="C10798">
        <f>TEXT(10797, "[$-060000]yyyy-mm-dd")</f>
        <v/>
      </c>
      <c r="D10798" t="inlineStr">
        <is>
          <t>1348-02-16</t>
        </is>
      </c>
    </row>
    <row r="10799">
      <c r="A10799" s="1" t="n">
        <v>10798</v>
      </c>
      <c r="B10799">
        <f>TEXT(10798, "[$-170000]yyyy-mm-dd")</f>
        <v/>
      </c>
      <c r="C10799">
        <f>TEXT(10798, "[$-060000]yyyy-mm-dd")</f>
        <v/>
      </c>
      <c r="D10799" t="inlineStr">
        <is>
          <t>1348-02-17</t>
        </is>
      </c>
    </row>
    <row r="10800">
      <c r="A10800" s="1" t="n">
        <v>10799</v>
      </c>
      <c r="B10800">
        <f>TEXT(10799, "[$-170000]yyyy-mm-dd")</f>
        <v/>
      </c>
      <c r="C10800">
        <f>TEXT(10799, "[$-060000]yyyy-mm-dd")</f>
        <v/>
      </c>
      <c r="D10800" t="inlineStr">
        <is>
          <t>1348-02-18</t>
        </is>
      </c>
    </row>
    <row r="10801">
      <c r="A10801" s="1" t="n">
        <v>10800</v>
      </c>
      <c r="B10801">
        <f>TEXT(10800, "[$-170000]yyyy-mm-dd")</f>
        <v/>
      </c>
      <c r="C10801">
        <f>TEXT(10800, "[$-060000]yyyy-mm-dd")</f>
        <v/>
      </c>
      <c r="D10801" t="inlineStr">
        <is>
          <t>1348-02-19</t>
        </is>
      </c>
    </row>
    <row r="10802">
      <c r="A10802" s="1" t="n">
        <v>10801</v>
      </c>
      <c r="B10802">
        <f>TEXT(10801, "[$-170000]yyyy-mm-dd")</f>
        <v/>
      </c>
      <c r="C10802">
        <f>TEXT(10801, "[$-060000]yyyy-mm-dd")</f>
        <v/>
      </c>
      <c r="D10802" t="inlineStr">
        <is>
          <t>1348-02-20</t>
        </is>
      </c>
    </row>
    <row r="10803">
      <c r="A10803" s="1" t="n">
        <v>10802</v>
      </c>
      <c r="B10803">
        <f>TEXT(10802, "[$-170000]yyyy-mm-dd")</f>
        <v/>
      </c>
      <c r="C10803">
        <f>TEXT(10802, "[$-060000]yyyy-mm-dd")</f>
        <v/>
      </c>
      <c r="D10803" t="inlineStr">
        <is>
          <t>1348-02-21</t>
        </is>
      </c>
    </row>
    <row r="10804">
      <c r="A10804" s="1" t="n">
        <v>10803</v>
      </c>
      <c r="B10804">
        <f>TEXT(10803, "[$-170000]yyyy-mm-dd")</f>
        <v/>
      </c>
      <c r="C10804">
        <f>TEXT(10803, "[$-060000]yyyy-mm-dd")</f>
        <v/>
      </c>
      <c r="D10804" t="inlineStr">
        <is>
          <t>1348-02-22</t>
        </is>
      </c>
    </row>
    <row r="10805">
      <c r="A10805" s="1" t="n">
        <v>10804</v>
      </c>
      <c r="B10805">
        <f>TEXT(10804, "[$-170000]yyyy-mm-dd")</f>
        <v/>
      </c>
      <c r="C10805">
        <f>TEXT(10804, "[$-060000]yyyy-mm-dd")</f>
        <v/>
      </c>
      <c r="D10805" t="inlineStr">
        <is>
          <t>1348-02-23</t>
        </is>
      </c>
    </row>
    <row r="10806">
      <c r="A10806" s="1" t="n">
        <v>10805</v>
      </c>
      <c r="B10806">
        <f>TEXT(10805, "[$-170000]yyyy-mm-dd")</f>
        <v/>
      </c>
      <c r="C10806">
        <f>TEXT(10805, "[$-060000]yyyy-mm-dd")</f>
        <v/>
      </c>
      <c r="D10806" t="inlineStr">
        <is>
          <t>1348-02-24</t>
        </is>
      </c>
    </row>
    <row r="10807">
      <c r="A10807" s="1" t="n">
        <v>10806</v>
      </c>
      <c r="B10807">
        <f>TEXT(10806, "[$-170000]yyyy-mm-dd")</f>
        <v/>
      </c>
      <c r="C10807">
        <f>TEXT(10806, "[$-060000]yyyy-mm-dd")</f>
        <v/>
      </c>
      <c r="D10807" t="inlineStr">
        <is>
          <t>1348-02-25</t>
        </is>
      </c>
    </row>
    <row r="10808">
      <c r="A10808" s="1" t="n">
        <v>10807</v>
      </c>
      <c r="B10808">
        <f>TEXT(10807, "[$-170000]yyyy-mm-dd")</f>
        <v/>
      </c>
      <c r="C10808">
        <f>TEXT(10807, "[$-060000]yyyy-mm-dd")</f>
        <v/>
      </c>
      <c r="D10808" t="inlineStr">
        <is>
          <t>1348-02-26</t>
        </is>
      </c>
    </row>
    <row r="10809">
      <c r="A10809" s="1" t="n">
        <v>10808</v>
      </c>
      <c r="B10809">
        <f>TEXT(10808, "[$-170000]yyyy-mm-dd")</f>
        <v/>
      </c>
      <c r="C10809">
        <f>TEXT(10808, "[$-060000]yyyy-mm-dd")</f>
        <v/>
      </c>
      <c r="D10809" t="inlineStr">
        <is>
          <t>1348-02-27</t>
        </is>
      </c>
    </row>
    <row r="10810">
      <c r="A10810" s="1" t="n">
        <v>10809</v>
      </c>
      <c r="B10810">
        <f>TEXT(10809, "[$-170000]yyyy-mm-dd")</f>
        <v/>
      </c>
      <c r="C10810">
        <f>TEXT(10809, "[$-060000]yyyy-mm-dd")</f>
        <v/>
      </c>
      <c r="D10810" t="inlineStr">
        <is>
          <t>1348-02-28</t>
        </is>
      </c>
    </row>
    <row r="10811">
      <c r="A10811" s="1" t="n">
        <v>10810</v>
      </c>
      <c r="B10811">
        <f>TEXT(10810, "[$-170000]yyyy-mm-dd")</f>
        <v/>
      </c>
      <c r="C10811">
        <f>TEXT(10810, "[$-060000]yyyy-mm-dd")</f>
        <v/>
      </c>
      <c r="D10811" t="inlineStr">
        <is>
          <t>1348-02-29</t>
        </is>
      </c>
    </row>
    <row r="10812">
      <c r="A10812" s="1" t="n">
        <v>10811</v>
      </c>
      <c r="B10812">
        <f>TEXT(10811, "[$-170000]yyyy-mm-dd")</f>
        <v/>
      </c>
      <c r="C10812">
        <f>TEXT(10811, "[$-060000]yyyy-mm-dd")</f>
        <v/>
      </c>
      <c r="D10812" t="inlineStr">
        <is>
          <t>1348-03-01</t>
        </is>
      </c>
    </row>
    <row r="10813">
      <c r="A10813" s="1" t="n">
        <v>10812</v>
      </c>
      <c r="B10813">
        <f>TEXT(10812, "[$-170000]yyyy-mm-dd")</f>
        <v/>
      </c>
      <c r="C10813">
        <f>TEXT(10812, "[$-060000]yyyy-mm-dd")</f>
        <v/>
      </c>
      <c r="D10813" t="inlineStr">
        <is>
          <t>1348-03-02</t>
        </is>
      </c>
    </row>
    <row r="10814">
      <c r="A10814" s="1" t="n">
        <v>10813</v>
      </c>
      <c r="B10814">
        <f>TEXT(10813, "[$-170000]yyyy-mm-dd")</f>
        <v/>
      </c>
      <c r="C10814">
        <f>TEXT(10813, "[$-060000]yyyy-mm-dd")</f>
        <v/>
      </c>
      <c r="D10814" t="inlineStr">
        <is>
          <t>1348-03-03</t>
        </is>
      </c>
    </row>
    <row r="10815">
      <c r="A10815" s="1" t="n">
        <v>10814</v>
      </c>
      <c r="B10815">
        <f>TEXT(10814, "[$-170000]yyyy-mm-dd")</f>
        <v/>
      </c>
      <c r="C10815">
        <f>TEXT(10814, "[$-060000]yyyy-mm-dd")</f>
        <v/>
      </c>
      <c r="D10815" t="inlineStr">
        <is>
          <t>1348-03-04</t>
        </is>
      </c>
    </row>
    <row r="10816">
      <c r="A10816" s="1" t="n">
        <v>10815</v>
      </c>
      <c r="B10816">
        <f>TEXT(10815, "[$-170000]yyyy-mm-dd")</f>
        <v/>
      </c>
      <c r="C10816">
        <f>TEXT(10815, "[$-060000]yyyy-mm-dd")</f>
        <v/>
      </c>
      <c r="D10816" t="inlineStr">
        <is>
          <t>1348-03-05</t>
        </is>
      </c>
    </row>
    <row r="10817">
      <c r="A10817" s="1" t="n">
        <v>10816</v>
      </c>
      <c r="B10817">
        <f>TEXT(10816, "[$-170000]yyyy-mm-dd")</f>
        <v/>
      </c>
      <c r="C10817">
        <f>TEXT(10816, "[$-060000]yyyy-mm-dd")</f>
        <v/>
      </c>
      <c r="D10817" t="inlineStr">
        <is>
          <t>1348-03-06</t>
        </is>
      </c>
    </row>
    <row r="10818">
      <c r="A10818" s="1" t="n">
        <v>10817</v>
      </c>
      <c r="B10818">
        <f>TEXT(10817, "[$-170000]yyyy-mm-dd")</f>
        <v/>
      </c>
      <c r="C10818">
        <f>TEXT(10817, "[$-060000]yyyy-mm-dd")</f>
        <v/>
      </c>
      <c r="D10818" t="inlineStr">
        <is>
          <t>1348-03-07</t>
        </is>
      </c>
    </row>
    <row r="10819">
      <c r="A10819" s="1" t="n">
        <v>10818</v>
      </c>
      <c r="B10819">
        <f>TEXT(10818, "[$-170000]yyyy-mm-dd")</f>
        <v/>
      </c>
      <c r="C10819">
        <f>TEXT(10818, "[$-060000]yyyy-mm-dd")</f>
        <v/>
      </c>
      <c r="D10819" t="inlineStr">
        <is>
          <t>1348-03-08</t>
        </is>
      </c>
    </row>
    <row r="10820">
      <c r="A10820" s="1" t="n">
        <v>10819</v>
      </c>
      <c r="B10820">
        <f>TEXT(10819, "[$-170000]yyyy-mm-dd")</f>
        <v/>
      </c>
      <c r="C10820">
        <f>TEXT(10819, "[$-060000]yyyy-mm-dd")</f>
        <v/>
      </c>
      <c r="D10820" t="inlineStr">
        <is>
          <t>1348-03-09</t>
        </is>
      </c>
    </row>
    <row r="10821">
      <c r="A10821" s="1" t="n">
        <v>10820</v>
      </c>
      <c r="B10821">
        <f>TEXT(10820, "[$-170000]yyyy-mm-dd")</f>
        <v/>
      </c>
      <c r="C10821">
        <f>TEXT(10820, "[$-060000]yyyy-mm-dd")</f>
        <v/>
      </c>
      <c r="D10821" t="inlineStr">
        <is>
          <t>1348-03-10</t>
        </is>
      </c>
    </row>
    <row r="10822">
      <c r="A10822" s="1" t="n">
        <v>10821</v>
      </c>
      <c r="B10822">
        <f>TEXT(10821, "[$-170000]yyyy-mm-dd")</f>
        <v/>
      </c>
      <c r="C10822">
        <f>TEXT(10821, "[$-060000]yyyy-mm-dd")</f>
        <v/>
      </c>
      <c r="D10822" t="inlineStr">
        <is>
          <t>1348-03-11</t>
        </is>
      </c>
    </row>
    <row r="10823">
      <c r="A10823" s="1" t="n">
        <v>10822</v>
      </c>
      <c r="B10823">
        <f>TEXT(10822, "[$-170000]yyyy-mm-dd")</f>
        <v/>
      </c>
      <c r="C10823">
        <f>TEXT(10822, "[$-060000]yyyy-mm-dd")</f>
        <v/>
      </c>
      <c r="D10823" t="inlineStr">
        <is>
          <t>1348-03-12</t>
        </is>
      </c>
    </row>
    <row r="10824">
      <c r="A10824" s="1" t="n">
        <v>10823</v>
      </c>
      <c r="B10824">
        <f>TEXT(10823, "[$-170000]yyyy-mm-dd")</f>
        <v/>
      </c>
      <c r="C10824">
        <f>TEXT(10823, "[$-060000]yyyy-mm-dd")</f>
        <v/>
      </c>
      <c r="D10824" t="inlineStr">
        <is>
          <t>1348-03-13</t>
        </is>
      </c>
    </row>
    <row r="10825">
      <c r="A10825" s="1" t="n">
        <v>10824</v>
      </c>
      <c r="B10825">
        <f>TEXT(10824, "[$-170000]yyyy-mm-dd")</f>
        <v/>
      </c>
      <c r="C10825">
        <f>TEXT(10824, "[$-060000]yyyy-mm-dd")</f>
        <v/>
      </c>
      <c r="D10825" t="inlineStr">
        <is>
          <t>1348-03-14</t>
        </is>
      </c>
    </row>
    <row r="10826">
      <c r="A10826" s="1" t="n">
        <v>10825</v>
      </c>
      <c r="B10826">
        <f>TEXT(10825, "[$-170000]yyyy-mm-dd")</f>
        <v/>
      </c>
      <c r="C10826">
        <f>TEXT(10825, "[$-060000]yyyy-mm-dd")</f>
        <v/>
      </c>
      <c r="D10826" t="inlineStr">
        <is>
          <t>1348-03-15</t>
        </is>
      </c>
    </row>
    <row r="10827">
      <c r="A10827" s="1" t="n">
        <v>10826</v>
      </c>
      <c r="B10827">
        <f>TEXT(10826, "[$-170000]yyyy-mm-dd")</f>
        <v/>
      </c>
      <c r="C10827">
        <f>TEXT(10826, "[$-060000]yyyy-mm-dd")</f>
        <v/>
      </c>
      <c r="D10827" t="inlineStr">
        <is>
          <t>1348-03-16</t>
        </is>
      </c>
    </row>
    <row r="10828">
      <c r="A10828" s="1" t="n">
        <v>10827</v>
      </c>
      <c r="B10828">
        <f>TEXT(10827, "[$-170000]yyyy-mm-dd")</f>
        <v/>
      </c>
      <c r="C10828">
        <f>TEXT(10827, "[$-060000]yyyy-mm-dd")</f>
        <v/>
      </c>
      <c r="D10828" t="inlineStr">
        <is>
          <t>1348-03-17</t>
        </is>
      </c>
    </row>
    <row r="10829">
      <c r="A10829" s="1" t="n">
        <v>10828</v>
      </c>
      <c r="B10829">
        <f>TEXT(10828, "[$-170000]yyyy-mm-dd")</f>
        <v/>
      </c>
      <c r="C10829">
        <f>TEXT(10828, "[$-060000]yyyy-mm-dd")</f>
        <v/>
      </c>
      <c r="D10829" t="inlineStr">
        <is>
          <t>1348-03-18</t>
        </is>
      </c>
    </row>
    <row r="10830">
      <c r="A10830" s="1" t="n">
        <v>10829</v>
      </c>
      <c r="B10830">
        <f>TEXT(10829, "[$-170000]yyyy-mm-dd")</f>
        <v/>
      </c>
      <c r="C10830">
        <f>TEXT(10829, "[$-060000]yyyy-mm-dd")</f>
        <v/>
      </c>
      <c r="D10830" t="inlineStr">
        <is>
          <t>1348-03-19</t>
        </is>
      </c>
    </row>
    <row r="10831">
      <c r="A10831" s="1" t="n">
        <v>10830</v>
      </c>
      <c r="B10831">
        <f>TEXT(10830, "[$-170000]yyyy-mm-dd")</f>
        <v/>
      </c>
      <c r="C10831">
        <f>TEXT(10830, "[$-060000]yyyy-mm-dd")</f>
        <v/>
      </c>
      <c r="D10831" t="inlineStr">
        <is>
          <t>1348-03-20</t>
        </is>
      </c>
    </row>
    <row r="10832">
      <c r="A10832" s="1" t="n">
        <v>10831</v>
      </c>
      <c r="B10832">
        <f>TEXT(10831, "[$-170000]yyyy-mm-dd")</f>
        <v/>
      </c>
      <c r="C10832">
        <f>TEXT(10831, "[$-060000]yyyy-mm-dd")</f>
        <v/>
      </c>
      <c r="D10832" t="inlineStr">
        <is>
          <t>1348-03-21</t>
        </is>
      </c>
    </row>
    <row r="10833">
      <c r="A10833" s="1" t="n">
        <v>10832</v>
      </c>
      <c r="B10833">
        <f>TEXT(10832, "[$-170000]yyyy-mm-dd")</f>
        <v/>
      </c>
      <c r="C10833">
        <f>TEXT(10832, "[$-060000]yyyy-mm-dd")</f>
        <v/>
      </c>
      <c r="D10833" t="inlineStr">
        <is>
          <t>1348-03-22</t>
        </is>
      </c>
    </row>
    <row r="10834">
      <c r="A10834" s="1" t="n">
        <v>10833</v>
      </c>
      <c r="B10834">
        <f>TEXT(10833, "[$-170000]yyyy-mm-dd")</f>
        <v/>
      </c>
      <c r="C10834">
        <f>TEXT(10833, "[$-060000]yyyy-mm-dd")</f>
        <v/>
      </c>
      <c r="D10834" t="inlineStr">
        <is>
          <t>1348-03-23</t>
        </is>
      </c>
    </row>
    <row r="10835">
      <c r="A10835" s="1" t="n">
        <v>10834</v>
      </c>
      <c r="B10835">
        <f>TEXT(10834, "[$-170000]yyyy-mm-dd")</f>
        <v/>
      </c>
      <c r="C10835">
        <f>TEXT(10834, "[$-060000]yyyy-mm-dd")</f>
        <v/>
      </c>
      <c r="D10835" t="inlineStr">
        <is>
          <t>1348-03-24</t>
        </is>
      </c>
    </row>
    <row r="10836">
      <c r="A10836" s="1" t="n">
        <v>10835</v>
      </c>
      <c r="B10836">
        <f>TEXT(10835, "[$-170000]yyyy-mm-dd")</f>
        <v/>
      </c>
      <c r="C10836">
        <f>TEXT(10835, "[$-060000]yyyy-mm-dd")</f>
        <v/>
      </c>
      <c r="D10836" t="inlineStr">
        <is>
          <t>1348-03-25</t>
        </is>
      </c>
    </row>
    <row r="10837">
      <c r="A10837" s="1" t="n">
        <v>10836</v>
      </c>
      <c r="B10837">
        <f>TEXT(10836, "[$-170000]yyyy-mm-dd")</f>
        <v/>
      </c>
      <c r="C10837">
        <f>TEXT(10836, "[$-060000]yyyy-mm-dd")</f>
        <v/>
      </c>
      <c r="D10837" t="inlineStr">
        <is>
          <t>1348-03-26</t>
        </is>
      </c>
    </row>
    <row r="10838">
      <c r="A10838" s="1" t="n">
        <v>10837</v>
      </c>
      <c r="B10838">
        <f>TEXT(10837, "[$-170000]yyyy-mm-dd")</f>
        <v/>
      </c>
      <c r="C10838">
        <f>TEXT(10837, "[$-060000]yyyy-mm-dd")</f>
        <v/>
      </c>
      <c r="D10838" t="inlineStr">
        <is>
          <t>1348-03-27</t>
        </is>
      </c>
    </row>
    <row r="10839">
      <c r="A10839" s="1" t="n">
        <v>10838</v>
      </c>
      <c r="B10839">
        <f>TEXT(10838, "[$-170000]yyyy-mm-dd")</f>
        <v/>
      </c>
      <c r="C10839">
        <f>TEXT(10838, "[$-060000]yyyy-mm-dd")</f>
        <v/>
      </c>
      <c r="D10839" t="inlineStr">
        <is>
          <t>1348-03-28</t>
        </is>
      </c>
    </row>
    <row r="10840">
      <c r="A10840" s="1" t="n">
        <v>10839</v>
      </c>
      <c r="B10840">
        <f>TEXT(10839, "[$-170000]yyyy-mm-dd")</f>
        <v/>
      </c>
      <c r="C10840">
        <f>TEXT(10839, "[$-060000]yyyy-mm-dd")</f>
        <v/>
      </c>
      <c r="D10840" t="inlineStr">
        <is>
          <t>1348-03-29</t>
        </is>
      </c>
    </row>
    <row r="10841">
      <c r="A10841" s="1" t="n">
        <v>10840</v>
      </c>
      <c r="B10841">
        <f>TEXT(10840, "[$-170000]yyyy-mm-dd")</f>
        <v/>
      </c>
      <c r="C10841">
        <f>TEXT(10840, "[$-060000]yyyy-mm-dd")</f>
        <v/>
      </c>
      <c r="D10841" t="inlineStr">
        <is>
          <t>1348-03-30</t>
        </is>
      </c>
    </row>
    <row r="10842">
      <c r="A10842" s="1" t="n">
        <v>10841</v>
      </c>
      <c r="B10842">
        <f>TEXT(10841, "[$-170000]yyyy-mm-dd")</f>
        <v/>
      </c>
      <c r="C10842">
        <f>TEXT(10841, "[$-060000]yyyy-mm-dd")</f>
        <v/>
      </c>
      <c r="D10842" t="inlineStr">
        <is>
          <t>1348-04-01</t>
        </is>
      </c>
    </row>
    <row r="10843">
      <c r="A10843" s="1" t="n">
        <v>10842</v>
      </c>
      <c r="B10843">
        <f>TEXT(10842, "[$-170000]yyyy-mm-dd")</f>
        <v/>
      </c>
      <c r="C10843">
        <f>TEXT(10842, "[$-060000]yyyy-mm-dd")</f>
        <v/>
      </c>
      <c r="D10843" t="inlineStr">
        <is>
          <t>1348-04-02</t>
        </is>
      </c>
    </row>
    <row r="10844">
      <c r="A10844" s="1" t="n">
        <v>10843</v>
      </c>
      <c r="B10844">
        <f>TEXT(10843, "[$-170000]yyyy-mm-dd")</f>
        <v/>
      </c>
      <c r="C10844">
        <f>TEXT(10843, "[$-060000]yyyy-mm-dd")</f>
        <v/>
      </c>
      <c r="D10844" t="inlineStr">
        <is>
          <t>1348-04-03</t>
        </is>
      </c>
    </row>
    <row r="10845">
      <c r="A10845" s="1" t="n">
        <v>10844</v>
      </c>
      <c r="B10845">
        <f>TEXT(10844, "[$-170000]yyyy-mm-dd")</f>
        <v/>
      </c>
      <c r="C10845">
        <f>TEXT(10844, "[$-060000]yyyy-mm-dd")</f>
        <v/>
      </c>
      <c r="D10845" t="inlineStr">
        <is>
          <t>1348-04-04</t>
        </is>
      </c>
    </row>
    <row r="10846">
      <c r="A10846" s="1" t="n">
        <v>10845</v>
      </c>
      <c r="B10846">
        <f>TEXT(10845, "[$-170000]yyyy-mm-dd")</f>
        <v/>
      </c>
      <c r="C10846">
        <f>TEXT(10845, "[$-060000]yyyy-mm-dd")</f>
        <v/>
      </c>
      <c r="D10846" t="inlineStr">
        <is>
          <t>1348-04-05</t>
        </is>
      </c>
    </row>
    <row r="10847">
      <c r="A10847" s="1" t="n">
        <v>10846</v>
      </c>
      <c r="B10847">
        <f>TEXT(10846, "[$-170000]yyyy-mm-dd")</f>
        <v/>
      </c>
      <c r="C10847">
        <f>TEXT(10846, "[$-060000]yyyy-mm-dd")</f>
        <v/>
      </c>
      <c r="D10847" t="inlineStr">
        <is>
          <t>1348-04-06</t>
        </is>
      </c>
    </row>
    <row r="10848">
      <c r="A10848" s="1" t="n">
        <v>10847</v>
      </c>
      <c r="B10848">
        <f>TEXT(10847, "[$-170000]yyyy-mm-dd")</f>
        <v/>
      </c>
      <c r="C10848">
        <f>TEXT(10847, "[$-060000]yyyy-mm-dd")</f>
        <v/>
      </c>
      <c r="D10848" t="inlineStr">
        <is>
          <t>1348-04-07</t>
        </is>
      </c>
    </row>
    <row r="10849">
      <c r="A10849" s="1" t="n">
        <v>10848</v>
      </c>
      <c r="B10849">
        <f>TEXT(10848, "[$-170000]yyyy-mm-dd")</f>
        <v/>
      </c>
      <c r="C10849">
        <f>TEXT(10848, "[$-060000]yyyy-mm-dd")</f>
        <v/>
      </c>
      <c r="D10849" t="inlineStr">
        <is>
          <t>1348-04-08</t>
        </is>
      </c>
    </row>
    <row r="10850">
      <c r="A10850" s="1" t="n">
        <v>10849</v>
      </c>
      <c r="B10850">
        <f>TEXT(10849, "[$-170000]yyyy-mm-dd")</f>
        <v/>
      </c>
      <c r="C10850">
        <f>TEXT(10849, "[$-060000]yyyy-mm-dd")</f>
        <v/>
      </c>
      <c r="D10850" t="inlineStr">
        <is>
          <t>1348-04-09</t>
        </is>
      </c>
    </row>
    <row r="10851">
      <c r="A10851" s="1" t="n">
        <v>10850</v>
      </c>
      <c r="B10851">
        <f>TEXT(10850, "[$-170000]yyyy-mm-dd")</f>
        <v/>
      </c>
      <c r="C10851">
        <f>TEXT(10850, "[$-060000]yyyy-mm-dd")</f>
        <v/>
      </c>
      <c r="D10851" t="inlineStr">
        <is>
          <t>1348-04-10</t>
        </is>
      </c>
    </row>
    <row r="10852">
      <c r="A10852" s="1" t="n">
        <v>10851</v>
      </c>
      <c r="B10852">
        <f>TEXT(10851, "[$-170000]yyyy-mm-dd")</f>
        <v/>
      </c>
      <c r="C10852">
        <f>TEXT(10851, "[$-060000]yyyy-mm-dd")</f>
        <v/>
      </c>
      <c r="D10852" t="inlineStr">
        <is>
          <t>1348-04-11</t>
        </is>
      </c>
    </row>
    <row r="10853">
      <c r="A10853" s="1" t="n">
        <v>10852</v>
      </c>
      <c r="B10853">
        <f>TEXT(10852, "[$-170000]yyyy-mm-dd")</f>
        <v/>
      </c>
      <c r="C10853">
        <f>TEXT(10852, "[$-060000]yyyy-mm-dd")</f>
        <v/>
      </c>
      <c r="D10853" t="inlineStr">
        <is>
          <t>1348-04-12</t>
        </is>
      </c>
    </row>
    <row r="10854">
      <c r="A10854" s="1" t="n">
        <v>10853</v>
      </c>
      <c r="B10854">
        <f>TEXT(10853, "[$-170000]yyyy-mm-dd")</f>
        <v/>
      </c>
      <c r="C10854">
        <f>TEXT(10853, "[$-060000]yyyy-mm-dd")</f>
        <v/>
      </c>
      <c r="D10854" t="inlineStr">
        <is>
          <t>1348-04-13</t>
        </is>
      </c>
    </row>
    <row r="10855">
      <c r="A10855" s="1" t="n">
        <v>10854</v>
      </c>
      <c r="B10855">
        <f>TEXT(10854, "[$-170000]yyyy-mm-dd")</f>
        <v/>
      </c>
      <c r="C10855">
        <f>TEXT(10854, "[$-060000]yyyy-mm-dd")</f>
        <v/>
      </c>
      <c r="D10855" t="inlineStr">
        <is>
          <t>1348-04-14</t>
        </is>
      </c>
    </row>
    <row r="10856">
      <c r="A10856" s="1" t="n">
        <v>10855</v>
      </c>
      <c r="B10856">
        <f>TEXT(10855, "[$-170000]yyyy-mm-dd")</f>
        <v/>
      </c>
      <c r="C10856">
        <f>TEXT(10855, "[$-060000]yyyy-mm-dd")</f>
        <v/>
      </c>
      <c r="D10856" t="inlineStr">
        <is>
          <t>1348-04-15</t>
        </is>
      </c>
    </row>
    <row r="10857">
      <c r="A10857" s="1" t="n">
        <v>10856</v>
      </c>
      <c r="B10857">
        <f>TEXT(10856, "[$-170000]yyyy-mm-dd")</f>
        <v/>
      </c>
      <c r="C10857">
        <f>TEXT(10856, "[$-060000]yyyy-mm-dd")</f>
        <v/>
      </c>
      <c r="D10857" t="inlineStr">
        <is>
          <t>1348-04-16</t>
        </is>
      </c>
    </row>
    <row r="10858">
      <c r="A10858" s="1" t="n">
        <v>10857</v>
      </c>
      <c r="B10858">
        <f>TEXT(10857, "[$-170000]yyyy-mm-dd")</f>
        <v/>
      </c>
      <c r="C10858">
        <f>TEXT(10857, "[$-060000]yyyy-mm-dd")</f>
        <v/>
      </c>
      <c r="D10858" t="inlineStr">
        <is>
          <t>1348-04-17</t>
        </is>
      </c>
    </row>
    <row r="10859">
      <c r="A10859" s="1" t="n">
        <v>10858</v>
      </c>
      <c r="B10859">
        <f>TEXT(10858, "[$-170000]yyyy-mm-dd")</f>
        <v/>
      </c>
      <c r="C10859">
        <f>TEXT(10858, "[$-060000]yyyy-mm-dd")</f>
        <v/>
      </c>
      <c r="D10859" t="inlineStr">
        <is>
          <t>1348-04-18</t>
        </is>
      </c>
    </row>
    <row r="10860">
      <c r="A10860" s="1" t="n">
        <v>10859</v>
      </c>
      <c r="B10860">
        <f>TEXT(10859, "[$-170000]yyyy-mm-dd")</f>
        <v/>
      </c>
      <c r="C10860">
        <f>TEXT(10859, "[$-060000]yyyy-mm-dd")</f>
        <v/>
      </c>
      <c r="D10860" t="inlineStr">
        <is>
          <t>1348-04-19</t>
        </is>
      </c>
    </row>
    <row r="10861">
      <c r="A10861" s="1" t="n">
        <v>10860</v>
      </c>
      <c r="B10861">
        <f>TEXT(10860, "[$-170000]yyyy-mm-dd")</f>
        <v/>
      </c>
      <c r="C10861">
        <f>TEXT(10860, "[$-060000]yyyy-mm-dd")</f>
        <v/>
      </c>
      <c r="D10861" t="inlineStr">
        <is>
          <t>1348-04-20</t>
        </is>
      </c>
    </row>
    <row r="10862">
      <c r="A10862" s="1" t="n">
        <v>10861</v>
      </c>
      <c r="B10862">
        <f>TEXT(10861, "[$-170000]yyyy-mm-dd")</f>
        <v/>
      </c>
      <c r="C10862">
        <f>TEXT(10861, "[$-060000]yyyy-mm-dd")</f>
        <v/>
      </c>
      <c r="D10862" t="inlineStr">
        <is>
          <t>1348-04-21</t>
        </is>
      </c>
    </row>
    <row r="10863">
      <c r="A10863" s="1" t="n">
        <v>10862</v>
      </c>
      <c r="B10863">
        <f>TEXT(10862, "[$-170000]yyyy-mm-dd")</f>
        <v/>
      </c>
      <c r="C10863">
        <f>TEXT(10862, "[$-060000]yyyy-mm-dd")</f>
        <v/>
      </c>
      <c r="D10863" t="inlineStr">
        <is>
          <t>1348-04-22</t>
        </is>
      </c>
    </row>
    <row r="10864">
      <c r="A10864" s="1" t="n">
        <v>10863</v>
      </c>
      <c r="B10864">
        <f>TEXT(10863, "[$-170000]yyyy-mm-dd")</f>
        <v/>
      </c>
      <c r="C10864">
        <f>TEXT(10863, "[$-060000]yyyy-mm-dd")</f>
        <v/>
      </c>
      <c r="D10864" t="inlineStr">
        <is>
          <t>1348-04-23</t>
        </is>
      </c>
    </row>
    <row r="10865">
      <c r="A10865" s="1" t="n">
        <v>10864</v>
      </c>
      <c r="B10865">
        <f>TEXT(10864, "[$-170000]yyyy-mm-dd")</f>
        <v/>
      </c>
      <c r="C10865">
        <f>TEXT(10864, "[$-060000]yyyy-mm-dd")</f>
        <v/>
      </c>
      <c r="D10865" t="inlineStr">
        <is>
          <t>1348-04-24</t>
        </is>
      </c>
    </row>
    <row r="10866">
      <c r="A10866" s="1" t="n">
        <v>10865</v>
      </c>
      <c r="B10866">
        <f>TEXT(10865, "[$-170000]yyyy-mm-dd")</f>
        <v/>
      </c>
      <c r="C10866">
        <f>TEXT(10865, "[$-060000]yyyy-mm-dd")</f>
        <v/>
      </c>
      <c r="D10866" t="inlineStr">
        <is>
          <t>1348-04-25</t>
        </is>
      </c>
    </row>
    <row r="10867">
      <c r="A10867" s="1" t="n">
        <v>10866</v>
      </c>
      <c r="B10867">
        <f>TEXT(10866, "[$-170000]yyyy-mm-dd")</f>
        <v/>
      </c>
      <c r="C10867">
        <f>TEXT(10866, "[$-060000]yyyy-mm-dd")</f>
        <v/>
      </c>
      <c r="D10867" t="inlineStr">
        <is>
          <t>1348-04-26</t>
        </is>
      </c>
    </row>
    <row r="10868">
      <c r="A10868" s="1" t="n">
        <v>10867</v>
      </c>
      <c r="B10868">
        <f>TEXT(10867, "[$-170000]yyyy-mm-dd")</f>
        <v/>
      </c>
      <c r="C10868">
        <f>TEXT(10867, "[$-060000]yyyy-mm-dd")</f>
        <v/>
      </c>
      <c r="D10868" t="inlineStr">
        <is>
          <t>1348-04-27</t>
        </is>
      </c>
    </row>
    <row r="10869">
      <c r="A10869" s="1" t="n">
        <v>10868</v>
      </c>
      <c r="B10869">
        <f>TEXT(10868, "[$-170000]yyyy-mm-dd")</f>
        <v/>
      </c>
      <c r="C10869">
        <f>TEXT(10868, "[$-060000]yyyy-mm-dd")</f>
        <v/>
      </c>
      <c r="D10869" t="inlineStr">
        <is>
          <t>1348-04-28</t>
        </is>
      </c>
    </row>
    <row r="10870">
      <c r="A10870" s="1" t="n">
        <v>10869</v>
      </c>
      <c r="B10870">
        <f>TEXT(10869, "[$-170000]yyyy-mm-dd")</f>
        <v/>
      </c>
      <c r="C10870">
        <f>TEXT(10869, "[$-060000]yyyy-mm-dd")</f>
        <v/>
      </c>
      <c r="D10870" t="inlineStr">
        <is>
          <t>1348-04-29</t>
        </is>
      </c>
    </row>
    <row r="10871">
      <c r="A10871" s="1" t="n">
        <v>10870</v>
      </c>
      <c r="B10871">
        <f>TEXT(10870, "[$-170000]yyyy-mm-dd")</f>
        <v/>
      </c>
      <c r="C10871">
        <f>TEXT(10870, "[$-060000]yyyy-mm-dd")</f>
        <v/>
      </c>
      <c r="D10871" t="inlineStr">
        <is>
          <t>1348-05-01</t>
        </is>
      </c>
    </row>
    <row r="10872">
      <c r="A10872" s="1" t="n">
        <v>10871</v>
      </c>
      <c r="B10872">
        <f>TEXT(10871, "[$-170000]yyyy-mm-dd")</f>
        <v/>
      </c>
      <c r="C10872">
        <f>TEXT(10871, "[$-060000]yyyy-mm-dd")</f>
        <v/>
      </c>
      <c r="D10872" t="inlineStr">
        <is>
          <t>1348-05-02</t>
        </is>
      </c>
    </row>
    <row r="10873">
      <c r="A10873" s="1" t="n">
        <v>10872</v>
      </c>
      <c r="B10873">
        <f>TEXT(10872, "[$-170000]yyyy-mm-dd")</f>
        <v/>
      </c>
      <c r="C10873">
        <f>TEXT(10872, "[$-060000]yyyy-mm-dd")</f>
        <v/>
      </c>
      <c r="D10873" t="inlineStr">
        <is>
          <t>1348-05-03</t>
        </is>
      </c>
    </row>
    <row r="10874">
      <c r="A10874" s="1" t="n">
        <v>10873</v>
      </c>
      <c r="B10874">
        <f>TEXT(10873, "[$-170000]yyyy-mm-dd")</f>
        <v/>
      </c>
      <c r="C10874">
        <f>TEXT(10873, "[$-060000]yyyy-mm-dd")</f>
        <v/>
      </c>
      <c r="D10874" t="inlineStr">
        <is>
          <t>1348-05-04</t>
        </is>
      </c>
    </row>
    <row r="10875">
      <c r="A10875" s="1" t="n">
        <v>10874</v>
      </c>
      <c r="B10875">
        <f>TEXT(10874, "[$-170000]yyyy-mm-dd")</f>
        <v/>
      </c>
      <c r="C10875">
        <f>TEXT(10874, "[$-060000]yyyy-mm-dd")</f>
        <v/>
      </c>
      <c r="D10875" t="inlineStr">
        <is>
          <t>1348-05-05</t>
        </is>
      </c>
    </row>
    <row r="10876">
      <c r="A10876" s="1" t="n">
        <v>10875</v>
      </c>
      <c r="B10876">
        <f>TEXT(10875, "[$-170000]yyyy-mm-dd")</f>
        <v/>
      </c>
      <c r="C10876">
        <f>TEXT(10875, "[$-060000]yyyy-mm-dd")</f>
        <v/>
      </c>
      <c r="D10876" t="inlineStr">
        <is>
          <t>1348-05-06</t>
        </is>
      </c>
    </row>
    <row r="10877">
      <c r="A10877" s="1" t="n">
        <v>10876</v>
      </c>
      <c r="B10877">
        <f>TEXT(10876, "[$-170000]yyyy-mm-dd")</f>
        <v/>
      </c>
      <c r="C10877">
        <f>TEXT(10876, "[$-060000]yyyy-mm-dd")</f>
        <v/>
      </c>
      <c r="D10877" t="inlineStr">
        <is>
          <t>1348-05-07</t>
        </is>
      </c>
    </row>
    <row r="10878">
      <c r="A10878" s="1" t="n">
        <v>10877</v>
      </c>
      <c r="B10878">
        <f>TEXT(10877, "[$-170000]yyyy-mm-dd")</f>
        <v/>
      </c>
      <c r="C10878">
        <f>TEXT(10877, "[$-060000]yyyy-mm-dd")</f>
        <v/>
      </c>
      <c r="D10878" t="inlineStr">
        <is>
          <t>1348-05-08</t>
        </is>
      </c>
    </row>
    <row r="10879">
      <c r="A10879" s="1" t="n">
        <v>10878</v>
      </c>
      <c r="B10879">
        <f>TEXT(10878, "[$-170000]yyyy-mm-dd")</f>
        <v/>
      </c>
      <c r="C10879">
        <f>TEXT(10878, "[$-060000]yyyy-mm-dd")</f>
        <v/>
      </c>
      <c r="D10879" t="inlineStr">
        <is>
          <t>1348-05-09</t>
        </is>
      </c>
    </row>
    <row r="10880">
      <c r="A10880" s="1" t="n">
        <v>10879</v>
      </c>
      <c r="B10880">
        <f>TEXT(10879, "[$-170000]yyyy-mm-dd")</f>
        <v/>
      </c>
      <c r="C10880">
        <f>TEXT(10879, "[$-060000]yyyy-mm-dd")</f>
        <v/>
      </c>
      <c r="D10880" t="inlineStr">
        <is>
          <t>1348-05-10</t>
        </is>
      </c>
    </row>
    <row r="10881">
      <c r="A10881" s="1" t="n">
        <v>10880</v>
      </c>
      <c r="B10881">
        <f>TEXT(10880, "[$-170000]yyyy-mm-dd")</f>
        <v/>
      </c>
      <c r="C10881">
        <f>TEXT(10880, "[$-060000]yyyy-mm-dd")</f>
        <v/>
      </c>
      <c r="D10881" t="inlineStr">
        <is>
          <t>1348-05-11</t>
        </is>
      </c>
    </row>
    <row r="10882">
      <c r="A10882" s="1" t="n">
        <v>10881</v>
      </c>
      <c r="B10882">
        <f>TEXT(10881, "[$-170000]yyyy-mm-dd")</f>
        <v/>
      </c>
      <c r="C10882">
        <f>TEXT(10881, "[$-060000]yyyy-mm-dd")</f>
        <v/>
      </c>
      <c r="D10882" t="inlineStr">
        <is>
          <t>1348-05-12</t>
        </is>
      </c>
    </row>
    <row r="10883">
      <c r="A10883" s="1" t="n">
        <v>10882</v>
      </c>
      <c r="B10883">
        <f>TEXT(10882, "[$-170000]yyyy-mm-dd")</f>
        <v/>
      </c>
      <c r="C10883">
        <f>TEXT(10882, "[$-060000]yyyy-mm-dd")</f>
        <v/>
      </c>
      <c r="D10883" t="inlineStr">
        <is>
          <t>1348-05-13</t>
        </is>
      </c>
    </row>
    <row r="10884">
      <c r="A10884" s="1" t="n">
        <v>10883</v>
      </c>
      <c r="B10884">
        <f>TEXT(10883, "[$-170000]yyyy-mm-dd")</f>
        <v/>
      </c>
      <c r="C10884">
        <f>TEXT(10883, "[$-060000]yyyy-mm-dd")</f>
        <v/>
      </c>
      <c r="D10884" t="inlineStr">
        <is>
          <t>1348-05-14</t>
        </is>
      </c>
    </row>
    <row r="10885">
      <c r="A10885" s="1" t="n">
        <v>10884</v>
      </c>
      <c r="B10885">
        <f>TEXT(10884, "[$-170000]yyyy-mm-dd")</f>
        <v/>
      </c>
      <c r="C10885">
        <f>TEXT(10884, "[$-060000]yyyy-mm-dd")</f>
        <v/>
      </c>
      <c r="D10885" t="inlineStr">
        <is>
          <t>1348-05-15</t>
        </is>
      </c>
    </row>
    <row r="10886">
      <c r="A10886" s="1" t="n">
        <v>10885</v>
      </c>
      <c r="B10886">
        <f>TEXT(10885, "[$-170000]yyyy-mm-dd")</f>
        <v/>
      </c>
      <c r="C10886">
        <f>TEXT(10885, "[$-060000]yyyy-mm-dd")</f>
        <v/>
      </c>
      <c r="D10886" t="inlineStr">
        <is>
          <t>1348-05-16</t>
        </is>
      </c>
    </row>
    <row r="10887">
      <c r="A10887" s="1" t="n">
        <v>10886</v>
      </c>
      <c r="B10887">
        <f>TEXT(10886, "[$-170000]yyyy-mm-dd")</f>
        <v/>
      </c>
      <c r="C10887">
        <f>TEXT(10886, "[$-060000]yyyy-mm-dd")</f>
        <v/>
      </c>
      <c r="D10887" t="inlineStr">
        <is>
          <t>1348-05-17</t>
        </is>
      </c>
    </row>
    <row r="10888">
      <c r="A10888" s="1" t="n">
        <v>10887</v>
      </c>
      <c r="B10888">
        <f>TEXT(10887, "[$-170000]yyyy-mm-dd")</f>
        <v/>
      </c>
      <c r="C10888">
        <f>TEXT(10887, "[$-060000]yyyy-mm-dd")</f>
        <v/>
      </c>
      <c r="D10888" t="inlineStr">
        <is>
          <t>1348-05-18</t>
        </is>
      </c>
    </row>
    <row r="10889">
      <c r="A10889" s="1" t="n">
        <v>10888</v>
      </c>
      <c r="B10889">
        <f>TEXT(10888, "[$-170000]yyyy-mm-dd")</f>
        <v/>
      </c>
      <c r="C10889">
        <f>TEXT(10888, "[$-060000]yyyy-mm-dd")</f>
        <v/>
      </c>
      <c r="D10889" t="inlineStr">
        <is>
          <t>1348-05-19</t>
        </is>
      </c>
    </row>
    <row r="10890">
      <c r="A10890" s="1" t="n">
        <v>10889</v>
      </c>
      <c r="B10890">
        <f>TEXT(10889, "[$-170000]yyyy-mm-dd")</f>
        <v/>
      </c>
      <c r="C10890">
        <f>TEXT(10889, "[$-060000]yyyy-mm-dd")</f>
        <v/>
      </c>
      <c r="D10890" t="inlineStr">
        <is>
          <t>1348-05-20</t>
        </is>
      </c>
    </row>
    <row r="10891">
      <c r="A10891" s="1" t="n">
        <v>10890</v>
      </c>
      <c r="B10891">
        <f>TEXT(10890, "[$-170000]yyyy-mm-dd")</f>
        <v/>
      </c>
      <c r="C10891">
        <f>TEXT(10890, "[$-060000]yyyy-mm-dd")</f>
        <v/>
      </c>
      <c r="D10891" t="inlineStr">
        <is>
          <t>1348-05-21</t>
        </is>
      </c>
    </row>
    <row r="10892">
      <c r="A10892" s="1" t="n">
        <v>10891</v>
      </c>
      <c r="B10892">
        <f>TEXT(10891, "[$-170000]yyyy-mm-dd")</f>
        <v/>
      </c>
      <c r="C10892">
        <f>TEXT(10891, "[$-060000]yyyy-mm-dd")</f>
        <v/>
      </c>
      <c r="D10892" t="inlineStr">
        <is>
          <t>1348-05-22</t>
        </is>
      </c>
    </row>
    <row r="10893">
      <c r="A10893" s="1" t="n">
        <v>10892</v>
      </c>
      <c r="B10893">
        <f>TEXT(10892, "[$-170000]yyyy-mm-dd")</f>
        <v/>
      </c>
      <c r="C10893">
        <f>TEXT(10892, "[$-060000]yyyy-mm-dd")</f>
        <v/>
      </c>
      <c r="D10893" t="inlineStr">
        <is>
          <t>1348-05-23</t>
        </is>
      </c>
    </row>
    <row r="10894">
      <c r="A10894" s="1" t="n">
        <v>10893</v>
      </c>
      <c r="B10894">
        <f>TEXT(10893, "[$-170000]yyyy-mm-dd")</f>
        <v/>
      </c>
      <c r="C10894">
        <f>TEXT(10893, "[$-060000]yyyy-mm-dd")</f>
        <v/>
      </c>
      <c r="D10894" t="inlineStr">
        <is>
          <t>1348-05-24</t>
        </is>
      </c>
    </row>
    <row r="10895">
      <c r="A10895" s="1" t="n">
        <v>10894</v>
      </c>
      <c r="B10895">
        <f>TEXT(10894, "[$-170000]yyyy-mm-dd")</f>
        <v/>
      </c>
      <c r="C10895">
        <f>TEXT(10894, "[$-060000]yyyy-mm-dd")</f>
        <v/>
      </c>
      <c r="D10895" t="inlineStr">
        <is>
          <t>1348-05-25</t>
        </is>
      </c>
    </row>
    <row r="10896">
      <c r="A10896" s="1" t="n">
        <v>10895</v>
      </c>
      <c r="B10896">
        <f>TEXT(10895, "[$-170000]yyyy-mm-dd")</f>
        <v/>
      </c>
      <c r="C10896">
        <f>TEXT(10895, "[$-060000]yyyy-mm-dd")</f>
        <v/>
      </c>
      <c r="D10896" t="inlineStr">
        <is>
          <t>1348-05-26</t>
        </is>
      </c>
    </row>
    <row r="10897">
      <c r="A10897" s="1" t="n">
        <v>10896</v>
      </c>
      <c r="B10897">
        <f>TEXT(10896, "[$-170000]yyyy-mm-dd")</f>
        <v/>
      </c>
      <c r="C10897">
        <f>TEXT(10896, "[$-060000]yyyy-mm-dd")</f>
        <v/>
      </c>
      <c r="D10897" t="inlineStr">
        <is>
          <t>1348-05-27</t>
        </is>
      </c>
    </row>
    <row r="10898">
      <c r="A10898" s="1" t="n">
        <v>10897</v>
      </c>
      <c r="B10898">
        <f>TEXT(10897, "[$-170000]yyyy-mm-dd")</f>
        <v/>
      </c>
      <c r="C10898">
        <f>TEXT(10897, "[$-060000]yyyy-mm-dd")</f>
        <v/>
      </c>
      <c r="D10898" t="inlineStr">
        <is>
          <t>1348-05-28</t>
        </is>
      </c>
    </row>
    <row r="10899">
      <c r="A10899" s="1" t="n">
        <v>10898</v>
      </c>
      <c r="B10899">
        <f>TEXT(10898, "[$-170000]yyyy-mm-dd")</f>
        <v/>
      </c>
      <c r="C10899">
        <f>TEXT(10898, "[$-060000]yyyy-mm-dd")</f>
        <v/>
      </c>
      <c r="D10899" t="inlineStr">
        <is>
          <t>1348-05-29</t>
        </is>
      </c>
    </row>
    <row r="10900">
      <c r="A10900" s="1" t="n">
        <v>10899</v>
      </c>
      <c r="B10900">
        <f>TEXT(10899, "[$-170000]yyyy-mm-dd")</f>
        <v/>
      </c>
      <c r="C10900">
        <f>TEXT(10899, "[$-060000]yyyy-mm-dd")</f>
        <v/>
      </c>
      <c r="D10900" t="inlineStr">
        <is>
          <t>1348-05-30</t>
        </is>
      </c>
    </row>
    <row r="10901">
      <c r="A10901" s="1" t="n">
        <v>10900</v>
      </c>
      <c r="B10901">
        <f>TEXT(10900, "[$-170000]yyyy-mm-dd")</f>
        <v/>
      </c>
      <c r="C10901">
        <f>TEXT(10900, "[$-060000]yyyy-mm-dd")</f>
        <v/>
      </c>
      <c r="D10901" t="inlineStr">
        <is>
          <t>1348-06-01</t>
        </is>
      </c>
    </row>
    <row r="10902">
      <c r="A10902" s="1" t="n">
        <v>10901</v>
      </c>
      <c r="B10902">
        <f>TEXT(10901, "[$-170000]yyyy-mm-dd")</f>
        <v/>
      </c>
      <c r="C10902">
        <f>TEXT(10901, "[$-060000]yyyy-mm-dd")</f>
        <v/>
      </c>
      <c r="D10902" t="inlineStr">
        <is>
          <t>1348-06-02</t>
        </is>
      </c>
    </row>
    <row r="10903">
      <c r="A10903" s="1" t="n">
        <v>10902</v>
      </c>
      <c r="B10903">
        <f>TEXT(10902, "[$-170000]yyyy-mm-dd")</f>
        <v/>
      </c>
      <c r="C10903">
        <f>TEXT(10902, "[$-060000]yyyy-mm-dd")</f>
        <v/>
      </c>
      <c r="D10903" t="inlineStr">
        <is>
          <t>1348-06-03</t>
        </is>
      </c>
    </row>
    <row r="10904">
      <c r="A10904" s="1" t="n">
        <v>10903</v>
      </c>
      <c r="B10904">
        <f>TEXT(10903, "[$-170000]yyyy-mm-dd")</f>
        <v/>
      </c>
      <c r="C10904">
        <f>TEXT(10903, "[$-060000]yyyy-mm-dd")</f>
        <v/>
      </c>
      <c r="D10904" t="inlineStr">
        <is>
          <t>1348-06-04</t>
        </is>
      </c>
    </row>
    <row r="10905">
      <c r="A10905" s="1" t="n">
        <v>10904</v>
      </c>
      <c r="B10905">
        <f>TEXT(10904, "[$-170000]yyyy-mm-dd")</f>
        <v/>
      </c>
      <c r="C10905">
        <f>TEXT(10904, "[$-060000]yyyy-mm-dd")</f>
        <v/>
      </c>
      <c r="D10905" t="inlineStr">
        <is>
          <t>1348-06-05</t>
        </is>
      </c>
    </row>
    <row r="10906">
      <c r="A10906" s="1" t="n">
        <v>10905</v>
      </c>
      <c r="B10906">
        <f>TEXT(10905, "[$-170000]yyyy-mm-dd")</f>
        <v/>
      </c>
      <c r="C10906">
        <f>TEXT(10905, "[$-060000]yyyy-mm-dd")</f>
        <v/>
      </c>
      <c r="D10906" t="inlineStr">
        <is>
          <t>1348-06-06</t>
        </is>
      </c>
    </row>
    <row r="10907">
      <c r="A10907" s="1" t="n">
        <v>10906</v>
      </c>
      <c r="B10907">
        <f>TEXT(10906, "[$-170000]yyyy-mm-dd")</f>
        <v/>
      </c>
      <c r="C10907">
        <f>TEXT(10906, "[$-060000]yyyy-mm-dd")</f>
        <v/>
      </c>
      <c r="D10907" t="inlineStr">
        <is>
          <t>1348-06-07</t>
        </is>
      </c>
    </row>
    <row r="10908">
      <c r="A10908" s="1" t="n">
        <v>10907</v>
      </c>
      <c r="B10908">
        <f>TEXT(10907, "[$-170000]yyyy-mm-dd")</f>
        <v/>
      </c>
      <c r="C10908">
        <f>TEXT(10907, "[$-060000]yyyy-mm-dd")</f>
        <v/>
      </c>
      <c r="D10908" t="inlineStr">
        <is>
          <t>1348-06-08</t>
        </is>
      </c>
    </row>
    <row r="10909">
      <c r="A10909" s="1" t="n">
        <v>10908</v>
      </c>
      <c r="B10909">
        <f>TEXT(10908, "[$-170000]yyyy-mm-dd")</f>
        <v/>
      </c>
      <c r="C10909">
        <f>TEXT(10908, "[$-060000]yyyy-mm-dd")</f>
        <v/>
      </c>
      <c r="D10909" t="inlineStr">
        <is>
          <t>1348-06-09</t>
        </is>
      </c>
    </row>
    <row r="10910">
      <c r="A10910" s="1" t="n">
        <v>10909</v>
      </c>
      <c r="B10910">
        <f>TEXT(10909, "[$-170000]yyyy-mm-dd")</f>
        <v/>
      </c>
      <c r="C10910">
        <f>TEXT(10909, "[$-060000]yyyy-mm-dd")</f>
        <v/>
      </c>
      <c r="D10910" t="inlineStr">
        <is>
          <t>1348-06-10</t>
        </is>
      </c>
    </row>
    <row r="10911">
      <c r="A10911" s="1" t="n">
        <v>10910</v>
      </c>
      <c r="B10911">
        <f>TEXT(10910, "[$-170000]yyyy-mm-dd")</f>
        <v/>
      </c>
      <c r="C10911">
        <f>TEXT(10910, "[$-060000]yyyy-mm-dd")</f>
        <v/>
      </c>
      <c r="D10911" t="inlineStr">
        <is>
          <t>1348-06-11</t>
        </is>
      </c>
    </row>
    <row r="10912">
      <c r="A10912" s="1" t="n">
        <v>10911</v>
      </c>
      <c r="B10912">
        <f>TEXT(10911, "[$-170000]yyyy-mm-dd")</f>
        <v/>
      </c>
      <c r="C10912">
        <f>TEXT(10911, "[$-060000]yyyy-mm-dd")</f>
        <v/>
      </c>
      <c r="D10912" t="inlineStr">
        <is>
          <t>1348-06-12</t>
        </is>
      </c>
    </row>
    <row r="10913">
      <c r="A10913" s="1" t="n">
        <v>10912</v>
      </c>
      <c r="B10913">
        <f>TEXT(10912, "[$-170000]yyyy-mm-dd")</f>
        <v/>
      </c>
      <c r="C10913">
        <f>TEXT(10912, "[$-060000]yyyy-mm-dd")</f>
        <v/>
      </c>
      <c r="D10913" t="inlineStr">
        <is>
          <t>1348-06-13</t>
        </is>
      </c>
    </row>
    <row r="10914">
      <c r="A10914" s="1" t="n">
        <v>10913</v>
      </c>
      <c r="B10914">
        <f>TEXT(10913, "[$-170000]yyyy-mm-dd")</f>
        <v/>
      </c>
      <c r="C10914">
        <f>TEXT(10913, "[$-060000]yyyy-mm-dd")</f>
        <v/>
      </c>
      <c r="D10914" t="inlineStr">
        <is>
          <t>1348-06-14</t>
        </is>
      </c>
    </row>
    <row r="10915">
      <c r="A10915" s="1" t="n">
        <v>10914</v>
      </c>
      <c r="B10915">
        <f>TEXT(10914, "[$-170000]yyyy-mm-dd")</f>
        <v/>
      </c>
      <c r="C10915">
        <f>TEXT(10914, "[$-060000]yyyy-mm-dd")</f>
        <v/>
      </c>
      <c r="D10915" t="inlineStr">
        <is>
          <t>1348-06-15</t>
        </is>
      </c>
    </row>
    <row r="10916">
      <c r="A10916" s="1" t="n">
        <v>10915</v>
      </c>
      <c r="B10916">
        <f>TEXT(10915, "[$-170000]yyyy-mm-dd")</f>
        <v/>
      </c>
      <c r="C10916">
        <f>TEXT(10915, "[$-060000]yyyy-mm-dd")</f>
        <v/>
      </c>
      <c r="D10916" t="inlineStr">
        <is>
          <t>1348-06-16</t>
        </is>
      </c>
    </row>
    <row r="10917">
      <c r="A10917" s="1" t="n">
        <v>10916</v>
      </c>
      <c r="B10917">
        <f>TEXT(10916, "[$-170000]yyyy-mm-dd")</f>
        <v/>
      </c>
      <c r="C10917">
        <f>TEXT(10916, "[$-060000]yyyy-mm-dd")</f>
        <v/>
      </c>
      <c r="D10917" t="inlineStr">
        <is>
          <t>1348-06-17</t>
        </is>
      </c>
    </row>
    <row r="10918">
      <c r="A10918" s="1" t="n">
        <v>10917</v>
      </c>
      <c r="B10918">
        <f>TEXT(10917, "[$-170000]yyyy-mm-dd")</f>
        <v/>
      </c>
      <c r="C10918">
        <f>TEXT(10917, "[$-060000]yyyy-mm-dd")</f>
        <v/>
      </c>
      <c r="D10918" t="inlineStr">
        <is>
          <t>1348-06-18</t>
        </is>
      </c>
    </row>
    <row r="10919">
      <c r="A10919" s="1" t="n">
        <v>10918</v>
      </c>
      <c r="B10919">
        <f>TEXT(10918, "[$-170000]yyyy-mm-dd")</f>
        <v/>
      </c>
      <c r="C10919">
        <f>TEXT(10918, "[$-060000]yyyy-mm-dd")</f>
        <v/>
      </c>
      <c r="D10919" t="inlineStr">
        <is>
          <t>1348-06-19</t>
        </is>
      </c>
    </row>
    <row r="10920">
      <c r="A10920" s="1" t="n">
        <v>10919</v>
      </c>
      <c r="B10920">
        <f>TEXT(10919, "[$-170000]yyyy-mm-dd")</f>
        <v/>
      </c>
      <c r="C10920">
        <f>TEXT(10919, "[$-060000]yyyy-mm-dd")</f>
        <v/>
      </c>
      <c r="D10920" t="inlineStr">
        <is>
          <t>1348-06-20</t>
        </is>
      </c>
    </row>
    <row r="10921">
      <c r="A10921" s="1" t="n">
        <v>10920</v>
      </c>
      <c r="B10921">
        <f>TEXT(10920, "[$-170000]yyyy-mm-dd")</f>
        <v/>
      </c>
      <c r="C10921">
        <f>TEXT(10920, "[$-060000]yyyy-mm-dd")</f>
        <v/>
      </c>
      <c r="D10921" t="inlineStr">
        <is>
          <t>1348-06-21</t>
        </is>
      </c>
    </row>
    <row r="10922">
      <c r="A10922" s="1" t="n">
        <v>10921</v>
      </c>
      <c r="B10922">
        <f>TEXT(10921, "[$-170000]yyyy-mm-dd")</f>
        <v/>
      </c>
      <c r="C10922">
        <f>TEXT(10921, "[$-060000]yyyy-mm-dd")</f>
        <v/>
      </c>
      <c r="D10922" t="inlineStr">
        <is>
          <t>1348-06-22</t>
        </is>
      </c>
    </row>
    <row r="10923">
      <c r="A10923" s="1" t="n">
        <v>10922</v>
      </c>
      <c r="B10923">
        <f>TEXT(10922, "[$-170000]yyyy-mm-dd")</f>
        <v/>
      </c>
      <c r="C10923">
        <f>TEXT(10922, "[$-060000]yyyy-mm-dd")</f>
        <v/>
      </c>
      <c r="D10923" t="inlineStr">
        <is>
          <t>1348-06-23</t>
        </is>
      </c>
    </row>
    <row r="10924">
      <c r="A10924" s="1" t="n">
        <v>10923</v>
      </c>
      <c r="B10924">
        <f>TEXT(10923, "[$-170000]yyyy-mm-dd")</f>
        <v/>
      </c>
      <c r="C10924">
        <f>TEXT(10923, "[$-060000]yyyy-mm-dd")</f>
        <v/>
      </c>
      <c r="D10924" t="inlineStr">
        <is>
          <t>1348-06-24</t>
        </is>
      </c>
    </row>
    <row r="10925">
      <c r="A10925" s="1" t="n">
        <v>10924</v>
      </c>
      <c r="B10925">
        <f>TEXT(10924, "[$-170000]yyyy-mm-dd")</f>
        <v/>
      </c>
      <c r="C10925">
        <f>TEXT(10924, "[$-060000]yyyy-mm-dd")</f>
        <v/>
      </c>
      <c r="D10925" t="inlineStr">
        <is>
          <t>1348-06-25</t>
        </is>
      </c>
    </row>
    <row r="10926">
      <c r="A10926" s="1" t="n">
        <v>10925</v>
      </c>
      <c r="B10926">
        <f>TEXT(10925, "[$-170000]yyyy-mm-dd")</f>
        <v/>
      </c>
      <c r="C10926">
        <f>TEXT(10925, "[$-060000]yyyy-mm-dd")</f>
        <v/>
      </c>
      <c r="D10926" t="inlineStr">
        <is>
          <t>1348-06-26</t>
        </is>
      </c>
    </row>
    <row r="10927">
      <c r="A10927" s="1" t="n">
        <v>10926</v>
      </c>
      <c r="B10927">
        <f>TEXT(10926, "[$-170000]yyyy-mm-dd")</f>
        <v/>
      </c>
      <c r="C10927">
        <f>TEXT(10926, "[$-060000]yyyy-mm-dd")</f>
        <v/>
      </c>
      <c r="D10927" t="inlineStr">
        <is>
          <t>1348-06-27</t>
        </is>
      </c>
    </row>
    <row r="10928">
      <c r="A10928" s="1" t="n">
        <v>10927</v>
      </c>
      <c r="B10928">
        <f>TEXT(10927, "[$-170000]yyyy-mm-dd")</f>
        <v/>
      </c>
      <c r="C10928">
        <f>TEXT(10927, "[$-060000]yyyy-mm-dd")</f>
        <v/>
      </c>
      <c r="D10928" t="inlineStr">
        <is>
          <t>1348-06-28</t>
        </is>
      </c>
    </row>
    <row r="10929">
      <c r="A10929" s="1" t="n">
        <v>10928</v>
      </c>
      <c r="B10929">
        <f>TEXT(10928, "[$-170000]yyyy-mm-dd")</f>
        <v/>
      </c>
      <c r="C10929">
        <f>TEXT(10928, "[$-060000]yyyy-mm-dd")</f>
        <v/>
      </c>
      <c r="D10929" t="inlineStr">
        <is>
          <t>1348-06-29</t>
        </is>
      </c>
    </row>
    <row r="10930">
      <c r="A10930" s="1" t="n">
        <v>10929</v>
      </c>
      <c r="B10930">
        <f>TEXT(10929, "[$-170000]yyyy-mm-dd")</f>
        <v/>
      </c>
      <c r="C10930">
        <f>TEXT(10929, "[$-060000]yyyy-mm-dd")</f>
        <v/>
      </c>
      <c r="D10930" t="inlineStr">
        <is>
          <t>1348-07-01</t>
        </is>
      </c>
    </row>
    <row r="10931">
      <c r="A10931" s="1" t="n">
        <v>10930</v>
      </c>
      <c r="B10931">
        <f>TEXT(10930, "[$-170000]yyyy-mm-dd")</f>
        <v/>
      </c>
      <c r="C10931">
        <f>TEXT(10930, "[$-060000]yyyy-mm-dd")</f>
        <v/>
      </c>
      <c r="D10931" t="inlineStr">
        <is>
          <t>1348-07-02</t>
        </is>
      </c>
    </row>
    <row r="10932">
      <c r="A10932" s="1" t="n">
        <v>10931</v>
      </c>
      <c r="B10932">
        <f>TEXT(10931, "[$-170000]yyyy-mm-dd")</f>
        <v/>
      </c>
      <c r="C10932">
        <f>TEXT(10931, "[$-060000]yyyy-mm-dd")</f>
        <v/>
      </c>
      <c r="D10932" t="inlineStr">
        <is>
          <t>1348-07-03</t>
        </is>
      </c>
    </row>
    <row r="10933">
      <c r="A10933" s="1" t="n">
        <v>10932</v>
      </c>
      <c r="B10933">
        <f>TEXT(10932, "[$-170000]yyyy-mm-dd")</f>
        <v/>
      </c>
      <c r="C10933">
        <f>TEXT(10932, "[$-060000]yyyy-mm-dd")</f>
        <v/>
      </c>
      <c r="D10933" t="inlineStr">
        <is>
          <t>1348-07-04</t>
        </is>
      </c>
    </row>
    <row r="10934">
      <c r="A10934" s="1" t="n">
        <v>10933</v>
      </c>
      <c r="B10934">
        <f>TEXT(10933, "[$-170000]yyyy-mm-dd")</f>
        <v/>
      </c>
      <c r="C10934">
        <f>TEXT(10933, "[$-060000]yyyy-mm-dd")</f>
        <v/>
      </c>
      <c r="D10934" t="inlineStr">
        <is>
          <t>1348-07-05</t>
        </is>
      </c>
    </row>
    <row r="10935">
      <c r="A10935" s="1" t="n">
        <v>10934</v>
      </c>
      <c r="B10935">
        <f>TEXT(10934, "[$-170000]yyyy-mm-dd")</f>
        <v/>
      </c>
      <c r="C10935">
        <f>TEXT(10934, "[$-060000]yyyy-mm-dd")</f>
        <v/>
      </c>
      <c r="D10935" t="inlineStr">
        <is>
          <t>1348-07-06</t>
        </is>
      </c>
    </row>
    <row r="10936">
      <c r="A10936" s="1" t="n">
        <v>10935</v>
      </c>
      <c r="B10936">
        <f>TEXT(10935, "[$-170000]yyyy-mm-dd")</f>
        <v/>
      </c>
      <c r="C10936">
        <f>TEXT(10935, "[$-060000]yyyy-mm-dd")</f>
        <v/>
      </c>
      <c r="D10936" t="inlineStr">
        <is>
          <t>1348-07-07</t>
        </is>
      </c>
    </row>
    <row r="10937">
      <c r="A10937" s="1" t="n">
        <v>10936</v>
      </c>
      <c r="B10937">
        <f>TEXT(10936, "[$-170000]yyyy-mm-dd")</f>
        <v/>
      </c>
      <c r="C10937">
        <f>TEXT(10936, "[$-060000]yyyy-mm-dd")</f>
        <v/>
      </c>
      <c r="D10937" t="inlineStr">
        <is>
          <t>1348-07-08</t>
        </is>
      </c>
    </row>
    <row r="10938">
      <c r="A10938" s="1" t="n">
        <v>10937</v>
      </c>
      <c r="B10938">
        <f>TEXT(10937, "[$-170000]yyyy-mm-dd")</f>
        <v/>
      </c>
      <c r="C10938">
        <f>TEXT(10937, "[$-060000]yyyy-mm-dd")</f>
        <v/>
      </c>
      <c r="D10938" t="inlineStr">
        <is>
          <t>1348-07-09</t>
        </is>
      </c>
    </row>
    <row r="10939">
      <c r="A10939" s="1" t="n">
        <v>10938</v>
      </c>
      <c r="B10939">
        <f>TEXT(10938, "[$-170000]yyyy-mm-dd")</f>
        <v/>
      </c>
      <c r="C10939">
        <f>TEXT(10938, "[$-060000]yyyy-mm-dd")</f>
        <v/>
      </c>
      <c r="D10939" t="inlineStr">
        <is>
          <t>1348-07-10</t>
        </is>
      </c>
    </row>
    <row r="10940">
      <c r="A10940" s="1" t="n">
        <v>10939</v>
      </c>
      <c r="B10940">
        <f>TEXT(10939, "[$-170000]yyyy-mm-dd")</f>
        <v/>
      </c>
      <c r="C10940">
        <f>TEXT(10939, "[$-060000]yyyy-mm-dd")</f>
        <v/>
      </c>
      <c r="D10940" t="inlineStr">
        <is>
          <t>1348-07-11</t>
        </is>
      </c>
    </row>
    <row r="10941">
      <c r="A10941" s="1" t="n">
        <v>10940</v>
      </c>
      <c r="B10941">
        <f>TEXT(10940, "[$-170000]yyyy-mm-dd")</f>
        <v/>
      </c>
      <c r="C10941">
        <f>TEXT(10940, "[$-060000]yyyy-mm-dd")</f>
        <v/>
      </c>
      <c r="D10941" t="inlineStr">
        <is>
          <t>1348-07-12</t>
        </is>
      </c>
    </row>
    <row r="10942">
      <c r="A10942" s="1" t="n">
        <v>10941</v>
      </c>
      <c r="B10942">
        <f>TEXT(10941, "[$-170000]yyyy-mm-dd")</f>
        <v/>
      </c>
      <c r="C10942">
        <f>TEXT(10941, "[$-060000]yyyy-mm-dd")</f>
        <v/>
      </c>
      <c r="D10942" t="inlineStr">
        <is>
          <t>1348-07-13</t>
        </is>
      </c>
    </row>
    <row r="10943">
      <c r="A10943" s="1" t="n">
        <v>10942</v>
      </c>
      <c r="B10943">
        <f>TEXT(10942, "[$-170000]yyyy-mm-dd")</f>
        <v/>
      </c>
      <c r="C10943">
        <f>TEXT(10942, "[$-060000]yyyy-mm-dd")</f>
        <v/>
      </c>
      <c r="D10943" t="inlineStr">
        <is>
          <t>1348-07-14</t>
        </is>
      </c>
    </row>
    <row r="10944">
      <c r="A10944" s="1" t="n">
        <v>10943</v>
      </c>
      <c r="B10944">
        <f>TEXT(10943, "[$-170000]yyyy-mm-dd")</f>
        <v/>
      </c>
      <c r="C10944">
        <f>TEXT(10943, "[$-060000]yyyy-mm-dd")</f>
        <v/>
      </c>
      <c r="D10944" t="inlineStr">
        <is>
          <t>1348-07-15</t>
        </is>
      </c>
    </row>
    <row r="10945">
      <c r="A10945" s="1" t="n">
        <v>10944</v>
      </c>
      <c r="B10945">
        <f>TEXT(10944, "[$-170000]yyyy-mm-dd")</f>
        <v/>
      </c>
      <c r="C10945">
        <f>TEXT(10944, "[$-060000]yyyy-mm-dd")</f>
        <v/>
      </c>
      <c r="D10945" t="inlineStr">
        <is>
          <t>1348-07-16</t>
        </is>
      </c>
    </row>
    <row r="10946">
      <c r="A10946" s="1" t="n">
        <v>10945</v>
      </c>
      <c r="B10946">
        <f>TEXT(10945, "[$-170000]yyyy-mm-dd")</f>
        <v/>
      </c>
      <c r="C10946">
        <f>TEXT(10945, "[$-060000]yyyy-mm-dd")</f>
        <v/>
      </c>
      <c r="D10946" t="inlineStr">
        <is>
          <t>1348-07-17</t>
        </is>
      </c>
    </row>
    <row r="10947">
      <c r="A10947" s="1" t="n">
        <v>10946</v>
      </c>
      <c r="B10947">
        <f>TEXT(10946, "[$-170000]yyyy-mm-dd")</f>
        <v/>
      </c>
      <c r="C10947">
        <f>TEXT(10946, "[$-060000]yyyy-mm-dd")</f>
        <v/>
      </c>
      <c r="D10947" t="inlineStr">
        <is>
          <t>1348-07-18</t>
        </is>
      </c>
    </row>
    <row r="10948">
      <c r="A10948" s="1" t="n">
        <v>10947</v>
      </c>
      <c r="B10948">
        <f>TEXT(10947, "[$-170000]yyyy-mm-dd")</f>
        <v/>
      </c>
      <c r="C10948">
        <f>TEXT(10947, "[$-060000]yyyy-mm-dd")</f>
        <v/>
      </c>
      <c r="D10948" t="inlineStr">
        <is>
          <t>1348-07-19</t>
        </is>
      </c>
    </row>
    <row r="10949">
      <c r="A10949" s="1" t="n">
        <v>10948</v>
      </c>
      <c r="B10949">
        <f>TEXT(10948, "[$-170000]yyyy-mm-dd")</f>
        <v/>
      </c>
      <c r="C10949">
        <f>TEXT(10948, "[$-060000]yyyy-mm-dd")</f>
        <v/>
      </c>
      <c r="D10949" t="inlineStr">
        <is>
          <t>1348-07-20</t>
        </is>
      </c>
    </row>
    <row r="10950">
      <c r="A10950" s="1" t="n">
        <v>10949</v>
      </c>
      <c r="B10950">
        <f>TEXT(10949, "[$-170000]yyyy-mm-dd")</f>
        <v/>
      </c>
      <c r="C10950">
        <f>TEXT(10949, "[$-060000]yyyy-mm-dd")</f>
        <v/>
      </c>
      <c r="D10950" t="inlineStr">
        <is>
          <t>1348-07-21</t>
        </is>
      </c>
    </row>
    <row r="10951">
      <c r="A10951" s="1" t="n">
        <v>10950</v>
      </c>
      <c r="B10951">
        <f>TEXT(10950, "[$-170000]yyyy-mm-dd")</f>
        <v/>
      </c>
      <c r="C10951">
        <f>TEXT(10950, "[$-060000]yyyy-mm-dd")</f>
        <v/>
      </c>
      <c r="D10951" t="inlineStr">
        <is>
          <t>1348-07-22</t>
        </is>
      </c>
    </row>
    <row r="10952">
      <c r="A10952" s="1" t="n">
        <v>10951</v>
      </c>
      <c r="B10952">
        <f>TEXT(10951, "[$-170000]yyyy-mm-dd")</f>
        <v/>
      </c>
      <c r="C10952">
        <f>TEXT(10951, "[$-060000]yyyy-mm-dd")</f>
        <v/>
      </c>
      <c r="D10952" t="inlineStr">
        <is>
          <t>1348-07-23</t>
        </is>
      </c>
    </row>
    <row r="10953">
      <c r="A10953" s="1" t="n">
        <v>10952</v>
      </c>
      <c r="B10953">
        <f>TEXT(10952, "[$-170000]yyyy-mm-dd")</f>
        <v/>
      </c>
      <c r="C10953">
        <f>TEXT(10952, "[$-060000]yyyy-mm-dd")</f>
        <v/>
      </c>
      <c r="D10953" t="inlineStr">
        <is>
          <t>1348-07-24</t>
        </is>
      </c>
    </row>
    <row r="10954">
      <c r="A10954" s="1" t="n">
        <v>10953</v>
      </c>
      <c r="B10954">
        <f>TEXT(10953, "[$-170000]yyyy-mm-dd")</f>
        <v/>
      </c>
      <c r="C10954">
        <f>TEXT(10953, "[$-060000]yyyy-mm-dd")</f>
        <v/>
      </c>
      <c r="D10954" t="inlineStr">
        <is>
          <t>1348-07-25</t>
        </is>
      </c>
    </row>
    <row r="10955">
      <c r="A10955" s="1" t="n">
        <v>10954</v>
      </c>
      <c r="B10955">
        <f>TEXT(10954, "[$-170000]yyyy-mm-dd")</f>
        <v/>
      </c>
      <c r="C10955">
        <f>TEXT(10954, "[$-060000]yyyy-mm-dd")</f>
        <v/>
      </c>
      <c r="D10955" t="inlineStr">
        <is>
          <t>1348-07-26</t>
        </is>
      </c>
    </row>
    <row r="10956">
      <c r="A10956" s="1" t="n">
        <v>10955</v>
      </c>
      <c r="B10956">
        <f>TEXT(10955, "[$-170000]yyyy-mm-dd")</f>
        <v/>
      </c>
      <c r="C10956">
        <f>TEXT(10955, "[$-060000]yyyy-mm-dd")</f>
        <v/>
      </c>
      <c r="D10956" t="inlineStr">
        <is>
          <t>1348-07-27</t>
        </is>
      </c>
    </row>
    <row r="10957">
      <c r="A10957" s="1" t="n">
        <v>10956</v>
      </c>
      <c r="B10957">
        <f>TEXT(10956, "[$-170000]yyyy-mm-dd")</f>
        <v/>
      </c>
      <c r="C10957">
        <f>TEXT(10956, "[$-060000]yyyy-mm-dd")</f>
        <v/>
      </c>
      <c r="D10957" t="inlineStr">
        <is>
          <t>1348-07-28</t>
        </is>
      </c>
    </row>
    <row r="10958">
      <c r="A10958" s="1" t="n">
        <v>10957</v>
      </c>
      <c r="B10958">
        <f>TEXT(10957, "[$-170000]yyyy-mm-dd")</f>
        <v/>
      </c>
      <c r="C10958">
        <f>TEXT(10957, "[$-060000]yyyy-mm-dd")</f>
        <v/>
      </c>
      <c r="D10958" t="inlineStr">
        <is>
          <t>1348-07-29</t>
        </is>
      </c>
    </row>
    <row r="10959">
      <c r="A10959" s="1" t="n">
        <v>10958</v>
      </c>
      <c r="B10959">
        <f>TEXT(10958, "[$-170000]yyyy-mm-dd")</f>
        <v/>
      </c>
      <c r="C10959">
        <f>TEXT(10958, "[$-060000]yyyy-mm-dd")</f>
        <v/>
      </c>
      <c r="D10959" t="inlineStr">
        <is>
          <t>1348-07-30</t>
        </is>
      </c>
    </row>
    <row r="10960">
      <c r="A10960" s="1" t="n">
        <v>10959</v>
      </c>
      <c r="B10960">
        <f>TEXT(10959, "[$-170000]yyyy-mm-dd")</f>
        <v/>
      </c>
      <c r="C10960">
        <f>TEXT(10959, "[$-060000]yyyy-mm-dd")</f>
        <v/>
      </c>
      <c r="D10960" t="inlineStr">
        <is>
          <t>1348-08-01</t>
        </is>
      </c>
    </row>
    <row r="10961">
      <c r="A10961" s="1" t="n">
        <v>10960</v>
      </c>
      <c r="B10961">
        <f>TEXT(10960, "[$-170000]yyyy-mm-dd")</f>
        <v/>
      </c>
      <c r="C10961">
        <f>TEXT(10960, "[$-060000]yyyy-mm-dd")</f>
        <v/>
      </c>
      <c r="D10961" t="inlineStr">
        <is>
          <t>1348-08-02</t>
        </is>
      </c>
    </row>
    <row r="10962">
      <c r="A10962" s="1" t="n">
        <v>10961</v>
      </c>
      <c r="B10962">
        <f>TEXT(10961, "[$-170000]yyyy-mm-dd")</f>
        <v/>
      </c>
      <c r="C10962">
        <f>TEXT(10961, "[$-060000]yyyy-mm-dd")</f>
        <v/>
      </c>
      <c r="D10962" t="inlineStr">
        <is>
          <t>1348-08-03</t>
        </is>
      </c>
    </row>
    <row r="10963">
      <c r="A10963" s="1" t="n">
        <v>10962</v>
      </c>
      <c r="B10963">
        <f>TEXT(10962, "[$-170000]yyyy-mm-dd")</f>
        <v/>
      </c>
      <c r="C10963">
        <f>TEXT(10962, "[$-060000]yyyy-mm-dd")</f>
        <v/>
      </c>
      <c r="D10963" t="inlineStr">
        <is>
          <t>1348-08-04</t>
        </is>
      </c>
    </row>
    <row r="10964">
      <c r="A10964" s="1" t="n">
        <v>10963</v>
      </c>
      <c r="B10964">
        <f>TEXT(10963, "[$-170000]yyyy-mm-dd")</f>
        <v/>
      </c>
      <c r="C10964">
        <f>TEXT(10963, "[$-060000]yyyy-mm-dd")</f>
        <v/>
      </c>
      <c r="D10964" t="inlineStr">
        <is>
          <t>1348-08-05</t>
        </is>
      </c>
    </row>
    <row r="10965">
      <c r="A10965" s="1" t="n">
        <v>10964</v>
      </c>
      <c r="B10965">
        <f>TEXT(10964, "[$-170000]yyyy-mm-dd")</f>
        <v/>
      </c>
      <c r="C10965">
        <f>TEXT(10964, "[$-060000]yyyy-mm-dd")</f>
        <v/>
      </c>
      <c r="D10965" t="inlineStr">
        <is>
          <t>1348-08-06</t>
        </is>
      </c>
    </row>
    <row r="10966">
      <c r="A10966" s="1" t="n">
        <v>10965</v>
      </c>
      <c r="B10966">
        <f>TEXT(10965, "[$-170000]yyyy-mm-dd")</f>
        <v/>
      </c>
      <c r="C10966">
        <f>TEXT(10965, "[$-060000]yyyy-mm-dd")</f>
        <v/>
      </c>
      <c r="D10966" t="inlineStr">
        <is>
          <t>1348-08-07</t>
        </is>
      </c>
    </row>
    <row r="10967">
      <c r="A10967" s="1" t="n">
        <v>10966</v>
      </c>
      <c r="B10967">
        <f>TEXT(10966, "[$-170000]yyyy-mm-dd")</f>
        <v/>
      </c>
      <c r="C10967">
        <f>TEXT(10966, "[$-060000]yyyy-mm-dd")</f>
        <v/>
      </c>
      <c r="D10967" t="inlineStr">
        <is>
          <t>1348-08-08</t>
        </is>
      </c>
    </row>
    <row r="10968">
      <c r="A10968" s="1" t="n">
        <v>10967</v>
      </c>
      <c r="B10968">
        <f>TEXT(10967, "[$-170000]yyyy-mm-dd")</f>
        <v/>
      </c>
      <c r="C10968">
        <f>TEXT(10967, "[$-060000]yyyy-mm-dd")</f>
        <v/>
      </c>
      <c r="D10968" t="inlineStr">
        <is>
          <t>1348-08-09</t>
        </is>
      </c>
    </row>
    <row r="10969">
      <c r="A10969" s="1" t="n">
        <v>10968</v>
      </c>
      <c r="B10969">
        <f>TEXT(10968, "[$-170000]yyyy-mm-dd")</f>
        <v/>
      </c>
      <c r="C10969">
        <f>TEXT(10968, "[$-060000]yyyy-mm-dd")</f>
        <v/>
      </c>
      <c r="D10969" t="inlineStr">
        <is>
          <t>1348-08-10</t>
        </is>
      </c>
    </row>
    <row r="10970">
      <c r="A10970" s="1" t="n">
        <v>10969</v>
      </c>
      <c r="B10970">
        <f>TEXT(10969, "[$-170000]yyyy-mm-dd")</f>
        <v/>
      </c>
      <c r="C10970">
        <f>TEXT(10969, "[$-060000]yyyy-mm-dd")</f>
        <v/>
      </c>
      <c r="D10970" t="inlineStr">
        <is>
          <t>1348-08-11</t>
        </is>
      </c>
    </row>
    <row r="10971">
      <c r="A10971" s="1" t="n">
        <v>10970</v>
      </c>
      <c r="B10971">
        <f>TEXT(10970, "[$-170000]yyyy-mm-dd")</f>
        <v/>
      </c>
      <c r="C10971">
        <f>TEXT(10970, "[$-060000]yyyy-mm-dd")</f>
        <v/>
      </c>
      <c r="D10971" t="inlineStr">
        <is>
          <t>1348-08-12</t>
        </is>
      </c>
    </row>
    <row r="10972">
      <c r="A10972" s="1" t="n">
        <v>10971</v>
      </c>
      <c r="B10972">
        <f>TEXT(10971, "[$-170000]yyyy-mm-dd")</f>
        <v/>
      </c>
      <c r="C10972">
        <f>TEXT(10971, "[$-060000]yyyy-mm-dd")</f>
        <v/>
      </c>
      <c r="D10972" t="inlineStr">
        <is>
          <t>1348-08-13</t>
        </is>
      </c>
    </row>
    <row r="10973">
      <c r="A10973" s="1" t="n">
        <v>10972</v>
      </c>
      <c r="B10973">
        <f>TEXT(10972, "[$-170000]yyyy-mm-dd")</f>
        <v/>
      </c>
      <c r="C10973">
        <f>TEXT(10972, "[$-060000]yyyy-mm-dd")</f>
        <v/>
      </c>
      <c r="D10973" t="inlineStr">
        <is>
          <t>1348-08-14</t>
        </is>
      </c>
    </row>
    <row r="10974">
      <c r="A10974" s="1" t="n">
        <v>10973</v>
      </c>
      <c r="B10974">
        <f>TEXT(10973, "[$-170000]yyyy-mm-dd")</f>
        <v/>
      </c>
      <c r="C10974">
        <f>TEXT(10973, "[$-060000]yyyy-mm-dd")</f>
        <v/>
      </c>
      <c r="D10974" t="inlineStr">
        <is>
          <t>1348-08-15</t>
        </is>
      </c>
    </row>
    <row r="10975">
      <c r="A10975" s="1" t="n">
        <v>10974</v>
      </c>
      <c r="B10975">
        <f>TEXT(10974, "[$-170000]yyyy-mm-dd")</f>
        <v/>
      </c>
      <c r="C10975">
        <f>TEXT(10974, "[$-060000]yyyy-mm-dd")</f>
        <v/>
      </c>
      <c r="D10975" t="inlineStr">
        <is>
          <t>1348-08-16</t>
        </is>
      </c>
    </row>
    <row r="10976">
      <c r="A10976" s="1" t="n">
        <v>10975</v>
      </c>
      <c r="B10976">
        <f>TEXT(10975, "[$-170000]yyyy-mm-dd")</f>
        <v/>
      </c>
      <c r="C10976">
        <f>TEXT(10975, "[$-060000]yyyy-mm-dd")</f>
        <v/>
      </c>
      <c r="D10976" t="inlineStr">
        <is>
          <t>1348-08-17</t>
        </is>
      </c>
    </row>
    <row r="10977">
      <c r="A10977" s="1" t="n">
        <v>10976</v>
      </c>
      <c r="B10977">
        <f>TEXT(10976, "[$-170000]yyyy-mm-dd")</f>
        <v/>
      </c>
      <c r="C10977">
        <f>TEXT(10976, "[$-060000]yyyy-mm-dd")</f>
        <v/>
      </c>
      <c r="D10977" t="inlineStr">
        <is>
          <t>1348-08-18</t>
        </is>
      </c>
    </row>
    <row r="10978">
      <c r="A10978" s="1" t="n">
        <v>10977</v>
      </c>
      <c r="B10978">
        <f>TEXT(10977, "[$-170000]yyyy-mm-dd")</f>
        <v/>
      </c>
      <c r="C10978">
        <f>TEXT(10977, "[$-060000]yyyy-mm-dd")</f>
        <v/>
      </c>
      <c r="D10978" t="inlineStr">
        <is>
          <t>1348-08-19</t>
        </is>
      </c>
    </row>
    <row r="10979">
      <c r="A10979" s="1" t="n">
        <v>10978</v>
      </c>
      <c r="B10979">
        <f>TEXT(10978, "[$-170000]yyyy-mm-dd")</f>
        <v/>
      </c>
      <c r="C10979">
        <f>TEXT(10978, "[$-060000]yyyy-mm-dd")</f>
        <v/>
      </c>
      <c r="D10979" t="inlineStr">
        <is>
          <t>1348-08-20</t>
        </is>
      </c>
    </row>
    <row r="10980">
      <c r="A10980" s="1" t="n">
        <v>10979</v>
      </c>
      <c r="B10980">
        <f>TEXT(10979, "[$-170000]yyyy-mm-dd")</f>
        <v/>
      </c>
      <c r="C10980">
        <f>TEXT(10979, "[$-060000]yyyy-mm-dd")</f>
        <v/>
      </c>
      <c r="D10980" t="inlineStr">
        <is>
          <t>1348-08-21</t>
        </is>
      </c>
    </row>
    <row r="10981">
      <c r="A10981" s="1" t="n">
        <v>10980</v>
      </c>
      <c r="B10981">
        <f>TEXT(10980, "[$-170000]yyyy-mm-dd")</f>
        <v/>
      </c>
      <c r="C10981">
        <f>TEXT(10980, "[$-060000]yyyy-mm-dd")</f>
        <v/>
      </c>
      <c r="D10981" t="inlineStr">
        <is>
          <t>1348-08-22</t>
        </is>
      </c>
    </row>
    <row r="10982">
      <c r="A10982" s="1" t="n">
        <v>10981</v>
      </c>
      <c r="B10982">
        <f>TEXT(10981, "[$-170000]yyyy-mm-dd")</f>
        <v/>
      </c>
      <c r="C10982">
        <f>TEXT(10981, "[$-060000]yyyy-mm-dd")</f>
        <v/>
      </c>
      <c r="D10982" t="inlineStr">
        <is>
          <t>1348-08-23</t>
        </is>
      </c>
    </row>
    <row r="10983">
      <c r="A10983" s="1" t="n">
        <v>10982</v>
      </c>
      <c r="B10983">
        <f>TEXT(10982, "[$-170000]yyyy-mm-dd")</f>
        <v/>
      </c>
      <c r="C10983">
        <f>TEXT(10982, "[$-060000]yyyy-mm-dd")</f>
        <v/>
      </c>
      <c r="D10983" t="inlineStr">
        <is>
          <t>1348-08-24</t>
        </is>
      </c>
    </row>
    <row r="10984">
      <c r="A10984" s="1" t="n">
        <v>10983</v>
      </c>
      <c r="B10984">
        <f>TEXT(10983, "[$-170000]yyyy-mm-dd")</f>
        <v/>
      </c>
      <c r="C10984">
        <f>TEXT(10983, "[$-060000]yyyy-mm-dd")</f>
        <v/>
      </c>
      <c r="D10984" t="inlineStr">
        <is>
          <t>1348-08-25</t>
        </is>
      </c>
    </row>
    <row r="10985">
      <c r="A10985" s="1" t="n">
        <v>10984</v>
      </c>
      <c r="B10985">
        <f>TEXT(10984, "[$-170000]yyyy-mm-dd")</f>
        <v/>
      </c>
      <c r="C10985">
        <f>TEXT(10984, "[$-060000]yyyy-mm-dd")</f>
        <v/>
      </c>
      <c r="D10985" t="inlineStr">
        <is>
          <t>1348-08-26</t>
        </is>
      </c>
    </row>
    <row r="10986">
      <c r="A10986" s="1" t="n">
        <v>10985</v>
      </c>
      <c r="B10986">
        <f>TEXT(10985, "[$-170000]yyyy-mm-dd")</f>
        <v/>
      </c>
      <c r="C10986">
        <f>TEXT(10985, "[$-060000]yyyy-mm-dd")</f>
        <v/>
      </c>
      <c r="D10986" t="inlineStr">
        <is>
          <t>1348-08-27</t>
        </is>
      </c>
    </row>
    <row r="10987">
      <c r="A10987" s="1" t="n">
        <v>10986</v>
      </c>
      <c r="B10987">
        <f>TEXT(10986, "[$-170000]yyyy-mm-dd")</f>
        <v/>
      </c>
      <c r="C10987">
        <f>TEXT(10986, "[$-060000]yyyy-mm-dd")</f>
        <v/>
      </c>
      <c r="D10987" t="inlineStr">
        <is>
          <t>1348-08-28</t>
        </is>
      </c>
    </row>
    <row r="10988">
      <c r="A10988" s="1" t="n">
        <v>10987</v>
      </c>
      <c r="B10988">
        <f>TEXT(10987, "[$-170000]yyyy-mm-dd")</f>
        <v/>
      </c>
      <c r="C10988">
        <f>TEXT(10987, "[$-060000]yyyy-mm-dd")</f>
        <v/>
      </c>
      <c r="D10988" t="inlineStr">
        <is>
          <t>1348-08-29</t>
        </is>
      </c>
    </row>
    <row r="10989">
      <c r="A10989" s="1" t="n">
        <v>10988</v>
      </c>
      <c r="B10989">
        <f>TEXT(10988, "[$-170000]yyyy-mm-dd")</f>
        <v/>
      </c>
      <c r="C10989">
        <f>TEXT(10988, "[$-060000]yyyy-mm-dd")</f>
        <v/>
      </c>
      <c r="D10989" t="inlineStr">
        <is>
          <t>1348-09-01</t>
        </is>
      </c>
    </row>
    <row r="10990">
      <c r="A10990" s="1" t="n">
        <v>10989</v>
      </c>
      <c r="B10990">
        <f>TEXT(10989, "[$-170000]yyyy-mm-dd")</f>
        <v/>
      </c>
      <c r="C10990">
        <f>TEXT(10989, "[$-060000]yyyy-mm-dd")</f>
        <v/>
      </c>
      <c r="D10990" t="inlineStr">
        <is>
          <t>1348-09-02</t>
        </is>
      </c>
    </row>
    <row r="10991">
      <c r="A10991" s="1" t="n">
        <v>10990</v>
      </c>
      <c r="B10991">
        <f>TEXT(10990, "[$-170000]yyyy-mm-dd")</f>
        <v/>
      </c>
      <c r="C10991">
        <f>TEXT(10990, "[$-060000]yyyy-mm-dd")</f>
        <v/>
      </c>
      <c r="D10991" t="inlineStr">
        <is>
          <t>1348-09-03</t>
        </is>
      </c>
    </row>
    <row r="10992">
      <c r="A10992" s="1" t="n">
        <v>10991</v>
      </c>
      <c r="B10992">
        <f>TEXT(10991, "[$-170000]yyyy-mm-dd")</f>
        <v/>
      </c>
      <c r="C10992">
        <f>TEXT(10991, "[$-060000]yyyy-mm-dd")</f>
        <v/>
      </c>
      <c r="D10992" t="inlineStr">
        <is>
          <t>1348-09-04</t>
        </is>
      </c>
    </row>
    <row r="10993">
      <c r="A10993" s="1" t="n">
        <v>10992</v>
      </c>
      <c r="B10993">
        <f>TEXT(10992, "[$-170000]yyyy-mm-dd")</f>
        <v/>
      </c>
      <c r="C10993">
        <f>TEXT(10992, "[$-060000]yyyy-mm-dd")</f>
        <v/>
      </c>
      <c r="D10993" t="inlineStr">
        <is>
          <t>1348-09-05</t>
        </is>
      </c>
    </row>
    <row r="10994">
      <c r="A10994" s="1" t="n">
        <v>10993</v>
      </c>
      <c r="B10994">
        <f>TEXT(10993, "[$-170000]yyyy-mm-dd")</f>
        <v/>
      </c>
      <c r="C10994">
        <f>TEXT(10993, "[$-060000]yyyy-mm-dd")</f>
        <v/>
      </c>
      <c r="D10994" t="inlineStr">
        <is>
          <t>1348-09-06</t>
        </is>
      </c>
    </row>
    <row r="10995">
      <c r="A10995" s="1" t="n">
        <v>10994</v>
      </c>
      <c r="B10995">
        <f>TEXT(10994, "[$-170000]yyyy-mm-dd")</f>
        <v/>
      </c>
      <c r="C10995">
        <f>TEXT(10994, "[$-060000]yyyy-mm-dd")</f>
        <v/>
      </c>
      <c r="D10995" t="inlineStr">
        <is>
          <t>1348-09-07</t>
        </is>
      </c>
    </row>
    <row r="10996">
      <c r="A10996" s="1" t="n">
        <v>10995</v>
      </c>
      <c r="B10996">
        <f>TEXT(10995, "[$-170000]yyyy-mm-dd")</f>
        <v/>
      </c>
      <c r="C10996">
        <f>TEXT(10995, "[$-060000]yyyy-mm-dd")</f>
        <v/>
      </c>
      <c r="D10996" t="inlineStr">
        <is>
          <t>1348-09-08</t>
        </is>
      </c>
    </row>
    <row r="10997">
      <c r="A10997" s="1" t="n">
        <v>10996</v>
      </c>
      <c r="B10997">
        <f>TEXT(10996, "[$-170000]yyyy-mm-dd")</f>
        <v/>
      </c>
      <c r="C10997">
        <f>TEXT(10996, "[$-060000]yyyy-mm-dd")</f>
        <v/>
      </c>
      <c r="D10997" t="inlineStr">
        <is>
          <t>1348-09-09</t>
        </is>
      </c>
    </row>
    <row r="10998">
      <c r="A10998" s="1" t="n">
        <v>10997</v>
      </c>
      <c r="B10998">
        <f>TEXT(10997, "[$-170000]yyyy-mm-dd")</f>
        <v/>
      </c>
      <c r="C10998">
        <f>TEXT(10997, "[$-060000]yyyy-mm-dd")</f>
        <v/>
      </c>
      <c r="D10998" t="inlineStr">
        <is>
          <t>1348-09-10</t>
        </is>
      </c>
    </row>
    <row r="10999">
      <c r="A10999" s="1" t="n">
        <v>10998</v>
      </c>
      <c r="B10999">
        <f>TEXT(10998, "[$-170000]yyyy-mm-dd")</f>
        <v/>
      </c>
      <c r="C10999">
        <f>TEXT(10998, "[$-060000]yyyy-mm-dd")</f>
        <v/>
      </c>
      <c r="D10999" t="inlineStr">
        <is>
          <t>1348-09-11</t>
        </is>
      </c>
    </row>
    <row r="11000">
      <c r="A11000" s="1" t="n">
        <v>10999</v>
      </c>
      <c r="B11000">
        <f>TEXT(10999, "[$-170000]yyyy-mm-dd")</f>
        <v/>
      </c>
      <c r="C11000">
        <f>TEXT(10999, "[$-060000]yyyy-mm-dd")</f>
        <v/>
      </c>
      <c r="D11000" t="inlineStr">
        <is>
          <t>1348-09-12</t>
        </is>
      </c>
    </row>
    <row r="11001">
      <c r="A11001" s="1" t="n">
        <v>11000</v>
      </c>
      <c r="B11001">
        <f>TEXT(11000, "[$-170000]yyyy-mm-dd")</f>
        <v/>
      </c>
      <c r="C11001">
        <f>TEXT(11000, "[$-060000]yyyy-mm-dd")</f>
        <v/>
      </c>
      <c r="D11001" t="inlineStr">
        <is>
          <t>1348-09-13</t>
        </is>
      </c>
    </row>
    <row r="11002">
      <c r="A11002" s="1" t="n">
        <v>11001</v>
      </c>
      <c r="B11002">
        <f>TEXT(11001, "[$-170000]yyyy-mm-dd")</f>
        <v/>
      </c>
      <c r="C11002">
        <f>TEXT(11001, "[$-060000]yyyy-mm-dd")</f>
        <v/>
      </c>
      <c r="D11002" t="inlineStr">
        <is>
          <t>1348-09-14</t>
        </is>
      </c>
    </row>
    <row r="11003">
      <c r="A11003" s="1" t="n">
        <v>11002</v>
      </c>
      <c r="B11003">
        <f>TEXT(11002, "[$-170000]yyyy-mm-dd")</f>
        <v/>
      </c>
      <c r="C11003">
        <f>TEXT(11002, "[$-060000]yyyy-mm-dd")</f>
        <v/>
      </c>
      <c r="D11003" t="inlineStr">
        <is>
          <t>1348-09-15</t>
        </is>
      </c>
    </row>
    <row r="11004">
      <c r="A11004" s="1" t="n">
        <v>11003</v>
      </c>
      <c r="B11004">
        <f>TEXT(11003, "[$-170000]yyyy-mm-dd")</f>
        <v/>
      </c>
      <c r="C11004">
        <f>TEXT(11003, "[$-060000]yyyy-mm-dd")</f>
        <v/>
      </c>
      <c r="D11004" t="inlineStr">
        <is>
          <t>1348-09-16</t>
        </is>
      </c>
    </row>
    <row r="11005">
      <c r="A11005" s="1" t="n">
        <v>11004</v>
      </c>
      <c r="B11005">
        <f>TEXT(11004, "[$-170000]yyyy-mm-dd")</f>
        <v/>
      </c>
      <c r="C11005">
        <f>TEXT(11004, "[$-060000]yyyy-mm-dd")</f>
        <v/>
      </c>
      <c r="D11005" t="inlineStr">
        <is>
          <t>1348-09-17</t>
        </is>
      </c>
    </row>
    <row r="11006">
      <c r="A11006" s="1" t="n">
        <v>11005</v>
      </c>
      <c r="B11006">
        <f>TEXT(11005, "[$-170000]yyyy-mm-dd")</f>
        <v/>
      </c>
      <c r="C11006">
        <f>TEXT(11005, "[$-060000]yyyy-mm-dd")</f>
        <v/>
      </c>
      <c r="D11006" t="inlineStr">
        <is>
          <t>1348-09-18</t>
        </is>
      </c>
    </row>
    <row r="11007">
      <c r="A11007" s="1" t="n">
        <v>11006</v>
      </c>
      <c r="B11007">
        <f>TEXT(11006, "[$-170000]yyyy-mm-dd")</f>
        <v/>
      </c>
      <c r="C11007">
        <f>TEXT(11006, "[$-060000]yyyy-mm-dd")</f>
        <v/>
      </c>
      <c r="D11007" t="inlineStr">
        <is>
          <t>1348-09-19</t>
        </is>
      </c>
    </row>
    <row r="11008">
      <c r="A11008" s="1" t="n">
        <v>11007</v>
      </c>
      <c r="B11008">
        <f>TEXT(11007, "[$-170000]yyyy-mm-dd")</f>
        <v/>
      </c>
      <c r="C11008">
        <f>TEXT(11007, "[$-060000]yyyy-mm-dd")</f>
        <v/>
      </c>
      <c r="D11008" t="inlineStr">
        <is>
          <t>1348-09-20</t>
        </is>
      </c>
    </row>
    <row r="11009">
      <c r="A11009" s="1" t="n">
        <v>11008</v>
      </c>
      <c r="B11009">
        <f>TEXT(11008, "[$-170000]yyyy-mm-dd")</f>
        <v/>
      </c>
      <c r="C11009">
        <f>TEXT(11008, "[$-060000]yyyy-mm-dd")</f>
        <v/>
      </c>
      <c r="D11009" t="inlineStr">
        <is>
          <t>1348-09-21</t>
        </is>
      </c>
    </row>
    <row r="11010">
      <c r="A11010" s="1" t="n">
        <v>11009</v>
      </c>
      <c r="B11010">
        <f>TEXT(11009, "[$-170000]yyyy-mm-dd")</f>
        <v/>
      </c>
      <c r="C11010">
        <f>TEXT(11009, "[$-060000]yyyy-mm-dd")</f>
        <v/>
      </c>
      <c r="D11010" t="inlineStr">
        <is>
          <t>1348-09-22</t>
        </is>
      </c>
    </row>
    <row r="11011">
      <c r="A11011" s="1" t="n">
        <v>11010</v>
      </c>
      <c r="B11011">
        <f>TEXT(11010, "[$-170000]yyyy-mm-dd")</f>
        <v/>
      </c>
      <c r="C11011">
        <f>TEXT(11010, "[$-060000]yyyy-mm-dd")</f>
        <v/>
      </c>
      <c r="D11011" t="inlineStr">
        <is>
          <t>1348-09-23</t>
        </is>
      </c>
    </row>
    <row r="11012">
      <c r="A11012" s="1" t="n">
        <v>11011</v>
      </c>
      <c r="B11012">
        <f>TEXT(11011, "[$-170000]yyyy-mm-dd")</f>
        <v/>
      </c>
      <c r="C11012">
        <f>TEXT(11011, "[$-060000]yyyy-mm-dd")</f>
        <v/>
      </c>
      <c r="D11012" t="inlineStr">
        <is>
          <t>1348-09-24</t>
        </is>
      </c>
    </row>
    <row r="11013">
      <c r="A11013" s="1" t="n">
        <v>11012</v>
      </c>
      <c r="B11013">
        <f>TEXT(11012, "[$-170000]yyyy-mm-dd")</f>
        <v/>
      </c>
      <c r="C11013">
        <f>TEXT(11012, "[$-060000]yyyy-mm-dd")</f>
        <v/>
      </c>
      <c r="D11013" t="inlineStr">
        <is>
          <t>1348-09-25</t>
        </is>
      </c>
    </row>
    <row r="11014">
      <c r="A11014" s="1" t="n">
        <v>11013</v>
      </c>
      <c r="B11014">
        <f>TEXT(11013, "[$-170000]yyyy-mm-dd")</f>
        <v/>
      </c>
      <c r="C11014">
        <f>TEXT(11013, "[$-060000]yyyy-mm-dd")</f>
        <v/>
      </c>
      <c r="D11014" t="inlineStr">
        <is>
          <t>1348-09-26</t>
        </is>
      </c>
    </row>
    <row r="11015">
      <c r="A11015" s="1" t="n">
        <v>11014</v>
      </c>
      <c r="B11015">
        <f>TEXT(11014, "[$-170000]yyyy-mm-dd")</f>
        <v/>
      </c>
      <c r="C11015">
        <f>TEXT(11014, "[$-060000]yyyy-mm-dd")</f>
        <v/>
      </c>
      <c r="D11015" t="inlineStr">
        <is>
          <t>1348-09-27</t>
        </is>
      </c>
    </row>
    <row r="11016">
      <c r="A11016" s="1" t="n">
        <v>11015</v>
      </c>
      <c r="B11016">
        <f>TEXT(11015, "[$-170000]yyyy-mm-dd")</f>
        <v/>
      </c>
      <c r="C11016">
        <f>TEXT(11015, "[$-060000]yyyy-mm-dd")</f>
        <v/>
      </c>
      <c r="D11016" t="inlineStr">
        <is>
          <t>1348-09-28</t>
        </is>
      </c>
    </row>
    <row r="11017">
      <c r="A11017" s="1" t="n">
        <v>11016</v>
      </c>
      <c r="B11017">
        <f>TEXT(11016, "[$-170000]yyyy-mm-dd")</f>
        <v/>
      </c>
      <c r="C11017">
        <f>TEXT(11016, "[$-060000]yyyy-mm-dd")</f>
        <v/>
      </c>
      <c r="D11017" t="inlineStr">
        <is>
          <t>1348-09-29</t>
        </is>
      </c>
    </row>
    <row r="11018">
      <c r="A11018" s="1" t="n">
        <v>11017</v>
      </c>
      <c r="B11018">
        <f>TEXT(11017, "[$-170000]yyyy-mm-dd")</f>
        <v/>
      </c>
      <c r="C11018">
        <f>TEXT(11017, "[$-060000]yyyy-mm-dd")</f>
        <v/>
      </c>
      <c r="D11018" t="inlineStr">
        <is>
          <t>1348-09-30</t>
        </is>
      </c>
    </row>
    <row r="11019">
      <c r="A11019" s="1" t="n">
        <v>11018</v>
      </c>
      <c r="B11019">
        <f>TEXT(11018, "[$-170000]yyyy-mm-dd")</f>
        <v/>
      </c>
      <c r="C11019">
        <f>TEXT(11018, "[$-060000]yyyy-mm-dd")</f>
        <v/>
      </c>
      <c r="D11019" t="inlineStr">
        <is>
          <t>1348-10-01</t>
        </is>
      </c>
    </row>
    <row r="11020">
      <c r="A11020" s="1" t="n">
        <v>11019</v>
      </c>
      <c r="B11020">
        <f>TEXT(11019, "[$-170000]yyyy-mm-dd")</f>
        <v/>
      </c>
      <c r="C11020">
        <f>TEXT(11019, "[$-060000]yyyy-mm-dd")</f>
        <v/>
      </c>
      <c r="D11020" t="inlineStr">
        <is>
          <t>1348-10-02</t>
        </is>
      </c>
    </row>
    <row r="11021">
      <c r="A11021" s="1" t="n">
        <v>11020</v>
      </c>
      <c r="B11021">
        <f>TEXT(11020, "[$-170000]yyyy-mm-dd")</f>
        <v/>
      </c>
      <c r="C11021">
        <f>TEXT(11020, "[$-060000]yyyy-mm-dd")</f>
        <v/>
      </c>
      <c r="D11021" t="inlineStr">
        <is>
          <t>1348-10-03</t>
        </is>
      </c>
    </row>
    <row r="11022">
      <c r="A11022" s="1" t="n">
        <v>11021</v>
      </c>
      <c r="B11022">
        <f>TEXT(11021, "[$-170000]yyyy-mm-dd")</f>
        <v/>
      </c>
      <c r="C11022">
        <f>TEXT(11021, "[$-060000]yyyy-mm-dd")</f>
        <v/>
      </c>
      <c r="D11022" t="inlineStr">
        <is>
          <t>1348-10-04</t>
        </is>
      </c>
    </row>
    <row r="11023">
      <c r="A11023" s="1" t="n">
        <v>11022</v>
      </c>
      <c r="B11023">
        <f>TEXT(11022, "[$-170000]yyyy-mm-dd")</f>
        <v/>
      </c>
      <c r="C11023">
        <f>TEXT(11022, "[$-060000]yyyy-mm-dd")</f>
        <v/>
      </c>
      <c r="D11023" t="inlineStr">
        <is>
          <t>1348-10-05</t>
        </is>
      </c>
    </row>
    <row r="11024">
      <c r="A11024" s="1" t="n">
        <v>11023</v>
      </c>
      <c r="B11024">
        <f>TEXT(11023, "[$-170000]yyyy-mm-dd")</f>
        <v/>
      </c>
      <c r="C11024">
        <f>TEXT(11023, "[$-060000]yyyy-mm-dd")</f>
        <v/>
      </c>
      <c r="D11024" t="inlineStr">
        <is>
          <t>1348-10-06</t>
        </is>
      </c>
    </row>
    <row r="11025">
      <c r="A11025" s="1" t="n">
        <v>11024</v>
      </c>
      <c r="B11025">
        <f>TEXT(11024, "[$-170000]yyyy-mm-dd")</f>
        <v/>
      </c>
      <c r="C11025">
        <f>TEXT(11024, "[$-060000]yyyy-mm-dd")</f>
        <v/>
      </c>
      <c r="D11025" t="inlineStr">
        <is>
          <t>1348-10-07</t>
        </is>
      </c>
    </row>
    <row r="11026">
      <c r="A11026" s="1" t="n">
        <v>11025</v>
      </c>
      <c r="B11026">
        <f>TEXT(11025, "[$-170000]yyyy-mm-dd")</f>
        <v/>
      </c>
      <c r="C11026">
        <f>TEXT(11025, "[$-060000]yyyy-mm-dd")</f>
        <v/>
      </c>
      <c r="D11026" t="inlineStr">
        <is>
          <t>1348-10-08</t>
        </is>
      </c>
    </row>
    <row r="11027">
      <c r="A11027" s="1" t="n">
        <v>11026</v>
      </c>
      <c r="B11027">
        <f>TEXT(11026, "[$-170000]yyyy-mm-dd")</f>
        <v/>
      </c>
      <c r="C11027">
        <f>TEXT(11026, "[$-060000]yyyy-mm-dd")</f>
        <v/>
      </c>
      <c r="D11027" t="inlineStr">
        <is>
          <t>1348-10-09</t>
        </is>
      </c>
    </row>
    <row r="11028">
      <c r="A11028" s="1" t="n">
        <v>11027</v>
      </c>
      <c r="B11028">
        <f>TEXT(11027, "[$-170000]yyyy-mm-dd")</f>
        <v/>
      </c>
      <c r="C11028">
        <f>TEXT(11027, "[$-060000]yyyy-mm-dd")</f>
        <v/>
      </c>
      <c r="D11028" t="inlineStr">
        <is>
          <t>1348-10-10</t>
        </is>
      </c>
    </row>
    <row r="11029">
      <c r="A11029" s="1" t="n">
        <v>11028</v>
      </c>
      <c r="B11029">
        <f>TEXT(11028, "[$-170000]yyyy-mm-dd")</f>
        <v/>
      </c>
      <c r="C11029">
        <f>TEXT(11028, "[$-060000]yyyy-mm-dd")</f>
        <v/>
      </c>
      <c r="D11029" t="inlineStr">
        <is>
          <t>1348-10-11</t>
        </is>
      </c>
    </row>
    <row r="11030">
      <c r="A11030" s="1" t="n">
        <v>11029</v>
      </c>
      <c r="B11030">
        <f>TEXT(11029, "[$-170000]yyyy-mm-dd")</f>
        <v/>
      </c>
      <c r="C11030">
        <f>TEXT(11029, "[$-060000]yyyy-mm-dd")</f>
        <v/>
      </c>
      <c r="D11030" t="inlineStr">
        <is>
          <t>1348-10-12</t>
        </is>
      </c>
    </row>
    <row r="11031">
      <c r="A11031" s="1" t="n">
        <v>11030</v>
      </c>
      <c r="B11031">
        <f>TEXT(11030, "[$-170000]yyyy-mm-dd")</f>
        <v/>
      </c>
      <c r="C11031">
        <f>TEXT(11030, "[$-060000]yyyy-mm-dd")</f>
        <v/>
      </c>
      <c r="D11031" t="inlineStr">
        <is>
          <t>1348-10-13</t>
        </is>
      </c>
    </row>
    <row r="11032">
      <c r="A11032" s="1" t="n">
        <v>11031</v>
      </c>
      <c r="B11032">
        <f>TEXT(11031, "[$-170000]yyyy-mm-dd")</f>
        <v/>
      </c>
      <c r="C11032">
        <f>TEXT(11031, "[$-060000]yyyy-mm-dd")</f>
        <v/>
      </c>
      <c r="D11032" t="inlineStr">
        <is>
          <t>1348-10-14</t>
        </is>
      </c>
    </row>
    <row r="11033">
      <c r="A11033" s="1" t="n">
        <v>11032</v>
      </c>
      <c r="B11033">
        <f>TEXT(11032, "[$-170000]yyyy-mm-dd")</f>
        <v/>
      </c>
      <c r="C11033">
        <f>TEXT(11032, "[$-060000]yyyy-mm-dd")</f>
        <v/>
      </c>
      <c r="D11033" t="inlineStr">
        <is>
          <t>1348-10-15</t>
        </is>
      </c>
    </row>
    <row r="11034">
      <c r="A11034" s="1" t="n">
        <v>11033</v>
      </c>
      <c r="B11034">
        <f>TEXT(11033, "[$-170000]yyyy-mm-dd")</f>
        <v/>
      </c>
      <c r="C11034">
        <f>TEXT(11033, "[$-060000]yyyy-mm-dd")</f>
        <v/>
      </c>
      <c r="D11034" t="inlineStr">
        <is>
          <t>1348-10-16</t>
        </is>
      </c>
    </row>
    <row r="11035">
      <c r="A11035" s="1" t="n">
        <v>11034</v>
      </c>
      <c r="B11035">
        <f>TEXT(11034, "[$-170000]yyyy-mm-dd")</f>
        <v/>
      </c>
      <c r="C11035">
        <f>TEXT(11034, "[$-060000]yyyy-mm-dd")</f>
        <v/>
      </c>
      <c r="D11035" t="inlineStr">
        <is>
          <t>1348-10-17</t>
        </is>
      </c>
    </row>
    <row r="11036">
      <c r="A11036" s="1" t="n">
        <v>11035</v>
      </c>
      <c r="B11036">
        <f>TEXT(11035, "[$-170000]yyyy-mm-dd")</f>
        <v/>
      </c>
      <c r="C11036">
        <f>TEXT(11035, "[$-060000]yyyy-mm-dd")</f>
        <v/>
      </c>
      <c r="D11036" t="inlineStr">
        <is>
          <t>1348-10-18</t>
        </is>
      </c>
    </row>
    <row r="11037">
      <c r="A11037" s="1" t="n">
        <v>11036</v>
      </c>
      <c r="B11037">
        <f>TEXT(11036, "[$-170000]yyyy-mm-dd")</f>
        <v/>
      </c>
      <c r="C11037">
        <f>TEXT(11036, "[$-060000]yyyy-mm-dd")</f>
        <v/>
      </c>
      <c r="D11037" t="inlineStr">
        <is>
          <t>1348-10-19</t>
        </is>
      </c>
    </row>
    <row r="11038">
      <c r="A11038" s="1" t="n">
        <v>11037</v>
      </c>
      <c r="B11038">
        <f>TEXT(11037, "[$-170000]yyyy-mm-dd")</f>
        <v/>
      </c>
      <c r="C11038">
        <f>TEXT(11037, "[$-060000]yyyy-mm-dd")</f>
        <v/>
      </c>
      <c r="D11038" t="inlineStr">
        <is>
          <t>1348-10-20</t>
        </is>
      </c>
    </row>
    <row r="11039">
      <c r="A11039" s="1" t="n">
        <v>11038</v>
      </c>
      <c r="B11039">
        <f>TEXT(11038, "[$-170000]yyyy-mm-dd")</f>
        <v/>
      </c>
      <c r="C11039">
        <f>TEXT(11038, "[$-060000]yyyy-mm-dd")</f>
        <v/>
      </c>
      <c r="D11039" t="inlineStr">
        <is>
          <t>1348-10-21</t>
        </is>
      </c>
    </row>
    <row r="11040">
      <c r="A11040" s="1" t="n">
        <v>11039</v>
      </c>
      <c r="B11040">
        <f>TEXT(11039, "[$-170000]yyyy-mm-dd")</f>
        <v/>
      </c>
      <c r="C11040">
        <f>TEXT(11039, "[$-060000]yyyy-mm-dd")</f>
        <v/>
      </c>
      <c r="D11040" t="inlineStr">
        <is>
          <t>1348-10-22</t>
        </is>
      </c>
    </row>
    <row r="11041">
      <c r="A11041" s="1" t="n">
        <v>11040</v>
      </c>
      <c r="B11041">
        <f>TEXT(11040, "[$-170000]yyyy-mm-dd")</f>
        <v/>
      </c>
      <c r="C11041">
        <f>TEXT(11040, "[$-060000]yyyy-mm-dd")</f>
        <v/>
      </c>
      <c r="D11041" t="inlineStr">
        <is>
          <t>1348-10-23</t>
        </is>
      </c>
    </row>
    <row r="11042">
      <c r="A11042" s="1" t="n">
        <v>11041</v>
      </c>
      <c r="B11042">
        <f>TEXT(11041, "[$-170000]yyyy-mm-dd")</f>
        <v/>
      </c>
      <c r="C11042">
        <f>TEXT(11041, "[$-060000]yyyy-mm-dd")</f>
        <v/>
      </c>
      <c r="D11042" t="inlineStr">
        <is>
          <t>1348-10-24</t>
        </is>
      </c>
    </row>
    <row r="11043">
      <c r="A11043" s="1" t="n">
        <v>11042</v>
      </c>
      <c r="B11043">
        <f>TEXT(11042, "[$-170000]yyyy-mm-dd")</f>
        <v/>
      </c>
      <c r="C11043">
        <f>TEXT(11042, "[$-060000]yyyy-mm-dd")</f>
        <v/>
      </c>
      <c r="D11043" t="inlineStr">
        <is>
          <t>1348-10-25</t>
        </is>
      </c>
    </row>
    <row r="11044">
      <c r="A11044" s="1" t="n">
        <v>11043</v>
      </c>
      <c r="B11044">
        <f>TEXT(11043, "[$-170000]yyyy-mm-dd")</f>
        <v/>
      </c>
      <c r="C11044">
        <f>TEXT(11043, "[$-060000]yyyy-mm-dd")</f>
        <v/>
      </c>
      <c r="D11044" t="inlineStr">
        <is>
          <t>1348-10-26</t>
        </is>
      </c>
    </row>
    <row r="11045">
      <c r="A11045" s="1" t="n">
        <v>11044</v>
      </c>
      <c r="B11045">
        <f>TEXT(11044, "[$-170000]yyyy-mm-dd")</f>
        <v/>
      </c>
      <c r="C11045">
        <f>TEXT(11044, "[$-060000]yyyy-mm-dd")</f>
        <v/>
      </c>
      <c r="D11045" t="inlineStr">
        <is>
          <t>1348-10-27</t>
        </is>
      </c>
    </row>
    <row r="11046">
      <c r="A11046" s="1" t="n">
        <v>11045</v>
      </c>
      <c r="B11046">
        <f>TEXT(11045, "[$-170000]yyyy-mm-dd")</f>
        <v/>
      </c>
      <c r="C11046">
        <f>TEXT(11045, "[$-060000]yyyy-mm-dd")</f>
        <v/>
      </c>
      <c r="D11046" t="inlineStr">
        <is>
          <t>1348-10-28</t>
        </is>
      </c>
    </row>
    <row r="11047">
      <c r="A11047" s="1" t="n">
        <v>11046</v>
      </c>
      <c r="B11047">
        <f>TEXT(11046, "[$-170000]yyyy-mm-dd")</f>
        <v/>
      </c>
      <c r="C11047">
        <f>TEXT(11046, "[$-060000]yyyy-mm-dd")</f>
        <v/>
      </c>
      <c r="D11047" t="inlineStr">
        <is>
          <t>1348-10-29</t>
        </is>
      </c>
    </row>
    <row r="11048">
      <c r="A11048" s="1" t="n">
        <v>11047</v>
      </c>
      <c r="B11048">
        <f>TEXT(11047, "[$-170000]yyyy-mm-dd")</f>
        <v/>
      </c>
      <c r="C11048">
        <f>TEXT(11047, "[$-060000]yyyy-mm-dd")</f>
        <v/>
      </c>
      <c r="D11048" t="inlineStr">
        <is>
          <t>1348-11-01</t>
        </is>
      </c>
    </row>
    <row r="11049">
      <c r="A11049" s="1" t="n">
        <v>11048</v>
      </c>
      <c r="B11049">
        <f>TEXT(11048, "[$-170000]yyyy-mm-dd")</f>
        <v/>
      </c>
      <c r="C11049">
        <f>TEXT(11048, "[$-060000]yyyy-mm-dd")</f>
        <v/>
      </c>
      <c r="D11049" t="inlineStr">
        <is>
          <t>1348-11-02</t>
        </is>
      </c>
    </row>
    <row r="11050">
      <c r="A11050" s="1" t="n">
        <v>11049</v>
      </c>
      <c r="B11050">
        <f>TEXT(11049, "[$-170000]yyyy-mm-dd")</f>
        <v/>
      </c>
      <c r="C11050">
        <f>TEXT(11049, "[$-060000]yyyy-mm-dd")</f>
        <v/>
      </c>
      <c r="D11050" t="inlineStr">
        <is>
          <t>1348-11-03</t>
        </is>
      </c>
    </row>
    <row r="11051">
      <c r="A11051" s="1" t="n">
        <v>11050</v>
      </c>
      <c r="B11051">
        <f>TEXT(11050, "[$-170000]yyyy-mm-dd")</f>
        <v/>
      </c>
      <c r="C11051">
        <f>TEXT(11050, "[$-060000]yyyy-mm-dd")</f>
        <v/>
      </c>
      <c r="D11051" t="inlineStr">
        <is>
          <t>1348-11-04</t>
        </is>
      </c>
    </row>
    <row r="11052">
      <c r="A11052" s="1" t="n">
        <v>11051</v>
      </c>
      <c r="B11052">
        <f>TEXT(11051, "[$-170000]yyyy-mm-dd")</f>
        <v/>
      </c>
      <c r="C11052">
        <f>TEXT(11051, "[$-060000]yyyy-mm-dd")</f>
        <v/>
      </c>
      <c r="D11052" t="inlineStr">
        <is>
          <t>1348-11-05</t>
        </is>
      </c>
    </row>
    <row r="11053">
      <c r="A11053" s="1" t="n">
        <v>11052</v>
      </c>
      <c r="B11053">
        <f>TEXT(11052, "[$-170000]yyyy-mm-dd")</f>
        <v/>
      </c>
      <c r="C11053">
        <f>TEXT(11052, "[$-060000]yyyy-mm-dd")</f>
        <v/>
      </c>
      <c r="D11053" t="inlineStr">
        <is>
          <t>1348-11-06</t>
        </is>
      </c>
    </row>
    <row r="11054">
      <c r="A11054" s="1" t="n">
        <v>11053</v>
      </c>
      <c r="B11054">
        <f>TEXT(11053, "[$-170000]yyyy-mm-dd")</f>
        <v/>
      </c>
      <c r="C11054">
        <f>TEXT(11053, "[$-060000]yyyy-mm-dd")</f>
        <v/>
      </c>
      <c r="D11054" t="inlineStr">
        <is>
          <t>1348-11-07</t>
        </is>
      </c>
    </row>
    <row r="11055">
      <c r="A11055" s="1" t="n">
        <v>11054</v>
      </c>
      <c r="B11055">
        <f>TEXT(11054, "[$-170000]yyyy-mm-dd")</f>
        <v/>
      </c>
      <c r="C11055">
        <f>TEXT(11054, "[$-060000]yyyy-mm-dd")</f>
        <v/>
      </c>
      <c r="D11055" t="inlineStr">
        <is>
          <t>1348-11-08</t>
        </is>
      </c>
    </row>
    <row r="11056">
      <c r="A11056" s="1" t="n">
        <v>11055</v>
      </c>
      <c r="B11056">
        <f>TEXT(11055, "[$-170000]yyyy-mm-dd")</f>
        <v/>
      </c>
      <c r="C11056">
        <f>TEXT(11055, "[$-060000]yyyy-mm-dd")</f>
        <v/>
      </c>
      <c r="D11056" t="inlineStr">
        <is>
          <t>1348-11-09</t>
        </is>
      </c>
    </row>
    <row r="11057">
      <c r="A11057" s="1" t="n">
        <v>11056</v>
      </c>
      <c r="B11057">
        <f>TEXT(11056, "[$-170000]yyyy-mm-dd")</f>
        <v/>
      </c>
      <c r="C11057">
        <f>TEXT(11056, "[$-060000]yyyy-mm-dd")</f>
        <v/>
      </c>
      <c r="D11057" t="inlineStr">
        <is>
          <t>1348-11-10</t>
        </is>
      </c>
    </row>
    <row r="11058">
      <c r="A11058" s="1" t="n">
        <v>11057</v>
      </c>
      <c r="B11058">
        <f>TEXT(11057, "[$-170000]yyyy-mm-dd")</f>
        <v/>
      </c>
      <c r="C11058">
        <f>TEXT(11057, "[$-060000]yyyy-mm-dd")</f>
        <v/>
      </c>
      <c r="D11058" t="inlineStr">
        <is>
          <t>1348-11-11</t>
        </is>
      </c>
    </row>
    <row r="11059">
      <c r="A11059" s="1" t="n">
        <v>11058</v>
      </c>
      <c r="B11059">
        <f>TEXT(11058, "[$-170000]yyyy-mm-dd")</f>
        <v/>
      </c>
      <c r="C11059">
        <f>TEXT(11058, "[$-060000]yyyy-mm-dd")</f>
        <v/>
      </c>
      <c r="D11059" t="inlineStr">
        <is>
          <t>1348-11-12</t>
        </is>
      </c>
    </row>
    <row r="11060">
      <c r="A11060" s="1" t="n">
        <v>11059</v>
      </c>
      <c r="B11060">
        <f>TEXT(11059, "[$-170000]yyyy-mm-dd")</f>
        <v/>
      </c>
      <c r="C11060">
        <f>TEXT(11059, "[$-060000]yyyy-mm-dd")</f>
        <v/>
      </c>
      <c r="D11060" t="inlineStr">
        <is>
          <t>1348-11-13</t>
        </is>
      </c>
    </row>
    <row r="11061">
      <c r="A11061" s="1" t="n">
        <v>11060</v>
      </c>
      <c r="B11061">
        <f>TEXT(11060, "[$-170000]yyyy-mm-dd")</f>
        <v/>
      </c>
      <c r="C11061">
        <f>TEXT(11060, "[$-060000]yyyy-mm-dd")</f>
        <v/>
      </c>
      <c r="D11061" t="inlineStr">
        <is>
          <t>1348-11-14</t>
        </is>
      </c>
    </row>
    <row r="11062">
      <c r="A11062" s="1" t="n">
        <v>11061</v>
      </c>
      <c r="B11062">
        <f>TEXT(11061, "[$-170000]yyyy-mm-dd")</f>
        <v/>
      </c>
      <c r="C11062">
        <f>TEXT(11061, "[$-060000]yyyy-mm-dd")</f>
        <v/>
      </c>
      <c r="D11062" t="inlineStr">
        <is>
          <t>1348-11-15</t>
        </is>
      </c>
    </row>
    <row r="11063">
      <c r="A11063" s="1" t="n">
        <v>11062</v>
      </c>
      <c r="B11063">
        <f>TEXT(11062, "[$-170000]yyyy-mm-dd")</f>
        <v/>
      </c>
      <c r="C11063">
        <f>TEXT(11062, "[$-060000]yyyy-mm-dd")</f>
        <v/>
      </c>
      <c r="D11063" t="inlineStr">
        <is>
          <t>1348-11-16</t>
        </is>
      </c>
    </row>
    <row r="11064">
      <c r="A11064" s="1" t="n">
        <v>11063</v>
      </c>
      <c r="B11064">
        <f>TEXT(11063, "[$-170000]yyyy-mm-dd")</f>
        <v/>
      </c>
      <c r="C11064">
        <f>TEXT(11063, "[$-060000]yyyy-mm-dd")</f>
        <v/>
      </c>
      <c r="D11064" t="inlineStr">
        <is>
          <t>1348-11-17</t>
        </is>
      </c>
    </row>
    <row r="11065">
      <c r="A11065" s="1" t="n">
        <v>11064</v>
      </c>
      <c r="B11065">
        <f>TEXT(11064, "[$-170000]yyyy-mm-dd")</f>
        <v/>
      </c>
      <c r="C11065">
        <f>TEXT(11064, "[$-060000]yyyy-mm-dd")</f>
        <v/>
      </c>
      <c r="D11065" t="inlineStr">
        <is>
          <t>1348-11-18</t>
        </is>
      </c>
    </row>
    <row r="11066">
      <c r="A11066" s="1" t="n">
        <v>11065</v>
      </c>
      <c r="B11066">
        <f>TEXT(11065, "[$-170000]yyyy-mm-dd")</f>
        <v/>
      </c>
      <c r="C11066">
        <f>TEXT(11065, "[$-060000]yyyy-mm-dd")</f>
        <v/>
      </c>
      <c r="D11066" t="inlineStr">
        <is>
          <t>1348-11-19</t>
        </is>
      </c>
    </row>
    <row r="11067">
      <c r="A11067" s="1" t="n">
        <v>11066</v>
      </c>
      <c r="B11067">
        <f>TEXT(11066, "[$-170000]yyyy-mm-dd")</f>
        <v/>
      </c>
      <c r="C11067">
        <f>TEXT(11066, "[$-060000]yyyy-mm-dd")</f>
        <v/>
      </c>
      <c r="D11067" t="inlineStr">
        <is>
          <t>1348-11-20</t>
        </is>
      </c>
    </row>
    <row r="11068">
      <c r="A11068" s="1" t="n">
        <v>11067</v>
      </c>
      <c r="B11068">
        <f>TEXT(11067, "[$-170000]yyyy-mm-dd")</f>
        <v/>
      </c>
      <c r="C11068">
        <f>TEXT(11067, "[$-060000]yyyy-mm-dd")</f>
        <v/>
      </c>
      <c r="D11068" t="inlineStr">
        <is>
          <t>1348-11-21</t>
        </is>
      </c>
    </row>
    <row r="11069">
      <c r="A11069" s="1" t="n">
        <v>11068</v>
      </c>
      <c r="B11069">
        <f>TEXT(11068, "[$-170000]yyyy-mm-dd")</f>
        <v/>
      </c>
      <c r="C11069">
        <f>TEXT(11068, "[$-060000]yyyy-mm-dd")</f>
        <v/>
      </c>
      <c r="D11069" t="inlineStr">
        <is>
          <t>1348-11-22</t>
        </is>
      </c>
    </row>
    <row r="11070">
      <c r="A11070" s="1" t="n">
        <v>11069</v>
      </c>
      <c r="B11070">
        <f>TEXT(11069, "[$-170000]yyyy-mm-dd")</f>
        <v/>
      </c>
      <c r="C11070">
        <f>TEXT(11069, "[$-060000]yyyy-mm-dd")</f>
        <v/>
      </c>
      <c r="D11070" t="inlineStr">
        <is>
          <t>1348-11-23</t>
        </is>
      </c>
    </row>
    <row r="11071">
      <c r="A11071" s="1" t="n">
        <v>11070</v>
      </c>
      <c r="B11071">
        <f>TEXT(11070, "[$-170000]yyyy-mm-dd")</f>
        <v/>
      </c>
      <c r="C11071">
        <f>TEXT(11070, "[$-060000]yyyy-mm-dd")</f>
        <v/>
      </c>
      <c r="D11071" t="inlineStr">
        <is>
          <t>1348-11-24</t>
        </is>
      </c>
    </row>
    <row r="11072">
      <c r="A11072" s="1" t="n">
        <v>11071</v>
      </c>
      <c r="B11072">
        <f>TEXT(11071, "[$-170000]yyyy-mm-dd")</f>
        <v/>
      </c>
      <c r="C11072">
        <f>TEXT(11071, "[$-060000]yyyy-mm-dd")</f>
        <v/>
      </c>
      <c r="D11072" t="inlineStr">
        <is>
          <t>1348-11-25</t>
        </is>
      </c>
    </row>
    <row r="11073">
      <c r="A11073" s="1" t="n">
        <v>11072</v>
      </c>
      <c r="B11073">
        <f>TEXT(11072, "[$-170000]yyyy-mm-dd")</f>
        <v/>
      </c>
      <c r="C11073">
        <f>TEXT(11072, "[$-060000]yyyy-mm-dd")</f>
        <v/>
      </c>
      <c r="D11073" t="inlineStr">
        <is>
          <t>1348-11-26</t>
        </is>
      </c>
    </row>
    <row r="11074">
      <c r="A11074" s="1" t="n">
        <v>11073</v>
      </c>
      <c r="B11074">
        <f>TEXT(11073, "[$-170000]yyyy-mm-dd")</f>
        <v/>
      </c>
      <c r="C11074">
        <f>TEXT(11073, "[$-060000]yyyy-mm-dd")</f>
        <v/>
      </c>
      <c r="D11074" t="inlineStr">
        <is>
          <t>1348-11-27</t>
        </is>
      </c>
    </row>
    <row r="11075">
      <c r="A11075" s="1" t="n">
        <v>11074</v>
      </c>
      <c r="B11075">
        <f>TEXT(11074, "[$-170000]yyyy-mm-dd")</f>
        <v/>
      </c>
      <c r="C11075">
        <f>TEXT(11074, "[$-060000]yyyy-mm-dd")</f>
        <v/>
      </c>
      <c r="D11075" t="inlineStr">
        <is>
          <t>1348-11-28</t>
        </is>
      </c>
    </row>
    <row r="11076">
      <c r="A11076" s="1" t="n">
        <v>11075</v>
      </c>
      <c r="B11076">
        <f>TEXT(11075, "[$-170000]yyyy-mm-dd")</f>
        <v/>
      </c>
      <c r="C11076">
        <f>TEXT(11075, "[$-060000]yyyy-mm-dd")</f>
        <v/>
      </c>
      <c r="D11076" t="inlineStr">
        <is>
          <t>1348-11-29</t>
        </is>
      </c>
    </row>
    <row r="11077">
      <c r="A11077" s="1" t="n">
        <v>11076</v>
      </c>
      <c r="B11077">
        <f>TEXT(11076, "[$-170000]yyyy-mm-dd")</f>
        <v/>
      </c>
      <c r="C11077">
        <f>TEXT(11076, "[$-060000]yyyy-mm-dd")</f>
        <v/>
      </c>
      <c r="D11077" t="inlineStr">
        <is>
          <t>1348-11-30</t>
        </is>
      </c>
    </row>
    <row r="11078">
      <c r="A11078" s="1" t="n">
        <v>11077</v>
      </c>
      <c r="B11078">
        <f>TEXT(11077, "[$-170000]yyyy-mm-dd")</f>
        <v/>
      </c>
      <c r="C11078">
        <f>TEXT(11077, "[$-060000]yyyy-mm-dd")</f>
        <v/>
      </c>
      <c r="D11078" t="inlineStr">
        <is>
          <t>1348-12-01</t>
        </is>
      </c>
    </row>
    <row r="11079">
      <c r="A11079" s="1" t="n">
        <v>11078</v>
      </c>
      <c r="B11079">
        <f>TEXT(11078, "[$-170000]yyyy-mm-dd")</f>
        <v/>
      </c>
      <c r="C11079">
        <f>TEXT(11078, "[$-060000]yyyy-mm-dd")</f>
        <v/>
      </c>
      <c r="D11079" t="inlineStr">
        <is>
          <t>1348-12-02</t>
        </is>
      </c>
    </row>
    <row r="11080">
      <c r="A11080" s="1" t="n">
        <v>11079</v>
      </c>
      <c r="B11080">
        <f>TEXT(11079, "[$-170000]yyyy-mm-dd")</f>
        <v/>
      </c>
      <c r="C11080">
        <f>TEXT(11079, "[$-060000]yyyy-mm-dd")</f>
        <v/>
      </c>
      <c r="D11080" t="inlineStr">
        <is>
          <t>1348-12-03</t>
        </is>
      </c>
    </row>
    <row r="11081">
      <c r="A11081" s="1" t="n">
        <v>11080</v>
      </c>
      <c r="B11081">
        <f>TEXT(11080, "[$-170000]yyyy-mm-dd")</f>
        <v/>
      </c>
      <c r="C11081">
        <f>TEXT(11080, "[$-060000]yyyy-mm-dd")</f>
        <v/>
      </c>
      <c r="D11081" t="inlineStr">
        <is>
          <t>1348-12-04</t>
        </is>
      </c>
    </row>
    <row r="11082">
      <c r="A11082" s="1" t="n">
        <v>11081</v>
      </c>
      <c r="B11082">
        <f>TEXT(11081, "[$-170000]yyyy-mm-dd")</f>
        <v/>
      </c>
      <c r="C11082">
        <f>TEXT(11081, "[$-060000]yyyy-mm-dd")</f>
        <v/>
      </c>
      <c r="D11082" t="inlineStr">
        <is>
          <t>1348-12-05</t>
        </is>
      </c>
    </row>
    <row r="11083">
      <c r="A11083" s="1" t="n">
        <v>11082</v>
      </c>
      <c r="B11083">
        <f>TEXT(11082, "[$-170000]yyyy-mm-dd")</f>
        <v/>
      </c>
      <c r="C11083">
        <f>TEXT(11082, "[$-060000]yyyy-mm-dd")</f>
        <v/>
      </c>
      <c r="D11083" t="inlineStr">
        <is>
          <t>1348-12-06</t>
        </is>
      </c>
    </row>
    <row r="11084">
      <c r="A11084" s="1" t="n">
        <v>11083</v>
      </c>
      <c r="B11084">
        <f>TEXT(11083, "[$-170000]yyyy-mm-dd")</f>
        <v/>
      </c>
      <c r="C11084">
        <f>TEXT(11083, "[$-060000]yyyy-mm-dd")</f>
        <v/>
      </c>
      <c r="D11084" t="inlineStr">
        <is>
          <t>1348-12-07</t>
        </is>
      </c>
    </row>
    <row r="11085">
      <c r="A11085" s="1" t="n">
        <v>11084</v>
      </c>
      <c r="B11085">
        <f>TEXT(11084, "[$-170000]yyyy-mm-dd")</f>
        <v/>
      </c>
      <c r="C11085">
        <f>TEXT(11084, "[$-060000]yyyy-mm-dd")</f>
        <v/>
      </c>
      <c r="D11085" t="inlineStr">
        <is>
          <t>1348-12-08</t>
        </is>
      </c>
    </row>
    <row r="11086">
      <c r="A11086" s="1" t="n">
        <v>11085</v>
      </c>
      <c r="B11086">
        <f>TEXT(11085, "[$-170000]yyyy-mm-dd")</f>
        <v/>
      </c>
      <c r="C11086">
        <f>TEXT(11085, "[$-060000]yyyy-mm-dd")</f>
        <v/>
      </c>
      <c r="D11086" t="inlineStr">
        <is>
          <t>1348-12-09</t>
        </is>
      </c>
    </row>
    <row r="11087">
      <c r="A11087" s="1" t="n">
        <v>11086</v>
      </c>
      <c r="B11087">
        <f>TEXT(11086, "[$-170000]yyyy-mm-dd")</f>
        <v/>
      </c>
      <c r="C11087">
        <f>TEXT(11086, "[$-060000]yyyy-mm-dd")</f>
        <v/>
      </c>
      <c r="D11087" t="inlineStr">
        <is>
          <t>1348-12-10</t>
        </is>
      </c>
    </row>
    <row r="11088">
      <c r="A11088" s="1" t="n">
        <v>11087</v>
      </c>
      <c r="B11088">
        <f>TEXT(11087, "[$-170000]yyyy-mm-dd")</f>
        <v/>
      </c>
      <c r="C11088">
        <f>TEXT(11087, "[$-060000]yyyy-mm-dd")</f>
        <v/>
      </c>
      <c r="D11088" t="inlineStr">
        <is>
          <t>1348-12-11</t>
        </is>
      </c>
    </row>
    <row r="11089">
      <c r="A11089" s="1" t="n">
        <v>11088</v>
      </c>
      <c r="B11089">
        <f>TEXT(11088, "[$-170000]yyyy-mm-dd")</f>
        <v/>
      </c>
      <c r="C11089">
        <f>TEXT(11088, "[$-060000]yyyy-mm-dd")</f>
        <v/>
      </c>
      <c r="D11089" t="inlineStr">
        <is>
          <t>1348-12-12</t>
        </is>
      </c>
    </row>
    <row r="11090">
      <c r="A11090" s="1" t="n">
        <v>11089</v>
      </c>
      <c r="B11090">
        <f>TEXT(11089, "[$-170000]yyyy-mm-dd")</f>
        <v/>
      </c>
      <c r="C11090">
        <f>TEXT(11089, "[$-060000]yyyy-mm-dd")</f>
        <v/>
      </c>
      <c r="D11090" t="inlineStr">
        <is>
          <t>1348-12-13</t>
        </is>
      </c>
    </row>
    <row r="11091">
      <c r="A11091" s="1" t="n">
        <v>11090</v>
      </c>
      <c r="B11091">
        <f>TEXT(11090, "[$-170000]yyyy-mm-dd")</f>
        <v/>
      </c>
      <c r="C11091">
        <f>TEXT(11090, "[$-060000]yyyy-mm-dd")</f>
        <v/>
      </c>
      <c r="D11091" t="inlineStr">
        <is>
          <t>1348-12-14</t>
        </is>
      </c>
    </row>
    <row r="11092">
      <c r="A11092" s="1" t="n">
        <v>11091</v>
      </c>
      <c r="B11092">
        <f>TEXT(11091, "[$-170000]yyyy-mm-dd")</f>
        <v/>
      </c>
      <c r="C11092">
        <f>TEXT(11091, "[$-060000]yyyy-mm-dd")</f>
        <v/>
      </c>
      <c r="D11092" t="inlineStr">
        <is>
          <t>1348-12-15</t>
        </is>
      </c>
    </row>
    <row r="11093">
      <c r="A11093" s="1" t="n">
        <v>11092</v>
      </c>
      <c r="B11093">
        <f>TEXT(11092, "[$-170000]yyyy-mm-dd")</f>
        <v/>
      </c>
      <c r="C11093">
        <f>TEXT(11092, "[$-060000]yyyy-mm-dd")</f>
        <v/>
      </c>
      <c r="D11093" t="inlineStr">
        <is>
          <t>1348-12-16</t>
        </is>
      </c>
    </row>
    <row r="11094">
      <c r="A11094" s="1" t="n">
        <v>11093</v>
      </c>
      <c r="B11094">
        <f>TEXT(11093, "[$-170000]yyyy-mm-dd")</f>
        <v/>
      </c>
      <c r="C11094">
        <f>TEXT(11093, "[$-060000]yyyy-mm-dd")</f>
        <v/>
      </c>
      <c r="D11094" t="inlineStr">
        <is>
          <t>1348-12-17</t>
        </is>
      </c>
    </row>
    <row r="11095">
      <c r="A11095" s="1" t="n">
        <v>11094</v>
      </c>
      <c r="B11095">
        <f>TEXT(11094, "[$-170000]yyyy-mm-dd")</f>
        <v/>
      </c>
      <c r="C11095">
        <f>TEXT(11094, "[$-060000]yyyy-mm-dd")</f>
        <v/>
      </c>
      <c r="D11095" t="inlineStr">
        <is>
          <t>1348-12-18</t>
        </is>
      </c>
    </row>
    <row r="11096">
      <c r="A11096" s="1" t="n">
        <v>11095</v>
      </c>
      <c r="B11096">
        <f>TEXT(11095, "[$-170000]yyyy-mm-dd")</f>
        <v/>
      </c>
      <c r="C11096">
        <f>TEXT(11095, "[$-060000]yyyy-mm-dd")</f>
        <v/>
      </c>
      <c r="D11096" t="inlineStr">
        <is>
          <t>1348-12-19</t>
        </is>
      </c>
    </row>
    <row r="11097">
      <c r="A11097" s="1" t="n">
        <v>11096</v>
      </c>
      <c r="B11097">
        <f>TEXT(11096, "[$-170000]yyyy-mm-dd")</f>
        <v/>
      </c>
      <c r="C11097">
        <f>TEXT(11096, "[$-060000]yyyy-mm-dd")</f>
        <v/>
      </c>
      <c r="D11097" t="inlineStr">
        <is>
          <t>1348-12-20</t>
        </is>
      </c>
    </row>
    <row r="11098">
      <c r="A11098" s="1" t="n">
        <v>11097</v>
      </c>
      <c r="B11098">
        <f>TEXT(11097, "[$-170000]yyyy-mm-dd")</f>
        <v/>
      </c>
      <c r="C11098">
        <f>TEXT(11097, "[$-060000]yyyy-mm-dd")</f>
        <v/>
      </c>
      <c r="D11098" t="inlineStr">
        <is>
          <t>1348-12-21</t>
        </is>
      </c>
    </row>
    <row r="11099">
      <c r="A11099" s="1" t="n">
        <v>11098</v>
      </c>
      <c r="B11099">
        <f>TEXT(11098, "[$-170000]yyyy-mm-dd")</f>
        <v/>
      </c>
      <c r="C11099">
        <f>TEXT(11098, "[$-060000]yyyy-mm-dd")</f>
        <v/>
      </c>
      <c r="D11099" t="inlineStr">
        <is>
          <t>1348-12-22</t>
        </is>
      </c>
    </row>
    <row r="11100">
      <c r="A11100" s="1" t="n">
        <v>11099</v>
      </c>
      <c r="B11100">
        <f>TEXT(11099, "[$-170000]yyyy-mm-dd")</f>
        <v/>
      </c>
      <c r="C11100">
        <f>TEXT(11099, "[$-060000]yyyy-mm-dd")</f>
        <v/>
      </c>
      <c r="D11100" t="inlineStr">
        <is>
          <t>1348-12-23</t>
        </is>
      </c>
    </row>
    <row r="11101">
      <c r="A11101" s="1" t="n">
        <v>11100</v>
      </c>
      <c r="B11101">
        <f>TEXT(11100, "[$-170000]yyyy-mm-dd")</f>
        <v/>
      </c>
      <c r="C11101">
        <f>TEXT(11100, "[$-060000]yyyy-mm-dd")</f>
        <v/>
      </c>
      <c r="D11101" t="inlineStr">
        <is>
          <t>1348-12-24</t>
        </is>
      </c>
    </row>
    <row r="11102">
      <c r="A11102" s="1" t="n">
        <v>11101</v>
      </c>
      <c r="B11102">
        <f>TEXT(11101, "[$-170000]yyyy-mm-dd")</f>
        <v/>
      </c>
      <c r="C11102">
        <f>TEXT(11101, "[$-060000]yyyy-mm-dd")</f>
        <v/>
      </c>
      <c r="D11102" t="inlineStr">
        <is>
          <t>1348-12-25</t>
        </is>
      </c>
    </row>
    <row r="11103">
      <c r="A11103" s="1" t="n">
        <v>11102</v>
      </c>
      <c r="B11103">
        <f>TEXT(11102, "[$-170000]yyyy-mm-dd")</f>
        <v/>
      </c>
      <c r="C11103">
        <f>TEXT(11102, "[$-060000]yyyy-mm-dd")</f>
        <v/>
      </c>
      <c r="D11103" t="inlineStr">
        <is>
          <t>1348-12-26</t>
        </is>
      </c>
    </row>
    <row r="11104">
      <c r="A11104" s="1" t="n">
        <v>11103</v>
      </c>
      <c r="B11104">
        <f>TEXT(11103, "[$-170000]yyyy-mm-dd")</f>
        <v/>
      </c>
      <c r="C11104">
        <f>TEXT(11103, "[$-060000]yyyy-mm-dd")</f>
        <v/>
      </c>
      <c r="D11104" t="inlineStr">
        <is>
          <t>1348-12-27</t>
        </is>
      </c>
    </row>
    <row r="11105">
      <c r="A11105" s="1" t="n">
        <v>11104</v>
      </c>
      <c r="B11105">
        <f>TEXT(11104, "[$-170000]yyyy-mm-dd")</f>
        <v/>
      </c>
      <c r="C11105">
        <f>TEXT(11104, "[$-060000]yyyy-mm-dd")</f>
        <v/>
      </c>
      <c r="D11105" t="inlineStr">
        <is>
          <t>1348-12-28</t>
        </is>
      </c>
    </row>
    <row r="11106">
      <c r="A11106" s="1" t="n">
        <v>11105</v>
      </c>
      <c r="B11106">
        <f>TEXT(11105, "[$-170000]yyyy-mm-dd")</f>
        <v/>
      </c>
      <c r="C11106">
        <f>TEXT(11105, "[$-060000]yyyy-mm-dd")</f>
        <v/>
      </c>
      <c r="D11106" t="inlineStr">
        <is>
          <t>1348-12-29</t>
        </is>
      </c>
    </row>
    <row r="11107">
      <c r="A11107" s="1" t="n">
        <v>11106</v>
      </c>
      <c r="B11107">
        <f>TEXT(11106, "[$-170000]yyyy-mm-dd")</f>
        <v/>
      </c>
      <c r="C11107">
        <f>TEXT(11106, "[$-060000]yyyy-mm-dd")</f>
        <v/>
      </c>
      <c r="D11107" t="inlineStr">
        <is>
          <t>1349-01-01</t>
        </is>
      </c>
    </row>
    <row r="11108">
      <c r="A11108" s="1" t="n">
        <v>11107</v>
      </c>
      <c r="B11108">
        <f>TEXT(11107, "[$-170000]yyyy-mm-dd")</f>
        <v/>
      </c>
      <c r="C11108">
        <f>TEXT(11107, "[$-060000]yyyy-mm-dd")</f>
        <v/>
      </c>
      <c r="D11108" t="inlineStr">
        <is>
          <t>1349-01-02</t>
        </is>
      </c>
    </row>
    <row r="11109">
      <c r="A11109" s="1" t="n">
        <v>11108</v>
      </c>
      <c r="B11109">
        <f>TEXT(11108, "[$-170000]yyyy-mm-dd")</f>
        <v/>
      </c>
      <c r="C11109">
        <f>TEXT(11108, "[$-060000]yyyy-mm-dd")</f>
        <v/>
      </c>
      <c r="D11109" t="inlineStr">
        <is>
          <t>1349-01-03</t>
        </is>
      </c>
    </row>
    <row r="11110">
      <c r="A11110" s="1" t="n">
        <v>11109</v>
      </c>
      <c r="B11110">
        <f>TEXT(11109, "[$-170000]yyyy-mm-dd")</f>
        <v/>
      </c>
      <c r="C11110">
        <f>TEXT(11109, "[$-060000]yyyy-mm-dd")</f>
        <v/>
      </c>
      <c r="D11110" t="inlineStr">
        <is>
          <t>1349-01-04</t>
        </is>
      </c>
    </row>
    <row r="11111">
      <c r="A11111" s="1" t="n">
        <v>11110</v>
      </c>
      <c r="B11111">
        <f>TEXT(11110, "[$-170000]yyyy-mm-dd")</f>
        <v/>
      </c>
      <c r="C11111">
        <f>TEXT(11110, "[$-060000]yyyy-mm-dd")</f>
        <v/>
      </c>
      <c r="D11111" t="inlineStr">
        <is>
          <t>1349-01-05</t>
        </is>
      </c>
    </row>
    <row r="11112">
      <c r="A11112" s="1" t="n">
        <v>11111</v>
      </c>
      <c r="B11112">
        <f>TEXT(11111, "[$-170000]yyyy-mm-dd")</f>
        <v/>
      </c>
      <c r="C11112">
        <f>TEXT(11111, "[$-060000]yyyy-mm-dd")</f>
        <v/>
      </c>
      <c r="D11112" t="inlineStr">
        <is>
          <t>1349-01-06</t>
        </is>
      </c>
    </row>
    <row r="11113">
      <c r="A11113" s="1" t="n">
        <v>11112</v>
      </c>
      <c r="B11113">
        <f>TEXT(11112, "[$-170000]yyyy-mm-dd")</f>
        <v/>
      </c>
      <c r="C11113">
        <f>TEXT(11112, "[$-060000]yyyy-mm-dd")</f>
        <v/>
      </c>
      <c r="D11113" t="inlineStr">
        <is>
          <t>1349-01-07</t>
        </is>
      </c>
    </row>
    <row r="11114">
      <c r="A11114" s="1" t="n">
        <v>11113</v>
      </c>
      <c r="B11114">
        <f>TEXT(11113, "[$-170000]yyyy-mm-dd")</f>
        <v/>
      </c>
      <c r="C11114">
        <f>TEXT(11113, "[$-060000]yyyy-mm-dd")</f>
        <v/>
      </c>
      <c r="D11114" t="inlineStr">
        <is>
          <t>1349-01-08</t>
        </is>
      </c>
    </row>
    <row r="11115">
      <c r="A11115" s="1" t="n">
        <v>11114</v>
      </c>
      <c r="B11115">
        <f>TEXT(11114, "[$-170000]yyyy-mm-dd")</f>
        <v/>
      </c>
      <c r="C11115">
        <f>TEXT(11114, "[$-060000]yyyy-mm-dd")</f>
        <v/>
      </c>
      <c r="D11115" t="inlineStr">
        <is>
          <t>1349-01-09</t>
        </is>
      </c>
    </row>
    <row r="11116">
      <c r="A11116" s="1" t="n">
        <v>11115</v>
      </c>
      <c r="B11116">
        <f>TEXT(11115, "[$-170000]yyyy-mm-dd")</f>
        <v/>
      </c>
      <c r="C11116">
        <f>TEXT(11115, "[$-060000]yyyy-mm-dd")</f>
        <v/>
      </c>
      <c r="D11116" t="inlineStr">
        <is>
          <t>1349-01-10</t>
        </is>
      </c>
    </row>
    <row r="11117">
      <c r="A11117" s="1" t="n">
        <v>11116</v>
      </c>
      <c r="B11117">
        <f>TEXT(11116, "[$-170000]yyyy-mm-dd")</f>
        <v/>
      </c>
      <c r="C11117">
        <f>TEXT(11116, "[$-060000]yyyy-mm-dd")</f>
        <v/>
      </c>
      <c r="D11117" t="inlineStr">
        <is>
          <t>1349-01-11</t>
        </is>
      </c>
    </row>
    <row r="11118">
      <c r="A11118" s="1" t="n">
        <v>11117</v>
      </c>
      <c r="B11118">
        <f>TEXT(11117, "[$-170000]yyyy-mm-dd")</f>
        <v/>
      </c>
      <c r="C11118">
        <f>TEXT(11117, "[$-060000]yyyy-mm-dd")</f>
        <v/>
      </c>
      <c r="D11118" t="inlineStr">
        <is>
          <t>1349-01-12</t>
        </is>
      </c>
    </row>
    <row r="11119">
      <c r="A11119" s="1" t="n">
        <v>11118</v>
      </c>
      <c r="B11119">
        <f>TEXT(11118, "[$-170000]yyyy-mm-dd")</f>
        <v/>
      </c>
      <c r="C11119">
        <f>TEXT(11118, "[$-060000]yyyy-mm-dd")</f>
        <v/>
      </c>
      <c r="D11119" t="inlineStr">
        <is>
          <t>1349-01-13</t>
        </is>
      </c>
    </row>
    <row r="11120">
      <c r="A11120" s="1" t="n">
        <v>11119</v>
      </c>
      <c r="B11120">
        <f>TEXT(11119, "[$-170000]yyyy-mm-dd")</f>
        <v/>
      </c>
      <c r="C11120">
        <f>TEXT(11119, "[$-060000]yyyy-mm-dd")</f>
        <v/>
      </c>
      <c r="D11120" t="inlineStr">
        <is>
          <t>1349-01-14</t>
        </is>
      </c>
    </row>
    <row r="11121">
      <c r="A11121" s="1" t="n">
        <v>11120</v>
      </c>
      <c r="B11121">
        <f>TEXT(11120, "[$-170000]yyyy-mm-dd")</f>
        <v/>
      </c>
      <c r="C11121">
        <f>TEXT(11120, "[$-060000]yyyy-mm-dd")</f>
        <v/>
      </c>
      <c r="D11121" t="inlineStr">
        <is>
          <t>1349-01-15</t>
        </is>
      </c>
    </row>
    <row r="11122">
      <c r="A11122" s="1" t="n">
        <v>11121</v>
      </c>
      <c r="B11122">
        <f>TEXT(11121, "[$-170000]yyyy-mm-dd")</f>
        <v/>
      </c>
      <c r="C11122">
        <f>TEXT(11121, "[$-060000]yyyy-mm-dd")</f>
        <v/>
      </c>
      <c r="D11122" t="inlineStr">
        <is>
          <t>1349-01-16</t>
        </is>
      </c>
    </row>
    <row r="11123">
      <c r="A11123" s="1" t="n">
        <v>11122</v>
      </c>
      <c r="B11123">
        <f>TEXT(11122, "[$-170000]yyyy-mm-dd")</f>
        <v/>
      </c>
      <c r="C11123">
        <f>TEXT(11122, "[$-060000]yyyy-mm-dd")</f>
        <v/>
      </c>
      <c r="D11123" t="inlineStr">
        <is>
          <t>1349-01-17</t>
        </is>
      </c>
    </row>
    <row r="11124">
      <c r="A11124" s="1" t="n">
        <v>11123</v>
      </c>
      <c r="B11124">
        <f>TEXT(11123, "[$-170000]yyyy-mm-dd")</f>
        <v/>
      </c>
      <c r="C11124">
        <f>TEXT(11123, "[$-060000]yyyy-mm-dd")</f>
        <v/>
      </c>
      <c r="D11124" t="inlineStr">
        <is>
          <t>1349-01-18</t>
        </is>
      </c>
    </row>
    <row r="11125">
      <c r="A11125" s="1" t="n">
        <v>11124</v>
      </c>
      <c r="B11125">
        <f>TEXT(11124, "[$-170000]yyyy-mm-dd")</f>
        <v/>
      </c>
      <c r="C11125">
        <f>TEXT(11124, "[$-060000]yyyy-mm-dd")</f>
        <v/>
      </c>
      <c r="D11125" t="inlineStr">
        <is>
          <t>1349-01-19</t>
        </is>
      </c>
    </row>
    <row r="11126">
      <c r="A11126" s="1" t="n">
        <v>11125</v>
      </c>
      <c r="B11126">
        <f>TEXT(11125, "[$-170000]yyyy-mm-dd")</f>
        <v/>
      </c>
      <c r="C11126">
        <f>TEXT(11125, "[$-060000]yyyy-mm-dd")</f>
        <v/>
      </c>
      <c r="D11126" t="inlineStr">
        <is>
          <t>1349-01-20</t>
        </is>
      </c>
    </row>
    <row r="11127">
      <c r="A11127" s="1" t="n">
        <v>11126</v>
      </c>
      <c r="B11127">
        <f>TEXT(11126, "[$-170000]yyyy-mm-dd")</f>
        <v/>
      </c>
      <c r="C11127">
        <f>TEXT(11126, "[$-060000]yyyy-mm-dd")</f>
        <v/>
      </c>
      <c r="D11127" t="inlineStr">
        <is>
          <t>1349-01-21</t>
        </is>
      </c>
    </row>
    <row r="11128">
      <c r="A11128" s="1" t="n">
        <v>11127</v>
      </c>
      <c r="B11128">
        <f>TEXT(11127, "[$-170000]yyyy-mm-dd")</f>
        <v/>
      </c>
      <c r="C11128">
        <f>TEXT(11127, "[$-060000]yyyy-mm-dd")</f>
        <v/>
      </c>
      <c r="D11128" t="inlineStr">
        <is>
          <t>1349-01-22</t>
        </is>
      </c>
    </row>
    <row r="11129">
      <c r="A11129" s="1" t="n">
        <v>11128</v>
      </c>
      <c r="B11129">
        <f>TEXT(11128, "[$-170000]yyyy-mm-dd")</f>
        <v/>
      </c>
      <c r="C11129">
        <f>TEXT(11128, "[$-060000]yyyy-mm-dd")</f>
        <v/>
      </c>
      <c r="D11129" t="inlineStr">
        <is>
          <t>1349-01-23</t>
        </is>
      </c>
    </row>
    <row r="11130">
      <c r="A11130" s="1" t="n">
        <v>11129</v>
      </c>
      <c r="B11130">
        <f>TEXT(11129, "[$-170000]yyyy-mm-dd")</f>
        <v/>
      </c>
      <c r="C11130">
        <f>TEXT(11129, "[$-060000]yyyy-mm-dd")</f>
        <v/>
      </c>
      <c r="D11130" t="inlineStr">
        <is>
          <t>1349-01-24</t>
        </is>
      </c>
    </row>
    <row r="11131">
      <c r="A11131" s="1" t="n">
        <v>11130</v>
      </c>
      <c r="B11131">
        <f>TEXT(11130, "[$-170000]yyyy-mm-dd")</f>
        <v/>
      </c>
      <c r="C11131">
        <f>TEXT(11130, "[$-060000]yyyy-mm-dd")</f>
        <v/>
      </c>
      <c r="D11131" t="inlineStr">
        <is>
          <t>1349-01-25</t>
        </is>
      </c>
    </row>
    <row r="11132">
      <c r="A11132" s="1" t="n">
        <v>11131</v>
      </c>
      <c r="B11132">
        <f>TEXT(11131, "[$-170000]yyyy-mm-dd")</f>
        <v/>
      </c>
      <c r="C11132">
        <f>TEXT(11131, "[$-060000]yyyy-mm-dd")</f>
        <v/>
      </c>
      <c r="D11132" t="inlineStr">
        <is>
          <t>1349-01-26</t>
        </is>
      </c>
    </row>
    <row r="11133">
      <c r="A11133" s="1" t="n">
        <v>11132</v>
      </c>
      <c r="B11133">
        <f>TEXT(11132, "[$-170000]yyyy-mm-dd")</f>
        <v/>
      </c>
      <c r="C11133">
        <f>TEXT(11132, "[$-060000]yyyy-mm-dd")</f>
        <v/>
      </c>
      <c r="D11133" t="inlineStr">
        <is>
          <t>1349-01-27</t>
        </is>
      </c>
    </row>
    <row r="11134">
      <c r="A11134" s="1" t="n">
        <v>11133</v>
      </c>
      <c r="B11134">
        <f>TEXT(11133, "[$-170000]yyyy-mm-dd")</f>
        <v/>
      </c>
      <c r="C11134">
        <f>TEXT(11133, "[$-060000]yyyy-mm-dd")</f>
        <v/>
      </c>
      <c r="D11134" t="inlineStr">
        <is>
          <t>1349-01-28</t>
        </is>
      </c>
    </row>
    <row r="11135">
      <c r="A11135" s="1" t="n">
        <v>11134</v>
      </c>
      <c r="B11135">
        <f>TEXT(11134, "[$-170000]yyyy-mm-dd")</f>
        <v/>
      </c>
      <c r="C11135">
        <f>TEXT(11134, "[$-060000]yyyy-mm-dd")</f>
        <v/>
      </c>
      <c r="D11135" t="inlineStr">
        <is>
          <t>1349-01-29</t>
        </is>
      </c>
    </row>
    <row r="11136">
      <c r="A11136" s="1" t="n">
        <v>11135</v>
      </c>
      <c r="B11136">
        <f>TEXT(11135, "[$-170000]yyyy-mm-dd")</f>
        <v/>
      </c>
      <c r="C11136">
        <f>TEXT(11135, "[$-060000]yyyy-mm-dd")</f>
        <v/>
      </c>
      <c r="D11136" t="inlineStr">
        <is>
          <t>1349-01-30</t>
        </is>
      </c>
    </row>
    <row r="11137">
      <c r="A11137" s="1" t="n">
        <v>11136</v>
      </c>
      <c r="B11137">
        <f>TEXT(11136, "[$-170000]yyyy-mm-dd")</f>
        <v/>
      </c>
      <c r="C11137">
        <f>TEXT(11136, "[$-060000]yyyy-mm-dd")</f>
        <v/>
      </c>
      <c r="D11137" t="inlineStr">
        <is>
          <t>1349-02-01</t>
        </is>
      </c>
    </row>
    <row r="11138">
      <c r="A11138" s="1" t="n">
        <v>11137</v>
      </c>
      <c r="B11138">
        <f>TEXT(11137, "[$-170000]yyyy-mm-dd")</f>
        <v/>
      </c>
      <c r="C11138">
        <f>TEXT(11137, "[$-060000]yyyy-mm-dd")</f>
        <v/>
      </c>
      <c r="D11138" t="inlineStr">
        <is>
          <t>1349-02-02</t>
        </is>
      </c>
    </row>
    <row r="11139">
      <c r="A11139" s="1" t="n">
        <v>11138</v>
      </c>
      <c r="B11139">
        <f>TEXT(11138, "[$-170000]yyyy-mm-dd")</f>
        <v/>
      </c>
      <c r="C11139">
        <f>TEXT(11138, "[$-060000]yyyy-mm-dd")</f>
        <v/>
      </c>
      <c r="D11139" t="inlineStr">
        <is>
          <t>1349-02-03</t>
        </is>
      </c>
    </row>
    <row r="11140">
      <c r="A11140" s="1" t="n">
        <v>11139</v>
      </c>
      <c r="B11140">
        <f>TEXT(11139, "[$-170000]yyyy-mm-dd")</f>
        <v/>
      </c>
      <c r="C11140">
        <f>TEXT(11139, "[$-060000]yyyy-mm-dd")</f>
        <v/>
      </c>
      <c r="D11140" t="inlineStr">
        <is>
          <t>1349-02-04</t>
        </is>
      </c>
    </row>
    <row r="11141">
      <c r="A11141" s="1" t="n">
        <v>11140</v>
      </c>
      <c r="B11141">
        <f>TEXT(11140, "[$-170000]yyyy-mm-dd")</f>
        <v/>
      </c>
      <c r="C11141">
        <f>TEXT(11140, "[$-060000]yyyy-mm-dd")</f>
        <v/>
      </c>
      <c r="D11141" t="inlineStr">
        <is>
          <t>1349-02-05</t>
        </is>
      </c>
    </row>
    <row r="11142">
      <c r="A11142" s="1" t="n">
        <v>11141</v>
      </c>
      <c r="B11142">
        <f>TEXT(11141, "[$-170000]yyyy-mm-dd")</f>
        <v/>
      </c>
      <c r="C11142">
        <f>TEXT(11141, "[$-060000]yyyy-mm-dd")</f>
        <v/>
      </c>
      <c r="D11142" t="inlineStr">
        <is>
          <t>1349-02-06</t>
        </is>
      </c>
    </row>
    <row r="11143">
      <c r="A11143" s="1" t="n">
        <v>11142</v>
      </c>
      <c r="B11143">
        <f>TEXT(11142, "[$-170000]yyyy-mm-dd")</f>
        <v/>
      </c>
      <c r="C11143">
        <f>TEXT(11142, "[$-060000]yyyy-mm-dd")</f>
        <v/>
      </c>
      <c r="D11143" t="inlineStr">
        <is>
          <t>1349-02-07</t>
        </is>
      </c>
    </row>
    <row r="11144">
      <c r="A11144" s="1" t="n">
        <v>11143</v>
      </c>
      <c r="B11144">
        <f>TEXT(11143, "[$-170000]yyyy-mm-dd")</f>
        <v/>
      </c>
      <c r="C11144">
        <f>TEXT(11143, "[$-060000]yyyy-mm-dd")</f>
        <v/>
      </c>
      <c r="D11144" t="inlineStr">
        <is>
          <t>1349-02-08</t>
        </is>
      </c>
    </row>
    <row r="11145">
      <c r="A11145" s="1" t="n">
        <v>11144</v>
      </c>
      <c r="B11145">
        <f>TEXT(11144, "[$-170000]yyyy-mm-dd")</f>
        <v/>
      </c>
      <c r="C11145">
        <f>TEXT(11144, "[$-060000]yyyy-mm-dd")</f>
        <v/>
      </c>
      <c r="D11145" t="inlineStr">
        <is>
          <t>1349-02-09</t>
        </is>
      </c>
    </row>
    <row r="11146">
      <c r="A11146" s="1" t="n">
        <v>11145</v>
      </c>
      <c r="B11146">
        <f>TEXT(11145, "[$-170000]yyyy-mm-dd")</f>
        <v/>
      </c>
      <c r="C11146">
        <f>TEXT(11145, "[$-060000]yyyy-mm-dd")</f>
        <v/>
      </c>
      <c r="D11146" t="inlineStr">
        <is>
          <t>1349-02-10</t>
        </is>
      </c>
    </row>
    <row r="11147">
      <c r="A11147" s="1" t="n">
        <v>11146</v>
      </c>
      <c r="B11147">
        <f>TEXT(11146, "[$-170000]yyyy-mm-dd")</f>
        <v/>
      </c>
      <c r="C11147">
        <f>TEXT(11146, "[$-060000]yyyy-mm-dd")</f>
        <v/>
      </c>
      <c r="D11147" t="inlineStr">
        <is>
          <t>1349-02-11</t>
        </is>
      </c>
    </row>
    <row r="11148">
      <c r="A11148" s="1" t="n">
        <v>11147</v>
      </c>
      <c r="B11148">
        <f>TEXT(11147, "[$-170000]yyyy-mm-dd")</f>
        <v/>
      </c>
      <c r="C11148">
        <f>TEXT(11147, "[$-060000]yyyy-mm-dd")</f>
        <v/>
      </c>
      <c r="D11148" t="inlineStr">
        <is>
          <t>1349-02-12</t>
        </is>
      </c>
    </row>
    <row r="11149">
      <c r="A11149" s="1" t="n">
        <v>11148</v>
      </c>
      <c r="B11149">
        <f>TEXT(11148, "[$-170000]yyyy-mm-dd")</f>
        <v/>
      </c>
      <c r="C11149">
        <f>TEXT(11148, "[$-060000]yyyy-mm-dd")</f>
        <v/>
      </c>
      <c r="D11149" t="inlineStr">
        <is>
          <t>1349-02-13</t>
        </is>
      </c>
    </row>
    <row r="11150">
      <c r="A11150" s="1" t="n">
        <v>11149</v>
      </c>
      <c r="B11150">
        <f>TEXT(11149, "[$-170000]yyyy-mm-dd")</f>
        <v/>
      </c>
      <c r="C11150">
        <f>TEXT(11149, "[$-060000]yyyy-mm-dd")</f>
        <v/>
      </c>
      <c r="D11150" t="inlineStr">
        <is>
          <t>1349-02-14</t>
        </is>
      </c>
    </row>
    <row r="11151">
      <c r="A11151" s="1" t="n">
        <v>11150</v>
      </c>
      <c r="B11151">
        <f>TEXT(11150, "[$-170000]yyyy-mm-dd")</f>
        <v/>
      </c>
      <c r="C11151">
        <f>TEXT(11150, "[$-060000]yyyy-mm-dd")</f>
        <v/>
      </c>
      <c r="D11151" t="inlineStr">
        <is>
          <t>1349-02-15</t>
        </is>
      </c>
    </row>
    <row r="11152">
      <c r="A11152" s="1" t="n">
        <v>11151</v>
      </c>
      <c r="B11152">
        <f>TEXT(11151, "[$-170000]yyyy-mm-dd")</f>
        <v/>
      </c>
      <c r="C11152">
        <f>TEXT(11151, "[$-060000]yyyy-mm-dd")</f>
        <v/>
      </c>
      <c r="D11152" t="inlineStr">
        <is>
          <t>1349-02-16</t>
        </is>
      </c>
    </row>
    <row r="11153">
      <c r="A11153" s="1" t="n">
        <v>11152</v>
      </c>
      <c r="B11153">
        <f>TEXT(11152, "[$-170000]yyyy-mm-dd")</f>
        <v/>
      </c>
      <c r="C11153">
        <f>TEXT(11152, "[$-060000]yyyy-mm-dd")</f>
        <v/>
      </c>
      <c r="D11153" t="inlineStr">
        <is>
          <t>1349-02-17</t>
        </is>
      </c>
    </row>
    <row r="11154">
      <c r="A11154" s="1" t="n">
        <v>11153</v>
      </c>
      <c r="B11154">
        <f>TEXT(11153, "[$-170000]yyyy-mm-dd")</f>
        <v/>
      </c>
      <c r="C11154">
        <f>TEXT(11153, "[$-060000]yyyy-mm-dd")</f>
        <v/>
      </c>
      <c r="D11154" t="inlineStr">
        <is>
          <t>1349-02-18</t>
        </is>
      </c>
    </row>
    <row r="11155">
      <c r="A11155" s="1" t="n">
        <v>11154</v>
      </c>
      <c r="B11155">
        <f>TEXT(11154, "[$-170000]yyyy-mm-dd")</f>
        <v/>
      </c>
      <c r="C11155">
        <f>TEXT(11154, "[$-060000]yyyy-mm-dd")</f>
        <v/>
      </c>
      <c r="D11155" t="inlineStr">
        <is>
          <t>1349-02-19</t>
        </is>
      </c>
    </row>
    <row r="11156">
      <c r="A11156" s="1" t="n">
        <v>11155</v>
      </c>
      <c r="B11156">
        <f>TEXT(11155, "[$-170000]yyyy-mm-dd")</f>
        <v/>
      </c>
      <c r="C11156">
        <f>TEXT(11155, "[$-060000]yyyy-mm-dd")</f>
        <v/>
      </c>
      <c r="D11156" t="inlineStr">
        <is>
          <t>1349-02-20</t>
        </is>
      </c>
    </row>
    <row r="11157">
      <c r="A11157" s="1" t="n">
        <v>11156</v>
      </c>
      <c r="B11157">
        <f>TEXT(11156, "[$-170000]yyyy-mm-dd")</f>
        <v/>
      </c>
      <c r="C11157">
        <f>TEXT(11156, "[$-060000]yyyy-mm-dd")</f>
        <v/>
      </c>
      <c r="D11157" t="inlineStr">
        <is>
          <t>1349-02-21</t>
        </is>
      </c>
    </row>
    <row r="11158">
      <c r="A11158" s="1" t="n">
        <v>11157</v>
      </c>
      <c r="B11158">
        <f>TEXT(11157, "[$-170000]yyyy-mm-dd")</f>
        <v/>
      </c>
      <c r="C11158">
        <f>TEXT(11157, "[$-060000]yyyy-mm-dd")</f>
        <v/>
      </c>
      <c r="D11158" t="inlineStr">
        <is>
          <t>1349-02-22</t>
        </is>
      </c>
    </row>
    <row r="11159">
      <c r="A11159" s="1" t="n">
        <v>11158</v>
      </c>
      <c r="B11159">
        <f>TEXT(11158, "[$-170000]yyyy-mm-dd")</f>
        <v/>
      </c>
      <c r="C11159">
        <f>TEXT(11158, "[$-060000]yyyy-mm-dd")</f>
        <v/>
      </c>
      <c r="D11159" t="inlineStr">
        <is>
          <t>1349-02-23</t>
        </is>
      </c>
    </row>
    <row r="11160">
      <c r="A11160" s="1" t="n">
        <v>11159</v>
      </c>
      <c r="B11160">
        <f>TEXT(11159, "[$-170000]yyyy-mm-dd")</f>
        <v/>
      </c>
      <c r="C11160">
        <f>TEXT(11159, "[$-060000]yyyy-mm-dd")</f>
        <v/>
      </c>
      <c r="D11160" t="inlineStr">
        <is>
          <t>1349-02-24</t>
        </is>
      </c>
    </row>
    <row r="11161">
      <c r="A11161" s="1" t="n">
        <v>11160</v>
      </c>
      <c r="B11161">
        <f>TEXT(11160, "[$-170000]yyyy-mm-dd")</f>
        <v/>
      </c>
      <c r="C11161">
        <f>TEXT(11160, "[$-060000]yyyy-mm-dd")</f>
        <v/>
      </c>
      <c r="D11161" t="inlineStr">
        <is>
          <t>1349-02-25</t>
        </is>
      </c>
    </row>
    <row r="11162">
      <c r="A11162" s="1" t="n">
        <v>11161</v>
      </c>
      <c r="B11162">
        <f>TEXT(11161, "[$-170000]yyyy-mm-dd")</f>
        <v/>
      </c>
      <c r="C11162">
        <f>TEXT(11161, "[$-060000]yyyy-mm-dd")</f>
        <v/>
      </c>
      <c r="D11162" t="inlineStr">
        <is>
          <t>1349-02-26</t>
        </is>
      </c>
    </row>
    <row r="11163">
      <c r="A11163" s="1" t="n">
        <v>11162</v>
      </c>
      <c r="B11163">
        <f>TEXT(11162, "[$-170000]yyyy-mm-dd")</f>
        <v/>
      </c>
      <c r="C11163">
        <f>TEXT(11162, "[$-060000]yyyy-mm-dd")</f>
        <v/>
      </c>
      <c r="D11163" t="inlineStr">
        <is>
          <t>1349-02-27</t>
        </is>
      </c>
    </row>
    <row r="11164">
      <c r="A11164" s="1" t="n">
        <v>11163</v>
      </c>
      <c r="B11164">
        <f>TEXT(11163, "[$-170000]yyyy-mm-dd")</f>
        <v/>
      </c>
      <c r="C11164">
        <f>TEXT(11163, "[$-060000]yyyy-mm-dd")</f>
        <v/>
      </c>
      <c r="D11164" t="inlineStr">
        <is>
          <t>1349-02-28</t>
        </is>
      </c>
    </row>
    <row r="11165">
      <c r="A11165" s="1" t="n">
        <v>11164</v>
      </c>
      <c r="B11165">
        <f>TEXT(11164, "[$-170000]yyyy-mm-dd")</f>
        <v/>
      </c>
      <c r="C11165">
        <f>TEXT(11164, "[$-060000]yyyy-mm-dd")</f>
        <v/>
      </c>
      <c r="D11165" t="inlineStr">
        <is>
          <t>1349-02-29</t>
        </is>
      </c>
    </row>
    <row r="11166">
      <c r="A11166" s="1" t="n">
        <v>11165</v>
      </c>
      <c r="B11166">
        <f>TEXT(11165, "[$-170000]yyyy-mm-dd")</f>
        <v/>
      </c>
      <c r="C11166">
        <f>TEXT(11165, "[$-060000]yyyy-mm-dd")</f>
        <v/>
      </c>
      <c r="D11166" t="inlineStr">
        <is>
          <t>1349-03-01</t>
        </is>
      </c>
    </row>
    <row r="11167">
      <c r="A11167" s="1" t="n">
        <v>11166</v>
      </c>
      <c r="B11167">
        <f>TEXT(11166, "[$-170000]yyyy-mm-dd")</f>
        <v/>
      </c>
      <c r="C11167">
        <f>TEXT(11166, "[$-060000]yyyy-mm-dd")</f>
        <v/>
      </c>
      <c r="D11167" t="inlineStr">
        <is>
          <t>1349-03-02</t>
        </is>
      </c>
    </row>
    <row r="11168">
      <c r="A11168" s="1" t="n">
        <v>11167</v>
      </c>
      <c r="B11168">
        <f>TEXT(11167, "[$-170000]yyyy-mm-dd")</f>
        <v/>
      </c>
      <c r="C11168">
        <f>TEXT(11167, "[$-060000]yyyy-mm-dd")</f>
        <v/>
      </c>
      <c r="D11168" t="inlineStr">
        <is>
          <t>1349-03-03</t>
        </is>
      </c>
    </row>
    <row r="11169">
      <c r="A11169" s="1" t="n">
        <v>11168</v>
      </c>
      <c r="B11169">
        <f>TEXT(11168, "[$-170000]yyyy-mm-dd")</f>
        <v/>
      </c>
      <c r="C11169">
        <f>TEXT(11168, "[$-060000]yyyy-mm-dd")</f>
        <v/>
      </c>
      <c r="D11169" t="inlineStr">
        <is>
          <t>1349-03-04</t>
        </is>
      </c>
    </row>
    <row r="11170">
      <c r="A11170" s="1" t="n">
        <v>11169</v>
      </c>
      <c r="B11170">
        <f>TEXT(11169, "[$-170000]yyyy-mm-dd")</f>
        <v/>
      </c>
      <c r="C11170">
        <f>TEXT(11169, "[$-060000]yyyy-mm-dd")</f>
        <v/>
      </c>
      <c r="D11170" t="inlineStr">
        <is>
          <t>1349-03-05</t>
        </is>
      </c>
    </row>
    <row r="11171">
      <c r="A11171" s="1" t="n">
        <v>11170</v>
      </c>
      <c r="B11171">
        <f>TEXT(11170, "[$-170000]yyyy-mm-dd")</f>
        <v/>
      </c>
      <c r="C11171">
        <f>TEXT(11170, "[$-060000]yyyy-mm-dd")</f>
        <v/>
      </c>
      <c r="D11171" t="inlineStr">
        <is>
          <t>1349-03-06</t>
        </is>
      </c>
    </row>
    <row r="11172">
      <c r="A11172" s="1" t="n">
        <v>11171</v>
      </c>
      <c r="B11172">
        <f>TEXT(11171, "[$-170000]yyyy-mm-dd")</f>
        <v/>
      </c>
      <c r="C11172">
        <f>TEXT(11171, "[$-060000]yyyy-mm-dd")</f>
        <v/>
      </c>
      <c r="D11172" t="inlineStr">
        <is>
          <t>1349-03-07</t>
        </is>
      </c>
    </row>
    <row r="11173">
      <c r="A11173" s="1" t="n">
        <v>11172</v>
      </c>
      <c r="B11173">
        <f>TEXT(11172, "[$-170000]yyyy-mm-dd")</f>
        <v/>
      </c>
      <c r="C11173">
        <f>TEXT(11172, "[$-060000]yyyy-mm-dd")</f>
        <v/>
      </c>
      <c r="D11173" t="inlineStr">
        <is>
          <t>1349-03-08</t>
        </is>
      </c>
    </row>
    <row r="11174">
      <c r="A11174" s="1" t="n">
        <v>11173</v>
      </c>
      <c r="B11174">
        <f>TEXT(11173, "[$-170000]yyyy-mm-dd")</f>
        <v/>
      </c>
      <c r="C11174">
        <f>TEXT(11173, "[$-060000]yyyy-mm-dd")</f>
        <v/>
      </c>
      <c r="D11174" t="inlineStr">
        <is>
          <t>1349-03-09</t>
        </is>
      </c>
    </row>
    <row r="11175">
      <c r="A11175" s="1" t="n">
        <v>11174</v>
      </c>
      <c r="B11175">
        <f>TEXT(11174, "[$-170000]yyyy-mm-dd")</f>
        <v/>
      </c>
      <c r="C11175">
        <f>TEXT(11174, "[$-060000]yyyy-mm-dd")</f>
        <v/>
      </c>
      <c r="D11175" t="inlineStr">
        <is>
          <t>1349-03-10</t>
        </is>
      </c>
    </row>
    <row r="11176">
      <c r="A11176" s="1" t="n">
        <v>11175</v>
      </c>
      <c r="B11176">
        <f>TEXT(11175, "[$-170000]yyyy-mm-dd")</f>
        <v/>
      </c>
      <c r="C11176">
        <f>TEXT(11175, "[$-060000]yyyy-mm-dd")</f>
        <v/>
      </c>
      <c r="D11176" t="inlineStr">
        <is>
          <t>1349-03-11</t>
        </is>
      </c>
    </row>
    <row r="11177">
      <c r="A11177" s="1" t="n">
        <v>11176</v>
      </c>
      <c r="B11177">
        <f>TEXT(11176, "[$-170000]yyyy-mm-dd")</f>
        <v/>
      </c>
      <c r="C11177">
        <f>TEXT(11176, "[$-060000]yyyy-mm-dd")</f>
        <v/>
      </c>
      <c r="D11177" t="inlineStr">
        <is>
          <t>1349-03-12</t>
        </is>
      </c>
    </row>
    <row r="11178">
      <c r="A11178" s="1" t="n">
        <v>11177</v>
      </c>
      <c r="B11178">
        <f>TEXT(11177, "[$-170000]yyyy-mm-dd")</f>
        <v/>
      </c>
      <c r="C11178">
        <f>TEXT(11177, "[$-060000]yyyy-mm-dd")</f>
        <v/>
      </c>
      <c r="D11178" t="inlineStr">
        <is>
          <t>1349-03-13</t>
        </is>
      </c>
    </row>
    <row r="11179">
      <c r="A11179" s="1" t="n">
        <v>11178</v>
      </c>
      <c r="B11179">
        <f>TEXT(11178, "[$-170000]yyyy-mm-dd")</f>
        <v/>
      </c>
      <c r="C11179">
        <f>TEXT(11178, "[$-060000]yyyy-mm-dd")</f>
        <v/>
      </c>
      <c r="D11179" t="inlineStr">
        <is>
          <t>1349-03-14</t>
        </is>
      </c>
    </row>
    <row r="11180">
      <c r="A11180" s="1" t="n">
        <v>11179</v>
      </c>
      <c r="B11180">
        <f>TEXT(11179, "[$-170000]yyyy-mm-dd")</f>
        <v/>
      </c>
      <c r="C11180">
        <f>TEXT(11179, "[$-060000]yyyy-mm-dd")</f>
        <v/>
      </c>
      <c r="D11180" t="inlineStr">
        <is>
          <t>1349-03-15</t>
        </is>
      </c>
    </row>
    <row r="11181">
      <c r="A11181" s="1" t="n">
        <v>11180</v>
      </c>
      <c r="B11181">
        <f>TEXT(11180, "[$-170000]yyyy-mm-dd")</f>
        <v/>
      </c>
      <c r="C11181">
        <f>TEXT(11180, "[$-060000]yyyy-mm-dd")</f>
        <v/>
      </c>
      <c r="D11181" t="inlineStr">
        <is>
          <t>1349-03-16</t>
        </is>
      </c>
    </row>
    <row r="11182">
      <c r="A11182" s="1" t="n">
        <v>11181</v>
      </c>
      <c r="B11182">
        <f>TEXT(11181, "[$-170000]yyyy-mm-dd")</f>
        <v/>
      </c>
      <c r="C11182">
        <f>TEXT(11181, "[$-060000]yyyy-mm-dd")</f>
        <v/>
      </c>
      <c r="D11182" t="inlineStr">
        <is>
          <t>1349-03-17</t>
        </is>
      </c>
    </row>
    <row r="11183">
      <c r="A11183" s="1" t="n">
        <v>11182</v>
      </c>
      <c r="B11183">
        <f>TEXT(11182, "[$-170000]yyyy-mm-dd")</f>
        <v/>
      </c>
      <c r="C11183">
        <f>TEXT(11182, "[$-060000]yyyy-mm-dd")</f>
        <v/>
      </c>
      <c r="D11183" t="inlineStr">
        <is>
          <t>1349-03-18</t>
        </is>
      </c>
    </row>
    <row r="11184">
      <c r="A11184" s="1" t="n">
        <v>11183</v>
      </c>
      <c r="B11184">
        <f>TEXT(11183, "[$-170000]yyyy-mm-dd")</f>
        <v/>
      </c>
      <c r="C11184">
        <f>TEXT(11183, "[$-060000]yyyy-mm-dd")</f>
        <v/>
      </c>
      <c r="D11184" t="inlineStr">
        <is>
          <t>1349-03-19</t>
        </is>
      </c>
    </row>
    <row r="11185">
      <c r="A11185" s="1" t="n">
        <v>11184</v>
      </c>
      <c r="B11185">
        <f>TEXT(11184, "[$-170000]yyyy-mm-dd")</f>
        <v/>
      </c>
      <c r="C11185">
        <f>TEXT(11184, "[$-060000]yyyy-mm-dd")</f>
        <v/>
      </c>
      <c r="D11185" t="inlineStr">
        <is>
          <t>1349-03-20</t>
        </is>
      </c>
    </row>
    <row r="11186">
      <c r="A11186" s="1" t="n">
        <v>11185</v>
      </c>
      <c r="B11186">
        <f>TEXT(11185, "[$-170000]yyyy-mm-dd")</f>
        <v/>
      </c>
      <c r="C11186">
        <f>TEXT(11185, "[$-060000]yyyy-mm-dd")</f>
        <v/>
      </c>
      <c r="D11186" t="inlineStr">
        <is>
          <t>1349-03-21</t>
        </is>
      </c>
    </row>
    <row r="11187">
      <c r="A11187" s="1" t="n">
        <v>11186</v>
      </c>
      <c r="B11187">
        <f>TEXT(11186, "[$-170000]yyyy-mm-dd")</f>
        <v/>
      </c>
      <c r="C11187">
        <f>TEXT(11186, "[$-060000]yyyy-mm-dd")</f>
        <v/>
      </c>
      <c r="D11187" t="inlineStr">
        <is>
          <t>1349-03-22</t>
        </is>
      </c>
    </row>
    <row r="11188">
      <c r="A11188" s="1" t="n">
        <v>11187</v>
      </c>
      <c r="B11188">
        <f>TEXT(11187, "[$-170000]yyyy-mm-dd")</f>
        <v/>
      </c>
      <c r="C11188">
        <f>TEXT(11187, "[$-060000]yyyy-mm-dd")</f>
        <v/>
      </c>
      <c r="D11188" t="inlineStr">
        <is>
          <t>1349-03-23</t>
        </is>
      </c>
    </row>
    <row r="11189">
      <c r="A11189" s="1" t="n">
        <v>11188</v>
      </c>
      <c r="B11189">
        <f>TEXT(11188, "[$-170000]yyyy-mm-dd")</f>
        <v/>
      </c>
      <c r="C11189">
        <f>TEXT(11188, "[$-060000]yyyy-mm-dd")</f>
        <v/>
      </c>
      <c r="D11189" t="inlineStr">
        <is>
          <t>1349-03-24</t>
        </is>
      </c>
    </row>
    <row r="11190">
      <c r="A11190" s="1" t="n">
        <v>11189</v>
      </c>
      <c r="B11190">
        <f>TEXT(11189, "[$-170000]yyyy-mm-dd")</f>
        <v/>
      </c>
      <c r="C11190">
        <f>TEXT(11189, "[$-060000]yyyy-mm-dd")</f>
        <v/>
      </c>
      <c r="D11190" t="inlineStr">
        <is>
          <t>1349-03-25</t>
        </is>
      </c>
    </row>
    <row r="11191">
      <c r="A11191" s="1" t="n">
        <v>11190</v>
      </c>
      <c r="B11191">
        <f>TEXT(11190, "[$-170000]yyyy-mm-dd")</f>
        <v/>
      </c>
      <c r="C11191">
        <f>TEXT(11190, "[$-060000]yyyy-mm-dd")</f>
        <v/>
      </c>
      <c r="D11191" t="inlineStr">
        <is>
          <t>1349-03-26</t>
        </is>
      </c>
    </row>
    <row r="11192">
      <c r="A11192" s="1" t="n">
        <v>11191</v>
      </c>
      <c r="B11192">
        <f>TEXT(11191, "[$-170000]yyyy-mm-dd")</f>
        <v/>
      </c>
      <c r="C11192">
        <f>TEXT(11191, "[$-060000]yyyy-mm-dd")</f>
        <v/>
      </c>
      <c r="D11192" t="inlineStr">
        <is>
          <t>1349-03-27</t>
        </is>
      </c>
    </row>
    <row r="11193">
      <c r="A11193" s="1" t="n">
        <v>11192</v>
      </c>
      <c r="B11193">
        <f>TEXT(11192, "[$-170000]yyyy-mm-dd")</f>
        <v/>
      </c>
      <c r="C11193">
        <f>TEXT(11192, "[$-060000]yyyy-mm-dd")</f>
        <v/>
      </c>
      <c r="D11193" t="inlineStr">
        <is>
          <t>1349-03-28</t>
        </is>
      </c>
    </row>
    <row r="11194">
      <c r="A11194" s="1" t="n">
        <v>11193</v>
      </c>
      <c r="B11194">
        <f>TEXT(11193, "[$-170000]yyyy-mm-dd")</f>
        <v/>
      </c>
      <c r="C11194">
        <f>TEXT(11193, "[$-060000]yyyy-mm-dd")</f>
        <v/>
      </c>
      <c r="D11194" t="inlineStr">
        <is>
          <t>1349-03-29</t>
        </is>
      </c>
    </row>
    <row r="11195">
      <c r="A11195" s="1" t="n">
        <v>11194</v>
      </c>
      <c r="B11195">
        <f>TEXT(11194, "[$-170000]yyyy-mm-dd")</f>
        <v/>
      </c>
      <c r="C11195">
        <f>TEXT(11194, "[$-060000]yyyy-mm-dd")</f>
        <v/>
      </c>
      <c r="D11195" t="inlineStr">
        <is>
          <t>1349-03-30</t>
        </is>
      </c>
    </row>
    <row r="11196">
      <c r="A11196" s="1" t="n">
        <v>11195</v>
      </c>
      <c r="B11196">
        <f>TEXT(11195, "[$-170000]yyyy-mm-dd")</f>
        <v/>
      </c>
      <c r="C11196">
        <f>TEXT(11195, "[$-060000]yyyy-mm-dd")</f>
        <v/>
      </c>
      <c r="D11196" t="inlineStr">
        <is>
          <t>1349-04-01</t>
        </is>
      </c>
    </row>
    <row r="11197">
      <c r="A11197" s="1" t="n">
        <v>11196</v>
      </c>
      <c r="B11197">
        <f>TEXT(11196, "[$-170000]yyyy-mm-dd")</f>
        <v/>
      </c>
      <c r="C11197">
        <f>TEXT(11196, "[$-060000]yyyy-mm-dd")</f>
        <v/>
      </c>
      <c r="D11197" t="inlineStr">
        <is>
          <t>1349-04-02</t>
        </is>
      </c>
    </row>
    <row r="11198">
      <c r="A11198" s="1" t="n">
        <v>11197</v>
      </c>
      <c r="B11198">
        <f>TEXT(11197, "[$-170000]yyyy-mm-dd")</f>
        <v/>
      </c>
      <c r="C11198">
        <f>TEXT(11197, "[$-060000]yyyy-mm-dd")</f>
        <v/>
      </c>
      <c r="D11198" t="inlineStr">
        <is>
          <t>1349-04-03</t>
        </is>
      </c>
    </row>
    <row r="11199">
      <c r="A11199" s="1" t="n">
        <v>11198</v>
      </c>
      <c r="B11199">
        <f>TEXT(11198, "[$-170000]yyyy-mm-dd")</f>
        <v/>
      </c>
      <c r="C11199">
        <f>TEXT(11198, "[$-060000]yyyy-mm-dd")</f>
        <v/>
      </c>
      <c r="D11199" t="inlineStr">
        <is>
          <t>1349-04-04</t>
        </is>
      </c>
    </row>
    <row r="11200">
      <c r="A11200" s="1" t="n">
        <v>11199</v>
      </c>
      <c r="B11200">
        <f>TEXT(11199, "[$-170000]yyyy-mm-dd")</f>
        <v/>
      </c>
      <c r="C11200">
        <f>TEXT(11199, "[$-060000]yyyy-mm-dd")</f>
        <v/>
      </c>
      <c r="D11200" t="inlineStr">
        <is>
          <t>1349-04-05</t>
        </is>
      </c>
    </row>
    <row r="11201">
      <c r="A11201" s="1" t="n">
        <v>11200</v>
      </c>
      <c r="B11201">
        <f>TEXT(11200, "[$-170000]yyyy-mm-dd")</f>
        <v/>
      </c>
      <c r="C11201">
        <f>TEXT(11200, "[$-060000]yyyy-mm-dd")</f>
        <v/>
      </c>
      <c r="D11201" t="inlineStr">
        <is>
          <t>1349-04-06</t>
        </is>
      </c>
    </row>
    <row r="11202">
      <c r="A11202" s="1" t="n">
        <v>11201</v>
      </c>
      <c r="B11202">
        <f>TEXT(11201, "[$-170000]yyyy-mm-dd")</f>
        <v/>
      </c>
      <c r="C11202">
        <f>TEXT(11201, "[$-060000]yyyy-mm-dd")</f>
        <v/>
      </c>
      <c r="D11202" t="inlineStr">
        <is>
          <t>1349-04-07</t>
        </is>
      </c>
    </row>
    <row r="11203">
      <c r="A11203" s="1" t="n">
        <v>11202</v>
      </c>
      <c r="B11203">
        <f>TEXT(11202, "[$-170000]yyyy-mm-dd")</f>
        <v/>
      </c>
      <c r="C11203">
        <f>TEXT(11202, "[$-060000]yyyy-mm-dd")</f>
        <v/>
      </c>
      <c r="D11203" t="inlineStr">
        <is>
          <t>1349-04-08</t>
        </is>
      </c>
    </row>
    <row r="11204">
      <c r="A11204" s="1" t="n">
        <v>11203</v>
      </c>
      <c r="B11204">
        <f>TEXT(11203, "[$-170000]yyyy-mm-dd")</f>
        <v/>
      </c>
      <c r="C11204">
        <f>TEXT(11203, "[$-060000]yyyy-mm-dd")</f>
        <v/>
      </c>
      <c r="D11204" t="inlineStr">
        <is>
          <t>1349-04-09</t>
        </is>
      </c>
    </row>
    <row r="11205">
      <c r="A11205" s="1" t="n">
        <v>11204</v>
      </c>
      <c r="B11205">
        <f>TEXT(11204, "[$-170000]yyyy-mm-dd")</f>
        <v/>
      </c>
      <c r="C11205">
        <f>TEXT(11204, "[$-060000]yyyy-mm-dd")</f>
        <v/>
      </c>
      <c r="D11205" t="inlineStr">
        <is>
          <t>1349-04-10</t>
        </is>
      </c>
    </row>
    <row r="11206">
      <c r="A11206" s="1" t="n">
        <v>11205</v>
      </c>
      <c r="B11206">
        <f>TEXT(11205, "[$-170000]yyyy-mm-dd")</f>
        <v/>
      </c>
      <c r="C11206">
        <f>TEXT(11205, "[$-060000]yyyy-mm-dd")</f>
        <v/>
      </c>
      <c r="D11206" t="inlineStr">
        <is>
          <t>1349-04-11</t>
        </is>
      </c>
    </row>
    <row r="11207">
      <c r="A11207" s="1" t="n">
        <v>11206</v>
      </c>
      <c r="B11207">
        <f>TEXT(11206, "[$-170000]yyyy-mm-dd")</f>
        <v/>
      </c>
      <c r="C11207">
        <f>TEXT(11206, "[$-060000]yyyy-mm-dd")</f>
        <v/>
      </c>
      <c r="D11207" t="inlineStr">
        <is>
          <t>1349-04-12</t>
        </is>
      </c>
    </row>
    <row r="11208">
      <c r="A11208" s="1" t="n">
        <v>11207</v>
      </c>
      <c r="B11208">
        <f>TEXT(11207, "[$-170000]yyyy-mm-dd")</f>
        <v/>
      </c>
      <c r="C11208">
        <f>TEXT(11207, "[$-060000]yyyy-mm-dd")</f>
        <v/>
      </c>
      <c r="D11208" t="inlineStr">
        <is>
          <t>1349-04-13</t>
        </is>
      </c>
    </row>
    <row r="11209">
      <c r="A11209" s="1" t="n">
        <v>11208</v>
      </c>
      <c r="B11209">
        <f>TEXT(11208, "[$-170000]yyyy-mm-dd")</f>
        <v/>
      </c>
      <c r="C11209">
        <f>TEXT(11208, "[$-060000]yyyy-mm-dd")</f>
        <v/>
      </c>
      <c r="D11209" t="inlineStr">
        <is>
          <t>1349-04-14</t>
        </is>
      </c>
    </row>
    <row r="11210">
      <c r="A11210" s="1" t="n">
        <v>11209</v>
      </c>
      <c r="B11210">
        <f>TEXT(11209, "[$-170000]yyyy-mm-dd")</f>
        <v/>
      </c>
      <c r="C11210">
        <f>TEXT(11209, "[$-060000]yyyy-mm-dd")</f>
        <v/>
      </c>
      <c r="D11210" t="inlineStr">
        <is>
          <t>1349-04-15</t>
        </is>
      </c>
    </row>
    <row r="11211">
      <c r="A11211" s="1" t="n">
        <v>11210</v>
      </c>
      <c r="B11211">
        <f>TEXT(11210, "[$-170000]yyyy-mm-dd")</f>
        <v/>
      </c>
      <c r="C11211">
        <f>TEXT(11210, "[$-060000]yyyy-mm-dd")</f>
        <v/>
      </c>
      <c r="D11211" t="inlineStr">
        <is>
          <t>1349-04-16</t>
        </is>
      </c>
    </row>
    <row r="11212">
      <c r="A11212" s="1" t="n">
        <v>11211</v>
      </c>
      <c r="B11212">
        <f>TEXT(11211, "[$-170000]yyyy-mm-dd")</f>
        <v/>
      </c>
      <c r="C11212">
        <f>TEXT(11211, "[$-060000]yyyy-mm-dd")</f>
        <v/>
      </c>
      <c r="D11212" t="inlineStr">
        <is>
          <t>1349-04-17</t>
        </is>
      </c>
    </row>
    <row r="11213">
      <c r="A11213" s="1" t="n">
        <v>11212</v>
      </c>
      <c r="B11213">
        <f>TEXT(11212, "[$-170000]yyyy-mm-dd")</f>
        <v/>
      </c>
      <c r="C11213">
        <f>TEXT(11212, "[$-060000]yyyy-mm-dd")</f>
        <v/>
      </c>
      <c r="D11213" t="inlineStr">
        <is>
          <t>1349-04-18</t>
        </is>
      </c>
    </row>
    <row r="11214">
      <c r="A11214" s="1" t="n">
        <v>11213</v>
      </c>
      <c r="B11214">
        <f>TEXT(11213, "[$-170000]yyyy-mm-dd")</f>
        <v/>
      </c>
      <c r="C11214">
        <f>TEXT(11213, "[$-060000]yyyy-mm-dd")</f>
        <v/>
      </c>
      <c r="D11214" t="inlineStr">
        <is>
          <t>1349-04-19</t>
        </is>
      </c>
    </row>
    <row r="11215">
      <c r="A11215" s="1" t="n">
        <v>11214</v>
      </c>
      <c r="B11215">
        <f>TEXT(11214, "[$-170000]yyyy-mm-dd")</f>
        <v/>
      </c>
      <c r="C11215">
        <f>TEXT(11214, "[$-060000]yyyy-mm-dd")</f>
        <v/>
      </c>
      <c r="D11215" t="inlineStr">
        <is>
          <t>1349-04-20</t>
        </is>
      </c>
    </row>
    <row r="11216">
      <c r="A11216" s="1" t="n">
        <v>11215</v>
      </c>
      <c r="B11216">
        <f>TEXT(11215, "[$-170000]yyyy-mm-dd")</f>
        <v/>
      </c>
      <c r="C11216">
        <f>TEXT(11215, "[$-060000]yyyy-mm-dd")</f>
        <v/>
      </c>
      <c r="D11216" t="inlineStr">
        <is>
          <t>1349-04-21</t>
        </is>
      </c>
    </row>
    <row r="11217">
      <c r="A11217" s="1" t="n">
        <v>11216</v>
      </c>
      <c r="B11217">
        <f>TEXT(11216, "[$-170000]yyyy-mm-dd")</f>
        <v/>
      </c>
      <c r="C11217">
        <f>TEXT(11216, "[$-060000]yyyy-mm-dd")</f>
        <v/>
      </c>
      <c r="D11217" t="inlineStr">
        <is>
          <t>1349-04-22</t>
        </is>
      </c>
    </row>
    <row r="11218">
      <c r="A11218" s="1" t="n">
        <v>11217</v>
      </c>
      <c r="B11218">
        <f>TEXT(11217, "[$-170000]yyyy-mm-dd")</f>
        <v/>
      </c>
      <c r="C11218">
        <f>TEXT(11217, "[$-060000]yyyy-mm-dd")</f>
        <v/>
      </c>
      <c r="D11218" t="inlineStr">
        <is>
          <t>1349-04-23</t>
        </is>
      </c>
    </row>
    <row r="11219">
      <c r="A11219" s="1" t="n">
        <v>11218</v>
      </c>
      <c r="B11219">
        <f>TEXT(11218, "[$-170000]yyyy-mm-dd")</f>
        <v/>
      </c>
      <c r="C11219">
        <f>TEXT(11218, "[$-060000]yyyy-mm-dd")</f>
        <v/>
      </c>
      <c r="D11219" t="inlineStr">
        <is>
          <t>1349-04-24</t>
        </is>
      </c>
    </row>
    <row r="11220">
      <c r="A11220" s="1" t="n">
        <v>11219</v>
      </c>
      <c r="B11220">
        <f>TEXT(11219, "[$-170000]yyyy-mm-dd")</f>
        <v/>
      </c>
      <c r="C11220">
        <f>TEXT(11219, "[$-060000]yyyy-mm-dd")</f>
        <v/>
      </c>
      <c r="D11220" t="inlineStr">
        <is>
          <t>1349-04-25</t>
        </is>
      </c>
    </row>
    <row r="11221">
      <c r="A11221" s="1" t="n">
        <v>11220</v>
      </c>
      <c r="B11221">
        <f>TEXT(11220, "[$-170000]yyyy-mm-dd")</f>
        <v/>
      </c>
      <c r="C11221">
        <f>TEXT(11220, "[$-060000]yyyy-mm-dd")</f>
        <v/>
      </c>
      <c r="D11221" t="inlineStr">
        <is>
          <t>1349-04-26</t>
        </is>
      </c>
    </row>
    <row r="11222">
      <c r="A11222" s="1" t="n">
        <v>11221</v>
      </c>
      <c r="B11222">
        <f>TEXT(11221, "[$-170000]yyyy-mm-dd")</f>
        <v/>
      </c>
      <c r="C11222">
        <f>TEXT(11221, "[$-060000]yyyy-mm-dd")</f>
        <v/>
      </c>
      <c r="D11222" t="inlineStr">
        <is>
          <t>1349-04-27</t>
        </is>
      </c>
    </row>
    <row r="11223">
      <c r="A11223" s="1" t="n">
        <v>11222</v>
      </c>
      <c r="B11223">
        <f>TEXT(11222, "[$-170000]yyyy-mm-dd")</f>
        <v/>
      </c>
      <c r="C11223">
        <f>TEXT(11222, "[$-060000]yyyy-mm-dd")</f>
        <v/>
      </c>
      <c r="D11223" t="inlineStr">
        <is>
          <t>1349-04-28</t>
        </is>
      </c>
    </row>
    <row r="11224">
      <c r="A11224" s="1" t="n">
        <v>11223</v>
      </c>
      <c r="B11224">
        <f>TEXT(11223, "[$-170000]yyyy-mm-dd")</f>
        <v/>
      </c>
      <c r="C11224">
        <f>TEXT(11223, "[$-060000]yyyy-mm-dd")</f>
        <v/>
      </c>
      <c r="D11224" t="inlineStr">
        <is>
          <t>1349-04-29</t>
        </is>
      </c>
    </row>
    <row r="11225">
      <c r="A11225" s="1" t="n">
        <v>11224</v>
      </c>
      <c r="B11225">
        <f>TEXT(11224, "[$-170000]yyyy-mm-dd")</f>
        <v/>
      </c>
      <c r="C11225">
        <f>TEXT(11224, "[$-060000]yyyy-mm-dd")</f>
        <v/>
      </c>
      <c r="D11225" t="inlineStr">
        <is>
          <t>1349-05-01</t>
        </is>
      </c>
    </row>
    <row r="11226">
      <c r="A11226" s="1" t="n">
        <v>11225</v>
      </c>
      <c r="B11226">
        <f>TEXT(11225, "[$-170000]yyyy-mm-dd")</f>
        <v/>
      </c>
      <c r="C11226">
        <f>TEXT(11225, "[$-060000]yyyy-mm-dd")</f>
        <v/>
      </c>
      <c r="D11226" t="inlineStr">
        <is>
          <t>1349-05-02</t>
        </is>
      </c>
    </row>
    <row r="11227">
      <c r="A11227" s="1" t="n">
        <v>11226</v>
      </c>
      <c r="B11227">
        <f>TEXT(11226, "[$-170000]yyyy-mm-dd")</f>
        <v/>
      </c>
      <c r="C11227">
        <f>TEXT(11226, "[$-060000]yyyy-mm-dd")</f>
        <v/>
      </c>
      <c r="D11227" t="inlineStr">
        <is>
          <t>1349-05-03</t>
        </is>
      </c>
    </row>
    <row r="11228">
      <c r="A11228" s="1" t="n">
        <v>11227</v>
      </c>
      <c r="B11228">
        <f>TEXT(11227, "[$-170000]yyyy-mm-dd")</f>
        <v/>
      </c>
      <c r="C11228">
        <f>TEXT(11227, "[$-060000]yyyy-mm-dd")</f>
        <v/>
      </c>
      <c r="D11228" t="inlineStr">
        <is>
          <t>1349-05-04</t>
        </is>
      </c>
    </row>
    <row r="11229">
      <c r="A11229" s="1" t="n">
        <v>11228</v>
      </c>
      <c r="B11229">
        <f>TEXT(11228, "[$-170000]yyyy-mm-dd")</f>
        <v/>
      </c>
      <c r="C11229">
        <f>TEXT(11228, "[$-060000]yyyy-mm-dd")</f>
        <v/>
      </c>
      <c r="D11229" t="inlineStr">
        <is>
          <t>1349-05-05</t>
        </is>
      </c>
    </row>
    <row r="11230">
      <c r="A11230" s="1" t="n">
        <v>11229</v>
      </c>
      <c r="B11230">
        <f>TEXT(11229, "[$-170000]yyyy-mm-dd")</f>
        <v/>
      </c>
      <c r="C11230">
        <f>TEXT(11229, "[$-060000]yyyy-mm-dd")</f>
        <v/>
      </c>
      <c r="D11230" t="inlineStr">
        <is>
          <t>1349-05-06</t>
        </is>
      </c>
    </row>
    <row r="11231">
      <c r="A11231" s="1" t="n">
        <v>11230</v>
      </c>
      <c r="B11231">
        <f>TEXT(11230, "[$-170000]yyyy-mm-dd")</f>
        <v/>
      </c>
      <c r="C11231">
        <f>TEXT(11230, "[$-060000]yyyy-mm-dd")</f>
        <v/>
      </c>
      <c r="D11231" t="inlineStr">
        <is>
          <t>1349-05-07</t>
        </is>
      </c>
    </row>
    <row r="11232">
      <c r="A11232" s="1" t="n">
        <v>11231</v>
      </c>
      <c r="B11232">
        <f>TEXT(11231, "[$-170000]yyyy-mm-dd")</f>
        <v/>
      </c>
      <c r="C11232">
        <f>TEXT(11231, "[$-060000]yyyy-mm-dd")</f>
        <v/>
      </c>
      <c r="D11232" t="inlineStr">
        <is>
          <t>1349-05-08</t>
        </is>
      </c>
    </row>
    <row r="11233">
      <c r="A11233" s="1" t="n">
        <v>11232</v>
      </c>
      <c r="B11233">
        <f>TEXT(11232, "[$-170000]yyyy-mm-dd")</f>
        <v/>
      </c>
      <c r="C11233">
        <f>TEXT(11232, "[$-060000]yyyy-mm-dd")</f>
        <v/>
      </c>
      <c r="D11233" t="inlineStr">
        <is>
          <t>1349-05-09</t>
        </is>
      </c>
    </row>
    <row r="11234">
      <c r="A11234" s="1" t="n">
        <v>11233</v>
      </c>
      <c r="B11234">
        <f>TEXT(11233, "[$-170000]yyyy-mm-dd")</f>
        <v/>
      </c>
      <c r="C11234">
        <f>TEXT(11233, "[$-060000]yyyy-mm-dd")</f>
        <v/>
      </c>
      <c r="D11234" t="inlineStr">
        <is>
          <t>1349-05-10</t>
        </is>
      </c>
    </row>
    <row r="11235">
      <c r="A11235" s="1" t="n">
        <v>11234</v>
      </c>
      <c r="B11235">
        <f>TEXT(11234, "[$-170000]yyyy-mm-dd")</f>
        <v/>
      </c>
      <c r="C11235">
        <f>TEXT(11234, "[$-060000]yyyy-mm-dd")</f>
        <v/>
      </c>
      <c r="D11235" t="inlineStr">
        <is>
          <t>1349-05-11</t>
        </is>
      </c>
    </row>
    <row r="11236">
      <c r="A11236" s="1" t="n">
        <v>11235</v>
      </c>
      <c r="B11236">
        <f>TEXT(11235, "[$-170000]yyyy-mm-dd")</f>
        <v/>
      </c>
      <c r="C11236">
        <f>TEXT(11235, "[$-060000]yyyy-mm-dd")</f>
        <v/>
      </c>
      <c r="D11236" t="inlineStr">
        <is>
          <t>1349-05-12</t>
        </is>
      </c>
    </row>
    <row r="11237">
      <c r="A11237" s="1" t="n">
        <v>11236</v>
      </c>
      <c r="B11237">
        <f>TEXT(11236, "[$-170000]yyyy-mm-dd")</f>
        <v/>
      </c>
      <c r="C11237">
        <f>TEXT(11236, "[$-060000]yyyy-mm-dd")</f>
        <v/>
      </c>
      <c r="D11237" t="inlineStr">
        <is>
          <t>1349-05-13</t>
        </is>
      </c>
    </row>
    <row r="11238">
      <c r="A11238" s="1" t="n">
        <v>11237</v>
      </c>
      <c r="B11238">
        <f>TEXT(11237, "[$-170000]yyyy-mm-dd")</f>
        <v/>
      </c>
      <c r="C11238">
        <f>TEXT(11237, "[$-060000]yyyy-mm-dd")</f>
        <v/>
      </c>
      <c r="D11238" t="inlineStr">
        <is>
          <t>1349-05-14</t>
        </is>
      </c>
    </row>
    <row r="11239">
      <c r="A11239" s="1" t="n">
        <v>11238</v>
      </c>
      <c r="B11239">
        <f>TEXT(11238, "[$-170000]yyyy-mm-dd")</f>
        <v/>
      </c>
      <c r="C11239">
        <f>TEXT(11238, "[$-060000]yyyy-mm-dd")</f>
        <v/>
      </c>
      <c r="D11239" t="inlineStr">
        <is>
          <t>1349-05-15</t>
        </is>
      </c>
    </row>
    <row r="11240">
      <c r="A11240" s="1" t="n">
        <v>11239</v>
      </c>
      <c r="B11240">
        <f>TEXT(11239, "[$-170000]yyyy-mm-dd")</f>
        <v/>
      </c>
      <c r="C11240">
        <f>TEXT(11239, "[$-060000]yyyy-mm-dd")</f>
        <v/>
      </c>
      <c r="D11240" t="inlineStr">
        <is>
          <t>1349-05-16</t>
        </is>
      </c>
    </row>
    <row r="11241">
      <c r="A11241" s="1" t="n">
        <v>11240</v>
      </c>
      <c r="B11241">
        <f>TEXT(11240, "[$-170000]yyyy-mm-dd")</f>
        <v/>
      </c>
      <c r="C11241">
        <f>TEXT(11240, "[$-060000]yyyy-mm-dd")</f>
        <v/>
      </c>
      <c r="D11241" t="inlineStr">
        <is>
          <t>1349-05-17</t>
        </is>
      </c>
    </row>
    <row r="11242">
      <c r="A11242" s="1" t="n">
        <v>11241</v>
      </c>
      <c r="B11242">
        <f>TEXT(11241, "[$-170000]yyyy-mm-dd")</f>
        <v/>
      </c>
      <c r="C11242">
        <f>TEXT(11241, "[$-060000]yyyy-mm-dd")</f>
        <v/>
      </c>
      <c r="D11242" t="inlineStr">
        <is>
          <t>1349-05-18</t>
        </is>
      </c>
    </row>
    <row r="11243">
      <c r="A11243" s="1" t="n">
        <v>11242</v>
      </c>
      <c r="B11243">
        <f>TEXT(11242, "[$-170000]yyyy-mm-dd")</f>
        <v/>
      </c>
      <c r="C11243">
        <f>TEXT(11242, "[$-060000]yyyy-mm-dd")</f>
        <v/>
      </c>
      <c r="D11243" t="inlineStr">
        <is>
          <t>1349-05-19</t>
        </is>
      </c>
    </row>
    <row r="11244">
      <c r="A11244" s="1" t="n">
        <v>11243</v>
      </c>
      <c r="B11244">
        <f>TEXT(11243, "[$-170000]yyyy-mm-dd")</f>
        <v/>
      </c>
      <c r="C11244">
        <f>TEXT(11243, "[$-060000]yyyy-mm-dd")</f>
        <v/>
      </c>
      <c r="D11244" t="inlineStr">
        <is>
          <t>1349-05-20</t>
        </is>
      </c>
    </row>
    <row r="11245">
      <c r="A11245" s="1" t="n">
        <v>11244</v>
      </c>
      <c r="B11245">
        <f>TEXT(11244, "[$-170000]yyyy-mm-dd")</f>
        <v/>
      </c>
      <c r="C11245">
        <f>TEXT(11244, "[$-060000]yyyy-mm-dd")</f>
        <v/>
      </c>
      <c r="D11245" t="inlineStr">
        <is>
          <t>1349-05-21</t>
        </is>
      </c>
    </row>
    <row r="11246">
      <c r="A11246" s="1" t="n">
        <v>11245</v>
      </c>
      <c r="B11246">
        <f>TEXT(11245, "[$-170000]yyyy-mm-dd")</f>
        <v/>
      </c>
      <c r="C11246">
        <f>TEXT(11245, "[$-060000]yyyy-mm-dd")</f>
        <v/>
      </c>
      <c r="D11246" t="inlineStr">
        <is>
          <t>1349-05-22</t>
        </is>
      </c>
    </row>
    <row r="11247">
      <c r="A11247" s="1" t="n">
        <v>11246</v>
      </c>
      <c r="B11247">
        <f>TEXT(11246, "[$-170000]yyyy-mm-dd")</f>
        <v/>
      </c>
      <c r="C11247">
        <f>TEXT(11246, "[$-060000]yyyy-mm-dd")</f>
        <v/>
      </c>
      <c r="D11247" t="inlineStr">
        <is>
          <t>1349-05-23</t>
        </is>
      </c>
    </row>
    <row r="11248">
      <c r="A11248" s="1" t="n">
        <v>11247</v>
      </c>
      <c r="B11248">
        <f>TEXT(11247, "[$-170000]yyyy-mm-dd")</f>
        <v/>
      </c>
      <c r="C11248">
        <f>TEXT(11247, "[$-060000]yyyy-mm-dd")</f>
        <v/>
      </c>
      <c r="D11248" t="inlineStr">
        <is>
          <t>1349-05-24</t>
        </is>
      </c>
    </row>
    <row r="11249">
      <c r="A11249" s="1" t="n">
        <v>11248</v>
      </c>
      <c r="B11249">
        <f>TEXT(11248, "[$-170000]yyyy-mm-dd")</f>
        <v/>
      </c>
      <c r="C11249">
        <f>TEXT(11248, "[$-060000]yyyy-mm-dd")</f>
        <v/>
      </c>
      <c r="D11249" t="inlineStr">
        <is>
          <t>1349-05-25</t>
        </is>
      </c>
    </row>
    <row r="11250">
      <c r="A11250" s="1" t="n">
        <v>11249</v>
      </c>
      <c r="B11250">
        <f>TEXT(11249, "[$-170000]yyyy-mm-dd")</f>
        <v/>
      </c>
      <c r="C11250">
        <f>TEXT(11249, "[$-060000]yyyy-mm-dd")</f>
        <v/>
      </c>
      <c r="D11250" t="inlineStr">
        <is>
          <t>1349-05-26</t>
        </is>
      </c>
    </row>
    <row r="11251">
      <c r="A11251" s="1" t="n">
        <v>11250</v>
      </c>
      <c r="B11251">
        <f>TEXT(11250, "[$-170000]yyyy-mm-dd")</f>
        <v/>
      </c>
      <c r="C11251">
        <f>TEXT(11250, "[$-060000]yyyy-mm-dd")</f>
        <v/>
      </c>
      <c r="D11251" t="inlineStr">
        <is>
          <t>1349-05-27</t>
        </is>
      </c>
    </row>
    <row r="11252">
      <c r="A11252" s="1" t="n">
        <v>11251</v>
      </c>
      <c r="B11252">
        <f>TEXT(11251, "[$-170000]yyyy-mm-dd")</f>
        <v/>
      </c>
      <c r="C11252">
        <f>TEXT(11251, "[$-060000]yyyy-mm-dd")</f>
        <v/>
      </c>
      <c r="D11252" t="inlineStr">
        <is>
          <t>1349-05-28</t>
        </is>
      </c>
    </row>
    <row r="11253">
      <c r="A11253" s="1" t="n">
        <v>11252</v>
      </c>
      <c r="B11253">
        <f>TEXT(11252, "[$-170000]yyyy-mm-dd")</f>
        <v/>
      </c>
      <c r="C11253">
        <f>TEXT(11252, "[$-060000]yyyy-mm-dd")</f>
        <v/>
      </c>
      <c r="D11253" t="inlineStr">
        <is>
          <t>1349-05-29</t>
        </is>
      </c>
    </row>
    <row r="11254">
      <c r="A11254" s="1" t="n">
        <v>11253</v>
      </c>
      <c r="B11254">
        <f>TEXT(11253, "[$-170000]yyyy-mm-dd")</f>
        <v/>
      </c>
      <c r="C11254">
        <f>TEXT(11253, "[$-060000]yyyy-mm-dd")</f>
        <v/>
      </c>
      <c r="D11254" t="inlineStr">
        <is>
          <t>1349-05-30</t>
        </is>
      </c>
    </row>
    <row r="11255">
      <c r="A11255" s="1" t="n">
        <v>11254</v>
      </c>
      <c r="B11255">
        <f>TEXT(11254, "[$-170000]yyyy-mm-dd")</f>
        <v/>
      </c>
      <c r="C11255">
        <f>TEXT(11254, "[$-060000]yyyy-mm-dd")</f>
        <v/>
      </c>
      <c r="D11255" t="inlineStr">
        <is>
          <t>1349-06-01</t>
        </is>
      </c>
    </row>
    <row r="11256">
      <c r="A11256" s="1" t="n">
        <v>11255</v>
      </c>
      <c r="B11256">
        <f>TEXT(11255, "[$-170000]yyyy-mm-dd")</f>
        <v/>
      </c>
      <c r="C11256">
        <f>TEXT(11255, "[$-060000]yyyy-mm-dd")</f>
        <v/>
      </c>
      <c r="D11256" t="inlineStr">
        <is>
          <t>1349-06-02</t>
        </is>
      </c>
    </row>
    <row r="11257">
      <c r="A11257" s="1" t="n">
        <v>11256</v>
      </c>
      <c r="B11257">
        <f>TEXT(11256, "[$-170000]yyyy-mm-dd")</f>
        <v/>
      </c>
      <c r="C11257">
        <f>TEXT(11256, "[$-060000]yyyy-mm-dd")</f>
        <v/>
      </c>
      <c r="D11257" t="inlineStr">
        <is>
          <t>1349-06-03</t>
        </is>
      </c>
    </row>
    <row r="11258">
      <c r="A11258" s="1" t="n">
        <v>11257</v>
      </c>
      <c r="B11258">
        <f>TEXT(11257, "[$-170000]yyyy-mm-dd")</f>
        <v/>
      </c>
      <c r="C11258">
        <f>TEXT(11257, "[$-060000]yyyy-mm-dd")</f>
        <v/>
      </c>
      <c r="D11258" t="inlineStr">
        <is>
          <t>1349-06-04</t>
        </is>
      </c>
    </row>
    <row r="11259">
      <c r="A11259" s="1" t="n">
        <v>11258</v>
      </c>
      <c r="B11259">
        <f>TEXT(11258, "[$-170000]yyyy-mm-dd")</f>
        <v/>
      </c>
      <c r="C11259">
        <f>TEXT(11258, "[$-060000]yyyy-mm-dd")</f>
        <v/>
      </c>
      <c r="D11259" t="inlineStr">
        <is>
          <t>1349-06-05</t>
        </is>
      </c>
    </row>
    <row r="11260">
      <c r="A11260" s="1" t="n">
        <v>11259</v>
      </c>
      <c r="B11260">
        <f>TEXT(11259, "[$-170000]yyyy-mm-dd")</f>
        <v/>
      </c>
      <c r="C11260">
        <f>TEXT(11259, "[$-060000]yyyy-mm-dd")</f>
        <v/>
      </c>
      <c r="D11260" t="inlineStr">
        <is>
          <t>1349-06-06</t>
        </is>
      </c>
    </row>
    <row r="11261">
      <c r="A11261" s="1" t="n">
        <v>11260</v>
      </c>
      <c r="B11261">
        <f>TEXT(11260, "[$-170000]yyyy-mm-dd")</f>
        <v/>
      </c>
      <c r="C11261">
        <f>TEXT(11260, "[$-060000]yyyy-mm-dd")</f>
        <v/>
      </c>
      <c r="D11261" t="inlineStr">
        <is>
          <t>1349-06-07</t>
        </is>
      </c>
    </row>
    <row r="11262">
      <c r="A11262" s="1" t="n">
        <v>11261</v>
      </c>
      <c r="B11262">
        <f>TEXT(11261, "[$-170000]yyyy-mm-dd")</f>
        <v/>
      </c>
      <c r="C11262">
        <f>TEXT(11261, "[$-060000]yyyy-mm-dd")</f>
        <v/>
      </c>
      <c r="D11262" t="inlineStr">
        <is>
          <t>1349-06-08</t>
        </is>
      </c>
    </row>
    <row r="11263">
      <c r="A11263" s="1" t="n">
        <v>11262</v>
      </c>
      <c r="B11263">
        <f>TEXT(11262, "[$-170000]yyyy-mm-dd")</f>
        <v/>
      </c>
      <c r="C11263">
        <f>TEXT(11262, "[$-060000]yyyy-mm-dd")</f>
        <v/>
      </c>
      <c r="D11263" t="inlineStr">
        <is>
          <t>1349-06-09</t>
        </is>
      </c>
    </row>
    <row r="11264">
      <c r="A11264" s="1" t="n">
        <v>11263</v>
      </c>
      <c r="B11264">
        <f>TEXT(11263, "[$-170000]yyyy-mm-dd")</f>
        <v/>
      </c>
      <c r="C11264">
        <f>TEXT(11263, "[$-060000]yyyy-mm-dd")</f>
        <v/>
      </c>
      <c r="D11264" t="inlineStr">
        <is>
          <t>1349-06-10</t>
        </is>
      </c>
    </row>
    <row r="11265">
      <c r="A11265" s="1" t="n">
        <v>11264</v>
      </c>
      <c r="B11265">
        <f>TEXT(11264, "[$-170000]yyyy-mm-dd")</f>
        <v/>
      </c>
      <c r="C11265">
        <f>TEXT(11264, "[$-060000]yyyy-mm-dd")</f>
        <v/>
      </c>
      <c r="D11265" t="inlineStr">
        <is>
          <t>1349-06-11</t>
        </is>
      </c>
    </row>
    <row r="11266">
      <c r="A11266" s="1" t="n">
        <v>11265</v>
      </c>
      <c r="B11266">
        <f>TEXT(11265, "[$-170000]yyyy-mm-dd")</f>
        <v/>
      </c>
      <c r="C11266">
        <f>TEXT(11265, "[$-060000]yyyy-mm-dd")</f>
        <v/>
      </c>
      <c r="D11266" t="inlineStr">
        <is>
          <t>1349-06-12</t>
        </is>
      </c>
    </row>
    <row r="11267">
      <c r="A11267" s="1" t="n">
        <v>11266</v>
      </c>
      <c r="B11267">
        <f>TEXT(11266, "[$-170000]yyyy-mm-dd")</f>
        <v/>
      </c>
      <c r="C11267">
        <f>TEXT(11266, "[$-060000]yyyy-mm-dd")</f>
        <v/>
      </c>
      <c r="D11267" t="inlineStr">
        <is>
          <t>1349-06-13</t>
        </is>
      </c>
    </row>
    <row r="11268">
      <c r="A11268" s="1" t="n">
        <v>11267</v>
      </c>
      <c r="B11268">
        <f>TEXT(11267, "[$-170000]yyyy-mm-dd")</f>
        <v/>
      </c>
      <c r="C11268">
        <f>TEXT(11267, "[$-060000]yyyy-mm-dd")</f>
        <v/>
      </c>
      <c r="D11268" t="inlineStr">
        <is>
          <t>1349-06-14</t>
        </is>
      </c>
    </row>
    <row r="11269">
      <c r="A11269" s="1" t="n">
        <v>11268</v>
      </c>
      <c r="B11269">
        <f>TEXT(11268, "[$-170000]yyyy-mm-dd")</f>
        <v/>
      </c>
      <c r="C11269">
        <f>TEXT(11268, "[$-060000]yyyy-mm-dd")</f>
        <v/>
      </c>
      <c r="D11269" t="inlineStr">
        <is>
          <t>1349-06-15</t>
        </is>
      </c>
    </row>
    <row r="11270">
      <c r="A11270" s="1" t="n">
        <v>11269</v>
      </c>
      <c r="B11270">
        <f>TEXT(11269, "[$-170000]yyyy-mm-dd")</f>
        <v/>
      </c>
      <c r="C11270">
        <f>TEXT(11269, "[$-060000]yyyy-mm-dd")</f>
        <v/>
      </c>
      <c r="D11270" t="inlineStr">
        <is>
          <t>1349-06-16</t>
        </is>
      </c>
    </row>
    <row r="11271">
      <c r="A11271" s="1" t="n">
        <v>11270</v>
      </c>
      <c r="B11271">
        <f>TEXT(11270, "[$-170000]yyyy-mm-dd")</f>
        <v/>
      </c>
      <c r="C11271">
        <f>TEXT(11270, "[$-060000]yyyy-mm-dd")</f>
        <v/>
      </c>
      <c r="D11271" t="inlineStr">
        <is>
          <t>1349-06-17</t>
        </is>
      </c>
    </row>
    <row r="11272">
      <c r="A11272" s="1" t="n">
        <v>11271</v>
      </c>
      <c r="B11272">
        <f>TEXT(11271, "[$-170000]yyyy-mm-dd")</f>
        <v/>
      </c>
      <c r="C11272">
        <f>TEXT(11271, "[$-060000]yyyy-mm-dd")</f>
        <v/>
      </c>
      <c r="D11272" t="inlineStr">
        <is>
          <t>1349-06-18</t>
        </is>
      </c>
    </row>
    <row r="11273">
      <c r="A11273" s="1" t="n">
        <v>11272</v>
      </c>
      <c r="B11273">
        <f>TEXT(11272, "[$-170000]yyyy-mm-dd")</f>
        <v/>
      </c>
      <c r="C11273">
        <f>TEXT(11272, "[$-060000]yyyy-mm-dd")</f>
        <v/>
      </c>
      <c r="D11273" t="inlineStr">
        <is>
          <t>1349-06-19</t>
        </is>
      </c>
    </row>
    <row r="11274">
      <c r="A11274" s="1" t="n">
        <v>11273</v>
      </c>
      <c r="B11274">
        <f>TEXT(11273, "[$-170000]yyyy-mm-dd")</f>
        <v/>
      </c>
      <c r="C11274">
        <f>TEXT(11273, "[$-060000]yyyy-mm-dd")</f>
        <v/>
      </c>
      <c r="D11274" t="inlineStr">
        <is>
          <t>1349-06-20</t>
        </is>
      </c>
    </row>
    <row r="11275">
      <c r="A11275" s="1" t="n">
        <v>11274</v>
      </c>
      <c r="B11275">
        <f>TEXT(11274, "[$-170000]yyyy-mm-dd")</f>
        <v/>
      </c>
      <c r="C11275">
        <f>TEXT(11274, "[$-060000]yyyy-mm-dd")</f>
        <v/>
      </c>
      <c r="D11275" t="inlineStr">
        <is>
          <t>1349-06-21</t>
        </is>
      </c>
    </row>
    <row r="11276">
      <c r="A11276" s="1" t="n">
        <v>11275</v>
      </c>
      <c r="B11276">
        <f>TEXT(11275, "[$-170000]yyyy-mm-dd")</f>
        <v/>
      </c>
      <c r="C11276">
        <f>TEXT(11275, "[$-060000]yyyy-mm-dd")</f>
        <v/>
      </c>
      <c r="D11276" t="inlineStr">
        <is>
          <t>1349-06-22</t>
        </is>
      </c>
    </row>
    <row r="11277">
      <c r="A11277" s="1" t="n">
        <v>11276</v>
      </c>
      <c r="B11277">
        <f>TEXT(11276, "[$-170000]yyyy-mm-dd")</f>
        <v/>
      </c>
      <c r="C11277">
        <f>TEXT(11276, "[$-060000]yyyy-mm-dd")</f>
        <v/>
      </c>
      <c r="D11277" t="inlineStr">
        <is>
          <t>1349-06-23</t>
        </is>
      </c>
    </row>
    <row r="11278">
      <c r="A11278" s="1" t="n">
        <v>11277</v>
      </c>
      <c r="B11278">
        <f>TEXT(11277, "[$-170000]yyyy-mm-dd")</f>
        <v/>
      </c>
      <c r="C11278">
        <f>TEXT(11277, "[$-060000]yyyy-mm-dd")</f>
        <v/>
      </c>
      <c r="D11278" t="inlineStr">
        <is>
          <t>1349-06-24</t>
        </is>
      </c>
    </row>
    <row r="11279">
      <c r="A11279" s="1" t="n">
        <v>11278</v>
      </c>
      <c r="B11279">
        <f>TEXT(11278, "[$-170000]yyyy-mm-dd")</f>
        <v/>
      </c>
      <c r="C11279">
        <f>TEXT(11278, "[$-060000]yyyy-mm-dd")</f>
        <v/>
      </c>
      <c r="D11279" t="inlineStr">
        <is>
          <t>1349-06-25</t>
        </is>
      </c>
    </row>
    <row r="11280">
      <c r="A11280" s="1" t="n">
        <v>11279</v>
      </c>
      <c r="B11280">
        <f>TEXT(11279, "[$-170000]yyyy-mm-dd")</f>
        <v/>
      </c>
      <c r="C11280">
        <f>TEXT(11279, "[$-060000]yyyy-mm-dd")</f>
        <v/>
      </c>
      <c r="D11280" t="inlineStr">
        <is>
          <t>1349-06-26</t>
        </is>
      </c>
    </row>
    <row r="11281">
      <c r="A11281" s="1" t="n">
        <v>11280</v>
      </c>
      <c r="B11281">
        <f>TEXT(11280, "[$-170000]yyyy-mm-dd")</f>
        <v/>
      </c>
      <c r="C11281">
        <f>TEXT(11280, "[$-060000]yyyy-mm-dd")</f>
        <v/>
      </c>
      <c r="D11281" t="inlineStr">
        <is>
          <t>1349-06-27</t>
        </is>
      </c>
    </row>
    <row r="11282">
      <c r="A11282" s="1" t="n">
        <v>11281</v>
      </c>
      <c r="B11282">
        <f>TEXT(11281, "[$-170000]yyyy-mm-dd")</f>
        <v/>
      </c>
      <c r="C11282">
        <f>TEXT(11281, "[$-060000]yyyy-mm-dd")</f>
        <v/>
      </c>
      <c r="D11282" t="inlineStr">
        <is>
          <t>1349-06-28</t>
        </is>
      </c>
    </row>
    <row r="11283">
      <c r="A11283" s="1" t="n">
        <v>11282</v>
      </c>
      <c r="B11283">
        <f>TEXT(11282, "[$-170000]yyyy-mm-dd")</f>
        <v/>
      </c>
      <c r="C11283">
        <f>TEXT(11282, "[$-060000]yyyy-mm-dd")</f>
        <v/>
      </c>
      <c r="D11283" t="inlineStr">
        <is>
          <t>1349-06-29</t>
        </is>
      </c>
    </row>
    <row r="11284">
      <c r="A11284" s="1" t="n">
        <v>11283</v>
      </c>
      <c r="B11284">
        <f>TEXT(11283, "[$-170000]yyyy-mm-dd")</f>
        <v/>
      </c>
      <c r="C11284">
        <f>TEXT(11283, "[$-060000]yyyy-mm-dd")</f>
        <v/>
      </c>
      <c r="D11284" t="inlineStr">
        <is>
          <t>1349-07-01</t>
        </is>
      </c>
    </row>
    <row r="11285">
      <c r="A11285" s="1" t="n">
        <v>11284</v>
      </c>
      <c r="B11285">
        <f>TEXT(11284, "[$-170000]yyyy-mm-dd")</f>
        <v/>
      </c>
      <c r="C11285">
        <f>TEXT(11284, "[$-060000]yyyy-mm-dd")</f>
        <v/>
      </c>
      <c r="D11285" t="inlineStr">
        <is>
          <t>1349-07-02</t>
        </is>
      </c>
    </row>
    <row r="11286">
      <c r="A11286" s="1" t="n">
        <v>11285</v>
      </c>
      <c r="B11286">
        <f>TEXT(11285, "[$-170000]yyyy-mm-dd")</f>
        <v/>
      </c>
      <c r="C11286">
        <f>TEXT(11285, "[$-060000]yyyy-mm-dd")</f>
        <v/>
      </c>
      <c r="D11286" t="inlineStr">
        <is>
          <t>1349-07-03</t>
        </is>
      </c>
    </row>
    <row r="11287">
      <c r="A11287" s="1" t="n">
        <v>11286</v>
      </c>
      <c r="B11287">
        <f>TEXT(11286, "[$-170000]yyyy-mm-dd")</f>
        <v/>
      </c>
      <c r="C11287">
        <f>TEXT(11286, "[$-060000]yyyy-mm-dd")</f>
        <v/>
      </c>
      <c r="D11287" t="inlineStr">
        <is>
          <t>1349-07-04</t>
        </is>
      </c>
    </row>
    <row r="11288">
      <c r="A11288" s="1" t="n">
        <v>11287</v>
      </c>
      <c r="B11288">
        <f>TEXT(11287, "[$-170000]yyyy-mm-dd")</f>
        <v/>
      </c>
      <c r="C11288">
        <f>TEXT(11287, "[$-060000]yyyy-mm-dd")</f>
        <v/>
      </c>
      <c r="D11288" t="inlineStr">
        <is>
          <t>1349-07-05</t>
        </is>
      </c>
    </row>
    <row r="11289">
      <c r="A11289" s="1" t="n">
        <v>11288</v>
      </c>
      <c r="B11289">
        <f>TEXT(11288, "[$-170000]yyyy-mm-dd")</f>
        <v/>
      </c>
      <c r="C11289">
        <f>TEXT(11288, "[$-060000]yyyy-mm-dd")</f>
        <v/>
      </c>
      <c r="D11289" t="inlineStr">
        <is>
          <t>1349-07-06</t>
        </is>
      </c>
    </row>
    <row r="11290">
      <c r="A11290" s="1" t="n">
        <v>11289</v>
      </c>
      <c r="B11290">
        <f>TEXT(11289, "[$-170000]yyyy-mm-dd")</f>
        <v/>
      </c>
      <c r="C11290">
        <f>TEXT(11289, "[$-060000]yyyy-mm-dd")</f>
        <v/>
      </c>
      <c r="D11290" t="inlineStr">
        <is>
          <t>1349-07-07</t>
        </is>
      </c>
    </row>
    <row r="11291">
      <c r="A11291" s="1" t="n">
        <v>11290</v>
      </c>
      <c r="B11291">
        <f>TEXT(11290, "[$-170000]yyyy-mm-dd")</f>
        <v/>
      </c>
      <c r="C11291">
        <f>TEXT(11290, "[$-060000]yyyy-mm-dd")</f>
        <v/>
      </c>
      <c r="D11291" t="inlineStr">
        <is>
          <t>1349-07-08</t>
        </is>
      </c>
    </row>
    <row r="11292">
      <c r="A11292" s="1" t="n">
        <v>11291</v>
      </c>
      <c r="B11292">
        <f>TEXT(11291, "[$-170000]yyyy-mm-dd")</f>
        <v/>
      </c>
      <c r="C11292">
        <f>TEXT(11291, "[$-060000]yyyy-mm-dd")</f>
        <v/>
      </c>
      <c r="D11292" t="inlineStr">
        <is>
          <t>1349-07-09</t>
        </is>
      </c>
    </row>
    <row r="11293">
      <c r="A11293" s="1" t="n">
        <v>11292</v>
      </c>
      <c r="B11293">
        <f>TEXT(11292, "[$-170000]yyyy-mm-dd")</f>
        <v/>
      </c>
      <c r="C11293">
        <f>TEXT(11292, "[$-060000]yyyy-mm-dd")</f>
        <v/>
      </c>
      <c r="D11293" t="inlineStr">
        <is>
          <t>1349-07-10</t>
        </is>
      </c>
    </row>
    <row r="11294">
      <c r="A11294" s="1" t="n">
        <v>11293</v>
      </c>
      <c r="B11294">
        <f>TEXT(11293, "[$-170000]yyyy-mm-dd")</f>
        <v/>
      </c>
      <c r="C11294">
        <f>TEXT(11293, "[$-060000]yyyy-mm-dd")</f>
        <v/>
      </c>
      <c r="D11294" t="inlineStr">
        <is>
          <t>1349-07-11</t>
        </is>
      </c>
    </row>
    <row r="11295">
      <c r="A11295" s="1" t="n">
        <v>11294</v>
      </c>
      <c r="B11295">
        <f>TEXT(11294, "[$-170000]yyyy-mm-dd")</f>
        <v/>
      </c>
      <c r="C11295">
        <f>TEXT(11294, "[$-060000]yyyy-mm-dd")</f>
        <v/>
      </c>
      <c r="D11295" t="inlineStr">
        <is>
          <t>1349-07-12</t>
        </is>
      </c>
    </row>
    <row r="11296">
      <c r="A11296" s="1" t="n">
        <v>11295</v>
      </c>
      <c r="B11296">
        <f>TEXT(11295, "[$-170000]yyyy-mm-dd")</f>
        <v/>
      </c>
      <c r="C11296">
        <f>TEXT(11295, "[$-060000]yyyy-mm-dd")</f>
        <v/>
      </c>
      <c r="D11296" t="inlineStr">
        <is>
          <t>1349-07-13</t>
        </is>
      </c>
    </row>
    <row r="11297">
      <c r="A11297" s="1" t="n">
        <v>11296</v>
      </c>
      <c r="B11297">
        <f>TEXT(11296, "[$-170000]yyyy-mm-dd")</f>
        <v/>
      </c>
      <c r="C11297">
        <f>TEXT(11296, "[$-060000]yyyy-mm-dd")</f>
        <v/>
      </c>
      <c r="D11297" t="inlineStr">
        <is>
          <t>1349-07-14</t>
        </is>
      </c>
    </row>
    <row r="11298">
      <c r="A11298" s="1" t="n">
        <v>11297</v>
      </c>
      <c r="B11298">
        <f>TEXT(11297, "[$-170000]yyyy-mm-dd")</f>
        <v/>
      </c>
      <c r="C11298">
        <f>TEXT(11297, "[$-060000]yyyy-mm-dd")</f>
        <v/>
      </c>
      <c r="D11298" t="inlineStr">
        <is>
          <t>1349-07-15</t>
        </is>
      </c>
    </row>
    <row r="11299">
      <c r="A11299" s="1" t="n">
        <v>11298</v>
      </c>
      <c r="B11299">
        <f>TEXT(11298, "[$-170000]yyyy-mm-dd")</f>
        <v/>
      </c>
      <c r="C11299">
        <f>TEXT(11298, "[$-060000]yyyy-mm-dd")</f>
        <v/>
      </c>
      <c r="D11299" t="inlineStr">
        <is>
          <t>1349-07-16</t>
        </is>
      </c>
    </row>
    <row r="11300">
      <c r="A11300" s="1" t="n">
        <v>11299</v>
      </c>
      <c r="B11300">
        <f>TEXT(11299, "[$-170000]yyyy-mm-dd")</f>
        <v/>
      </c>
      <c r="C11300">
        <f>TEXT(11299, "[$-060000]yyyy-mm-dd")</f>
        <v/>
      </c>
      <c r="D11300" t="inlineStr">
        <is>
          <t>1349-07-17</t>
        </is>
      </c>
    </row>
    <row r="11301">
      <c r="A11301" s="1" t="n">
        <v>11300</v>
      </c>
      <c r="B11301">
        <f>TEXT(11300, "[$-170000]yyyy-mm-dd")</f>
        <v/>
      </c>
      <c r="C11301">
        <f>TEXT(11300, "[$-060000]yyyy-mm-dd")</f>
        <v/>
      </c>
      <c r="D11301" t="inlineStr">
        <is>
          <t>1349-07-18</t>
        </is>
      </c>
    </row>
    <row r="11302">
      <c r="A11302" s="1" t="n">
        <v>11301</v>
      </c>
      <c r="B11302">
        <f>TEXT(11301, "[$-170000]yyyy-mm-dd")</f>
        <v/>
      </c>
      <c r="C11302">
        <f>TEXT(11301, "[$-060000]yyyy-mm-dd")</f>
        <v/>
      </c>
      <c r="D11302" t="inlineStr">
        <is>
          <t>1349-07-19</t>
        </is>
      </c>
    </row>
    <row r="11303">
      <c r="A11303" s="1" t="n">
        <v>11302</v>
      </c>
      <c r="B11303">
        <f>TEXT(11302, "[$-170000]yyyy-mm-dd")</f>
        <v/>
      </c>
      <c r="C11303">
        <f>TEXT(11302, "[$-060000]yyyy-mm-dd")</f>
        <v/>
      </c>
      <c r="D11303" t="inlineStr">
        <is>
          <t>1349-07-20</t>
        </is>
      </c>
    </row>
    <row r="11304">
      <c r="A11304" s="1" t="n">
        <v>11303</v>
      </c>
      <c r="B11304">
        <f>TEXT(11303, "[$-170000]yyyy-mm-dd")</f>
        <v/>
      </c>
      <c r="C11304">
        <f>TEXT(11303, "[$-060000]yyyy-mm-dd")</f>
        <v/>
      </c>
      <c r="D11304" t="inlineStr">
        <is>
          <t>1349-07-21</t>
        </is>
      </c>
    </row>
    <row r="11305">
      <c r="A11305" s="1" t="n">
        <v>11304</v>
      </c>
      <c r="B11305">
        <f>TEXT(11304, "[$-170000]yyyy-mm-dd")</f>
        <v/>
      </c>
      <c r="C11305">
        <f>TEXT(11304, "[$-060000]yyyy-mm-dd")</f>
        <v/>
      </c>
      <c r="D11305" t="inlineStr">
        <is>
          <t>1349-07-22</t>
        </is>
      </c>
    </row>
    <row r="11306">
      <c r="A11306" s="1" t="n">
        <v>11305</v>
      </c>
      <c r="B11306">
        <f>TEXT(11305, "[$-170000]yyyy-mm-dd")</f>
        <v/>
      </c>
      <c r="C11306">
        <f>TEXT(11305, "[$-060000]yyyy-mm-dd")</f>
        <v/>
      </c>
      <c r="D11306" t="inlineStr">
        <is>
          <t>1349-07-23</t>
        </is>
      </c>
    </row>
    <row r="11307">
      <c r="A11307" s="1" t="n">
        <v>11306</v>
      </c>
      <c r="B11307">
        <f>TEXT(11306, "[$-170000]yyyy-mm-dd")</f>
        <v/>
      </c>
      <c r="C11307">
        <f>TEXT(11306, "[$-060000]yyyy-mm-dd")</f>
        <v/>
      </c>
      <c r="D11307" t="inlineStr">
        <is>
          <t>1349-07-24</t>
        </is>
      </c>
    </row>
    <row r="11308">
      <c r="A11308" s="1" t="n">
        <v>11307</v>
      </c>
      <c r="B11308">
        <f>TEXT(11307, "[$-170000]yyyy-mm-dd")</f>
        <v/>
      </c>
      <c r="C11308">
        <f>TEXT(11307, "[$-060000]yyyy-mm-dd")</f>
        <v/>
      </c>
      <c r="D11308" t="inlineStr">
        <is>
          <t>1349-07-25</t>
        </is>
      </c>
    </row>
    <row r="11309">
      <c r="A11309" s="1" t="n">
        <v>11308</v>
      </c>
      <c r="B11309">
        <f>TEXT(11308, "[$-170000]yyyy-mm-dd")</f>
        <v/>
      </c>
      <c r="C11309">
        <f>TEXT(11308, "[$-060000]yyyy-mm-dd")</f>
        <v/>
      </c>
      <c r="D11309" t="inlineStr">
        <is>
          <t>1349-07-26</t>
        </is>
      </c>
    </row>
    <row r="11310">
      <c r="A11310" s="1" t="n">
        <v>11309</v>
      </c>
      <c r="B11310">
        <f>TEXT(11309, "[$-170000]yyyy-mm-dd")</f>
        <v/>
      </c>
      <c r="C11310">
        <f>TEXT(11309, "[$-060000]yyyy-mm-dd")</f>
        <v/>
      </c>
      <c r="D11310" t="inlineStr">
        <is>
          <t>1349-07-27</t>
        </is>
      </c>
    </row>
    <row r="11311">
      <c r="A11311" s="1" t="n">
        <v>11310</v>
      </c>
      <c r="B11311">
        <f>TEXT(11310, "[$-170000]yyyy-mm-dd")</f>
        <v/>
      </c>
      <c r="C11311">
        <f>TEXT(11310, "[$-060000]yyyy-mm-dd")</f>
        <v/>
      </c>
      <c r="D11311" t="inlineStr">
        <is>
          <t>1349-07-28</t>
        </is>
      </c>
    </row>
    <row r="11312">
      <c r="A11312" s="1" t="n">
        <v>11311</v>
      </c>
      <c r="B11312">
        <f>TEXT(11311, "[$-170000]yyyy-mm-dd")</f>
        <v/>
      </c>
      <c r="C11312">
        <f>TEXT(11311, "[$-060000]yyyy-mm-dd")</f>
        <v/>
      </c>
      <c r="D11312" t="inlineStr">
        <is>
          <t>1349-07-29</t>
        </is>
      </c>
    </row>
    <row r="11313">
      <c r="A11313" s="1" t="n">
        <v>11312</v>
      </c>
      <c r="B11313">
        <f>TEXT(11312, "[$-170000]yyyy-mm-dd")</f>
        <v/>
      </c>
      <c r="C11313">
        <f>TEXT(11312, "[$-060000]yyyy-mm-dd")</f>
        <v/>
      </c>
      <c r="D11313" t="inlineStr">
        <is>
          <t>1349-07-30</t>
        </is>
      </c>
    </row>
    <row r="11314">
      <c r="A11314" s="1" t="n">
        <v>11313</v>
      </c>
      <c r="B11314">
        <f>TEXT(11313, "[$-170000]yyyy-mm-dd")</f>
        <v/>
      </c>
      <c r="C11314">
        <f>TEXT(11313, "[$-060000]yyyy-mm-dd")</f>
        <v/>
      </c>
      <c r="D11314" t="inlineStr">
        <is>
          <t>1349-08-01</t>
        </is>
      </c>
    </row>
    <row r="11315">
      <c r="A11315" s="1" t="n">
        <v>11314</v>
      </c>
      <c r="B11315">
        <f>TEXT(11314, "[$-170000]yyyy-mm-dd")</f>
        <v/>
      </c>
      <c r="C11315">
        <f>TEXT(11314, "[$-060000]yyyy-mm-dd")</f>
        <v/>
      </c>
      <c r="D11315" t="inlineStr">
        <is>
          <t>1349-08-02</t>
        </is>
      </c>
    </row>
    <row r="11316">
      <c r="A11316" s="1" t="n">
        <v>11315</v>
      </c>
      <c r="B11316">
        <f>TEXT(11315, "[$-170000]yyyy-mm-dd")</f>
        <v/>
      </c>
      <c r="C11316">
        <f>TEXT(11315, "[$-060000]yyyy-mm-dd")</f>
        <v/>
      </c>
      <c r="D11316" t="inlineStr">
        <is>
          <t>1349-08-03</t>
        </is>
      </c>
    </row>
    <row r="11317">
      <c r="A11317" s="1" t="n">
        <v>11316</v>
      </c>
      <c r="B11317">
        <f>TEXT(11316, "[$-170000]yyyy-mm-dd")</f>
        <v/>
      </c>
      <c r="C11317">
        <f>TEXT(11316, "[$-060000]yyyy-mm-dd")</f>
        <v/>
      </c>
      <c r="D11317" t="inlineStr">
        <is>
          <t>1349-08-04</t>
        </is>
      </c>
    </row>
    <row r="11318">
      <c r="A11318" s="1" t="n">
        <v>11317</v>
      </c>
      <c r="B11318">
        <f>TEXT(11317, "[$-170000]yyyy-mm-dd")</f>
        <v/>
      </c>
      <c r="C11318">
        <f>TEXT(11317, "[$-060000]yyyy-mm-dd")</f>
        <v/>
      </c>
      <c r="D11318" t="inlineStr">
        <is>
          <t>1349-08-05</t>
        </is>
      </c>
    </row>
    <row r="11319">
      <c r="A11319" s="1" t="n">
        <v>11318</v>
      </c>
      <c r="B11319">
        <f>TEXT(11318, "[$-170000]yyyy-mm-dd")</f>
        <v/>
      </c>
      <c r="C11319">
        <f>TEXT(11318, "[$-060000]yyyy-mm-dd")</f>
        <v/>
      </c>
      <c r="D11319" t="inlineStr">
        <is>
          <t>1349-08-06</t>
        </is>
      </c>
    </row>
    <row r="11320">
      <c r="A11320" s="1" t="n">
        <v>11319</v>
      </c>
      <c r="B11320">
        <f>TEXT(11319, "[$-170000]yyyy-mm-dd")</f>
        <v/>
      </c>
      <c r="C11320">
        <f>TEXT(11319, "[$-060000]yyyy-mm-dd")</f>
        <v/>
      </c>
      <c r="D11320" t="inlineStr">
        <is>
          <t>1349-08-07</t>
        </is>
      </c>
    </row>
    <row r="11321">
      <c r="A11321" s="1" t="n">
        <v>11320</v>
      </c>
      <c r="B11321">
        <f>TEXT(11320, "[$-170000]yyyy-mm-dd")</f>
        <v/>
      </c>
      <c r="C11321">
        <f>TEXT(11320, "[$-060000]yyyy-mm-dd")</f>
        <v/>
      </c>
      <c r="D11321" t="inlineStr">
        <is>
          <t>1349-08-08</t>
        </is>
      </c>
    </row>
    <row r="11322">
      <c r="A11322" s="1" t="n">
        <v>11321</v>
      </c>
      <c r="B11322">
        <f>TEXT(11321, "[$-170000]yyyy-mm-dd")</f>
        <v/>
      </c>
      <c r="C11322">
        <f>TEXT(11321, "[$-060000]yyyy-mm-dd")</f>
        <v/>
      </c>
      <c r="D11322" t="inlineStr">
        <is>
          <t>1349-08-09</t>
        </is>
      </c>
    </row>
    <row r="11323">
      <c r="A11323" s="1" t="n">
        <v>11322</v>
      </c>
      <c r="B11323">
        <f>TEXT(11322, "[$-170000]yyyy-mm-dd")</f>
        <v/>
      </c>
      <c r="C11323">
        <f>TEXT(11322, "[$-060000]yyyy-mm-dd")</f>
        <v/>
      </c>
      <c r="D11323" t="inlineStr">
        <is>
          <t>1349-08-10</t>
        </is>
      </c>
    </row>
    <row r="11324">
      <c r="A11324" s="1" t="n">
        <v>11323</v>
      </c>
      <c r="B11324">
        <f>TEXT(11323, "[$-170000]yyyy-mm-dd")</f>
        <v/>
      </c>
      <c r="C11324">
        <f>TEXT(11323, "[$-060000]yyyy-mm-dd")</f>
        <v/>
      </c>
      <c r="D11324" t="inlineStr">
        <is>
          <t>1349-08-11</t>
        </is>
      </c>
    </row>
    <row r="11325">
      <c r="A11325" s="1" t="n">
        <v>11324</v>
      </c>
      <c r="B11325">
        <f>TEXT(11324, "[$-170000]yyyy-mm-dd")</f>
        <v/>
      </c>
      <c r="C11325">
        <f>TEXT(11324, "[$-060000]yyyy-mm-dd")</f>
        <v/>
      </c>
      <c r="D11325" t="inlineStr">
        <is>
          <t>1349-08-12</t>
        </is>
      </c>
    </row>
    <row r="11326">
      <c r="A11326" s="1" t="n">
        <v>11325</v>
      </c>
      <c r="B11326">
        <f>TEXT(11325, "[$-170000]yyyy-mm-dd")</f>
        <v/>
      </c>
      <c r="C11326">
        <f>TEXT(11325, "[$-060000]yyyy-mm-dd")</f>
        <v/>
      </c>
      <c r="D11326" t="inlineStr">
        <is>
          <t>1349-08-13</t>
        </is>
      </c>
    </row>
    <row r="11327">
      <c r="A11327" s="1" t="n">
        <v>11326</v>
      </c>
      <c r="B11327">
        <f>TEXT(11326, "[$-170000]yyyy-mm-dd")</f>
        <v/>
      </c>
      <c r="C11327">
        <f>TEXT(11326, "[$-060000]yyyy-mm-dd")</f>
        <v/>
      </c>
      <c r="D11327" t="inlineStr">
        <is>
          <t>1349-08-14</t>
        </is>
      </c>
    </row>
    <row r="11328">
      <c r="A11328" s="1" t="n">
        <v>11327</v>
      </c>
      <c r="B11328">
        <f>TEXT(11327, "[$-170000]yyyy-mm-dd")</f>
        <v/>
      </c>
      <c r="C11328">
        <f>TEXT(11327, "[$-060000]yyyy-mm-dd")</f>
        <v/>
      </c>
      <c r="D11328" t="inlineStr">
        <is>
          <t>1349-08-15</t>
        </is>
      </c>
    </row>
    <row r="11329">
      <c r="A11329" s="1" t="n">
        <v>11328</v>
      </c>
      <c r="B11329">
        <f>TEXT(11328, "[$-170000]yyyy-mm-dd")</f>
        <v/>
      </c>
      <c r="C11329">
        <f>TEXT(11328, "[$-060000]yyyy-mm-dd")</f>
        <v/>
      </c>
      <c r="D11329" t="inlineStr">
        <is>
          <t>1349-08-16</t>
        </is>
      </c>
    </row>
    <row r="11330">
      <c r="A11330" s="1" t="n">
        <v>11329</v>
      </c>
      <c r="B11330">
        <f>TEXT(11329, "[$-170000]yyyy-mm-dd")</f>
        <v/>
      </c>
      <c r="C11330">
        <f>TEXT(11329, "[$-060000]yyyy-mm-dd")</f>
        <v/>
      </c>
      <c r="D11330" t="inlineStr">
        <is>
          <t>1349-08-17</t>
        </is>
      </c>
    </row>
    <row r="11331">
      <c r="A11331" s="1" t="n">
        <v>11330</v>
      </c>
      <c r="B11331">
        <f>TEXT(11330, "[$-170000]yyyy-mm-dd")</f>
        <v/>
      </c>
      <c r="C11331">
        <f>TEXT(11330, "[$-060000]yyyy-mm-dd")</f>
        <v/>
      </c>
      <c r="D11331" t="inlineStr">
        <is>
          <t>1349-08-18</t>
        </is>
      </c>
    </row>
    <row r="11332">
      <c r="A11332" s="1" t="n">
        <v>11331</v>
      </c>
      <c r="B11332">
        <f>TEXT(11331, "[$-170000]yyyy-mm-dd")</f>
        <v/>
      </c>
      <c r="C11332">
        <f>TEXT(11331, "[$-060000]yyyy-mm-dd")</f>
        <v/>
      </c>
      <c r="D11332" t="inlineStr">
        <is>
          <t>1349-08-19</t>
        </is>
      </c>
    </row>
    <row r="11333">
      <c r="A11333" s="1" t="n">
        <v>11332</v>
      </c>
      <c r="B11333">
        <f>TEXT(11332, "[$-170000]yyyy-mm-dd")</f>
        <v/>
      </c>
      <c r="C11333">
        <f>TEXT(11332, "[$-060000]yyyy-mm-dd")</f>
        <v/>
      </c>
      <c r="D11333" t="inlineStr">
        <is>
          <t>1349-08-20</t>
        </is>
      </c>
    </row>
    <row r="11334">
      <c r="A11334" s="1" t="n">
        <v>11333</v>
      </c>
      <c r="B11334">
        <f>TEXT(11333, "[$-170000]yyyy-mm-dd")</f>
        <v/>
      </c>
      <c r="C11334">
        <f>TEXT(11333, "[$-060000]yyyy-mm-dd")</f>
        <v/>
      </c>
      <c r="D11334" t="inlineStr">
        <is>
          <t>1349-08-21</t>
        </is>
      </c>
    </row>
    <row r="11335">
      <c r="A11335" s="1" t="n">
        <v>11334</v>
      </c>
      <c r="B11335">
        <f>TEXT(11334, "[$-170000]yyyy-mm-dd")</f>
        <v/>
      </c>
      <c r="C11335">
        <f>TEXT(11334, "[$-060000]yyyy-mm-dd")</f>
        <v/>
      </c>
      <c r="D11335" t="inlineStr">
        <is>
          <t>1349-08-22</t>
        </is>
      </c>
    </row>
    <row r="11336">
      <c r="A11336" s="1" t="n">
        <v>11335</v>
      </c>
      <c r="B11336">
        <f>TEXT(11335, "[$-170000]yyyy-mm-dd")</f>
        <v/>
      </c>
      <c r="C11336">
        <f>TEXT(11335, "[$-060000]yyyy-mm-dd")</f>
        <v/>
      </c>
      <c r="D11336" t="inlineStr">
        <is>
          <t>1349-08-23</t>
        </is>
      </c>
    </row>
    <row r="11337">
      <c r="A11337" s="1" t="n">
        <v>11336</v>
      </c>
      <c r="B11337">
        <f>TEXT(11336, "[$-170000]yyyy-mm-dd")</f>
        <v/>
      </c>
      <c r="C11337">
        <f>TEXT(11336, "[$-060000]yyyy-mm-dd")</f>
        <v/>
      </c>
      <c r="D11337" t="inlineStr">
        <is>
          <t>1349-08-24</t>
        </is>
      </c>
    </row>
    <row r="11338">
      <c r="A11338" s="1" t="n">
        <v>11337</v>
      </c>
      <c r="B11338">
        <f>TEXT(11337, "[$-170000]yyyy-mm-dd")</f>
        <v/>
      </c>
      <c r="C11338">
        <f>TEXT(11337, "[$-060000]yyyy-mm-dd")</f>
        <v/>
      </c>
      <c r="D11338" t="inlineStr">
        <is>
          <t>1349-08-25</t>
        </is>
      </c>
    </row>
    <row r="11339">
      <c r="A11339" s="1" t="n">
        <v>11338</v>
      </c>
      <c r="B11339">
        <f>TEXT(11338, "[$-170000]yyyy-mm-dd")</f>
        <v/>
      </c>
      <c r="C11339">
        <f>TEXT(11338, "[$-060000]yyyy-mm-dd")</f>
        <v/>
      </c>
      <c r="D11339" t="inlineStr">
        <is>
          <t>1349-08-26</t>
        </is>
      </c>
    </row>
    <row r="11340">
      <c r="A11340" s="1" t="n">
        <v>11339</v>
      </c>
      <c r="B11340">
        <f>TEXT(11339, "[$-170000]yyyy-mm-dd")</f>
        <v/>
      </c>
      <c r="C11340">
        <f>TEXT(11339, "[$-060000]yyyy-mm-dd")</f>
        <v/>
      </c>
      <c r="D11340" t="inlineStr">
        <is>
          <t>1349-08-27</t>
        </is>
      </c>
    </row>
    <row r="11341">
      <c r="A11341" s="1" t="n">
        <v>11340</v>
      </c>
      <c r="B11341">
        <f>TEXT(11340, "[$-170000]yyyy-mm-dd")</f>
        <v/>
      </c>
      <c r="C11341">
        <f>TEXT(11340, "[$-060000]yyyy-mm-dd")</f>
        <v/>
      </c>
      <c r="D11341" t="inlineStr">
        <is>
          <t>1349-08-28</t>
        </is>
      </c>
    </row>
    <row r="11342">
      <c r="A11342" s="1" t="n">
        <v>11341</v>
      </c>
      <c r="B11342">
        <f>TEXT(11341, "[$-170000]yyyy-mm-dd")</f>
        <v/>
      </c>
      <c r="C11342">
        <f>TEXT(11341, "[$-060000]yyyy-mm-dd")</f>
        <v/>
      </c>
      <c r="D11342" t="inlineStr">
        <is>
          <t>1349-08-29</t>
        </is>
      </c>
    </row>
    <row r="11343">
      <c r="A11343" s="1" t="n">
        <v>11342</v>
      </c>
      <c r="B11343">
        <f>TEXT(11342, "[$-170000]yyyy-mm-dd")</f>
        <v/>
      </c>
      <c r="C11343">
        <f>TEXT(11342, "[$-060000]yyyy-mm-dd")</f>
        <v/>
      </c>
      <c r="D11343" t="inlineStr">
        <is>
          <t>1349-09-01</t>
        </is>
      </c>
    </row>
    <row r="11344">
      <c r="A11344" s="1" t="n">
        <v>11343</v>
      </c>
      <c r="B11344">
        <f>TEXT(11343, "[$-170000]yyyy-mm-dd")</f>
        <v/>
      </c>
      <c r="C11344">
        <f>TEXT(11343, "[$-060000]yyyy-mm-dd")</f>
        <v/>
      </c>
      <c r="D11344" t="inlineStr">
        <is>
          <t>1349-09-02</t>
        </is>
      </c>
    </row>
    <row r="11345">
      <c r="A11345" s="1" t="n">
        <v>11344</v>
      </c>
      <c r="B11345">
        <f>TEXT(11344, "[$-170000]yyyy-mm-dd")</f>
        <v/>
      </c>
      <c r="C11345">
        <f>TEXT(11344, "[$-060000]yyyy-mm-dd")</f>
        <v/>
      </c>
      <c r="D11345" t="inlineStr">
        <is>
          <t>1349-09-03</t>
        </is>
      </c>
    </row>
    <row r="11346">
      <c r="A11346" s="1" t="n">
        <v>11345</v>
      </c>
      <c r="B11346">
        <f>TEXT(11345, "[$-170000]yyyy-mm-dd")</f>
        <v/>
      </c>
      <c r="C11346">
        <f>TEXT(11345, "[$-060000]yyyy-mm-dd")</f>
        <v/>
      </c>
      <c r="D11346" t="inlineStr">
        <is>
          <t>1349-09-04</t>
        </is>
      </c>
    </row>
    <row r="11347">
      <c r="A11347" s="1" t="n">
        <v>11346</v>
      </c>
      <c r="B11347">
        <f>TEXT(11346, "[$-170000]yyyy-mm-dd")</f>
        <v/>
      </c>
      <c r="C11347">
        <f>TEXT(11346, "[$-060000]yyyy-mm-dd")</f>
        <v/>
      </c>
      <c r="D11347" t="inlineStr">
        <is>
          <t>1349-09-05</t>
        </is>
      </c>
    </row>
    <row r="11348">
      <c r="A11348" s="1" t="n">
        <v>11347</v>
      </c>
      <c r="B11348">
        <f>TEXT(11347, "[$-170000]yyyy-mm-dd")</f>
        <v/>
      </c>
      <c r="C11348">
        <f>TEXT(11347, "[$-060000]yyyy-mm-dd")</f>
        <v/>
      </c>
      <c r="D11348" t="inlineStr">
        <is>
          <t>1349-09-06</t>
        </is>
      </c>
    </row>
    <row r="11349">
      <c r="A11349" s="1" t="n">
        <v>11348</v>
      </c>
      <c r="B11349">
        <f>TEXT(11348, "[$-170000]yyyy-mm-dd")</f>
        <v/>
      </c>
      <c r="C11349">
        <f>TEXT(11348, "[$-060000]yyyy-mm-dd")</f>
        <v/>
      </c>
      <c r="D11349" t="inlineStr">
        <is>
          <t>1349-09-07</t>
        </is>
      </c>
    </row>
    <row r="11350">
      <c r="A11350" s="1" t="n">
        <v>11349</v>
      </c>
      <c r="B11350">
        <f>TEXT(11349, "[$-170000]yyyy-mm-dd")</f>
        <v/>
      </c>
      <c r="C11350">
        <f>TEXT(11349, "[$-060000]yyyy-mm-dd")</f>
        <v/>
      </c>
      <c r="D11350" t="inlineStr">
        <is>
          <t>1349-09-08</t>
        </is>
      </c>
    </row>
    <row r="11351">
      <c r="A11351" s="1" t="n">
        <v>11350</v>
      </c>
      <c r="B11351">
        <f>TEXT(11350, "[$-170000]yyyy-mm-dd")</f>
        <v/>
      </c>
      <c r="C11351">
        <f>TEXT(11350, "[$-060000]yyyy-mm-dd")</f>
        <v/>
      </c>
      <c r="D11351" t="inlineStr">
        <is>
          <t>1349-09-09</t>
        </is>
      </c>
    </row>
    <row r="11352">
      <c r="A11352" s="1" t="n">
        <v>11351</v>
      </c>
      <c r="B11352">
        <f>TEXT(11351, "[$-170000]yyyy-mm-dd")</f>
        <v/>
      </c>
      <c r="C11352">
        <f>TEXT(11351, "[$-060000]yyyy-mm-dd")</f>
        <v/>
      </c>
      <c r="D11352" t="inlineStr">
        <is>
          <t>1349-09-10</t>
        </is>
      </c>
    </row>
    <row r="11353">
      <c r="A11353" s="1" t="n">
        <v>11352</v>
      </c>
      <c r="B11353">
        <f>TEXT(11352, "[$-170000]yyyy-mm-dd")</f>
        <v/>
      </c>
      <c r="C11353">
        <f>TEXT(11352, "[$-060000]yyyy-mm-dd")</f>
        <v/>
      </c>
      <c r="D11353" t="inlineStr">
        <is>
          <t>1349-09-11</t>
        </is>
      </c>
    </row>
    <row r="11354">
      <c r="A11354" s="1" t="n">
        <v>11353</v>
      </c>
      <c r="B11354">
        <f>TEXT(11353, "[$-170000]yyyy-mm-dd")</f>
        <v/>
      </c>
      <c r="C11354">
        <f>TEXT(11353, "[$-060000]yyyy-mm-dd")</f>
        <v/>
      </c>
      <c r="D11354" t="inlineStr">
        <is>
          <t>1349-09-12</t>
        </is>
      </c>
    </row>
    <row r="11355">
      <c r="A11355" s="1" t="n">
        <v>11354</v>
      </c>
      <c r="B11355">
        <f>TEXT(11354, "[$-170000]yyyy-mm-dd")</f>
        <v/>
      </c>
      <c r="C11355">
        <f>TEXT(11354, "[$-060000]yyyy-mm-dd")</f>
        <v/>
      </c>
      <c r="D11355" t="inlineStr">
        <is>
          <t>1349-09-13</t>
        </is>
      </c>
    </row>
    <row r="11356">
      <c r="A11356" s="1" t="n">
        <v>11355</v>
      </c>
      <c r="B11356">
        <f>TEXT(11355, "[$-170000]yyyy-mm-dd")</f>
        <v/>
      </c>
      <c r="C11356">
        <f>TEXT(11355, "[$-060000]yyyy-mm-dd")</f>
        <v/>
      </c>
      <c r="D11356" t="inlineStr">
        <is>
          <t>1349-09-14</t>
        </is>
      </c>
    </row>
    <row r="11357">
      <c r="A11357" s="1" t="n">
        <v>11356</v>
      </c>
      <c r="B11357">
        <f>TEXT(11356, "[$-170000]yyyy-mm-dd")</f>
        <v/>
      </c>
      <c r="C11357">
        <f>TEXT(11356, "[$-060000]yyyy-mm-dd")</f>
        <v/>
      </c>
      <c r="D11357" t="inlineStr">
        <is>
          <t>1349-09-15</t>
        </is>
      </c>
    </row>
    <row r="11358">
      <c r="A11358" s="1" t="n">
        <v>11357</v>
      </c>
      <c r="B11358">
        <f>TEXT(11357, "[$-170000]yyyy-mm-dd")</f>
        <v/>
      </c>
      <c r="C11358">
        <f>TEXT(11357, "[$-060000]yyyy-mm-dd")</f>
        <v/>
      </c>
      <c r="D11358" t="inlineStr">
        <is>
          <t>1349-09-16</t>
        </is>
      </c>
    </row>
    <row r="11359">
      <c r="A11359" s="1" t="n">
        <v>11358</v>
      </c>
      <c r="B11359">
        <f>TEXT(11358, "[$-170000]yyyy-mm-dd")</f>
        <v/>
      </c>
      <c r="C11359">
        <f>TEXT(11358, "[$-060000]yyyy-mm-dd")</f>
        <v/>
      </c>
      <c r="D11359" t="inlineStr">
        <is>
          <t>1349-09-17</t>
        </is>
      </c>
    </row>
    <row r="11360">
      <c r="A11360" s="1" t="n">
        <v>11359</v>
      </c>
      <c r="B11360">
        <f>TEXT(11359, "[$-170000]yyyy-mm-dd")</f>
        <v/>
      </c>
      <c r="C11360">
        <f>TEXT(11359, "[$-060000]yyyy-mm-dd")</f>
        <v/>
      </c>
      <c r="D11360" t="inlineStr">
        <is>
          <t>1349-09-18</t>
        </is>
      </c>
    </row>
    <row r="11361">
      <c r="A11361" s="1" t="n">
        <v>11360</v>
      </c>
      <c r="B11361">
        <f>TEXT(11360, "[$-170000]yyyy-mm-dd")</f>
        <v/>
      </c>
      <c r="C11361">
        <f>TEXT(11360, "[$-060000]yyyy-mm-dd")</f>
        <v/>
      </c>
      <c r="D11361" t="inlineStr">
        <is>
          <t>1349-09-19</t>
        </is>
      </c>
    </row>
    <row r="11362">
      <c r="A11362" s="1" t="n">
        <v>11361</v>
      </c>
      <c r="B11362">
        <f>TEXT(11361, "[$-170000]yyyy-mm-dd")</f>
        <v/>
      </c>
      <c r="C11362">
        <f>TEXT(11361, "[$-060000]yyyy-mm-dd")</f>
        <v/>
      </c>
      <c r="D11362" t="inlineStr">
        <is>
          <t>1349-09-20</t>
        </is>
      </c>
    </row>
    <row r="11363">
      <c r="A11363" s="1" t="n">
        <v>11362</v>
      </c>
      <c r="B11363">
        <f>TEXT(11362, "[$-170000]yyyy-mm-dd")</f>
        <v/>
      </c>
      <c r="C11363">
        <f>TEXT(11362, "[$-060000]yyyy-mm-dd")</f>
        <v/>
      </c>
      <c r="D11363" t="inlineStr">
        <is>
          <t>1349-09-21</t>
        </is>
      </c>
    </row>
    <row r="11364">
      <c r="A11364" s="1" t="n">
        <v>11363</v>
      </c>
      <c r="B11364">
        <f>TEXT(11363, "[$-170000]yyyy-mm-dd")</f>
        <v/>
      </c>
      <c r="C11364">
        <f>TEXT(11363, "[$-060000]yyyy-mm-dd")</f>
        <v/>
      </c>
      <c r="D11364" t="inlineStr">
        <is>
          <t>1349-09-22</t>
        </is>
      </c>
    </row>
    <row r="11365">
      <c r="A11365" s="1" t="n">
        <v>11364</v>
      </c>
      <c r="B11365">
        <f>TEXT(11364, "[$-170000]yyyy-mm-dd")</f>
        <v/>
      </c>
      <c r="C11365">
        <f>TEXT(11364, "[$-060000]yyyy-mm-dd")</f>
        <v/>
      </c>
      <c r="D11365" t="inlineStr">
        <is>
          <t>1349-09-23</t>
        </is>
      </c>
    </row>
    <row r="11366">
      <c r="A11366" s="1" t="n">
        <v>11365</v>
      </c>
      <c r="B11366">
        <f>TEXT(11365, "[$-170000]yyyy-mm-dd")</f>
        <v/>
      </c>
      <c r="C11366">
        <f>TEXT(11365, "[$-060000]yyyy-mm-dd")</f>
        <v/>
      </c>
      <c r="D11366" t="inlineStr">
        <is>
          <t>1349-09-24</t>
        </is>
      </c>
    </row>
    <row r="11367">
      <c r="A11367" s="1" t="n">
        <v>11366</v>
      </c>
      <c r="B11367">
        <f>TEXT(11366, "[$-170000]yyyy-mm-dd")</f>
        <v/>
      </c>
      <c r="C11367">
        <f>TEXT(11366, "[$-060000]yyyy-mm-dd")</f>
        <v/>
      </c>
      <c r="D11367" t="inlineStr">
        <is>
          <t>1349-09-25</t>
        </is>
      </c>
    </row>
    <row r="11368">
      <c r="A11368" s="1" t="n">
        <v>11367</v>
      </c>
      <c r="B11368">
        <f>TEXT(11367, "[$-170000]yyyy-mm-dd")</f>
        <v/>
      </c>
      <c r="C11368">
        <f>TEXT(11367, "[$-060000]yyyy-mm-dd")</f>
        <v/>
      </c>
      <c r="D11368" t="inlineStr">
        <is>
          <t>1349-09-26</t>
        </is>
      </c>
    </row>
    <row r="11369">
      <c r="A11369" s="1" t="n">
        <v>11368</v>
      </c>
      <c r="B11369">
        <f>TEXT(11368, "[$-170000]yyyy-mm-dd")</f>
        <v/>
      </c>
      <c r="C11369">
        <f>TEXT(11368, "[$-060000]yyyy-mm-dd")</f>
        <v/>
      </c>
      <c r="D11369" t="inlineStr">
        <is>
          <t>1349-09-27</t>
        </is>
      </c>
    </row>
    <row r="11370">
      <c r="A11370" s="1" t="n">
        <v>11369</v>
      </c>
      <c r="B11370">
        <f>TEXT(11369, "[$-170000]yyyy-mm-dd")</f>
        <v/>
      </c>
      <c r="C11370">
        <f>TEXT(11369, "[$-060000]yyyy-mm-dd")</f>
        <v/>
      </c>
      <c r="D11370" t="inlineStr">
        <is>
          <t>1349-09-28</t>
        </is>
      </c>
    </row>
    <row r="11371">
      <c r="A11371" s="1" t="n">
        <v>11370</v>
      </c>
      <c r="B11371">
        <f>TEXT(11370, "[$-170000]yyyy-mm-dd")</f>
        <v/>
      </c>
      <c r="C11371">
        <f>TEXT(11370, "[$-060000]yyyy-mm-dd")</f>
        <v/>
      </c>
      <c r="D11371" t="inlineStr">
        <is>
          <t>1349-09-29</t>
        </is>
      </c>
    </row>
    <row r="11372">
      <c r="A11372" s="1" t="n">
        <v>11371</v>
      </c>
      <c r="B11372">
        <f>TEXT(11371, "[$-170000]yyyy-mm-dd")</f>
        <v/>
      </c>
      <c r="C11372">
        <f>TEXT(11371, "[$-060000]yyyy-mm-dd")</f>
        <v/>
      </c>
      <c r="D11372" t="inlineStr">
        <is>
          <t>1349-09-30</t>
        </is>
      </c>
    </row>
    <row r="11373">
      <c r="A11373" s="1" t="n">
        <v>11372</v>
      </c>
      <c r="B11373">
        <f>TEXT(11372, "[$-170000]yyyy-mm-dd")</f>
        <v/>
      </c>
      <c r="C11373">
        <f>TEXT(11372, "[$-060000]yyyy-mm-dd")</f>
        <v/>
      </c>
      <c r="D11373" t="inlineStr">
        <is>
          <t>1349-10-01</t>
        </is>
      </c>
    </row>
    <row r="11374">
      <c r="A11374" s="1" t="n">
        <v>11373</v>
      </c>
      <c r="B11374">
        <f>TEXT(11373, "[$-170000]yyyy-mm-dd")</f>
        <v/>
      </c>
      <c r="C11374">
        <f>TEXT(11373, "[$-060000]yyyy-mm-dd")</f>
        <v/>
      </c>
      <c r="D11374" t="inlineStr">
        <is>
          <t>1349-10-02</t>
        </is>
      </c>
    </row>
    <row r="11375">
      <c r="A11375" s="1" t="n">
        <v>11374</v>
      </c>
      <c r="B11375">
        <f>TEXT(11374, "[$-170000]yyyy-mm-dd")</f>
        <v/>
      </c>
      <c r="C11375">
        <f>TEXT(11374, "[$-060000]yyyy-mm-dd")</f>
        <v/>
      </c>
      <c r="D11375" t="inlineStr">
        <is>
          <t>1349-10-03</t>
        </is>
      </c>
    </row>
    <row r="11376">
      <c r="A11376" s="1" t="n">
        <v>11375</v>
      </c>
      <c r="B11376">
        <f>TEXT(11375, "[$-170000]yyyy-mm-dd")</f>
        <v/>
      </c>
      <c r="C11376">
        <f>TEXT(11375, "[$-060000]yyyy-mm-dd")</f>
        <v/>
      </c>
      <c r="D11376" t="inlineStr">
        <is>
          <t>1349-10-04</t>
        </is>
      </c>
    </row>
    <row r="11377">
      <c r="A11377" s="1" t="n">
        <v>11376</v>
      </c>
      <c r="B11377">
        <f>TEXT(11376, "[$-170000]yyyy-mm-dd")</f>
        <v/>
      </c>
      <c r="C11377">
        <f>TEXT(11376, "[$-060000]yyyy-mm-dd")</f>
        <v/>
      </c>
      <c r="D11377" t="inlineStr">
        <is>
          <t>1349-10-05</t>
        </is>
      </c>
    </row>
    <row r="11378">
      <c r="A11378" s="1" t="n">
        <v>11377</v>
      </c>
      <c r="B11378">
        <f>TEXT(11377, "[$-170000]yyyy-mm-dd")</f>
        <v/>
      </c>
      <c r="C11378">
        <f>TEXT(11377, "[$-060000]yyyy-mm-dd")</f>
        <v/>
      </c>
      <c r="D11378" t="inlineStr">
        <is>
          <t>1349-10-06</t>
        </is>
      </c>
    </row>
    <row r="11379">
      <c r="A11379" s="1" t="n">
        <v>11378</v>
      </c>
      <c r="B11379">
        <f>TEXT(11378, "[$-170000]yyyy-mm-dd")</f>
        <v/>
      </c>
      <c r="C11379">
        <f>TEXT(11378, "[$-060000]yyyy-mm-dd")</f>
        <v/>
      </c>
      <c r="D11379" t="inlineStr">
        <is>
          <t>1349-10-07</t>
        </is>
      </c>
    </row>
    <row r="11380">
      <c r="A11380" s="1" t="n">
        <v>11379</v>
      </c>
      <c r="B11380">
        <f>TEXT(11379, "[$-170000]yyyy-mm-dd")</f>
        <v/>
      </c>
      <c r="C11380">
        <f>TEXT(11379, "[$-060000]yyyy-mm-dd")</f>
        <v/>
      </c>
      <c r="D11380" t="inlineStr">
        <is>
          <t>1349-10-08</t>
        </is>
      </c>
    </row>
    <row r="11381">
      <c r="A11381" s="1" t="n">
        <v>11380</v>
      </c>
      <c r="B11381">
        <f>TEXT(11380, "[$-170000]yyyy-mm-dd")</f>
        <v/>
      </c>
      <c r="C11381">
        <f>TEXT(11380, "[$-060000]yyyy-mm-dd")</f>
        <v/>
      </c>
      <c r="D11381" t="inlineStr">
        <is>
          <t>1349-10-09</t>
        </is>
      </c>
    </row>
    <row r="11382">
      <c r="A11382" s="1" t="n">
        <v>11381</v>
      </c>
      <c r="B11382">
        <f>TEXT(11381, "[$-170000]yyyy-mm-dd")</f>
        <v/>
      </c>
      <c r="C11382">
        <f>TEXT(11381, "[$-060000]yyyy-mm-dd")</f>
        <v/>
      </c>
      <c r="D11382" t="inlineStr">
        <is>
          <t>1349-10-10</t>
        </is>
      </c>
    </row>
    <row r="11383">
      <c r="A11383" s="1" t="n">
        <v>11382</v>
      </c>
      <c r="B11383">
        <f>TEXT(11382, "[$-170000]yyyy-mm-dd")</f>
        <v/>
      </c>
      <c r="C11383">
        <f>TEXT(11382, "[$-060000]yyyy-mm-dd")</f>
        <v/>
      </c>
      <c r="D11383" t="inlineStr">
        <is>
          <t>1349-10-11</t>
        </is>
      </c>
    </row>
    <row r="11384">
      <c r="A11384" s="1" t="n">
        <v>11383</v>
      </c>
      <c r="B11384">
        <f>TEXT(11383, "[$-170000]yyyy-mm-dd")</f>
        <v/>
      </c>
      <c r="C11384">
        <f>TEXT(11383, "[$-060000]yyyy-mm-dd")</f>
        <v/>
      </c>
      <c r="D11384" t="inlineStr">
        <is>
          <t>1349-10-12</t>
        </is>
      </c>
    </row>
    <row r="11385">
      <c r="A11385" s="1" t="n">
        <v>11384</v>
      </c>
      <c r="B11385">
        <f>TEXT(11384, "[$-170000]yyyy-mm-dd")</f>
        <v/>
      </c>
      <c r="C11385">
        <f>TEXT(11384, "[$-060000]yyyy-mm-dd")</f>
        <v/>
      </c>
      <c r="D11385" t="inlineStr">
        <is>
          <t>1349-10-13</t>
        </is>
      </c>
    </row>
    <row r="11386">
      <c r="A11386" s="1" t="n">
        <v>11385</v>
      </c>
      <c r="B11386">
        <f>TEXT(11385, "[$-170000]yyyy-mm-dd")</f>
        <v/>
      </c>
      <c r="C11386">
        <f>TEXT(11385, "[$-060000]yyyy-mm-dd")</f>
        <v/>
      </c>
      <c r="D11386" t="inlineStr">
        <is>
          <t>1349-10-14</t>
        </is>
      </c>
    </row>
    <row r="11387">
      <c r="A11387" s="1" t="n">
        <v>11386</v>
      </c>
      <c r="B11387">
        <f>TEXT(11386, "[$-170000]yyyy-mm-dd")</f>
        <v/>
      </c>
      <c r="C11387">
        <f>TEXT(11386, "[$-060000]yyyy-mm-dd")</f>
        <v/>
      </c>
      <c r="D11387" t="inlineStr">
        <is>
          <t>1349-10-15</t>
        </is>
      </c>
    </row>
    <row r="11388">
      <c r="A11388" s="1" t="n">
        <v>11387</v>
      </c>
      <c r="B11388">
        <f>TEXT(11387, "[$-170000]yyyy-mm-dd")</f>
        <v/>
      </c>
      <c r="C11388">
        <f>TEXT(11387, "[$-060000]yyyy-mm-dd")</f>
        <v/>
      </c>
      <c r="D11388" t="inlineStr">
        <is>
          <t>1349-10-16</t>
        </is>
      </c>
    </row>
    <row r="11389">
      <c r="A11389" s="1" t="n">
        <v>11388</v>
      </c>
      <c r="B11389">
        <f>TEXT(11388, "[$-170000]yyyy-mm-dd")</f>
        <v/>
      </c>
      <c r="C11389">
        <f>TEXT(11388, "[$-060000]yyyy-mm-dd")</f>
        <v/>
      </c>
      <c r="D11389" t="inlineStr">
        <is>
          <t>1349-10-17</t>
        </is>
      </c>
    </row>
    <row r="11390">
      <c r="A11390" s="1" t="n">
        <v>11389</v>
      </c>
      <c r="B11390">
        <f>TEXT(11389, "[$-170000]yyyy-mm-dd")</f>
        <v/>
      </c>
      <c r="C11390">
        <f>TEXT(11389, "[$-060000]yyyy-mm-dd")</f>
        <v/>
      </c>
      <c r="D11390" t="inlineStr">
        <is>
          <t>1349-10-18</t>
        </is>
      </c>
    </row>
    <row r="11391">
      <c r="A11391" s="1" t="n">
        <v>11390</v>
      </c>
      <c r="B11391">
        <f>TEXT(11390, "[$-170000]yyyy-mm-dd")</f>
        <v/>
      </c>
      <c r="C11391">
        <f>TEXT(11390, "[$-060000]yyyy-mm-dd")</f>
        <v/>
      </c>
      <c r="D11391" t="inlineStr">
        <is>
          <t>1349-10-19</t>
        </is>
      </c>
    </row>
    <row r="11392">
      <c r="A11392" s="1" t="n">
        <v>11391</v>
      </c>
      <c r="B11392">
        <f>TEXT(11391, "[$-170000]yyyy-mm-dd")</f>
        <v/>
      </c>
      <c r="C11392">
        <f>TEXT(11391, "[$-060000]yyyy-mm-dd")</f>
        <v/>
      </c>
      <c r="D11392" t="inlineStr">
        <is>
          <t>1349-10-20</t>
        </is>
      </c>
    </row>
    <row r="11393">
      <c r="A11393" s="1" t="n">
        <v>11392</v>
      </c>
      <c r="B11393">
        <f>TEXT(11392, "[$-170000]yyyy-mm-dd")</f>
        <v/>
      </c>
      <c r="C11393">
        <f>TEXT(11392, "[$-060000]yyyy-mm-dd")</f>
        <v/>
      </c>
      <c r="D11393" t="inlineStr">
        <is>
          <t>1349-10-21</t>
        </is>
      </c>
    </row>
    <row r="11394">
      <c r="A11394" s="1" t="n">
        <v>11393</v>
      </c>
      <c r="B11394">
        <f>TEXT(11393, "[$-170000]yyyy-mm-dd")</f>
        <v/>
      </c>
      <c r="C11394">
        <f>TEXT(11393, "[$-060000]yyyy-mm-dd")</f>
        <v/>
      </c>
      <c r="D11394" t="inlineStr">
        <is>
          <t>1349-10-22</t>
        </is>
      </c>
    </row>
    <row r="11395">
      <c r="A11395" s="1" t="n">
        <v>11394</v>
      </c>
      <c r="B11395">
        <f>TEXT(11394, "[$-170000]yyyy-mm-dd")</f>
        <v/>
      </c>
      <c r="C11395">
        <f>TEXT(11394, "[$-060000]yyyy-mm-dd")</f>
        <v/>
      </c>
      <c r="D11395" t="inlineStr">
        <is>
          <t>1349-10-23</t>
        </is>
      </c>
    </row>
    <row r="11396">
      <c r="A11396" s="1" t="n">
        <v>11395</v>
      </c>
      <c r="B11396">
        <f>TEXT(11395, "[$-170000]yyyy-mm-dd")</f>
        <v/>
      </c>
      <c r="C11396">
        <f>TEXT(11395, "[$-060000]yyyy-mm-dd")</f>
        <v/>
      </c>
      <c r="D11396" t="inlineStr">
        <is>
          <t>1349-10-24</t>
        </is>
      </c>
    </row>
    <row r="11397">
      <c r="A11397" s="1" t="n">
        <v>11396</v>
      </c>
      <c r="B11397">
        <f>TEXT(11396, "[$-170000]yyyy-mm-dd")</f>
        <v/>
      </c>
      <c r="C11397">
        <f>TEXT(11396, "[$-060000]yyyy-mm-dd")</f>
        <v/>
      </c>
      <c r="D11397" t="inlineStr">
        <is>
          <t>1349-10-25</t>
        </is>
      </c>
    </row>
    <row r="11398">
      <c r="A11398" s="1" t="n">
        <v>11397</v>
      </c>
      <c r="B11398">
        <f>TEXT(11397, "[$-170000]yyyy-mm-dd")</f>
        <v/>
      </c>
      <c r="C11398">
        <f>TEXT(11397, "[$-060000]yyyy-mm-dd")</f>
        <v/>
      </c>
      <c r="D11398" t="inlineStr">
        <is>
          <t>1349-10-26</t>
        </is>
      </c>
    </row>
    <row r="11399">
      <c r="A11399" s="1" t="n">
        <v>11398</v>
      </c>
      <c r="B11399">
        <f>TEXT(11398, "[$-170000]yyyy-mm-dd")</f>
        <v/>
      </c>
      <c r="C11399">
        <f>TEXT(11398, "[$-060000]yyyy-mm-dd")</f>
        <v/>
      </c>
      <c r="D11399" t="inlineStr">
        <is>
          <t>1349-10-27</t>
        </is>
      </c>
    </row>
    <row r="11400">
      <c r="A11400" s="1" t="n">
        <v>11399</v>
      </c>
      <c r="B11400">
        <f>TEXT(11399, "[$-170000]yyyy-mm-dd")</f>
        <v/>
      </c>
      <c r="C11400">
        <f>TEXT(11399, "[$-060000]yyyy-mm-dd")</f>
        <v/>
      </c>
      <c r="D11400" t="inlineStr">
        <is>
          <t>1349-10-28</t>
        </is>
      </c>
    </row>
    <row r="11401">
      <c r="A11401" s="1" t="n">
        <v>11400</v>
      </c>
      <c r="B11401">
        <f>TEXT(11400, "[$-170000]yyyy-mm-dd")</f>
        <v/>
      </c>
      <c r="C11401">
        <f>TEXT(11400, "[$-060000]yyyy-mm-dd")</f>
        <v/>
      </c>
      <c r="D11401" t="inlineStr">
        <is>
          <t>1349-10-29</t>
        </is>
      </c>
    </row>
    <row r="11402">
      <c r="A11402" s="1" t="n">
        <v>11401</v>
      </c>
      <c r="B11402">
        <f>TEXT(11401, "[$-170000]yyyy-mm-dd")</f>
        <v/>
      </c>
      <c r="C11402">
        <f>TEXT(11401, "[$-060000]yyyy-mm-dd")</f>
        <v/>
      </c>
      <c r="D11402" t="inlineStr">
        <is>
          <t>1349-11-01</t>
        </is>
      </c>
    </row>
    <row r="11403">
      <c r="A11403" s="1" t="n">
        <v>11402</v>
      </c>
      <c r="B11403">
        <f>TEXT(11402, "[$-170000]yyyy-mm-dd")</f>
        <v/>
      </c>
      <c r="C11403">
        <f>TEXT(11402, "[$-060000]yyyy-mm-dd")</f>
        <v/>
      </c>
      <c r="D11403" t="inlineStr">
        <is>
          <t>1349-11-02</t>
        </is>
      </c>
    </row>
    <row r="11404">
      <c r="A11404" s="1" t="n">
        <v>11403</v>
      </c>
      <c r="B11404">
        <f>TEXT(11403, "[$-170000]yyyy-mm-dd")</f>
        <v/>
      </c>
      <c r="C11404">
        <f>TEXT(11403, "[$-060000]yyyy-mm-dd")</f>
        <v/>
      </c>
      <c r="D11404" t="inlineStr">
        <is>
          <t>1349-11-03</t>
        </is>
      </c>
    </row>
    <row r="11405">
      <c r="A11405" s="1" t="n">
        <v>11404</v>
      </c>
      <c r="B11405">
        <f>TEXT(11404, "[$-170000]yyyy-mm-dd")</f>
        <v/>
      </c>
      <c r="C11405">
        <f>TEXT(11404, "[$-060000]yyyy-mm-dd")</f>
        <v/>
      </c>
      <c r="D11405" t="inlineStr">
        <is>
          <t>1349-11-04</t>
        </is>
      </c>
    </row>
    <row r="11406">
      <c r="A11406" s="1" t="n">
        <v>11405</v>
      </c>
      <c r="B11406">
        <f>TEXT(11405, "[$-170000]yyyy-mm-dd")</f>
        <v/>
      </c>
      <c r="C11406">
        <f>TEXT(11405, "[$-060000]yyyy-mm-dd")</f>
        <v/>
      </c>
      <c r="D11406" t="inlineStr">
        <is>
          <t>1349-11-05</t>
        </is>
      </c>
    </row>
    <row r="11407">
      <c r="A11407" s="1" t="n">
        <v>11406</v>
      </c>
      <c r="B11407">
        <f>TEXT(11406, "[$-170000]yyyy-mm-dd")</f>
        <v/>
      </c>
      <c r="C11407">
        <f>TEXT(11406, "[$-060000]yyyy-mm-dd")</f>
        <v/>
      </c>
      <c r="D11407" t="inlineStr">
        <is>
          <t>1349-11-06</t>
        </is>
      </c>
    </row>
    <row r="11408">
      <c r="A11408" s="1" t="n">
        <v>11407</v>
      </c>
      <c r="B11408">
        <f>TEXT(11407, "[$-170000]yyyy-mm-dd")</f>
        <v/>
      </c>
      <c r="C11408">
        <f>TEXT(11407, "[$-060000]yyyy-mm-dd")</f>
        <v/>
      </c>
      <c r="D11408" t="inlineStr">
        <is>
          <t>1349-11-07</t>
        </is>
      </c>
    </row>
    <row r="11409">
      <c r="A11409" s="1" t="n">
        <v>11408</v>
      </c>
      <c r="B11409">
        <f>TEXT(11408, "[$-170000]yyyy-mm-dd")</f>
        <v/>
      </c>
      <c r="C11409">
        <f>TEXT(11408, "[$-060000]yyyy-mm-dd")</f>
        <v/>
      </c>
      <c r="D11409" t="inlineStr">
        <is>
          <t>1349-11-08</t>
        </is>
      </c>
    </row>
    <row r="11410">
      <c r="A11410" s="1" t="n">
        <v>11409</v>
      </c>
      <c r="B11410">
        <f>TEXT(11409, "[$-170000]yyyy-mm-dd")</f>
        <v/>
      </c>
      <c r="C11410">
        <f>TEXT(11409, "[$-060000]yyyy-mm-dd")</f>
        <v/>
      </c>
      <c r="D11410" t="inlineStr">
        <is>
          <t>1349-11-09</t>
        </is>
      </c>
    </row>
    <row r="11411">
      <c r="A11411" s="1" t="n">
        <v>11410</v>
      </c>
      <c r="B11411">
        <f>TEXT(11410, "[$-170000]yyyy-mm-dd")</f>
        <v/>
      </c>
      <c r="C11411">
        <f>TEXT(11410, "[$-060000]yyyy-mm-dd")</f>
        <v/>
      </c>
      <c r="D11411" t="inlineStr">
        <is>
          <t>1349-11-10</t>
        </is>
      </c>
    </row>
    <row r="11412">
      <c r="A11412" s="1" t="n">
        <v>11411</v>
      </c>
      <c r="B11412">
        <f>TEXT(11411, "[$-170000]yyyy-mm-dd")</f>
        <v/>
      </c>
      <c r="C11412">
        <f>TEXT(11411, "[$-060000]yyyy-mm-dd")</f>
        <v/>
      </c>
      <c r="D11412" t="inlineStr">
        <is>
          <t>1349-11-11</t>
        </is>
      </c>
    </row>
    <row r="11413">
      <c r="A11413" s="1" t="n">
        <v>11412</v>
      </c>
      <c r="B11413">
        <f>TEXT(11412, "[$-170000]yyyy-mm-dd")</f>
        <v/>
      </c>
      <c r="C11413">
        <f>TEXT(11412, "[$-060000]yyyy-mm-dd")</f>
        <v/>
      </c>
      <c r="D11413" t="inlineStr">
        <is>
          <t>1349-11-12</t>
        </is>
      </c>
    </row>
    <row r="11414">
      <c r="A11414" s="1" t="n">
        <v>11413</v>
      </c>
      <c r="B11414">
        <f>TEXT(11413, "[$-170000]yyyy-mm-dd")</f>
        <v/>
      </c>
      <c r="C11414">
        <f>TEXT(11413, "[$-060000]yyyy-mm-dd")</f>
        <v/>
      </c>
      <c r="D11414" t="inlineStr">
        <is>
          <t>1349-11-13</t>
        </is>
      </c>
    </row>
    <row r="11415">
      <c r="A11415" s="1" t="n">
        <v>11414</v>
      </c>
      <c r="B11415">
        <f>TEXT(11414, "[$-170000]yyyy-mm-dd")</f>
        <v/>
      </c>
      <c r="C11415">
        <f>TEXT(11414, "[$-060000]yyyy-mm-dd")</f>
        <v/>
      </c>
      <c r="D11415" t="inlineStr">
        <is>
          <t>1349-11-14</t>
        </is>
      </c>
    </row>
    <row r="11416">
      <c r="A11416" s="1" t="n">
        <v>11415</v>
      </c>
      <c r="B11416">
        <f>TEXT(11415, "[$-170000]yyyy-mm-dd")</f>
        <v/>
      </c>
      <c r="C11416">
        <f>TEXT(11415, "[$-060000]yyyy-mm-dd")</f>
        <v/>
      </c>
      <c r="D11416" t="inlineStr">
        <is>
          <t>1349-11-15</t>
        </is>
      </c>
    </row>
    <row r="11417">
      <c r="A11417" s="1" t="n">
        <v>11416</v>
      </c>
      <c r="B11417">
        <f>TEXT(11416, "[$-170000]yyyy-mm-dd")</f>
        <v/>
      </c>
      <c r="C11417">
        <f>TEXT(11416, "[$-060000]yyyy-mm-dd")</f>
        <v/>
      </c>
      <c r="D11417" t="inlineStr">
        <is>
          <t>1349-11-16</t>
        </is>
      </c>
    </row>
    <row r="11418">
      <c r="A11418" s="1" t="n">
        <v>11417</v>
      </c>
      <c r="B11418">
        <f>TEXT(11417, "[$-170000]yyyy-mm-dd")</f>
        <v/>
      </c>
      <c r="C11418">
        <f>TEXT(11417, "[$-060000]yyyy-mm-dd")</f>
        <v/>
      </c>
      <c r="D11418" t="inlineStr">
        <is>
          <t>1349-11-17</t>
        </is>
      </c>
    </row>
    <row r="11419">
      <c r="A11419" s="1" t="n">
        <v>11418</v>
      </c>
      <c r="B11419">
        <f>TEXT(11418, "[$-170000]yyyy-mm-dd")</f>
        <v/>
      </c>
      <c r="C11419">
        <f>TEXT(11418, "[$-060000]yyyy-mm-dd")</f>
        <v/>
      </c>
      <c r="D11419" t="inlineStr">
        <is>
          <t>1349-11-18</t>
        </is>
      </c>
    </row>
    <row r="11420">
      <c r="A11420" s="1" t="n">
        <v>11419</v>
      </c>
      <c r="B11420">
        <f>TEXT(11419, "[$-170000]yyyy-mm-dd")</f>
        <v/>
      </c>
      <c r="C11420">
        <f>TEXT(11419, "[$-060000]yyyy-mm-dd")</f>
        <v/>
      </c>
      <c r="D11420" t="inlineStr">
        <is>
          <t>1349-11-19</t>
        </is>
      </c>
    </row>
    <row r="11421">
      <c r="A11421" s="1" t="n">
        <v>11420</v>
      </c>
      <c r="B11421">
        <f>TEXT(11420, "[$-170000]yyyy-mm-dd")</f>
        <v/>
      </c>
      <c r="C11421">
        <f>TEXT(11420, "[$-060000]yyyy-mm-dd")</f>
        <v/>
      </c>
      <c r="D11421" t="inlineStr">
        <is>
          <t>1349-11-20</t>
        </is>
      </c>
    </row>
    <row r="11422">
      <c r="A11422" s="1" t="n">
        <v>11421</v>
      </c>
      <c r="B11422">
        <f>TEXT(11421, "[$-170000]yyyy-mm-dd")</f>
        <v/>
      </c>
      <c r="C11422">
        <f>TEXT(11421, "[$-060000]yyyy-mm-dd")</f>
        <v/>
      </c>
      <c r="D11422" t="inlineStr">
        <is>
          <t>1349-11-21</t>
        </is>
      </c>
    </row>
    <row r="11423">
      <c r="A11423" s="1" t="n">
        <v>11422</v>
      </c>
      <c r="B11423">
        <f>TEXT(11422, "[$-170000]yyyy-mm-dd")</f>
        <v/>
      </c>
      <c r="C11423">
        <f>TEXT(11422, "[$-060000]yyyy-mm-dd")</f>
        <v/>
      </c>
      <c r="D11423" t="inlineStr">
        <is>
          <t>1349-11-22</t>
        </is>
      </c>
    </row>
    <row r="11424">
      <c r="A11424" s="1" t="n">
        <v>11423</v>
      </c>
      <c r="B11424">
        <f>TEXT(11423, "[$-170000]yyyy-mm-dd")</f>
        <v/>
      </c>
      <c r="C11424">
        <f>TEXT(11423, "[$-060000]yyyy-mm-dd")</f>
        <v/>
      </c>
      <c r="D11424" t="inlineStr">
        <is>
          <t>1349-11-23</t>
        </is>
      </c>
    </row>
    <row r="11425">
      <c r="A11425" s="1" t="n">
        <v>11424</v>
      </c>
      <c r="B11425">
        <f>TEXT(11424, "[$-170000]yyyy-mm-dd")</f>
        <v/>
      </c>
      <c r="C11425">
        <f>TEXT(11424, "[$-060000]yyyy-mm-dd")</f>
        <v/>
      </c>
      <c r="D11425" t="inlineStr">
        <is>
          <t>1349-11-24</t>
        </is>
      </c>
    </row>
    <row r="11426">
      <c r="A11426" s="1" t="n">
        <v>11425</v>
      </c>
      <c r="B11426">
        <f>TEXT(11425, "[$-170000]yyyy-mm-dd")</f>
        <v/>
      </c>
      <c r="C11426">
        <f>TEXT(11425, "[$-060000]yyyy-mm-dd")</f>
        <v/>
      </c>
      <c r="D11426" t="inlineStr">
        <is>
          <t>1349-11-25</t>
        </is>
      </c>
    </row>
    <row r="11427">
      <c r="A11427" s="1" t="n">
        <v>11426</v>
      </c>
      <c r="B11427">
        <f>TEXT(11426, "[$-170000]yyyy-mm-dd")</f>
        <v/>
      </c>
      <c r="C11427">
        <f>TEXT(11426, "[$-060000]yyyy-mm-dd")</f>
        <v/>
      </c>
      <c r="D11427" t="inlineStr">
        <is>
          <t>1349-11-26</t>
        </is>
      </c>
    </row>
    <row r="11428">
      <c r="A11428" s="1" t="n">
        <v>11427</v>
      </c>
      <c r="B11428">
        <f>TEXT(11427, "[$-170000]yyyy-mm-dd")</f>
        <v/>
      </c>
      <c r="C11428">
        <f>TEXT(11427, "[$-060000]yyyy-mm-dd")</f>
        <v/>
      </c>
      <c r="D11428" t="inlineStr">
        <is>
          <t>1349-11-27</t>
        </is>
      </c>
    </row>
    <row r="11429">
      <c r="A11429" s="1" t="n">
        <v>11428</v>
      </c>
      <c r="B11429">
        <f>TEXT(11428, "[$-170000]yyyy-mm-dd")</f>
        <v/>
      </c>
      <c r="C11429">
        <f>TEXT(11428, "[$-060000]yyyy-mm-dd")</f>
        <v/>
      </c>
      <c r="D11429" t="inlineStr">
        <is>
          <t>1349-11-28</t>
        </is>
      </c>
    </row>
    <row r="11430">
      <c r="A11430" s="1" t="n">
        <v>11429</v>
      </c>
      <c r="B11430">
        <f>TEXT(11429, "[$-170000]yyyy-mm-dd")</f>
        <v/>
      </c>
      <c r="C11430">
        <f>TEXT(11429, "[$-060000]yyyy-mm-dd")</f>
        <v/>
      </c>
      <c r="D11430" t="inlineStr">
        <is>
          <t>1349-11-29</t>
        </is>
      </c>
    </row>
    <row r="11431">
      <c r="A11431" s="1" t="n">
        <v>11430</v>
      </c>
      <c r="B11431">
        <f>TEXT(11430, "[$-170000]yyyy-mm-dd")</f>
        <v/>
      </c>
      <c r="C11431">
        <f>TEXT(11430, "[$-060000]yyyy-mm-dd")</f>
        <v/>
      </c>
      <c r="D11431" t="inlineStr">
        <is>
          <t>1349-11-30</t>
        </is>
      </c>
    </row>
    <row r="11432">
      <c r="A11432" s="1" t="n">
        <v>11431</v>
      </c>
      <c r="B11432">
        <f>TEXT(11431, "[$-170000]yyyy-mm-dd")</f>
        <v/>
      </c>
      <c r="C11432">
        <f>TEXT(11431, "[$-060000]yyyy-mm-dd")</f>
        <v/>
      </c>
      <c r="D11432" t="inlineStr">
        <is>
          <t>1349-12-01</t>
        </is>
      </c>
    </row>
    <row r="11433">
      <c r="A11433" s="1" t="n">
        <v>11432</v>
      </c>
      <c r="B11433">
        <f>TEXT(11432, "[$-170000]yyyy-mm-dd")</f>
        <v/>
      </c>
      <c r="C11433">
        <f>TEXT(11432, "[$-060000]yyyy-mm-dd")</f>
        <v/>
      </c>
      <c r="D11433" t="inlineStr">
        <is>
          <t>1349-12-02</t>
        </is>
      </c>
    </row>
    <row r="11434">
      <c r="A11434" s="1" t="n">
        <v>11433</v>
      </c>
      <c r="B11434">
        <f>TEXT(11433, "[$-170000]yyyy-mm-dd")</f>
        <v/>
      </c>
      <c r="C11434">
        <f>TEXT(11433, "[$-060000]yyyy-mm-dd")</f>
        <v/>
      </c>
      <c r="D11434" t="inlineStr">
        <is>
          <t>1349-12-03</t>
        </is>
      </c>
    </row>
    <row r="11435">
      <c r="A11435" s="1" t="n">
        <v>11434</v>
      </c>
      <c r="B11435">
        <f>TEXT(11434, "[$-170000]yyyy-mm-dd")</f>
        <v/>
      </c>
      <c r="C11435">
        <f>TEXT(11434, "[$-060000]yyyy-mm-dd")</f>
        <v/>
      </c>
      <c r="D11435" t="inlineStr">
        <is>
          <t>1349-12-04</t>
        </is>
      </c>
    </row>
    <row r="11436">
      <c r="A11436" s="1" t="n">
        <v>11435</v>
      </c>
      <c r="B11436">
        <f>TEXT(11435, "[$-170000]yyyy-mm-dd")</f>
        <v/>
      </c>
      <c r="C11436">
        <f>TEXT(11435, "[$-060000]yyyy-mm-dd")</f>
        <v/>
      </c>
      <c r="D11436" t="inlineStr">
        <is>
          <t>1349-12-05</t>
        </is>
      </c>
    </row>
    <row r="11437">
      <c r="A11437" s="1" t="n">
        <v>11436</v>
      </c>
      <c r="B11437">
        <f>TEXT(11436, "[$-170000]yyyy-mm-dd")</f>
        <v/>
      </c>
      <c r="C11437">
        <f>TEXT(11436, "[$-060000]yyyy-mm-dd")</f>
        <v/>
      </c>
      <c r="D11437" t="inlineStr">
        <is>
          <t>1349-12-06</t>
        </is>
      </c>
    </row>
    <row r="11438">
      <c r="A11438" s="1" t="n">
        <v>11437</v>
      </c>
      <c r="B11438">
        <f>TEXT(11437, "[$-170000]yyyy-mm-dd")</f>
        <v/>
      </c>
      <c r="C11438">
        <f>TEXT(11437, "[$-060000]yyyy-mm-dd")</f>
        <v/>
      </c>
      <c r="D11438" t="inlineStr">
        <is>
          <t>1349-12-07</t>
        </is>
      </c>
    </row>
    <row r="11439">
      <c r="A11439" s="1" t="n">
        <v>11438</v>
      </c>
      <c r="B11439">
        <f>TEXT(11438, "[$-170000]yyyy-mm-dd")</f>
        <v/>
      </c>
      <c r="C11439">
        <f>TEXT(11438, "[$-060000]yyyy-mm-dd")</f>
        <v/>
      </c>
      <c r="D11439" t="inlineStr">
        <is>
          <t>1349-12-08</t>
        </is>
      </c>
    </row>
    <row r="11440">
      <c r="A11440" s="1" t="n">
        <v>11439</v>
      </c>
      <c r="B11440">
        <f>TEXT(11439, "[$-170000]yyyy-mm-dd")</f>
        <v/>
      </c>
      <c r="C11440">
        <f>TEXT(11439, "[$-060000]yyyy-mm-dd")</f>
        <v/>
      </c>
      <c r="D11440" t="inlineStr">
        <is>
          <t>1349-12-09</t>
        </is>
      </c>
    </row>
    <row r="11441">
      <c r="A11441" s="1" t="n">
        <v>11440</v>
      </c>
      <c r="B11441">
        <f>TEXT(11440, "[$-170000]yyyy-mm-dd")</f>
        <v/>
      </c>
      <c r="C11441">
        <f>TEXT(11440, "[$-060000]yyyy-mm-dd")</f>
        <v/>
      </c>
      <c r="D11441" t="inlineStr">
        <is>
          <t>1349-12-10</t>
        </is>
      </c>
    </row>
    <row r="11442">
      <c r="A11442" s="1" t="n">
        <v>11441</v>
      </c>
      <c r="B11442">
        <f>TEXT(11441, "[$-170000]yyyy-mm-dd")</f>
        <v/>
      </c>
      <c r="C11442">
        <f>TEXT(11441, "[$-060000]yyyy-mm-dd")</f>
        <v/>
      </c>
      <c r="D11442" t="inlineStr">
        <is>
          <t>1349-12-11</t>
        </is>
      </c>
    </row>
    <row r="11443">
      <c r="A11443" s="1" t="n">
        <v>11442</v>
      </c>
      <c r="B11443">
        <f>TEXT(11442, "[$-170000]yyyy-mm-dd")</f>
        <v/>
      </c>
      <c r="C11443">
        <f>TEXT(11442, "[$-060000]yyyy-mm-dd")</f>
        <v/>
      </c>
      <c r="D11443" t="inlineStr">
        <is>
          <t>1349-12-12</t>
        </is>
      </c>
    </row>
    <row r="11444">
      <c r="A11444" s="1" t="n">
        <v>11443</v>
      </c>
      <c r="B11444">
        <f>TEXT(11443, "[$-170000]yyyy-mm-dd")</f>
        <v/>
      </c>
      <c r="C11444">
        <f>TEXT(11443, "[$-060000]yyyy-mm-dd")</f>
        <v/>
      </c>
      <c r="D11444" t="inlineStr">
        <is>
          <t>1349-12-13</t>
        </is>
      </c>
    </row>
    <row r="11445">
      <c r="A11445" s="1" t="n">
        <v>11444</v>
      </c>
      <c r="B11445">
        <f>TEXT(11444, "[$-170000]yyyy-mm-dd")</f>
        <v/>
      </c>
      <c r="C11445">
        <f>TEXT(11444, "[$-060000]yyyy-mm-dd")</f>
        <v/>
      </c>
      <c r="D11445" t="inlineStr">
        <is>
          <t>1349-12-14</t>
        </is>
      </c>
    </row>
    <row r="11446">
      <c r="A11446" s="1" t="n">
        <v>11445</v>
      </c>
      <c r="B11446">
        <f>TEXT(11445, "[$-170000]yyyy-mm-dd")</f>
        <v/>
      </c>
      <c r="C11446">
        <f>TEXT(11445, "[$-060000]yyyy-mm-dd")</f>
        <v/>
      </c>
      <c r="D11446" t="inlineStr">
        <is>
          <t>1349-12-15</t>
        </is>
      </c>
    </row>
    <row r="11447">
      <c r="A11447" s="1" t="n">
        <v>11446</v>
      </c>
      <c r="B11447">
        <f>TEXT(11446, "[$-170000]yyyy-mm-dd")</f>
        <v/>
      </c>
      <c r="C11447">
        <f>TEXT(11446, "[$-060000]yyyy-mm-dd")</f>
        <v/>
      </c>
      <c r="D11447" t="inlineStr">
        <is>
          <t>1349-12-16</t>
        </is>
      </c>
    </row>
    <row r="11448">
      <c r="A11448" s="1" t="n">
        <v>11447</v>
      </c>
      <c r="B11448">
        <f>TEXT(11447, "[$-170000]yyyy-mm-dd")</f>
        <v/>
      </c>
      <c r="C11448">
        <f>TEXT(11447, "[$-060000]yyyy-mm-dd")</f>
        <v/>
      </c>
      <c r="D11448" t="inlineStr">
        <is>
          <t>1349-12-17</t>
        </is>
      </c>
    </row>
    <row r="11449">
      <c r="A11449" s="1" t="n">
        <v>11448</v>
      </c>
      <c r="B11449">
        <f>TEXT(11448, "[$-170000]yyyy-mm-dd")</f>
        <v/>
      </c>
      <c r="C11449">
        <f>TEXT(11448, "[$-060000]yyyy-mm-dd")</f>
        <v/>
      </c>
      <c r="D11449" t="inlineStr">
        <is>
          <t>1349-12-18</t>
        </is>
      </c>
    </row>
    <row r="11450">
      <c r="A11450" s="1" t="n">
        <v>11449</v>
      </c>
      <c r="B11450">
        <f>TEXT(11449, "[$-170000]yyyy-mm-dd")</f>
        <v/>
      </c>
      <c r="C11450">
        <f>TEXT(11449, "[$-060000]yyyy-mm-dd")</f>
        <v/>
      </c>
      <c r="D11450" t="inlineStr">
        <is>
          <t>1349-12-19</t>
        </is>
      </c>
    </row>
    <row r="11451">
      <c r="A11451" s="1" t="n">
        <v>11450</v>
      </c>
      <c r="B11451">
        <f>TEXT(11450, "[$-170000]yyyy-mm-dd")</f>
        <v/>
      </c>
      <c r="C11451">
        <f>TEXT(11450, "[$-060000]yyyy-mm-dd")</f>
        <v/>
      </c>
      <c r="D11451" t="inlineStr">
        <is>
          <t>1349-12-20</t>
        </is>
      </c>
    </row>
    <row r="11452">
      <c r="A11452" s="1" t="n">
        <v>11451</v>
      </c>
      <c r="B11452">
        <f>TEXT(11451, "[$-170000]yyyy-mm-dd")</f>
        <v/>
      </c>
      <c r="C11452">
        <f>TEXT(11451, "[$-060000]yyyy-mm-dd")</f>
        <v/>
      </c>
      <c r="D11452" t="inlineStr">
        <is>
          <t>1349-12-21</t>
        </is>
      </c>
    </row>
    <row r="11453">
      <c r="A11453" s="1" t="n">
        <v>11452</v>
      </c>
      <c r="B11453">
        <f>TEXT(11452, "[$-170000]yyyy-mm-dd")</f>
        <v/>
      </c>
      <c r="C11453">
        <f>TEXT(11452, "[$-060000]yyyy-mm-dd")</f>
        <v/>
      </c>
      <c r="D11453" t="inlineStr">
        <is>
          <t>1349-12-22</t>
        </is>
      </c>
    </row>
    <row r="11454">
      <c r="A11454" s="1" t="n">
        <v>11453</v>
      </c>
      <c r="B11454">
        <f>TEXT(11453, "[$-170000]yyyy-mm-dd")</f>
        <v/>
      </c>
      <c r="C11454">
        <f>TEXT(11453, "[$-060000]yyyy-mm-dd")</f>
        <v/>
      </c>
      <c r="D11454" t="inlineStr">
        <is>
          <t>1349-12-23</t>
        </is>
      </c>
    </row>
    <row r="11455">
      <c r="A11455" s="1" t="n">
        <v>11454</v>
      </c>
      <c r="B11455">
        <f>TEXT(11454, "[$-170000]yyyy-mm-dd")</f>
        <v/>
      </c>
      <c r="C11455">
        <f>TEXT(11454, "[$-060000]yyyy-mm-dd")</f>
        <v/>
      </c>
      <c r="D11455" t="inlineStr">
        <is>
          <t>1349-12-24</t>
        </is>
      </c>
    </row>
    <row r="11456">
      <c r="A11456" s="1" t="n">
        <v>11455</v>
      </c>
      <c r="B11456">
        <f>TEXT(11455, "[$-170000]yyyy-mm-dd")</f>
        <v/>
      </c>
      <c r="C11456">
        <f>TEXT(11455, "[$-060000]yyyy-mm-dd")</f>
        <v/>
      </c>
      <c r="D11456" t="inlineStr">
        <is>
          <t>1349-12-25</t>
        </is>
      </c>
    </row>
    <row r="11457">
      <c r="A11457" s="1" t="n">
        <v>11456</v>
      </c>
      <c r="B11457">
        <f>TEXT(11456, "[$-170000]yyyy-mm-dd")</f>
        <v/>
      </c>
      <c r="C11457">
        <f>TEXT(11456, "[$-060000]yyyy-mm-dd")</f>
        <v/>
      </c>
      <c r="D11457" t="inlineStr">
        <is>
          <t>1349-12-26</t>
        </is>
      </c>
    </row>
    <row r="11458">
      <c r="A11458" s="1" t="n">
        <v>11457</v>
      </c>
      <c r="B11458">
        <f>TEXT(11457, "[$-170000]yyyy-mm-dd")</f>
        <v/>
      </c>
      <c r="C11458">
        <f>TEXT(11457, "[$-060000]yyyy-mm-dd")</f>
        <v/>
      </c>
      <c r="D11458" t="inlineStr">
        <is>
          <t>1349-12-27</t>
        </is>
      </c>
    </row>
    <row r="11459">
      <c r="A11459" s="1" t="n">
        <v>11458</v>
      </c>
      <c r="B11459">
        <f>TEXT(11458, "[$-170000]yyyy-mm-dd")</f>
        <v/>
      </c>
      <c r="C11459">
        <f>TEXT(11458, "[$-060000]yyyy-mm-dd")</f>
        <v/>
      </c>
      <c r="D11459" t="inlineStr">
        <is>
          <t>1349-12-28</t>
        </is>
      </c>
    </row>
    <row r="11460">
      <c r="A11460" s="1" t="n">
        <v>11459</v>
      </c>
      <c r="B11460">
        <f>TEXT(11459, "[$-170000]yyyy-mm-dd")</f>
        <v/>
      </c>
      <c r="C11460">
        <f>TEXT(11459, "[$-060000]yyyy-mm-dd")</f>
        <v/>
      </c>
      <c r="D11460" t="inlineStr">
        <is>
          <t>1349-12-29</t>
        </is>
      </c>
    </row>
    <row r="11461">
      <c r="A11461" s="1" t="n">
        <v>11460</v>
      </c>
      <c r="B11461">
        <f>TEXT(11460, "[$-170000]yyyy-mm-dd")</f>
        <v/>
      </c>
      <c r="C11461">
        <f>TEXT(11460, "[$-060000]yyyy-mm-dd")</f>
        <v/>
      </c>
      <c r="D11461" t="inlineStr">
        <is>
          <t>1349-12-30</t>
        </is>
      </c>
    </row>
    <row r="11462">
      <c r="A11462" s="1" t="n">
        <v>11461</v>
      </c>
      <c r="B11462">
        <f>TEXT(11461, "[$-170000]yyyy-mm-dd")</f>
        <v/>
      </c>
      <c r="C11462">
        <f>TEXT(11461, "[$-060000]yyyy-mm-dd")</f>
        <v/>
      </c>
      <c r="D11462" t="inlineStr">
        <is>
          <t>1350-01-01</t>
        </is>
      </c>
    </row>
    <row r="11463">
      <c r="A11463" s="1" t="n">
        <v>11462</v>
      </c>
      <c r="B11463">
        <f>TEXT(11462, "[$-170000]yyyy-mm-dd")</f>
        <v/>
      </c>
      <c r="C11463">
        <f>TEXT(11462, "[$-060000]yyyy-mm-dd")</f>
        <v/>
      </c>
      <c r="D11463" t="inlineStr">
        <is>
          <t>1350-01-02</t>
        </is>
      </c>
    </row>
    <row r="11464">
      <c r="A11464" s="1" t="n">
        <v>11463</v>
      </c>
      <c r="B11464">
        <f>TEXT(11463, "[$-170000]yyyy-mm-dd")</f>
        <v/>
      </c>
      <c r="C11464">
        <f>TEXT(11463, "[$-060000]yyyy-mm-dd")</f>
        <v/>
      </c>
      <c r="D11464" t="inlineStr">
        <is>
          <t>1350-01-03</t>
        </is>
      </c>
    </row>
    <row r="11465">
      <c r="A11465" s="1" t="n">
        <v>11464</v>
      </c>
      <c r="B11465">
        <f>TEXT(11464, "[$-170000]yyyy-mm-dd")</f>
        <v/>
      </c>
      <c r="C11465">
        <f>TEXT(11464, "[$-060000]yyyy-mm-dd")</f>
        <v/>
      </c>
      <c r="D11465" t="inlineStr">
        <is>
          <t>1350-01-04</t>
        </is>
      </c>
    </row>
    <row r="11466">
      <c r="A11466" s="1" t="n">
        <v>11465</v>
      </c>
      <c r="B11466">
        <f>TEXT(11465, "[$-170000]yyyy-mm-dd")</f>
        <v/>
      </c>
      <c r="C11466">
        <f>TEXT(11465, "[$-060000]yyyy-mm-dd")</f>
        <v/>
      </c>
      <c r="D11466" t="inlineStr">
        <is>
          <t>1350-01-05</t>
        </is>
      </c>
    </row>
    <row r="11467">
      <c r="A11467" s="1" t="n">
        <v>11466</v>
      </c>
      <c r="B11467">
        <f>TEXT(11466, "[$-170000]yyyy-mm-dd")</f>
        <v/>
      </c>
      <c r="C11467">
        <f>TEXT(11466, "[$-060000]yyyy-mm-dd")</f>
        <v/>
      </c>
      <c r="D11467" t="inlineStr">
        <is>
          <t>1350-01-06</t>
        </is>
      </c>
    </row>
    <row r="11468">
      <c r="A11468" s="1" t="n">
        <v>11467</v>
      </c>
      <c r="B11468">
        <f>TEXT(11467, "[$-170000]yyyy-mm-dd")</f>
        <v/>
      </c>
      <c r="C11468">
        <f>TEXT(11467, "[$-060000]yyyy-mm-dd")</f>
        <v/>
      </c>
      <c r="D11468" t="inlineStr">
        <is>
          <t>1350-01-07</t>
        </is>
      </c>
    </row>
    <row r="11469">
      <c r="A11469" s="1" t="n">
        <v>11468</v>
      </c>
      <c r="B11469">
        <f>TEXT(11468, "[$-170000]yyyy-mm-dd")</f>
        <v/>
      </c>
      <c r="C11469">
        <f>TEXT(11468, "[$-060000]yyyy-mm-dd")</f>
        <v/>
      </c>
      <c r="D11469" t="inlineStr">
        <is>
          <t>1350-01-08</t>
        </is>
      </c>
    </row>
    <row r="11470">
      <c r="A11470" s="1" t="n">
        <v>11469</v>
      </c>
      <c r="B11470">
        <f>TEXT(11469, "[$-170000]yyyy-mm-dd")</f>
        <v/>
      </c>
      <c r="C11470">
        <f>TEXT(11469, "[$-060000]yyyy-mm-dd")</f>
        <v/>
      </c>
      <c r="D11470" t="inlineStr">
        <is>
          <t>1350-01-09</t>
        </is>
      </c>
    </row>
    <row r="11471">
      <c r="A11471" s="1" t="n">
        <v>11470</v>
      </c>
      <c r="B11471">
        <f>TEXT(11470, "[$-170000]yyyy-mm-dd")</f>
        <v/>
      </c>
      <c r="C11471">
        <f>TEXT(11470, "[$-060000]yyyy-mm-dd")</f>
        <v/>
      </c>
      <c r="D11471" t="inlineStr">
        <is>
          <t>1350-01-10</t>
        </is>
      </c>
    </row>
    <row r="11472">
      <c r="A11472" s="1" t="n">
        <v>11471</v>
      </c>
      <c r="B11472">
        <f>TEXT(11471, "[$-170000]yyyy-mm-dd")</f>
        <v/>
      </c>
      <c r="C11472">
        <f>TEXT(11471, "[$-060000]yyyy-mm-dd")</f>
        <v/>
      </c>
      <c r="D11472" t="inlineStr">
        <is>
          <t>1350-01-11</t>
        </is>
      </c>
    </row>
    <row r="11473">
      <c r="A11473" s="1" t="n">
        <v>11472</v>
      </c>
      <c r="B11473">
        <f>TEXT(11472, "[$-170000]yyyy-mm-dd")</f>
        <v/>
      </c>
      <c r="C11473">
        <f>TEXT(11472, "[$-060000]yyyy-mm-dd")</f>
        <v/>
      </c>
      <c r="D11473" t="inlineStr">
        <is>
          <t>1350-01-12</t>
        </is>
      </c>
    </row>
    <row r="11474">
      <c r="A11474" s="1" t="n">
        <v>11473</v>
      </c>
      <c r="B11474">
        <f>TEXT(11473, "[$-170000]yyyy-mm-dd")</f>
        <v/>
      </c>
      <c r="C11474">
        <f>TEXT(11473, "[$-060000]yyyy-mm-dd")</f>
        <v/>
      </c>
      <c r="D11474" t="inlineStr">
        <is>
          <t>1350-01-13</t>
        </is>
      </c>
    </row>
    <row r="11475">
      <c r="A11475" s="1" t="n">
        <v>11474</v>
      </c>
      <c r="B11475">
        <f>TEXT(11474, "[$-170000]yyyy-mm-dd")</f>
        <v/>
      </c>
      <c r="C11475">
        <f>TEXT(11474, "[$-060000]yyyy-mm-dd")</f>
        <v/>
      </c>
      <c r="D11475" t="inlineStr">
        <is>
          <t>1350-01-14</t>
        </is>
      </c>
    </row>
    <row r="11476">
      <c r="A11476" s="1" t="n">
        <v>11475</v>
      </c>
      <c r="B11476">
        <f>TEXT(11475, "[$-170000]yyyy-mm-dd")</f>
        <v/>
      </c>
      <c r="C11476">
        <f>TEXT(11475, "[$-060000]yyyy-mm-dd")</f>
        <v/>
      </c>
      <c r="D11476" t="inlineStr">
        <is>
          <t>1350-01-15</t>
        </is>
      </c>
    </row>
    <row r="11477">
      <c r="A11477" s="1" t="n">
        <v>11476</v>
      </c>
      <c r="B11477">
        <f>TEXT(11476, "[$-170000]yyyy-mm-dd")</f>
        <v/>
      </c>
      <c r="C11477">
        <f>TEXT(11476, "[$-060000]yyyy-mm-dd")</f>
        <v/>
      </c>
      <c r="D11477" t="inlineStr">
        <is>
          <t>1350-01-16</t>
        </is>
      </c>
    </row>
    <row r="11478">
      <c r="A11478" s="1" t="n">
        <v>11477</v>
      </c>
      <c r="B11478">
        <f>TEXT(11477, "[$-170000]yyyy-mm-dd")</f>
        <v/>
      </c>
      <c r="C11478">
        <f>TEXT(11477, "[$-060000]yyyy-mm-dd")</f>
        <v/>
      </c>
      <c r="D11478" t="inlineStr">
        <is>
          <t>1350-01-17</t>
        </is>
      </c>
    </row>
    <row r="11479">
      <c r="A11479" s="1" t="n">
        <v>11478</v>
      </c>
      <c r="B11479">
        <f>TEXT(11478, "[$-170000]yyyy-mm-dd")</f>
        <v/>
      </c>
      <c r="C11479">
        <f>TEXT(11478, "[$-060000]yyyy-mm-dd")</f>
        <v/>
      </c>
      <c r="D11479" t="inlineStr">
        <is>
          <t>1350-01-18</t>
        </is>
      </c>
    </row>
    <row r="11480">
      <c r="A11480" s="1" t="n">
        <v>11479</v>
      </c>
      <c r="B11480">
        <f>TEXT(11479, "[$-170000]yyyy-mm-dd")</f>
        <v/>
      </c>
      <c r="C11480">
        <f>TEXT(11479, "[$-060000]yyyy-mm-dd")</f>
        <v/>
      </c>
      <c r="D11480" t="inlineStr">
        <is>
          <t>1350-01-19</t>
        </is>
      </c>
    </row>
    <row r="11481">
      <c r="A11481" s="1" t="n">
        <v>11480</v>
      </c>
      <c r="B11481">
        <f>TEXT(11480, "[$-170000]yyyy-mm-dd")</f>
        <v/>
      </c>
      <c r="C11481">
        <f>TEXT(11480, "[$-060000]yyyy-mm-dd")</f>
        <v/>
      </c>
      <c r="D11481" t="inlineStr">
        <is>
          <t>1350-01-20</t>
        </is>
      </c>
    </row>
    <row r="11482">
      <c r="A11482" s="1" t="n">
        <v>11481</v>
      </c>
      <c r="B11482">
        <f>TEXT(11481, "[$-170000]yyyy-mm-dd")</f>
        <v/>
      </c>
      <c r="C11482">
        <f>TEXT(11481, "[$-060000]yyyy-mm-dd")</f>
        <v/>
      </c>
      <c r="D11482" t="inlineStr">
        <is>
          <t>1350-01-21</t>
        </is>
      </c>
    </row>
    <row r="11483">
      <c r="A11483" s="1" t="n">
        <v>11482</v>
      </c>
      <c r="B11483">
        <f>TEXT(11482, "[$-170000]yyyy-mm-dd")</f>
        <v/>
      </c>
      <c r="C11483">
        <f>TEXT(11482, "[$-060000]yyyy-mm-dd")</f>
        <v/>
      </c>
      <c r="D11483" t="inlineStr">
        <is>
          <t>1350-01-22</t>
        </is>
      </c>
    </row>
    <row r="11484">
      <c r="A11484" s="1" t="n">
        <v>11483</v>
      </c>
      <c r="B11484">
        <f>TEXT(11483, "[$-170000]yyyy-mm-dd")</f>
        <v/>
      </c>
      <c r="C11484">
        <f>TEXT(11483, "[$-060000]yyyy-mm-dd")</f>
        <v/>
      </c>
      <c r="D11484" t="inlineStr">
        <is>
          <t>1350-01-23</t>
        </is>
      </c>
    </row>
    <row r="11485">
      <c r="A11485" s="1" t="n">
        <v>11484</v>
      </c>
      <c r="B11485">
        <f>TEXT(11484, "[$-170000]yyyy-mm-dd")</f>
        <v/>
      </c>
      <c r="C11485">
        <f>TEXT(11484, "[$-060000]yyyy-mm-dd")</f>
        <v/>
      </c>
      <c r="D11485" t="inlineStr">
        <is>
          <t>1350-01-24</t>
        </is>
      </c>
    </row>
    <row r="11486">
      <c r="A11486" s="1" t="n">
        <v>11485</v>
      </c>
      <c r="B11486">
        <f>TEXT(11485, "[$-170000]yyyy-mm-dd")</f>
        <v/>
      </c>
      <c r="C11486">
        <f>TEXT(11485, "[$-060000]yyyy-mm-dd")</f>
        <v/>
      </c>
      <c r="D11486" t="inlineStr">
        <is>
          <t>1350-01-25</t>
        </is>
      </c>
    </row>
    <row r="11487">
      <c r="A11487" s="1" t="n">
        <v>11486</v>
      </c>
      <c r="B11487">
        <f>TEXT(11486, "[$-170000]yyyy-mm-dd")</f>
        <v/>
      </c>
      <c r="C11487">
        <f>TEXT(11486, "[$-060000]yyyy-mm-dd")</f>
        <v/>
      </c>
      <c r="D11487" t="inlineStr">
        <is>
          <t>1350-01-26</t>
        </is>
      </c>
    </row>
    <row r="11488">
      <c r="A11488" s="1" t="n">
        <v>11487</v>
      </c>
      <c r="B11488">
        <f>TEXT(11487, "[$-170000]yyyy-mm-dd")</f>
        <v/>
      </c>
      <c r="C11488">
        <f>TEXT(11487, "[$-060000]yyyy-mm-dd")</f>
        <v/>
      </c>
      <c r="D11488" t="inlineStr">
        <is>
          <t>1350-01-27</t>
        </is>
      </c>
    </row>
    <row r="11489">
      <c r="A11489" s="1" t="n">
        <v>11488</v>
      </c>
      <c r="B11489">
        <f>TEXT(11488, "[$-170000]yyyy-mm-dd")</f>
        <v/>
      </c>
      <c r="C11489">
        <f>TEXT(11488, "[$-060000]yyyy-mm-dd")</f>
        <v/>
      </c>
      <c r="D11489" t="inlineStr">
        <is>
          <t>1350-01-28</t>
        </is>
      </c>
    </row>
    <row r="11490">
      <c r="A11490" s="1" t="n">
        <v>11489</v>
      </c>
      <c r="B11490">
        <f>TEXT(11489, "[$-170000]yyyy-mm-dd")</f>
        <v/>
      </c>
      <c r="C11490">
        <f>TEXT(11489, "[$-060000]yyyy-mm-dd")</f>
        <v/>
      </c>
      <c r="D11490" t="inlineStr">
        <is>
          <t>1350-01-29</t>
        </is>
      </c>
    </row>
    <row r="11491">
      <c r="A11491" s="1" t="n">
        <v>11490</v>
      </c>
      <c r="B11491">
        <f>TEXT(11490, "[$-170000]yyyy-mm-dd")</f>
        <v/>
      </c>
      <c r="C11491">
        <f>TEXT(11490, "[$-060000]yyyy-mm-dd")</f>
        <v/>
      </c>
      <c r="D11491" t="inlineStr">
        <is>
          <t>1350-01-30</t>
        </is>
      </c>
    </row>
    <row r="11492">
      <c r="A11492" s="1" t="n">
        <v>11491</v>
      </c>
      <c r="B11492">
        <f>TEXT(11491, "[$-170000]yyyy-mm-dd")</f>
        <v/>
      </c>
      <c r="C11492">
        <f>TEXT(11491, "[$-060000]yyyy-mm-dd")</f>
        <v/>
      </c>
      <c r="D11492" t="inlineStr">
        <is>
          <t>1350-02-01</t>
        </is>
      </c>
    </row>
    <row r="11493">
      <c r="A11493" s="1" t="n">
        <v>11492</v>
      </c>
      <c r="B11493">
        <f>TEXT(11492, "[$-170000]yyyy-mm-dd")</f>
        <v/>
      </c>
      <c r="C11493">
        <f>TEXT(11492, "[$-060000]yyyy-mm-dd")</f>
        <v/>
      </c>
      <c r="D11493" t="inlineStr">
        <is>
          <t>1350-02-02</t>
        </is>
      </c>
    </row>
    <row r="11494">
      <c r="A11494" s="1" t="n">
        <v>11493</v>
      </c>
      <c r="B11494">
        <f>TEXT(11493, "[$-170000]yyyy-mm-dd")</f>
        <v/>
      </c>
      <c r="C11494">
        <f>TEXT(11493, "[$-060000]yyyy-mm-dd")</f>
        <v/>
      </c>
      <c r="D11494" t="inlineStr">
        <is>
          <t>1350-02-03</t>
        </is>
      </c>
    </row>
    <row r="11495">
      <c r="A11495" s="1" t="n">
        <v>11494</v>
      </c>
      <c r="B11495">
        <f>TEXT(11494, "[$-170000]yyyy-mm-dd")</f>
        <v/>
      </c>
      <c r="C11495">
        <f>TEXT(11494, "[$-060000]yyyy-mm-dd")</f>
        <v/>
      </c>
      <c r="D11495" t="inlineStr">
        <is>
          <t>1350-02-04</t>
        </is>
      </c>
    </row>
    <row r="11496">
      <c r="A11496" s="1" t="n">
        <v>11495</v>
      </c>
      <c r="B11496">
        <f>TEXT(11495, "[$-170000]yyyy-mm-dd")</f>
        <v/>
      </c>
      <c r="C11496">
        <f>TEXT(11495, "[$-060000]yyyy-mm-dd")</f>
        <v/>
      </c>
      <c r="D11496" t="inlineStr">
        <is>
          <t>1350-02-05</t>
        </is>
      </c>
    </row>
    <row r="11497">
      <c r="A11497" s="1" t="n">
        <v>11496</v>
      </c>
      <c r="B11497">
        <f>TEXT(11496, "[$-170000]yyyy-mm-dd")</f>
        <v/>
      </c>
      <c r="C11497">
        <f>TEXT(11496, "[$-060000]yyyy-mm-dd")</f>
        <v/>
      </c>
      <c r="D11497" t="inlineStr">
        <is>
          <t>1350-02-06</t>
        </is>
      </c>
    </row>
    <row r="11498">
      <c r="A11498" s="1" t="n">
        <v>11497</v>
      </c>
      <c r="B11498">
        <f>TEXT(11497, "[$-170000]yyyy-mm-dd")</f>
        <v/>
      </c>
      <c r="C11498">
        <f>TEXT(11497, "[$-060000]yyyy-mm-dd")</f>
        <v/>
      </c>
      <c r="D11498" t="inlineStr">
        <is>
          <t>1350-02-07</t>
        </is>
      </c>
    </row>
    <row r="11499">
      <c r="A11499" s="1" t="n">
        <v>11498</v>
      </c>
      <c r="B11499">
        <f>TEXT(11498, "[$-170000]yyyy-mm-dd")</f>
        <v/>
      </c>
      <c r="C11499">
        <f>TEXT(11498, "[$-060000]yyyy-mm-dd")</f>
        <v/>
      </c>
      <c r="D11499" t="inlineStr">
        <is>
          <t>1350-02-08</t>
        </is>
      </c>
    </row>
    <row r="11500">
      <c r="A11500" s="1" t="n">
        <v>11499</v>
      </c>
      <c r="B11500">
        <f>TEXT(11499, "[$-170000]yyyy-mm-dd")</f>
        <v/>
      </c>
      <c r="C11500">
        <f>TEXT(11499, "[$-060000]yyyy-mm-dd")</f>
        <v/>
      </c>
      <c r="D11500" t="inlineStr">
        <is>
          <t>1350-02-09</t>
        </is>
      </c>
    </row>
    <row r="11501">
      <c r="A11501" s="1" t="n">
        <v>11500</v>
      </c>
      <c r="B11501">
        <f>TEXT(11500, "[$-170000]yyyy-mm-dd")</f>
        <v/>
      </c>
      <c r="C11501">
        <f>TEXT(11500, "[$-060000]yyyy-mm-dd")</f>
        <v/>
      </c>
      <c r="D11501" t="inlineStr">
        <is>
          <t>1350-02-10</t>
        </is>
      </c>
    </row>
    <row r="11502">
      <c r="A11502" s="1" t="n">
        <v>11501</v>
      </c>
      <c r="B11502">
        <f>TEXT(11501, "[$-170000]yyyy-mm-dd")</f>
        <v/>
      </c>
      <c r="C11502">
        <f>TEXT(11501, "[$-060000]yyyy-mm-dd")</f>
        <v/>
      </c>
      <c r="D11502" t="inlineStr">
        <is>
          <t>1350-02-11</t>
        </is>
      </c>
    </row>
    <row r="11503">
      <c r="A11503" s="1" t="n">
        <v>11502</v>
      </c>
      <c r="B11503">
        <f>TEXT(11502, "[$-170000]yyyy-mm-dd")</f>
        <v/>
      </c>
      <c r="C11503">
        <f>TEXT(11502, "[$-060000]yyyy-mm-dd")</f>
        <v/>
      </c>
      <c r="D11503" t="inlineStr">
        <is>
          <t>1350-02-12</t>
        </is>
      </c>
    </row>
    <row r="11504">
      <c r="A11504" s="1" t="n">
        <v>11503</v>
      </c>
      <c r="B11504">
        <f>TEXT(11503, "[$-170000]yyyy-mm-dd")</f>
        <v/>
      </c>
      <c r="C11504">
        <f>TEXT(11503, "[$-060000]yyyy-mm-dd")</f>
        <v/>
      </c>
      <c r="D11504" t="inlineStr">
        <is>
          <t>1350-02-13</t>
        </is>
      </c>
    </row>
    <row r="11505">
      <c r="A11505" s="1" t="n">
        <v>11504</v>
      </c>
      <c r="B11505">
        <f>TEXT(11504, "[$-170000]yyyy-mm-dd")</f>
        <v/>
      </c>
      <c r="C11505">
        <f>TEXT(11504, "[$-060000]yyyy-mm-dd")</f>
        <v/>
      </c>
      <c r="D11505" t="inlineStr">
        <is>
          <t>1350-02-14</t>
        </is>
      </c>
    </row>
    <row r="11506">
      <c r="A11506" s="1" t="n">
        <v>11505</v>
      </c>
      <c r="B11506">
        <f>TEXT(11505, "[$-170000]yyyy-mm-dd")</f>
        <v/>
      </c>
      <c r="C11506">
        <f>TEXT(11505, "[$-060000]yyyy-mm-dd")</f>
        <v/>
      </c>
      <c r="D11506" t="inlineStr">
        <is>
          <t>1350-02-15</t>
        </is>
      </c>
    </row>
    <row r="11507">
      <c r="A11507" s="1" t="n">
        <v>11506</v>
      </c>
      <c r="B11507">
        <f>TEXT(11506, "[$-170000]yyyy-mm-dd")</f>
        <v/>
      </c>
      <c r="C11507">
        <f>TEXT(11506, "[$-060000]yyyy-mm-dd")</f>
        <v/>
      </c>
      <c r="D11507" t="inlineStr">
        <is>
          <t>1350-02-16</t>
        </is>
      </c>
    </row>
    <row r="11508">
      <c r="A11508" s="1" t="n">
        <v>11507</v>
      </c>
      <c r="B11508">
        <f>TEXT(11507, "[$-170000]yyyy-mm-dd")</f>
        <v/>
      </c>
      <c r="C11508">
        <f>TEXT(11507, "[$-060000]yyyy-mm-dd")</f>
        <v/>
      </c>
      <c r="D11508" t="inlineStr">
        <is>
          <t>1350-02-17</t>
        </is>
      </c>
    </row>
    <row r="11509">
      <c r="A11509" s="1" t="n">
        <v>11508</v>
      </c>
      <c r="B11509">
        <f>TEXT(11508, "[$-170000]yyyy-mm-dd")</f>
        <v/>
      </c>
      <c r="C11509">
        <f>TEXT(11508, "[$-060000]yyyy-mm-dd")</f>
        <v/>
      </c>
      <c r="D11509" t="inlineStr">
        <is>
          <t>1350-02-18</t>
        </is>
      </c>
    </row>
    <row r="11510">
      <c r="A11510" s="1" t="n">
        <v>11509</v>
      </c>
      <c r="B11510">
        <f>TEXT(11509, "[$-170000]yyyy-mm-dd")</f>
        <v/>
      </c>
      <c r="C11510">
        <f>TEXT(11509, "[$-060000]yyyy-mm-dd")</f>
        <v/>
      </c>
      <c r="D11510" t="inlineStr">
        <is>
          <t>1350-02-19</t>
        </is>
      </c>
    </row>
    <row r="11511">
      <c r="A11511" s="1" t="n">
        <v>11510</v>
      </c>
      <c r="B11511">
        <f>TEXT(11510, "[$-170000]yyyy-mm-dd")</f>
        <v/>
      </c>
      <c r="C11511">
        <f>TEXT(11510, "[$-060000]yyyy-mm-dd")</f>
        <v/>
      </c>
      <c r="D11511" t="inlineStr">
        <is>
          <t>1350-02-20</t>
        </is>
      </c>
    </row>
    <row r="11512">
      <c r="A11512" s="1" t="n">
        <v>11511</v>
      </c>
      <c r="B11512">
        <f>TEXT(11511, "[$-170000]yyyy-mm-dd")</f>
        <v/>
      </c>
      <c r="C11512">
        <f>TEXT(11511, "[$-060000]yyyy-mm-dd")</f>
        <v/>
      </c>
      <c r="D11512" t="inlineStr">
        <is>
          <t>1350-02-21</t>
        </is>
      </c>
    </row>
    <row r="11513">
      <c r="A11513" s="1" t="n">
        <v>11512</v>
      </c>
      <c r="B11513">
        <f>TEXT(11512, "[$-170000]yyyy-mm-dd")</f>
        <v/>
      </c>
      <c r="C11513">
        <f>TEXT(11512, "[$-060000]yyyy-mm-dd")</f>
        <v/>
      </c>
      <c r="D11513" t="inlineStr">
        <is>
          <t>1350-02-22</t>
        </is>
      </c>
    </row>
    <row r="11514">
      <c r="A11514" s="1" t="n">
        <v>11513</v>
      </c>
      <c r="B11514">
        <f>TEXT(11513, "[$-170000]yyyy-mm-dd")</f>
        <v/>
      </c>
      <c r="C11514">
        <f>TEXT(11513, "[$-060000]yyyy-mm-dd")</f>
        <v/>
      </c>
      <c r="D11514" t="inlineStr">
        <is>
          <t>1350-02-23</t>
        </is>
      </c>
    </row>
    <row r="11515">
      <c r="A11515" s="1" t="n">
        <v>11514</v>
      </c>
      <c r="B11515">
        <f>TEXT(11514, "[$-170000]yyyy-mm-dd")</f>
        <v/>
      </c>
      <c r="C11515">
        <f>TEXT(11514, "[$-060000]yyyy-mm-dd")</f>
        <v/>
      </c>
      <c r="D11515" t="inlineStr">
        <is>
          <t>1350-02-24</t>
        </is>
      </c>
    </row>
    <row r="11516">
      <c r="A11516" s="1" t="n">
        <v>11515</v>
      </c>
      <c r="B11516">
        <f>TEXT(11515, "[$-170000]yyyy-mm-dd")</f>
        <v/>
      </c>
      <c r="C11516">
        <f>TEXT(11515, "[$-060000]yyyy-mm-dd")</f>
        <v/>
      </c>
      <c r="D11516" t="inlineStr">
        <is>
          <t>1350-02-25</t>
        </is>
      </c>
    </row>
    <row r="11517">
      <c r="A11517" s="1" t="n">
        <v>11516</v>
      </c>
      <c r="B11517">
        <f>TEXT(11516, "[$-170000]yyyy-mm-dd")</f>
        <v/>
      </c>
      <c r="C11517">
        <f>TEXT(11516, "[$-060000]yyyy-mm-dd")</f>
        <v/>
      </c>
      <c r="D11517" t="inlineStr">
        <is>
          <t>1350-02-26</t>
        </is>
      </c>
    </row>
    <row r="11518">
      <c r="A11518" s="1" t="n">
        <v>11517</v>
      </c>
      <c r="B11518">
        <f>TEXT(11517, "[$-170000]yyyy-mm-dd")</f>
        <v/>
      </c>
      <c r="C11518">
        <f>TEXT(11517, "[$-060000]yyyy-mm-dd")</f>
        <v/>
      </c>
      <c r="D11518" t="inlineStr">
        <is>
          <t>1350-02-27</t>
        </is>
      </c>
    </row>
    <row r="11519">
      <c r="A11519" s="1" t="n">
        <v>11518</v>
      </c>
      <c r="B11519">
        <f>TEXT(11518, "[$-170000]yyyy-mm-dd")</f>
        <v/>
      </c>
      <c r="C11519">
        <f>TEXT(11518, "[$-060000]yyyy-mm-dd")</f>
        <v/>
      </c>
      <c r="D11519" t="inlineStr">
        <is>
          <t>1350-02-28</t>
        </is>
      </c>
    </row>
    <row r="11520">
      <c r="A11520" s="1" t="n">
        <v>11519</v>
      </c>
      <c r="B11520">
        <f>TEXT(11519, "[$-170000]yyyy-mm-dd")</f>
        <v/>
      </c>
      <c r="C11520">
        <f>TEXT(11519, "[$-060000]yyyy-mm-dd")</f>
        <v/>
      </c>
      <c r="D11520" t="inlineStr">
        <is>
          <t>1350-02-29</t>
        </is>
      </c>
    </row>
    <row r="11521">
      <c r="A11521" s="1" t="n">
        <v>11520</v>
      </c>
      <c r="B11521">
        <f>TEXT(11520, "[$-170000]yyyy-mm-dd")</f>
        <v/>
      </c>
      <c r="C11521">
        <f>TEXT(11520, "[$-060000]yyyy-mm-dd")</f>
        <v/>
      </c>
      <c r="D11521" t="inlineStr">
        <is>
          <t>1350-03-01</t>
        </is>
      </c>
    </row>
    <row r="11522">
      <c r="A11522" s="1" t="n">
        <v>11521</v>
      </c>
      <c r="B11522">
        <f>TEXT(11521, "[$-170000]yyyy-mm-dd")</f>
        <v/>
      </c>
      <c r="C11522">
        <f>TEXT(11521, "[$-060000]yyyy-mm-dd")</f>
        <v/>
      </c>
      <c r="D11522" t="inlineStr">
        <is>
          <t>1350-03-02</t>
        </is>
      </c>
    </row>
    <row r="11523">
      <c r="A11523" s="1" t="n">
        <v>11522</v>
      </c>
      <c r="B11523">
        <f>TEXT(11522, "[$-170000]yyyy-mm-dd")</f>
        <v/>
      </c>
      <c r="C11523">
        <f>TEXT(11522, "[$-060000]yyyy-mm-dd")</f>
        <v/>
      </c>
      <c r="D11523" t="inlineStr">
        <is>
          <t>1350-03-03</t>
        </is>
      </c>
    </row>
    <row r="11524">
      <c r="A11524" s="1" t="n">
        <v>11523</v>
      </c>
      <c r="B11524">
        <f>TEXT(11523, "[$-170000]yyyy-mm-dd")</f>
        <v/>
      </c>
      <c r="C11524">
        <f>TEXT(11523, "[$-060000]yyyy-mm-dd")</f>
        <v/>
      </c>
      <c r="D11524" t="inlineStr">
        <is>
          <t>1350-03-04</t>
        </is>
      </c>
    </row>
    <row r="11525">
      <c r="A11525" s="1" t="n">
        <v>11524</v>
      </c>
      <c r="B11525">
        <f>TEXT(11524, "[$-170000]yyyy-mm-dd")</f>
        <v/>
      </c>
      <c r="C11525">
        <f>TEXT(11524, "[$-060000]yyyy-mm-dd")</f>
        <v/>
      </c>
      <c r="D11525" t="inlineStr">
        <is>
          <t>1350-03-05</t>
        </is>
      </c>
    </row>
    <row r="11526">
      <c r="A11526" s="1" t="n">
        <v>11525</v>
      </c>
      <c r="B11526">
        <f>TEXT(11525, "[$-170000]yyyy-mm-dd")</f>
        <v/>
      </c>
      <c r="C11526">
        <f>TEXT(11525, "[$-060000]yyyy-mm-dd")</f>
        <v/>
      </c>
      <c r="D11526" t="inlineStr">
        <is>
          <t>1350-03-06</t>
        </is>
      </c>
    </row>
    <row r="11527">
      <c r="A11527" s="1" t="n">
        <v>11526</v>
      </c>
      <c r="B11527">
        <f>TEXT(11526, "[$-170000]yyyy-mm-dd")</f>
        <v/>
      </c>
      <c r="C11527">
        <f>TEXT(11526, "[$-060000]yyyy-mm-dd")</f>
        <v/>
      </c>
      <c r="D11527" t="inlineStr">
        <is>
          <t>1350-03-07</t>
        </is>
      </c>
    </row>
    <row r="11528">
      <c r="A11528" s="1" t="n">
        <v>11527</v>
      </c>
      <c r="B11528">
        <f>TEXT(11527, "[$-170000]yyyy-mm-dd")</f>
        <v/>
      </c>
      <c r="C11528">
        <f>TEXT(11527, "[$-060000]yyyy-mm-dd")</f>
        <v/>
      </c>
      <c r="D11528" t="inlineStr">
        <is>
          <t>1350-03-08</t>
        </is>
      </c>
    </row>
    <row r="11529">
      <c r="A11529" s="1" t="n">
        <v>11528</v>
      </c>
      <c r="B11529">
        <f>TEXT(11528, "[$-170000]yyyy-mm-dd")</f>
        <v/>
      </c>
      <c r="C11529">
        <f>TEXT(11528, "[$-060000]yyyy-mm-dd")</f>
        <v/>
      </c>
      <c r="D11529" t="inlineStr">
        <is>
          <t>1350-03-09</t>
        </is>
      </c>
    </row>
    <row r="11530">
      <c r="A11530" s="1" t="n">
        <v>11529</v>
      </c>
      <c r="B11530">
        <f>TEXT(11529, "[$-170000]yyyy-mm-dd")</f>
        <v/>
      </c>
      <c r="C11530">
        <f>TEXT(11529, "[$-060000]yyyy-mm-dd")</f>
        <v/>
      </c>
      <c r="D11530" t="inlineStr">
        <is>
          <t>1350-03-10</t>
        </is>
      </c>
    </row>
    <row r="11531">
      <c r="A11531" s="1" t="n">
        <v>11530</v>
      </c>
      <c r="B11531">
        <f>TEXT(11530, "[$-170000]yyyy-mm-dd")</f>
        <v/>
      </c>
      <c r="C11531">
        <f>TEXT(11530, "[$-060000]yyyy-mm-dd")</f>
        <v/>
      </c>
      <c r="D11531" t="inlineStr">
        <is>
          <t>1350-03-11</t>
        </is>
      </c>
    </row>
    <row r="11532">
      <c r="A11532" s="1" t="n">
        <v>11531</v>
      </c>
      <c r="B11532">
        <f>TEXT(11531, "[$-170000]yyyy-mm-dd")</f>
        <v/>
      </c>
      <c r="C11532">
        <f>TEXT(11531, "[$-060000]yyyy-mm-dd")</f>
        <v/>
      </c>
      <c r="D11532" t="inlineStr">
        <is>
          <t>1350-03-12</t>
        </is>
      </c>
    </row>
    <row r="11533">
      <c r="A11533" s="1" t="n">
        <v>11532</v>
      </c>
      <c r="B11533">
        <f>TEXT(11532, "[$-170000]yyyy-mm-dd")</f>
        <v/>
      </c>
      <c r="C11533">
        <f>TEXT(11532, "[$-060000]yyyy-mm-dd")</f>
        <v/>
      </c>
      <c r="D11533" t="inlineStr">
        <is>
          <t>1350-03-13</t>
        </is>
      </c>
    </row>
    <row r="11534">
      <c r="A11534" s="1" t="n">
        <v>11533</v>
      </c>
      <c r="B11534">
        <f>TEXT(11533, "[$-170000]yyyy-mm-dd")</f>
        <v/>
      </c>
      <c r="C11534">
        <f>TEXT(11533, "[$-060000]yyyy-mm-dd")</f>
        <v/>
      </c>
      <c r="D11534" t="inlineStr">
        <is>
          <t>1350-03-14</t>
        </is>
      </c>
    </row>
    <row r="11535">
      <c r="A11535" s="1" t="n">
        <v>11534</v>
      </c>
      <c r="B11535">
        <f>TEXT(11534, "[$-170000]yyyy-mm-dd")</f>
        <v/>
      </c>
      <c r="C11535">
        <f>TEXT(11534, "[$-060000]yyyy-mm-dd")</f>
        <v/>
      </c>
      <c r="D11535" t="inlineStr">
        <is>
          <t>1350-03-15</t>
        </is>
      </c>
    </row>
    <row r="11536">
      <c r="A11536" s="1" t="n">
        <v>11535</v>
      </c>
      <c r="B11536">
        <f>TEXT(11535, "[$-170000]yyyy-mm-dd")</f>
        <v/>
      </c>
      <c r="C11536">
        <f>TEXT(11535, "[$-060000]yyyy-mm-dd")</f>
        <v/>
      </c>
      <c r="D11536" t="inlineStr">
        <is>
          <t>1350-03-16</t>
        </is>
      </c>
    </row>
    <row r="11537">
      <c r="A11537" s="1" t="n">
        <v>11536</v>
      </c>
      <c r="B11537">
        <f>TEXT(11536, "[$-170000]yyyy-mm-dd")</f>
        <v/>
      </c>
      <c r="C11537">
        <f>TEXT(11536, "[$-060000]yyyy-mm-dd")</f>
        <v/>
      </c>
      <c r="D11537" t="inlineStr">
        <is>
          <t>1350-03-17</t>
        </is>
      </c>
    </row>
    <row r="11538">
      <c r="A11538" s="1" t="n">
        <v>11537</v>
      </c>
      <c r="B11538">
        <f>TEXT(11537, "[$-170000]yyyy-mm-dd")</f>
        <v/>
      </c>
      <c r="C11538">
        <f>TEXT(11537, "[$-060000]yyyy-mm-dd")</f>
        <v/>
      </c>
      <c r="D11538" t="inlineStr">
        <is>
          <t>1350-03-18</t>
        </is>
      </c>
    </row>
    <row r="11539">
      <c r="A11539" s="1" t="n">
        <v>11538</v>
      </c>
      <c r="B11539">
        <f>TEXT(11538, "[$-170000]yyyy-mm-dd")</f>
        <v/>
      </c>
      <c r="C11539">
        <f>TEXT(11538, "[$-060000]yyyy-mm-dd")</f>
        <v/>
      </c>
      <c r="D11539" t="inlineStr">
        <is>
          <t>1350-03-19</t>
        </is>
      </c>
    </row>
    <row r="11540">
      <c r="A11540" s="1" t="n">
        <v>11539</v>
      </c>
      <c r="B11540">
        <f>TEXT(11539, "[$-170000]yyyy-mm-dd")</f>
        <v/>
      </c>
      <c r="C11540">
        <f>TEXT(11539, "[$-060000]yyyy-mm-dd")</f>
        <v/>
      </c>
      <c r="D11540" t="inlineStr">
        <is>
          <t>1350-03-20</t>
        </is>
      </c>
    </row>
    <row r="11541">
      <c r="A11541" s="1" t="n">
        <v>11540</v>
      </c>
      <c r="B11541">
        <f>TEXT(11540, "[$-170000]yyyy-mm-dd")</f>
        <v/>
      </c>
      <c r="C11541">
        <f>TEXT(11540, "[$-060000]yyyy-mm-dd")</f>
        <v/>
      </c>
      <c r="D11541" t="inlineStr">
        <is>
          <t>1350-03-21</t>
        </is>
      </c>
    </row>
    <row r="11542">
      <c r="A11542" s="1" t="n">
        <v>11541</v>
      </c>
      <c r="B11542">
        <f>TEXT(11541, "[$-170000]yyyy-mm-dd")</f>
        <v/>
      </c>
      <c r="C11542">
        <f>TEXT(11541, "[$-060000]yyyy-mm-dd")</f>
        <v/>
      </c>
      <c r="D11542" t="inlineStr">
        <is>
          <t>1350-03-22</t>
        </is>
      </c>
    </row>
    <row r="11543">
      <c r="A11543" s="1" t="n">
        <v>11542</v>
      </c>
      <c r="B11543">
        <f>TEXT(11542, "[$-170000]yyyy-mm-dd")</f>
        <v/>
      </c>
      <c r="C11543">
        <f>TEXT(11542, "[$-060000]yyyy-mm-dd")</f>
        <v/>
      </c>
      <c r="D11543" t="inlineStr">
        <is>
          <t>1350-03-23</t>
        </is>
      </c>
    </row>
    <row r="11544">
      <c r="A11544" s="1" t="n">
        <v>11543</v>
      </c>
      <c r="B11544">
        <f>TEXT(11543, "[$-170000]yyyy-mm-dd")</f>
        <v/>
      </c>
      <c r="C11544">
        <f>TEXT(11543, "[$-060000]yyyy-mm-dd")</f>
        <v/>
      </c>
      <c r="D11544" t="inlineStr">
        <is>
          <t>1350-03-24</t>
        </is>
      </c>
    </row>
    <row r="11545">
      <c r="A11545" s="1" t="n">
        <v>11544</v>
      </c>
      <c r="B11545">
        <f>TEXT(11544, "[$-170000]yyyy-mm-dd")</f>
        <v/>
      </c>
      <c r="C11545">
        <f>TEXT(11544, "[$-060000]yyyy-mm-dd")</f>
        <v/>
      </c>
      <c r="D11545" t="inlineStr">
        <is>
          <t>1350-03-25</t>
        </is>
      </c>
    </row>
    <row r="11546">
      <c r="A11546" s="1" t="n">
        <v>11545</v>
      </c>
      <c r="B11546">
        <f>TEXT(11545, "[$-170000]yyyy-mm-dd")</f>
        <v/>
      </c>
      <c r="C11546">
        <f>TEXT(11545, "[$-060000]yyyy-mm-dd")</f>
        <v/>
      </c>
      <c r="D11546" t="inlineStr">
        <is>
          <t>1350-03-26</t>
        </is>
      </c>
    </row>
    <row r="11547">
      <c r="A11547" s="1" t="n">
        <v>11546</v>
      </c>
      <c r="B11547">
        <f>TEXT(11546, "[$-170000]yyyy-mm-dd")</f>
        <v/>
      </c>
      <c r="C11547">
        <f>TEXT(11546, "[$-060000]yyyy-mm-dd")</f>
        <v/>
      </c>
      <c r="D11547" t="inlineStr">
        <is>
          <t>1350-03-27</t>
        </is>
      </c>
    </row>
    <row r="11548">
      <c r="A11548" s="1" t="n">
        <v>11547</v>
      </c>
      <c r="B11548">
        <f>TEXT(11547, "[$-170000]yyyy-mm-dd")</f>
        <v/>
      </c>
      <c r="C11548">
        <f>TEXT(11547, "[$-060000]yyyy-mm-dd")</f>
        <v/>
      </c>
      <c r="D11548" t="inlineStr">
        <is>
          <t>1350-03-28</t>
        </is>
      </c>
    </row>
    <row r="11549">
      <c r="A11549" s="1" t="n">
        <v>11548</v>
      </c>
      <c r="B11549">
        <f>TEXT(11548, "[$-170000]yyyy-mm-dd")</f>
        <v/>
      </c>
      <c r="C11549">
        <f>TEXT(11548, "[$-060000]yyyy-mm-dd")</f>
        <v/>
      </c>
      <c r="D11549" t="inlineStr">
        <is>
          <t>1350-03-29</t>
        </is>
      </c>
    </row>
    <row r="11550">
      <c r="A11550" s="1" t="n">
        <v>11549</v>
      </c>
      <c r="B11550">
        <f>TEXT(11549, "[$-170000]yyyy-mm-dd")</f>
        <v/>
      </c>
      <c r="C11550">
        <f>TEXT(11549, "[$-060000]yyyy-mm-dd")</f>
        <v/>
      </c>
      <c r="D11550" t="inlineStr">
        <is>
          <t>1350-03-30</t>
        </is>
      </c>
    </row>
    <row r="11551">
      <c r="A11551" s="1" t="n">
        <v>11550</v>
      </c>
      <c r="B11551">
        <f>TEXT(11550, "[$-170000]yyyy-mm-dd")</f>
        <v/>
      </c>
      <c r="C11551">
        <f>TEXT(11550, "[$-060000]yyyy-mm-dd")</f>
        <v/>
      </c>
      <c r="D11551" t="inlineStr">
        <is>
          <t>1350-04-01</t>
        </is>
      </c>
    </row>
    <row r="11552">
      <c r="A11552" s="1" t="n">
        <v>11551</v>
      </c>
      <c r="B11552">
        <f>TEXT(11551, "[$-170000]yyyy-mm-dd")</f>
        <v/>
      </c>
      <c r="C11552">
        <f>TEXT(11551, "[$-060000]yyyy-mm-dd")</f>
        <v/>
      </c>
      <c r="D11552" t="inlineStr">
        <is>
          <t>1350-04-02</t>
        </is>
      </c>
    </row>
    <row r="11553">
      <c r="A11553" s="1" t="n">
        <v>11552</v>
      </c>
      <c r="B11553">
        <f>TEXT(11552, "[$-170000]yyyy-mm-dd")</f>
        <v/>
      </c>
      <c r="C11553">
        <f>TEXT(11552, "[$-060000]yyyy-mm-dd")</f>
        <v/>
      </c>
      <c r="D11553" t="inlineStr">
        <is>
          <t>1350-04-03</t>
        </is>
      </c>
    </row>
    <row r="11554">
      <c r="A11554" s="1" t="n">
        <v>11553</v>
      </c>
      <c r="B11554">
        <f>TEXT(11553, "[$-170000]yyyy-mm-dd")</f>
        <v/>
      </c>
      <c r="C11554">
        <f>TEXT(11553, "[$-060000]yyyy-mm-dd")</f>
        <v/>
      </c>
      <c r="D11554" t="inlineStr">
        <is>
          <t>1350-04-04</t>
        </is>
      </c>
    </row>
    <row r="11555">
      <c r="A11555" s="1" t="n">
        <v>11554</v>
      </c>
      <c r="B11555">
        <f>TEXT(11554, "[$-170000]yyyy-mm-dd")</f>
        <v/>
      </c>
      <c r="C11555">
        <f>TEXT(11554, "[$-060000]yyyy-mm-dd")</f>
        <v/>
      </c>
      <c r="D11555" t="inlineStr">
        <is>
          <t>1350-04-05</t>
        </is>
      </c>
    </row>
    <row r="11556">
      <c r="A11556" s="1" t="n">
        <v>11555</v>
      </c>
      <c r="B11556">
        <f>TEXT(11555, "[$-170000]yyyy-mm-dd")</f>
        <v/>
      </c>
      <c r="C11556">
        <f>TEXT(11555, "[$-060000]yyyy-mm-dd")</f>
        <v/>
      </c>
      <c r="D11556" t="inlineStr">
        <is>
          <t>1350-04-06</t>
        </is>
      </c>
    </row>
    <row r="11557">
      <c r="A11557" s="1" t="n">
        <v>11556</v>
      </c>
      <c r="B11557">
        <f>TEXT(11556, "[$-170000]yyyy-mm-dd")</f>
        <v/>
      </c>
      <c r="C11557">
        <f>TEXT(11556, "[$-060000]yyyy-mm-dd")</f>
        <v/>
      </c>
      <c r="D11557" t="inlineStr">
        <is>
          <t>1350-04-07</t>
        </is>
      </c>
    </row>
    <row r="11558">
      <c r="A11558" s="1" t="n">
        <v>11557</v>
      </c>
      <c r="B11558">
        <f>TEXT(11557, "[$-170000]yyyy-mm-dd")</f>
        <v/>
      </c>
      <c r="C11558">
        <f>TEXT(11557, "[$-060000]yyyy-mm-dd")</f>
        <v/>
      </c>
      <c r="D11558" t="inlineStr">
        <is>
          <t>1350-04-08</t>
        </is>
      </c>
    </row>
    <row r="11559">
      <c r="A11559" s="1" t="n">
        <v>11558</v>
      </c>
      <c r="B11559">
        <f>TEXT(11558, "[$-170000]yyyy-mm-dd")</f>
        <v/>
      </c>
      <c r="C11559">
        <f>TEXT(11558, "[$-060000]yyyy-mm-dd")</f>
        <v/>
      </c>
      <c r="D11559" t="inlineStr">
        <is>
          <t>1350-04-09</t>
        </is>
      </c>
    </row>
    <row r="11560">
      <c r="A11560" s="1" t="n">
        <v>11559</v>
      </c>
      <c r="B11560">
        <f>TEXT(11559, "[$-170000]yyyy-mm-dd")</f>
        <v/>
      </c>
      <c r="C11560">
        <f>TEXT(11559, "[$-060000]yyyy-mm-dd")</f>
        <v/>
      </c>
      <c r="D11560" t="inlineStr">
        <is>
          <t>1350-04-10</t>
        </is>
      </c>
    </row>
    <row r="11561">
      <c r="A11561" s="1" t="n">
        <v>11560</v>
      </c>
      <c r="B11561">
        <f>TEXT(11560, "[$-170000]yyyy-mm-dd")</f>
        <v/>
      </c>
      <c r="C11561">
        <f>TEXT(11560, "[$-060000]yyyy-mm-dd")</f>
        <v/>
      </c>
      <c r="D11561" t="inlineStr">
        <is>
          <t>1350-04-11</t>
        </is>
      </c>
    </row>
    <row r="11562">
      <c r="A11562" s="1" t="n">
        <v>11561</v>
      </c>
      <c r="B11562">
        <f>TEXT(11561, "[$-170000]yyyy-mm-dd")</f>
        <v/>
      </c>
      <c r="C11562">
        <f>TEXT(11561, "[$-060000]yyyy-mm-dd")</f>
        <v/>
      </c>
      <c r="D11562" t="inlineStr">
        <is>
          <t>1350-04-12</t>
        </is>
      </c>
    </row>
    <row r="11563">
      <c r="A11563" s="1" t="n">
        <v>11562</v>
      </c>
      <c r="B11563">
        <f>TEXT(11562, "[$-170000]yyyy-mm-dd")</f>
        <v/>
      </c>
      <c r="C11563">
        <f>TEXT(11562, "[$-060000]yyyy-mm-dd")</f>
        <v/>
      </c>
      <c r="D11563" t="inlineStr">
        <is>
          <t>1350-04-13</t>
        </is>
      </c>
    </row>
    <row r="11564">
      <c r="A11564" s="1" t="n">
        <v>11563</v>
      </c>
      <c r="B11564">
        <f>TEXT(11563, "[$-170000]yyyy-mm-dd")</f>
        <v/>
      </c>
      <c r="C11564">
        <f>TEXT(11563, "[$-060000]yyyy-mm-dd")</f>
        <v/>
      </c>
      <c r="D11564" t="inlineStr">
        <is>
          <t>1350-04-14</t>
        </is>
      </c>
    </row>
    <row r="11565">
      <c r="A11565" s="1" t="n">
        <v>11564</v>
      </c>
      <c r="B11565">
        <f>TEXT(11564, "[$-170000]yyyy-mm-dd")</f>
        <v/>
      </c>
      <c r="C11565">
        <f>TEXT(11564, "[$-060000]yyyy-mm-dd")</f>
        <v/>
      </c>
      <c r="D11565" t="inlineStr">
        <is>
          <t>1350-04-15</t>
        </is>
      </c>
    </row>
    <row r="11566">
      <c r="A11566" s="1" t="n">
        <v>11565</v>
      </c>
      <c r="B11566">
        <f>TEXT(11565, "[$-170000]yyyy-mm-dd")</f>
        <v/>
      </c>
      <c r="C11566">
        <f>TEXT(11565, "[$-060000]yyyy-mm-dd")</f>
        <v/>
      </c>
      <c r="D11566" t="inlineStr">
        <is>
          <t>1350-04-16</t>
        </is>
      </c>
    </row>
    <row r="11567">
      <c r="A11567" s="1" t="n">
        <v>11566</v>
      </c>
      <c r="B11567">
        <f>TEXT(11566, "[$-170000]yyyy-mm-dd")</f>
        <v/>
      </c>
      <c r="C11567">
        <f>TEXT(11566, "[$-060000]yyyy-mm-dd")</f>
        <v/>
      </c>
      <c r="D11567" t="inlineStr">
        <is>
          <t>1350-04-17</t>
        </is>
      </c>
    </row>
    <row r="11568">
      <c r="A11568" s="1" t="n">
        <v>11567</v>
      </c>
      <c r="B11568">
        <f>TEXT(11567, "[$-170000]yyyy-mm-dd")</f>
        <v/>
      </c>
      <c r="C11568">
        <f>TEXT(11567, "[$-060000]yyyy-mm-dd")</f>
        <v/>
      </c>
      <c r="D11568" t="inlineStr">
        <is>
          <t>1350-04-18</t>
        </is>
      </c>
    </row>
    <row r="11569">
      <c r="A11569" s="1" t="n">
        <v>11568</v>
      </c>
      <c r="B11569">
        <f>TEXT(11568, "[$-170000]yyyy-mm-dd")</f>
        <v/>
      </c>
      <c r="C11569">
        <f>TEXT(11568, "[$-060000]yyyy-mm-dd")</f>
        <v/>
      </c>
      <c r="D11569" t="inlineStr">
        <is>
          <t>1350-04-19</t>
        </is>
      </c>
    </row>
    <row r="11570">
      <c r="A11570" s="1" t="n">
        <v>11569</v>
      </c>
      <c r="B11570">
        <f>TEXT(11569, "[$-170000]yyyy-mm-dd")</f>
        <v/>
      </c>
      <c r="C11570">
        <f>TEXT(11569, "[$-060000]yyyy-mm-dd")</f>
        <v/>
      </c>
      <c r="D11570" t="inlineStr">
        <is>
          <t>1350-04-20</t>
        </is>
      </c>
    </row>
    <row r="11571">
      <c r="A11571" s="1" t="n">
        <v>11570</v>
      </c>
      <c r="B11571">
        <f>TEXT(11570, "[$-170000]yyyy-mm-dd")</f>
        <v/>
      </c>
      <c r="C11571">
        <f>TEXT(11570, "[$-060000]yyyy-mm-dd")</f>
        <v/>
      </c>
      <c r="D11571" t="inlineStr">
        <is>
          <t>1350-04-21</t>
        </is>
      </c>
    </row>
    <row r="11572">
      <c r="A11572" s="1" t="n">
        <v>11571</v>
      </c>
      <c r="B11572">
        <f>TEXT(11571, "[$-170000]yyyy-mm-dd")</f>
        <v/>
      </c>
      <c r="C11572">
        <f>TEXT(11571, "[$-060000]yyyy-mm-dd")</f>
        <v/>
      </c>
      <c r="D11572" t="inlineStr">
        <is>
          <t>1350-04-22</t>
        </is>
      </c>
    </row>
    <row r="11573">
      <c r="A11573" s="1" t="n">
        <v>11572</v>
      </c>
      <c r="B11573">
        <f>TEXT(11572, "[$-170000]yyyy-mm-dd")</f>
        <v/>
      </c>
      <c r="C11573">
        <f>TEXT(11572, "[$-060000]yyyy-mm-dd")</f>
        <v/>
      </c>
      <c r="D11573" t="inlineStr">
        <is>
          <t>1350-04-23</t>
        </is>
      </c>
    </row>
    <row r="11574">
      <c r="A11574" s="1" t="n">
        <v>11573</v>
      </c>
      <c r="B11574">
        <f>TEXT(11573, "[$-170000]yyyy-mm-dd")</f>
        <v/>
      </c>
      <c r="C11574">
        <f>TEXT(11573, "[$-060000]yyyy-mm-dd")</f>
        <v/>
      </c>
      <c r="D11574" t="inlineStr">
        <is>
          <t>1350-04-24</t>
        </is>
      </c>
    </row>
    <row r="11575">
      <c r="A11575" s="1" t="n">
        <v>11574</v>
      </c>
      <c r="B11575">
        <f>TEXT(11574, "[$-170000]yyyy-mm-dd")</f>
        <v/>
      </c>
      <c r="C11575">
        <f>TEXT(11574, "[$-060000]yyyy-mm-dd")</f>
        <v/>
      </c>
      <c r="D11575" t="inlineStr">
        <is>
          <t>1350-04-25</t>
        </is>
      </c>
    </row>
    <row r="11576">
      <c r="A11576" s="1" t="n">
        <v>11575</v>
      </c>
      <c r="B11576">
        <f>TEXT(11575, "[$-170000]yyyy-mm-dd")</f>
        <v/>
      </c>
      <c r="C11576">
        <f>TEXT(11575, "[$-060000]yyyy-mm-dd")</f>
        <v/>
      </c>
      <c r="D11576" t="inlineStr">
        <is>
          <t>1350-04-26</t>
        </is>
      </c>
    </row>
    <row r="11577">
      <c r="A11577" s="1" t="n">
        <v>11576</v>
      </c>
      <c r="B11577">
        <f>TEXT(11576, "[$-170000]yyyy-mm-dd")</f>
        <v/>
      </c>
      <c r="C11577">
        <f>TEXT(11576, "[$-060000]yyyy-mm-dd")</f>
        <v/>
      </c>
      <c r="D11577" t="inlineStr">
        <is>
          <t>1350-04-27</t>
        </is>
      </c>
    </row>
    <row r="11578">
      <c r="A11578" s="1" t="n">
        <v>11577</v>
      </c>
      <c r="B11578">
        <f>TEXT(11577, "[$-170000]yyyy-mm-dd")</f>
        <v/>
      </c>
      <c r="C11578">
        <f>TEXT(11577, "[$-060000]yyyy-mm-dd")</f>
        <v/>
      </c>
      <c r="D11578" t="inlineStr">
        <is>
          <t>1350-04-28</t>
        </is>
      </c>
    </row>
    <row r="11579">
      <c r="A11579" s="1" t="n">
        <v>11578</v>
      </c>
      <c r="B11579">
        <f>TEXT(11578, "[$-170000]yyyy-mm-dd")</f>
        <v/>
      </c>
      <c r="C11579">
        <f>TEXT(11578, "[$-060000]yyyy-mm-dd")</f>
        <v/>
      </c>
      <c r="D11579" t="inlineStr">
        <is>
          <t>1350-04-29</t>
        </is>
      </c>
    </row>
    <row r="11580">
      <c r="A11580" s="1" t="n">
        <v>11579</v>
      </c>
      <c r="B11580">
        <f>TEXT(11579, "[$-170000]yyyy-mm-dd")</f>
        <v/>
      </c>
      <c r="C11580">
        <f>TEXT(11579, "[$-060000]yyyy-mm-dd")</f>
        <v/>
      </c>
      <c r="D11580" t="inlineStr">
        <is>
          <t>1350-05-01</t>
        </is>
      </c>
    </row>
    <row r="11581">
      <c r="A11581" s="1" t="n">
        <v>11580</v>
      </c>
      <c r="B11581">
        <f>TEXT(11580, "[$-170000]yyyy-mm-dd")</f>
        <v/>
      </c>
      <c r="C11581">
        <f>TEXT(11580, "[$-060000]yyyy-mm-dd")</f>
        <v/>
      </c>
      <c r="D11581" t="inlineStr">
        <is>
          <t>1350-05-02</t>
        </is>
      </c>
    </row>
    <row r="11582">
      <c r="A11582" s="1" t="n">
        <v>11581</v>
      </c>
      <c r="B11582">
        <f>TEXT(11581, "[$-170000]yyyy-mm-dd")</f>
        <v/>
      </c>
      <c r="C11582">
        <f>TEXT(11581, "[$-060000]yyyy-mm-dd")</f>
        <v/>
      </c>
      <c r="D11582" t="inlineStr">
        <is>
          <t>1350-05-03</t>
        </is>
      </c>
    </row>
    <row r="11583">
      <c r="A11583" s="1" t="n">
        <v>11582</v>
      </c>
      <c r="B11583">
        <f>TEXT(11582, "[$-170000]yyyy-mm-dd")</f>
        <v/>
      </c>
      <c r="C11583">
        <f>TEXT(11582, "[$-060000]yyyy-mm-dd")</f>
        <v/>
      </c>
      <c r="D11583" t="inlineStr">
        <is>
          <t>1350-05-04</t>
        </is>
      </c>
    </row>
    <row r="11584">
      <c r="A11584" s="1" t="n">
        <v>11583</v>
      </c>
      <c r="B11584">
        <f>TEXT(11583, "[$-170000]yyyy-mm-dd")</f>
        <v/>
      </c>
      <c r="C11584">
        <f>TEXT(11583, "[$-060000]yyyy-mm-dd")</f>
        <v/>
      </c>
      <c r="D11584" t="inlineStr">
        <is>
          <t>1350-05-05</t>
        </is>
      </c>
    </row>
    <row r="11585">
      <c r="A11585" s="1" t="n">
        <v>11584</v>
      </c>
      <c r="B11585">
        <f>TEXT(11584, "[$-170000]yyyy-mm-dd")</f>
        <v/>
      </c>
      <c r="C11585">
        <f>TEXT(11584, "[$-060000]yyyy-mm-dd")</f>
        <v/>
      </c>
      <c r="D11585" t="inlineStr">
        <is>
          <t>1350-05-06</t>
        </is>
      </c>
    </row>
    <row r="11586">
      <c r="A11586" s="1" t="n">
        <v>11585</v>
      </c>
      <c r="B11586">
        <f>TEXT(11585, "[$-170000]yyyy-mm-dd")</f>
        <v/>
      </c>
      <c r="C11586">
        <f>TEXT(11585, "[$-060000]yyyy-mm-dd")</f>
        <v/>
      </c>
      <c r="D11586" t="inlineStr">
        <is>
          <t>1350-05-07</t>
        </is>
      </c>
    </row>
    <row r="11587">
      <c r="A11587" s="1" t="n">
        <v>11586</v>
      </c>
      <c r="B11587">
        <f>TEXT(11586, "[$-170000]yyyy-mm-dd")</f>
        <v/>
      </c>
      <c r="C11587">
        <f>TEXT(11586, "[$-060000]yyyy-mm-dd")</f>
        <v/>
      </c>
      <c r="D11587" t="inlineStr">
        <is>
          <t>1350-05-08</t>
        </is>
      </c>
    </row>
    <row r="11588">
      <c r="A11588" s="1" t="n">
        <v>11587</v>
      </c>
      <c r="B11588">
        <f>TEXT(11587, "[$-170000]yyyy-mm-dd")</f>
        <v/>
      </c>
      <c r="C11588">
        <f>TEXT(11587, "[$-060000]yyyy-mm-dd")</f>
        <v/>
      </c>
      <c r="D11588" t="inlineStr">
        <is>
          <t>1350-05-09</t>
        </is>
      </c>
    </row>
    <row r="11589">
      <c r="A11589" s="1" t="n">
        <v>11588</v>
      </c>
      <c r="B11589">
        <f>TEXT(11588, "[$-170000]yyyy-mm-dd")</f>
        <v/>
      </c>
      <c r="C11589">
        <f>TEXT(11588, "[$-060000]yyyy-mm-dd")</f>
        <v/>
      </c>
      <c r="D11589" t="inlineStr">
        <is>
          <t>1350-05-10</t>
        </is>
      </c>
    </row>
    <row r="11590">
      <c r="A11590" s="1" t="n">
        <v>11589</v>
      </c>
      <c r="B11590">
        <f>TEXT(11589, "[$-170000]yyyy-mm-dd")</f>
        <v/>
      </c>
      <c r="C11590">
        <f>TEXT(11589, "[$-060000]yyyy-mm-dd")</f>
        <v/>
      </c>
      <c r="D11590" t="inlineStr">
        <is>
          <t>1350-05-11</t>
        </is>
      </c>
    </row>
    <row r="11591">
      <c r="A11591" s="1" t="n">
        <v>11590</v>
      </c>
      <c r="B11591">
        <f>TEXT(11590, "[$-170000]yyyy-mm-dd")</f>
        <v/>
      </c>
      <c r="C11591">
        <f>TEXT(11590, "[$-060000]yyyy-mm-dd")</f>
        <v/>
      </c>
      <c r="D11591" t="inlineStr">
        <is>
          <t>1350-05-12</t>
        </is>
      </c>
    </row>
    <row r="11592">
      <c r="A11592" s="1" t="n">
        <v>11591</v>
      </c>
      <c r="B11592">
        <f>TEXT(11591, "[$-170000]yyyy-mm-dd")</f>
        <v/>
      </c>
      <c r="C11592">
        <f>TEXT(11591, "[$-060000]yyyy-mm-dd")</f>
        <v/>
      </c>
      <c r="D11592" t="inlineStr">
        <is>
          <t>1350-05-13</t>
        </is>
      </c>
    </row>
    <row r="11593">
      <c r="A11593" s="1" t="n">
        <v>11592</v>
      </c>
      <c r="B11593">
        <f>TEXT(11592, "[$-170000]yyyy-mm-dd")</f>
        <v/>
      </c>
      <c r="C11593">
        <f>TEXT(11592, "[$-060000]yyyy-mm-dd")</f>
        <v/>
      </c>
      <c r="D11593" t="inlineStr">
        <is>
          <t>1350-05-14</t>
        </is>
      </c>
    </row>
    <row r="11594">
      <c r="A11594" s="1" t="n">
        <v>11593</v>
      </c>
      <c r="B11594">
        <f>TEXT(11593, "[$-170000]yyyy-mm-dd")</f>
        <v/>
      </c>
      <c r="C11594">
        <f>TEXT(11593, "[$-060000]yyyy-mm-dd")</f>
        <v/>
      </c>
      <c r="D11594" t="inlineStr">
        <is>
          <t>1350-05-15</t>
        </is>
      </c>
    </row>
    <row r="11595">
      <c r="A11595" s="1" t="n">
        <v>11594</v>
      </c>
      <c r="B11595">
        <f>TEXT(11594, "[$-170000]yyyy-mm-dd")</f>
        <v/>
      </c>
      <c r="C11595">
        <f>TEXT(11594, "[$-060000]yyyy-mm-dd")</f>
        <v/>
      </c>
      <c r="D11595" t="inlineStr">
        <is>
          <t>1350-05-16</t>
        </is>
      </c>
    </row>
    <row r="11596">
      <c r="A11596" s="1" t="n">
        <v>11595</v>
      </c>
      <c r="B11596">
        <f>TEXT(11595, "[$-170000]yyyy-mm-dd")</f>
        <v/>
      </c>
      <c r="C11596">
        <f>TEXT(11595, "[$-060000]yyyy-mm-dd")</f>
        <v/>
      </c>
      <c r="D11596" t="inlineStr">
        <is>
          <t>1350-05-17</t>
        </is>
      </c>
    </row>
    <row r="11597">
      <c r="A11597" s="1" t="n">
        <v>11596</v>
      </c>
      <c r="B11597">
        <f>TEXT(11596, "[$-170000]yyyy-mm-dd")</f>
        <v/>
      </c>
      <c r="C11597">
        <f>TEXT(11596, "[$-060000]yyyy-mm-dd")</f>
        <v/>
      </c>
      <c r="D11597" t="inlineStr">
        <is>
          <t>1350-05-18</t>
        </is>
      </c>
    </row>
    <row r="11598">
      <c r="A11598" s="1" t="n">
        <v>11597</v>
      </c>
      <c r="B11598">
        <f>TEXT(11597, "[$-170000]yyyy-mm-dd")</f>
        <v/>
      </c>
      <c r="C11598">
        <f>TEXT(11597, "[$-060000]yyyy-mm-dd")</f>
        <v/>
      </c>
      <c r="D11598" t="inlineStr">
        <is>
          <t>1350-05-19</t>
        </is>
      </c>
    </row>
    <row r="11599">
      <c r="A11599" s="1" t="n">
        <v>11598</v>
      </c>
      <c r="B11599">
        <f>TEXT(11598, "[$-170000]yyyy-mm-dd")</f>
        <v/>
      </c>
      <c r="C11599">
        <f>TEXT(11598, "[$-060000]yyyy-mm-dd")</f>
        <v/>
      </c>
      <c r="D11599" t="inlineStr">
        <is>
          <t>1350-05-20</t>
        </is>
      </c>
    </row>
    <row r="11600">
      <c r="A11600" s="1" t="n">
        <v>11599</v>
      </c>
      <c r="B11600">
        <f>TEXT(11599, "[$-170000]yyyy-mm-dd")</f>
        <v/>
      </c>
      <c r="C11600">
        <f>TEXT(11599, "[$-060000]yyyy-mm-dd")</f>
        <v/>
      </c>
      <c r="D11600" t="inlineStr">
        <is>
          <t>1350-05-21</t>
        </is>
      </c>
    </row>
    <row r="11601">
      <c r="A11601" s="1" t="n">
        <v>11600</v>
      </c>
      <c r="B11601">
        <f>TEXT(11600, "[$-170000]yyyy-mm-dd")</f>
        <v/>
      </c>
      <c r="C11601">
        <f>TEXT(11600, "[$-060000]yyyy-mm-dd")</f>
        <v/>
      </c>
      <c r="D11601" t="inlineStr">
        <is>
          <t>1350-05-22</t>
        </is>
      </c>
    </row>
    <row r="11602">
      <c r="A11602" s="1" t="n">
        <v>11601</v>
      </c>
      <c r="B11602">
        <f>TEXT(11601, "[$-170000]yyyy-mm-dd")</f>
        <v/>
      </c>
      <c r="C11602">
        <f>TEXT(11601, "[$-060000]yyyy-mm-dd")</f>
        <v/>
      </c>
      <c r="D11602" t="inlineStr">
        <is>
          <t>1350-05-23</t>
        </is>
      </c>
    </row>
    <row r="11603">
      <c r="A11603" s="1" t="n">
        <v>11602</v>
      </c>
      <c r="B11603">
        <f>TEXT(11602, "[$-170000]yyyy-mm-dd")</f>
        <v/>
      </c>
      <c r="C11603">
        <f>TEXT(11602, "[$-060000]yyyy-mm-dd")</f>
        <v/>
      </c>
      <c r="D11603" t="inlineStr">
        <is>
          <t>1350-05-24</t>
        </is>
      </c>
    </row>
    <row r="11604">
      <c r="A11604" s="1" t="n">
        <v>11603</v>
      </c>
      <c r="B11604">
        <f>TEXT(11603, "[$-170000]yyyy-mm-dd")</f>
        <v/>
      </c>
      <c r="C11604">
        <f>TEXT(11603, "[$-060000]yyyy-mm-dd")</f>
        <v/>
      </c>
      <c r="D11604" t="inlineStr">
        <is>
          <t>1350-05-25</t>
        </is>
      </c>
    </row>
    <row r="11605">
      <c r="A11605" s="1" t="n">
        <v>11604</v>
      </c>
      <c r="B11605">
        <f>TEXT(11604, "[$-170000]yyyy-mm-dd")</f>
        <v/>
      </c>
      <c r="C11605">
        <f>TEXT(11604, "[$-060000]yyyy-mm-dd")</f>
        <v/>
      </c>
      <c r="D11605" t="inlineStr">
        <is>
          <t>1350-05-26</t>
        </is>
      </c>
    </row>
    <row r="11606">
      <c r="A11606" s="1" t="n">
        <v>11605</v>
      </c>
      <c r="B11606">
        <f>TEXT(11605, "[$-170000]yyyy-mm-dd")</f>
        <v/>
      </c>
      <c r="C11606">
        <f>TEXT(11605, "[$-060000]yyyy-mm-dd")</f>
        <v/>
      </c>
      <c r="D11606" t="inlineStr">
        <is>
          <t>1350-05-27</t>
        </is>
      </c>
    </row>
    <row r="11607">
      <c r="A11607" s="1" t="n">
        <v>11606</v>
      </c>
      <c r="B11607">
        <f>TEXT(11606, "[$-170000]yyyy-mm-dd")</f>
        <v/>
      </c>
      <c r="C11607">
        <f>TEXT(11606, "[$-060000]yyyy-mm-dd")</f>
        <v/>
      </c>
      <c r="D11607" t="inlineStr">
        <is>
          <t>1350-05-28</t>
        </is>
      </c>
    </row>
    <row r="11608">
      <c r="A11608" s="1" t="n">
        <v>11607</v>
      </c>
      <c r="B11608">
        <f>TEXT(11607, "[$-170000]yyyy-mm-dd")</f>
        <v/>
      </c>
      <c r="C11608">
        <f>TEXT(11607, "[$-060000]yyyy-mm-dd")</f>
        <v/>
      </c>
      <c r="D11608" t="inlineStr">
        <is>
          <t>1350-05-29</t>
        </is>
      </c>
    </row>
    <row r="11609">
      <c r="A11609" s="1" t="n">
        <v>11608</v>
      </c>
      <c r="B11609">
        <f>TEXT(11608, "[$-170000]yyyy-mm-dd")</f>
        <v/>
      </c>
      <c r="C11609">
        <f>TEXT(11608, "[$-060000]yyyy-mm-dd")</f>
        <v/>
      </c>
      <c r="D11609" t="inlineStr">
        <is>
          <t>1350-05-30</t>
        </is>
      </c>
    </row>
    <row r="11610">
      <c r="A11610" s="1" t="n">
        <v>11609</v>
      </c>
      <c r="B11610">
        <f>TEXT(11609, "[$-170000]yyyy-mm-dd")</f>
        <v/>
      </c>
      <c r="C11610">
        <f>TEXT(11609, "[$-060000]yyyy-mm-dd")</f>
        <v/>
      </c>
      <c r="D11610" t="inlineStr">
        <is>
          <t>1350-06-01</t>
        </is>
      </c>
    </row>
    <row r="11611">
      <c r="A11611" s="1" t="n">
        <v>11610</v>
      </c>
      <c r="B11611">
        <f>TEXT(11610, "[$-170000]yyyy-mm-dd")</f>
        <v/>
      </c>
      <c r="C11611">
        <f>TEXT(11610, "[$-060000]yyyy-mm-dd")</f>
        <v/>
      </c>
      <c r="D11611" t="inlineStr">
        <is>
          <t>1350-06-02</t>
        </is>
      </c>
    </row>
    <row r="11612">
      <c r="A11612" s="1" t="n">
        <v>11611</v>
      </c>
      <c r="B11612">
        <f>TEXT(11611, "[$-170000]yyyy-mm-dd")</f>
        <v/>
      </c>
      <c r="C11612">
        <f>TEXT(11611, "[$-060000]yyyy-mm-dd")</f>
        <v/>
      </c>
      <c r="D11612" t="inlineStr">
        <is>
          <t>1350-06-03</t>
        </is>
      </c>
    </row>
    <row r="11613">
      <c r="A11613" s="1" t="n">
        <v>11612</v>
      </c>
      <c r="B11613">
        <f>TEXT(11612, "[$-170000]yyyy-mm-dd")</f>
        <v/>
      </c>
      <c r="C11613">
        <f>TEXT(11612, "[$-060000]yyyy-mm-dd")</f>
        <v/>
      </c>
      <c r="D11613" t="inlineStr">
        <is>
          <t>1350-06-04</t>
        </is>
      </c>
    </row>
    <row r="11614">
      <c r="A11614" s="1" t="n">
        <v>11613</v>
      </c>
      <c r="B11614">
        <f>TEXT(11613, "[$-170000]yyyy-mm-dd")</f>
        <v/>
      </c>
      <c r="C11614">
        <f>TEXT(11613, "[$-060000]yyyy-mm-dd")</f>
        <v/>
      </c>
      <c r="D11614" t="inlineStr">
        <is>
          <t>1350-06-05</t>
        </is>
      </c>
    </row>
    <row r="11615">
      <c r="A11615" s="1" t="n">
        <v>11614</v>
      </c>
      <c r="B11615">
        <f>TEXT(11614, "[$-170000]yyyy-mm-dd")</f>
        <v/>
      </c>
      <c r="C11615">
        <f>TEXT(11614, "[$-060000]yyyy-mm-dd")</f>
        <v/>
      </c>
      <c r="D11615" t="inlineStr">
        <is>
          <t>1350-06-06</t>
        </is>
      </c>
    </row>
    <row r="11616">
      <c r="A11616" s="1" t="n">
        <v>11615</v>
      </c>
      <c r="B11616">
        <f>TEXT(11615, "[$-170000]yyyy-mm-dd")</f>
        <v/>
      </c>
      <c r="C11616">
        <f>TEXT(11615, "[$-060000]yyyy-mm-dd")</f>
        <v/>
      </c>
      <c r="D11616" t="inlineStr">
        <is>
          <t>1350-06-07</t>
        </is>
      </c>
    </row>
    <row r="11617">
      <c r="A11617" s="1" t="n">
        <v>11616</v>
      </c>
      <c r="B11617">
        <f>TEXT(11616, "[$-170000]yyyy-mm-dd")</f>
        <v/>
      </c>
      <c r="C11617">
        <f>TEXT(11616, "[$-060000]yyyy-mm-dd")</f>
        <v/>
      </c>
      <c r="D11617" t="inlineStr">
        <is>
          <t>1350-06-08</t>
        </is>
      </c>
    </row>
    <row r="11618">
      <c r="A11618" s="1" t="n">
        <v>11617</v>
      </c>
      <c r="B11618">
        <f>TEXT(11617, "[$-170000]yyyy-mm-dd")</f>
        <v/>
      </c>
      <c r="C11618">
        <f>TEXT(11617, "[$-060000]yyyy-mm-dd")</f>
        <v/>
      </c>
      <c r="D11618" t="inlineStr">
        <is>
          <t>1350-06-09</t>
        </is>
      </c>
    </row>
    <row r="11619">
      <c r="A11619" s="1" t="n">
        <v>11618</v>
      </c>
      <c r="B11619">
        <f>TEXT(11618, "[$-170000]yyyy-mm-dd")</f>
        <v/>
      </c>
      <c r="C11619">
        <f>TEXT(11618, "[$-060000]yyyy-mm-dd")</f>
        <v/>
      </c>
      <c r="D11619" t="inlineStr">
        <is>
          <t>1350-06-10</t>
        </is>
      </c>
    </row>
    <row r="11620">
      <c r="A11620" s="1" t="n">
        <v>11619</v>
      </c>
      <c r="B11620">
        <f>TEXT(11619, "[$-170000]yyyy-mm-dd")</f>
        <v/>
      </c>
      <c r="C11620">
        <f>TEXT(11619, "[$-060000]yyyy-mm-dd")</f>
        <v/>
      </c>
      <c r="D11620" t="inlineStr">
        <is>
          <t>1350-06-11</t>
        </is>
      </c>
    </row>
    <row r="11621">
      <c r="A11621" s="1" t="n">
        <v>11620</v>
      </c>
      <c r="B11621">
        <f>TEXT(11620, "[$-170000]yyyy-mm-dd")</f>
        <v/>
      </c>
      <c r="C11621">
        <f>TEXT(11620, "[$-060000]yyyy-mm-dd")</f>
        <v/>
      </c>
      <c r="D11621" t="inlineStr">
        <is>
          <t>1350-06-12</t>
        </is>
      </c>
    </row>
    <row r="11622">
      <c r="A11622" s="1" t="n">
        <v>11621</v>
      </c>
      <c r="B11622">
        <f>TEXT(11621, "[$-170000]yyyy-mm-dd")</f>
        <v/>
      </c>
      <c r="C11622">
        <f>TEXT(11621, "[$-060000]yyyy-mm-dd")</f>
        <v/>
      </c>
      <c r="D11622" t="inlineStr">
        <is>
          <t>1350-06-13</t>
        </is>
      </c>
    </row>
    <row r="11623">
      <c r="A11623" s="1" t="n">
        <v>11622</v>
      </c>
      <c r="B11623">
        <f>TEXT(11622, "[$-170000]yyyy-mm-dd")</f>
        <v/>
      </c>
      <c r="C11623">
        <f>TEXT(11622, "[$-060000]yyyy-mm-dd")</f>
        <v/>
      </c>
      <c r="D11623" t="inlineStr">
        <is>
          <t>1350-06-14</t>
        </is>
      </c>
    </row>
    <row r="11624">
      <c r="A11624" s="1" t="n">
        <v>11623</v>
      </c>
      <c r="B11624">
        <f>TEXT(11623, "[$-170000]yyyy-mm-dd")</f>
        <v/>
      </c>
      <c r="C11624">
        <f>TEXT(11623, "[$-060000]yyyy-mm-dd")</f>
        <v/>
      </c>
      <c r="D11624" t="inlineStr">
        <is>
          <t>1350-06-15</t>
        </is>
      </c>
    </row>
    <row r="11625">
      <c r="A11625" s="1" t="n">
        <v>11624</v>
      </c>
      <c r="B11625">
        <f>TEXT(11624, "[$-170000]yyyy-mm-dd")</f>
        <v/>
      </c>
      <c r="C11625">
        <f>TEXT(11624, "[$-060000]yyyy-mm-dd")</f>
        <v/>
      </c>
      <c r="D11625" t="inlineStr">
        <is>
          <t>1350-06-16</t>
        </is>
      </c>
    </row>
    <row r="11626">
      <c r="A11626" s="1" t="n">
        <v>11625</v>
      </c>
      <c r="B11626">
        <f>TEXT(11625, "[$-170000]yyyy-mm-dd")</f>
        <v/>
      </c>
      <c r="C11626">
        <f>TEXT(11625, "[$-060000]yyyy-mm-dd")</f>
        <v/>
      </c>
      <c r="D11626" t="inlineStr">
        <is>
          <t>1350-06-17</t>
        </is>
      </c>
    </row>
    <row r="11627">
      <c r="A11627" s="1" t="n">
        <v>11626</v>
      </c>
      <c r="B11627">
        <f>TEXT(11626, "[$-170000]yyyy-mm-dd")</f>
        <v/>
      </c>
      <c r="C11627">
        <f>TEXT(11626, "[$-060000]yyyy-mm-dd")</f>
        <v/>
      </c>
      <c r="D11627" t="inlineStr">
        <is>
          <t>1350-06-18</t>
        </is>
      </c>
    </row>
    <row r="11628">
      <c r="A11628" s="1" t="n">
        <v>11627</v>
      </c>
      <c r="B11628">
        <f>TEXT(11627, "[$-170000]yyyy-mm-dd")</f>
        <v/>
      </c>
      <c r="C11628">
        <f>TEXT(11627, "[$-060000]yyyy-mm-dd")</f>
        <v/>
      </c>
      <c r="D11628" t="inlineStr">
        <is>
          <t>1350-06-19</t>
        </is>
      </c>
    </row>
    <row r="11629">
      <c r="A11629" s="1" t="n">
        <v>11628</v>
      </c>
      <c r="B11629">
        <f>TEXT(11628, "[$-170000]yyyy-mm-dd")</f>
        <v/>
      </c>
      <c r="C11629">
        <f>TEXT(11628, "[$-060000]yyyy-mm-dd")</f>
        <v/>
      </c>
      <c r="D11629" t="inlineStr">
        <is>
          <t>1350-06-20</t>
        </is>
      </c>
    </row>
    <row r="11630">
      <c r="A11630" s="1" t="n">
        <v>11629</v>
      </c>
      <c r="B11630">
        <f>TEXT(11629, "[$-170000]yyyy-mm-dd")</f>
        <v/>
      </c>
      <c r="C11630">
        <f>TEXT(11629, "[$-060000]yyyy-mm-dd")</f>
        <v/>
      </c>
      <c r="D11630" t="inlineStr">
        <is>
          <t>1350-06-21</t>
        </is>
      </c>
    </row>
    <row r="11631">
      <c r="A11631" s="1" t="n">
        <v>11630</v>
      </c>
      <c r="B11631">
        <f>TEXT(11630, "[$-170000]yyyy-mm-dd")</f>
        <v/>
      </c>
      <c r="C11631">
        <f>TEXT(11630, "[$-060000]yyyy-mm-dd")</f>
        <v/>
      </c>
      <c r="D11631" t="inlineStr">
        <is>
          <t>1350-06-22</t>
        </is>
      </c>
    </row>
    <row r="11632">
      <c r="A11632" s="1" t="n">
        <v>11631</v>
      </c>
      <c r="B11632">
        <f>TEXT(11631, "[$-170000]yyyy-mm-dd")</f>
        <v/>
      </c>
      <c r="C11632">
        <f>TEXT(11631, "[$-060000]yyyy-mm-dd")</f>
        <v/>
      </c>
      <c r="D11632" t="inlineStr">
        <is>
          <t>1350-06-23</t>
        </is>
      </c>
    </row>
    <row r="11633">
      <c r="A11633" s="1" t="n">
        <v>11632</v>
      </c>
      <c r="B11633">
        <f>TEXT(11632, "[$-170000]yyyy-mm-dd")</f>
        <v/>
      </c>
      <c r="C11633">
        <f>TEXT(11632, "[$-060000]yyyy-mm-dd")</f>
        <v/>
      </c>
      <c r="D11633" t="inlineStr">
        <is>
          <t>1350-06-24</t>
        </is>
      </c>
    </row>
    <row r="11634">
      <c r="A11634" s="1" t="n">
        <v>11633</v>
      </c>
      <c r="B11634">
        <f>TEXT(11633, "[$-170000]yyyy-mm-dd")</f>
        <v/>
      </c>
      <c r="C11634">
        <f>TEXT(11633, "[$-060000]yyyy-mm-dd")</f>
        <v/>
      </c>
      <c r="D11634" t="inlineStr">
        <is>
          <t>1350-06-25</t>
        </is>
      </c>
    </row>
    <row r="11635">
      <c r="A11635" s="1" t="n">
        <v>11634</v>
      </c>
      <c r="B11635">
        <f>TEXT(11634, "[$-170000]yyyy-mm-dd")</f>
        <v/>
      </c>
      <c r="C11635">
        <f>TEXT(11634, "[$-060000]yyyy-mm-dd")</f>
        <v/>
      </c>
      <c r="D11635" t="inlineStr">
        <is>
          <t>1350-06-26</t>
        </is>
      </c>
    </row>
    <row r="11636">
      <c r="A11636" s="1" t="n">
        <v>11635</v>
      </c>
      <c r="B11636">
        <f>TEXT(11635, "[$-170000]yyyy-mm-dd")</f>
        <v/>
      </c>
      <c r="C11636">
        <f>TEXT(11635, "[$-060000]yyyy-mm-dd")</f>
        <v/>
      </c>
      <c r="D11636" t="inlineStr">
        <is>
          <t>1350-06-27</t>
        </is>
      </c>
    </row>
    <row r="11637">
      <c r="A11637" s="1" t="n">
        <v>11636</v>
      </c>
      <c r="B11637">
        <f>TEXT(11636, "[$-170000]yyyy-mm-dd")</f>
        <v/>
      </c>
      <c r="C11637">
        <f>TEXT(11636, "[$-060000]yyyy-mm-dd")</f>
        <v/>
      </c>
      <c r="D11637" t="inlineStr">
        <is>
          <t>1350-06-28</t>
        </is>
      </c>
    </row>
    <row r="11638">
      <c r="A11638" s="1" t="n">
        <v>11637</v>
      </c>
      <c r="B11638">
        <f>TEXT(11637, "[$-170000]yyyy-mm-dd")</f>
        <v/>
      </c>
      <c r="C11638">
        <f>TEXT(11637, "[$-060000]yyyy-mm-dd")</f>
        <v/>
      </c>
      <c r="D11638" t="inlineStr">
        <is>
          <t>1350-06-29</t>
        </is>
      </c>
    </row>
    <row r="11639">
      <c r="A11639" s="1" t="n">
        <v>11638</v>
      </c>
      <c r="B11639">
        <f>TEXT(11638, "[$-170000]yyyy-mm-dd")</f>
        <v/>
      </c>
      <c r="C11639">
        <f>TEXT(11638, "[$-060000]yyyy-mm-dd")</f>
        <v/>
      </c>
      <c r="D11639" t="inlineStr">
        <is>
          <t>1350-07-01</t>
        </is>
      </c>
    </row>
    <row r="11640">
      <c r="A11640" s="1" t="n">
        <v>11639</v>
      </c>
      <c r="B11640">
        <f>TEXT(11639, "[$-170000]yyyy-mm-dd")</f>
        <v/>
      </c>
      <c r="C11640">
        <f>TEXT(11639, "[$-060000]yyyy-mm-dd")</f>
        <v/>
      </c>
      <c r="D11640" t="inlineStr">
        <is>
          <t>1350-07-02</t>
        </is>
      </c>
    </row>
    <row r="11641">
      <c r="A11641" s="1" t="n">
        <v>11640</v>
      </c>
      <c r="B11641">
        <f>TEXT(11640, "[$-170000]yyyy-mm-dd")</f>
        <v/>
      </c>
      <c r="C11641">
        <f>TEXT(11640, "[$-060000]yyyy-mm-dd")</f>
        <v/>
      </c>
      <c r="D11641" t="inlineStr">
        <is>
          <t>1350-07-03</t>
        </is>
      </c>
    </row>
    <row r="11642">
      <c r="A11642" s="1" t="n">
        <v>11641</v>
      </c>
      <c r="B11642">
        <f>TEXT(11641, "[$-170000]yyyy-mm-dd")</f>
        <v/>
      </c>
      <c r="C11642">
        <f>TEXT(11641, "[$-060000]yyyy-mm-dd")</f>
        <v/>
      </c>
      <c r="D11642" t="inlineStr">
        <is>
          <t>1350-07-04</t>
        </is>
      </c>
    </row>
    <row r="11643">
      <c r="A11643" s="1" t="n">
        <v>11642</v>
      </c>
      <c r="B11643">
        <f>TEXT(11642, "[$-170000]yyyy-mm-dd")</f>
        <v/>
      </c>
      <c r="C11643">
        <f>TEXT(11642, "[$-060000]yyyy-mm-dd")</f>
        <v/>
      </c>
      <c r="D11643" t="inlineStr">
        <is>
          <t>1350-07-05</t>
        </is>
      </c>
    </row>
    <row r="11644">
      <c r="A11644" s="1" t="n">
        <v>11643</v>
      </c>
      <c r="B11644">
        <f>TEXT(11643, "[$-170000]yyyy-mm-dd")</f>
        <v/>
      </c>
      <c r="C11644">
        <f>TEXT(11643, "[$-060000]yyyy-mm-dd")</f>
        <v/>
      </c>
      <c r="D11644" t="inlineStr">
        <is>
          <t>1350-07-06</t>
        </is>
      </c>
    </row>
    <row r="11645">
      <c r="A11645" s="1" t="n">
        <v>11644</v>
      </c>
      <c r="B11645">
        <f>TEXT(11644, "[$-170000]yyyy-mm-dd")</f>
        <v/>
      </c>
      <c r="C11645">
        <f>TEXT(11644, "[$-060000]yyyy-mm-dd")</f>
        <v/>
      </c>
      <c r="D11645" t="inlineStr">
        <is>
          <t>1350-07-07</t>
        </is>
      </c>
    </row>
    <row r="11646">
      <c r="A11646" s="1" t="n">
        <v>11645</v>
      </c>
      <c r="B11646">
        <f>TEXT(11645, "[$-170000]yyyy-mm-dd")</f>
        <v/>
      </c>
      <c r="C11646">
        <f>TEXT(11645, "[$-060000]yyyy-mm-dd")</f>
        <v/>
      </c>
      <c r="D11646" t="inlineStr">
        <is>
          <t>1350-07-08</t>
        </is>
      </c>
    </row>
    <row r="11647">
      <c r="A11647" s="1" t="n">
        <v>11646</v>
      </c>
      <c r="B11647">
        <f>TEXT(11646, "[$-170000]yyyy-mm-dd")</f>
        <v/>
      </c>
      <c r="C11647">
        <f>TEXT(11646, "[$-060000]yyyy-mm-dd")</f>
        <v/>
      </c>
      <c r="D11647" t="inlineStr">
        <is>
          <t>1350-07-09</t>
        </is>
      </c>
    </row>
    <row r="11648">
      <c r="A11648" s="1" t="n">
        <v>11647</v>
      </c>
      <c r="B11648">
        <f>TEXT(11647, "[$-170000]yyyy-mm-dd")</f>
        <v/>
      </c>
      <c r="C11648">
        <f>TEXT(11647, "[$-060000]yyyy-mm-dd")</f>
        <v/>
      </c>
      <c r="D11648" t="inlineStr">
        <is>
          <t>1350-07-10</t>
        </is>
      </c>
    </row>
    <row r="11649">
      <c r="A11649" s="1" t="n">
        <v>11648</v>
      </c>
      <c r="B11649">
        <f>TEXT(11648, "[$-170000]yyyy-mm-dd")</f>
        <v/>
      </c>
      <c r="C11649">
        <f>TEXT(11648, "[$-060000]yyyy-mm-dd")</f>
        <v/>
      </c>
      <c r="D11649" t="inlineStr">
        <is>
          <t>1350-07-11</t>
        </is>
      </c>
    </row>
    <row r="11650">
      <c r="A11650" s="1" t="n">
        <v>11649</v>
      </c>
      <c r="B11650">
        <f>TEXT(11649, "[$-170000]yyyy-mm-dd")</f>
        <v/>
      </c>
      <c r="C11650">
        <f>TEXT(11649, "[$-060000]yyyy-mm-dd")</f>
        <v/>
      </c>
      <c r="D11650" t="inlineStr">
        <is>
          <t>1350-07-12</t>
        </is>
      </c>
    </row>
    <row r="11651">
      <c r="A11651" s="1" t="n">
        <v>11650</v>
      </c>
      <c r="B11651">
        <f>TEXT(11650, "[$-170000]yyyy-mm-dd")</f>
        <v/>
      </c>
      <c r="C11651">
        <f>TEXT(11650, "[$-060000]yyyy-mm-dd")</f>
        <v/>
      </c>
      <c r="D11651" t="inlineStr">
        <is>
          <t>1350-07-13</t>
        </is>
      </c>
    </row>
    <row r="11652">
      <c r="A11652" s="1" t="n">
        <v>11651</v>
      </c>
      <c r="B11652">
        <f>TEXT(11651, "[$-170000]yyyy-mm-dd")</f>
        <v/>
      </c>
      <c r="C11652">
        <f>TEXT(11651, "[$-060000]yyyy-mm-dd")</f>
        <v/>
      </c>
      <c r="D11652" t="inlineStr">
        <is>
          <t>1350-07-14</t>
        </is>
      </c>
    </row>
    <row r="11653">
      <c r="A11653" s="1" t="n">
        <v>11652</v>
      </c>
      <c r="B11653">
        <f>TEXT(11652, "[$-170000]yyyy-mm-dd")</f>
        <v/>
      </c>
      <c r="C11653">
        <f>TEXT(11652, "[$-060000]yyyy-mm-dd")</f>
        <v/>
      </c>
      <c r="D11653" t="inlineStr">
        <is>
          <t>1350-07-15</t>
        </is>
      </c>
    </row>
    <row r="11654">
      <c r="A11654" s="1" t="n">
        <v>11653</v>
      </c>
      <c r="B11654">
        <f>TEXT(11653, "[$-170000]yyyy-mm-dd")</f>
        <v/>
      </c>
      <c r="C11654">
        <f>TEXT(11653, "[$-060000]yyyy-mm-dd")</f>
        <v/>
      </c>
      <c r="D11654" t="inlineStr">
        <is>
          <t>1350-07-16</t>
        </is>
      </c>
    </row>
    <row r="11655">
      <c r="A11655" s="1" t="n">
        <v>11654</v>
      </c>
      <c r="B11655">
        <f>TEXT(11654, "[$-170000]yyyy-mm-dd")</f>
        <v/>
      </c>
      <c r="C11655">
        <f>TEXT(11654, "[$-060000]yyyy-mm-dd")</f>
        <v/>
      </c>
      <c r="D11655" t="inlineStr">
        <is>
          <t>1350-07-17</t>
        </is>
      </c>
    </row>
    <row r="11656">
      <c r="A11656" s="1" t="n">
        <v>11655</v>
      </c>
      <c r="B11656">
        <f>TEXT(11655, "[$-170000]yyyy-mm-dd")</f>
        <v/>
      </c>
      <c r="C11656">
        <f>TEXT(11655, "[$-060000]yyyy-mm-dd")</f>
        <v/>
      </c>
      <c r="D11656" t="inlineStr">
        <is>
          <t>1350-07-18</t>
        </is>
      </c>
    </row>
    <row r="11657">
      <c r="A11657" s="1" t="n">
        <v>11656</v>
      </c>
      <c r="B11657">
        <f>TEXT(11656, "[$-170000]yyyy-mm-dd")</f>
        <v/>
      </c>
      <c r="C11657">
        <f>TEXT(11656, "[$-060000]yyyy-mm-dd")</f>
        <v/>
      </c>
      <c r="D11657" t="inlineStr">
        <is>
          <t>1350-07-19</t>
        </is>
      </c>
    </row>
    <row r="11658">
      <c r="A11658" s="1" t="n">
        <v>11657</v>
      </c>
      <c r="B11658">
        <f>TEXT(11657, "[$-170000]yyyy-mm-dd")</f>
        <v/>
      </c>
      <c r="C11658">
        <f>TEXT(11657, "[$-060000]yyyy-mm-dd")</f>
        <v/>
      </c>
      <c r="D11658" t="inlineStr">
        <is>
          <t>1350-07-20</t>
        </is>
      </c>
    </row>
    <row r="11659">
      <c r="A11659" s="1" t="n">
        <v>11658</v>
      </c>
      <c r="B11659">
        <f>TEXT(11658, "[$-170000]yyyy-mm-dd")</f>
        <v/>
      </c>
      <c r="C11659">
        <f>TEXT(11658, "[$-060000]yyyy-mm-dd")</f>
        <v/>
      </c>
      <c r="D11659" t="inlineStr">
        <is>
          <t>1350-07-21</t>
        </is>
      </c>
    </row>
    <row r="11660">
      <c r="A11660" s="1" t="n">
        <v>11659</v>
      </c>
      <c r="B11660">
        <f>TEXT(11659, "[$-170000]yyyy-mm-dd")</f>
        <v/>
      </c>
      <c r="C11660">
        <f>TEXT(11659, "[$-060000]yyyy-mm-dd")</f>
        <v/>
      </c>
      <c r="D11660" t="inlineStr">
        <is>
          <t>1350-07-22</t>
        </is>
      </c>
    </row>
    <row r="11661">
      <c r="A11661" s="1" t="n">
        <v>11660</v>
      </c>
      <c r="B11661">
        <f>TEXT(11660, "[$-170000]yyyy-mm-dd")</f>
        <v/>
      </c>
      <c r="C11661">
        <f>TEXT(11660, "[$-060000]yyyy-mm-dd")</f>
        <v/>
      </c>
      <c r="D11661" t="inlineStr">
        <is>
          <t>1350-07-23</t>
        </is>
      </c>
    </row>
    <row r="11662">
      <c r="A11662" s="1" t="n">
        <v>11661</v>
      </c>
      <c r="B11662">
        <f>TEXT(11661, "[$-170000]yyyy-mm-dd")</f>
        <v/>
      </c>
      <c r="C11662">
        <f>TEXT(11661, "[$-060000]yyyy-mm-dd")</f>
        <v/>
      </c>
      <c r="D11662" t="inlineStr">
        <is>
          <t>1350-07-24</t>
        </is>
      </c>
    </row>
    <row r="11663">
      <c r="A11663" s="1" t="n">
        <v>11662</v>
      </c>
      <c r="B11663">
        <f>TEXT(11662, "[$-170000]yyyy-mm-dd")</f>
        <v/>
      </c>
      <c r="C11663">
        <f>TEXT(11662, "[$-060000]yyyy-mm-dd")</f>
        <v/>
      </c>
      <c r="D11663" t="inlineStr">
        <is>
          <t>1350-07-25</t>
        </is>
      </c>
    </row>
    <row r="11664">
      <c r="A11664" s="1" t="n">
        <v>11663</v>
      </c>
      <c r="B11664">
        <f>TEXT(11663, "[$-170000]yyyy-mm-dd")</f>
        <v/>
      </c>
      <c r="C11664">
        <f>TEXT(11663, "[$-060000]yyyy-mm-dd")</f>
        <v/>
      </c>
      <c r="D11664" t="inlineStr">
        <is>
          <t>1350-07-26</t>
        </is>
      </c>
    </row>
    <row r="11665">
      <c r="A11665" s="1" t="n">
        <v>11664</v>
      </c>
      <c r="B11665">
        <f>TEXT(11664, "[$-170000]yyyy-mm-dd")</f>
        <v/>
      </c>
      <c r="C11665">
        <f>TEXT(11664, "[$-060000]yyyy-mm-dd")</f>
        <v/>
      </c>
      <c r="D11665" t="inlineStr">
        <is>
          <t>1350-07-27</t>
        </is>
      </c>
    </row>
    <row r="11666">
      <c r="A11666" s="1" t="n">
        <v>11665</v>
      </c>
      <c r="B11666">
        <f>TEXT(11665, "[$-170000]yyyy-mm-dd")</f>
        <v/>
      </c>
      <c r="C11666">
        <f>TEXT(11665, "[$-060000]yyyy-mm-dd")</f>
        <v/>
      </c>
      <c r="D11666" t="inlineStr">
        <is>
          <t>1350-07-28</t>
        </is>
      </c>
    </row>
    <row r="11667">
      <c r="A11667" s="1" t="n">
        <v>11666</v>
      </c>
      <c r="B11667">
        <f>TEXT(11666, "[$-170000]yyyy-mm-dd")</f>
        <v/>
      </c>
      <c r="C11667">
        <f>TEXT(11666, "[$-060000]yyyy-mm-dd")</f>
        <v/>
      </c>
      <c r="D11667" t="inlineStr">
        <is>
          <t>1350-07-29</t>
        </is>
      </c>
    </row>
    <row r="11668">
      <c r="A11668" s="1" t="n">
        <v>11667</v>
      </c>
      <c r="B11668">
        <f>TEXT(11667, "[$-170000]yyyy-mm-dd")</f>
        <v/>
      </c>
      <c r="C11668">
        <f>TEXT(11667, "[$-060000]yyyy-mm-dd")</f>
        <v/>
      </c>
      <c r="D11668" t="inlineStr">
        <is>
          <t>1350-07-30</t>
        </is>
      </c>
    </row>
    <row r="11669">
      <c r="A11669" s="1" t="n">
        <v>11668</v>
      </c>
      <c r="B11669">
        <f>TEXT(11668, "[$-170000]yyyy-mm-dd")</f>
        <v/>
      </c>
      <c r="C11669">
        <f>TEXT(11668, "[$-060000]yyyy-mm-dd")</f>
        <v/>
      </c>
      <c r="D11669" t="inlineStr">
        <is>
          <t>1350-08-01</t>
        </is>
      </c>
    </row>
    <row r="11670">
      <c r="A11670" s="1" t="n">
        <v>11669</v>
      </c>
      <c r="B11670">
        <f>TEXT(11669, "[$-170000]yyyy-mm-dd")</f>
        <v/>
      </c>
      <c r="C11670">
        <f>TEXT(11669, "[$-060000]yyyy-mm-dd")</f>
        <v/>
      </c>
      <c r="D11670" t="inlineStr">
        <is>
          <t>1350-08-02</t>
        </is>
      </c>
    </row>
    <row r="11671">
      <c r="A11671" s="1" t="n">
        <v>11670</v>
      </c>
      <c r="B11671">
        <f>TEXT(11670, "[$-170000]yyyy-mm-dd")</f>
        <v/>
      </c>
      <c r="C11671">
        <f>TEXT(11670, "[$-060000]yyyy-mm-dd")</f>
        <v/>
      </c>
      <c r="D11671" t="inlineStr">
        <is>
          <t>1350-08-03</t>
        </is>
      </c>
    </row>
    <row r="11672">
      <c r="A11672" s="1" t="n">
        <v>11671</v>
      </c>
      <c r="B11672">
        <f>TEXT(11671, "[$-170000]yyyy-mm-dd")</f>
        <v/>
      </c>
      <c r="C11672">
        <f>TEXT(11671, "[$-060000]yyyy-mm-dd")</f>
        <v/>
      </c>
      <c r="D11672" t="inlineStr">
        <is>
          <t>1350-08-04</t>
        </is>
      </c>
    </row>
    <row r="11673">
      <c r="A11673" s="1" t="n">
        <v>11672</v>
      </c>
      <c r="B11673">
        <f>TEXT(11672, "[$-170000]yyyy-mm-dd")</f>
        <v/>
      </c>
      <c r="C11673">
        <f>TEXT(11672, "[$-060000]yyyy-mm-dd")</f>
        <v/>
      </c>
      <c r="D11673" t="inlineStr">
        <is>
          <t>1350-08-05</t>
        </is>
      </c>
    </row>
    <row r="11674">
      <c r="A11674" s="1" t="n">
        <v>11673</v>
      </c>
      <c r="B11674">
        <f>TEXT(11673, "[$-170000]yyyy-mm-dd")</f>
        <v/>
      </c>
      <c r="C11674">
        <f>TEXT(11673, "[$-060000]yyyy-mm-dd")</f>
        <v/>
      </c>
      <c r="D11674" t="inlineStr">
        <is>
          <t>1350-08-06</t>
        </is>
      </c>
    </row>
    <row r="11675">
      <c r="A11675" s="1" t="n">
        <v>11674</v>
      </c>
      <c r="B11675">
        <f>TEXT(11674, "[$-170000]yyyy-mm-dd")</f>
        <v/>
      </c>
      <c r="C11675">
        <f>TEXT(11674, "[$-060000]yyyy-mm-dd")</f>
        <v/>
      </c>
      <c r="D11675" t="inlineStr">
        <is>
          <t>1350-08-07</t>
        </is>
      </c>
    </row>
    <row r="11676">
      <c r="A11676" s="1" t="n">
        <v>11675</v>
      </c>
      <c r="B11676">
        <f>TEXT(11675, "[$-170000]yyyy-mm-dd")</f>
        <v/>
      </c>
      <c r="C11676">
        <f>TEXT(11675, "[$-060000]yyyy-mm-dd")</f>
        <v/>
      </c>
      <c r="D11676" t="inlineStr">
        <is>
          <t>1350-08-08</t>
        </is>
      </c>
    </row>
    <row r="11677">
      <c r="A11677" s="1" t="n">
        <v>11676</v>
      </c>
      <c r="B11677">
        <f>TEXT(11676, "[$-170000]yyyy-mm-dd")</f>
        <v/>
      </c>
      <c r="C11677">
        <f>TEXT(11676, "[$-060000]yyyy-mm-dd")</f>
        <v/>
      </c>
      <c r="D11677" t="inlineStr">
        <is>
          <t>1350-08-09</t>
        </is>
      </c>
    </row>
    <row r="11678">
      <c r="A11678" s="1" t="n">
        <v>11677</v>
      </c>
      <c r="B11678">
        <f>TEXT(11677, "[$-170000]yyyy-mm-dd")</f>
        <v/>
      </c>
      <c r="C11678">
        <f>TEXT(11677, "[$-060000]yyyy-mm-dd")</f>
        <v/>
      </c>
      <c r="D11678" t="inlineStr">
        <is>
          <t>1350-08-10</t>
        </is>
      </c>
    </row>
    <row r="11679">
      <c r="A11679" s="1" t="n">
        <v>11678</v>
      </c>
      <c r="B11679">
        <f>TEXT(11678, "[$-170000]yyyy-mm-dd")</f>
        <v/>
      </c>
      <c r="C11679">
        <f>TEXT(11678, "[$-060000]yyyy-mm-dd")</f>
        <v/>
      </c>
      <c r="D11679" t="inlineStr">
        <is>
          <t>1350-08-11</t>
        </is>
      </c>
    </row>
    <row r="11680">
      <c r="A11680" s="1" t="n">
        <v>11679</v>
      </c>
      <c r="B11680">
        <f>TEXT(11679, "[$-170000]yyyy-mm-dd")</f>
        <v/>
      </c>
      <c r="C11680">
        <f>TEXT(11679, "[$-060000]yyyy-mm-dd")</f>
        <v/>
      </c>
      <c r="D11680" t="inlineStr">
        <is>
          <t>1350-08-12</t>
        </is>
      </c>
    </row>
    <row r="11681">
      <c r="A11681" s="1" t="n">
        <v>11680</v>
      </c>
      <c r="B11681">
        <f>TEXT(11680, "[$-170000]yyyy-mm-dd")</f>
        <v/>
      </c>
      <c r="C11681">
        <f>TEXT(11680, "[$-060000]yyyy-mm-dd")</f>
        <v/>
      </c>
      <c r="D11681" t="inlineStr">
        <is>
          <t>1350-08-13</t>
        </is>
      </c>
    </row>
    <row r="11682">
      <c r="A11682" s="1" t="n">
        <v>11681</v>
      </c>
      <c r="B11682">
        <f>TEXT(11681, "[$-170000]yyyy-mm-dd")</f>
        <v/>
      </c>
      <c r="C11682">
        <f>TEXT(11681, "[$-060000]yyyy-mm-dd")</f>
        <v/>
      </c>
      <c r="D11682" t="inlineStr">
        <is>
          <t>1350-08-14</t>
        </is>
      </c>
    </row>
    <row r="11683">
      <c r="A11683" s="1" t="n">
        <v>11682</v>
      </c>
      <c r="B11683">
        <f>TEXT(11682, "[$-170000]yyyy-mm-dd")</f>
        <v/>
      </c>
      <c r="C11683">
        <f>TEXT(11682, "[$-060000]yyyy-mm-dd")</f>
        <v/>
      </c>
      <c r="D11683" t="inlineStr">
        <is>
          <t>1350-08-15</t>
        </is>
      </c>
    </row>
    <row r="11684">
      <c r="A11684" s="1" t="n">
        <v>11683</v>
      </c>
      <c r="B11684">
        <f>TEXT(11683, "[$-170000]yyyy-mm-dd")</f>
        <v/>
      </c>
      <c r="C11684">
        <f>TEXT(11683, "[$-060000]yyyy-mm-dd")</f>
        <v/>
      </c>
      <c r="D11684" t="inlineStr">
        <is>
          <t>1350-08-16</t>
        </is>
      </c>
    </row>
    <row r="11685">
      <c r="A11685" s="1" t="n">
        <v>11684</v>
      </c>
      <c r="B11685">
        <f>TEXT(11684, "[$-170000]yyyy-mm-dd")</f>
        <v/>
      </c>
      <c r="C11685">
        <f>TEXT(11684, "[$-060000]yyyy-mm-dd")</f>
        <v/>
      </c>
      <c r="D11685" t="inlineStr">
        <is>
          <t>1350-08-17</t>
        </is>
      </c>
    </row>
    <row r="11686">
      <c r="A11686" s="1" t="n">
        <v>11685</v>
      </c>
      <c r="B11686">
        <f>TEXT(11685, "[$-170000]yyyy-mm-dd")</f>
        <v/>
      </c>
      <c r="C11686">
        <f>TEXT(11685, "[$-060000]yyyy-mm-dd")</f>
        <v/>
      </c>
      <c r="D11686" t="inlineStr">
        <is>
          <t>1350-08-18</t>
        </is>
      </c>
    </row>
    <row r="11687">
      <c r="A11687" s="1" t="n">
        <v>11686</v>
      </c>
      <c r="B11687">
        <f>TEXT(11686, "[$-170000]yyyy-mm-dd")</f>
        <v/>
      </c>
      <c r="C11687">
        <f>TEXT(11686, "[$-060000]yyyy-mm-dd")</f>
        <v/>
      </c>
      <c r="D11687" t="inlineStr">
        <is>
          <t>1350-08-19</t>
        </is>
      </c>
    </row>
    <row r="11688">
      <c r="A11688" s="1" t="n">
        <v>11687</v>
      </c>
      <c r="B11688">
        <f>TEXT(11687, "[$-170000]yyyy-mm-dd")</f>
        <v/>
      </c>
      <c r="C11688">
        <f>TEXT(11687, "[$-060000]yyyy-mm-dd")</f>
        <v/>
      </c>
      <c r="D11688" t="inlineStr">
        <is>
          <t>1350-08-20</t>
        </is>
      </c>
    </row>
    <row r="11689">
      <c r="A11689" s="1" t="n">
        <v>11688</v>
      </c>
      <c r="B11689">
        <f>TEXT(11688, "[$-170000]yyyy-mm-dd")</f>
        <v/>
      </c>
      <c r="C11689">
        <f>TEXT(11688, "[$-060000]yyyy-mm-dd")</f>
        <v/>
      </c>
      <c r="D11689" t="inlineStr">
        <is>
          <t>1350-08-21</t>
        </is>
      </c>
    </row>
    <row r="11690">
      <c r="A11690" s="1" t="n">
        <v>11689</v>
      </c>
      <c r="B11690">
        <f>TEXT(11689, "[$-170000]yyyy-mm-dd")</f>
        <v/>
      </c>
      <c r="C11690">
        <f>TEXT(11689, "[$-060000]yyyy-mm-dd")</f>
        <v/>
      </c>
      <c r="D11690" t="inlineStr">
        <is>
          <t>1350-08-22</t>
        </is>
      </c>
    </row>
    <row r="11691">
      <c r="A11691" s="1" t="n">
        <v>11690</v>
      </c>
      <c r="B11691">
        <f>TEXT(11690, "[$-170000]yyyy-mm-dd")</f>
        <v/>
      </c>
      <c r="C11691">
        <f>TEXT(11690, "[$-060000]yyyy-mm-dd")</f>
        <v/>
      </c>
      <c r="D11691" t="inlineStr">
        <is>
          <t>1350-08-23</t>
        </is>
      </c>
    </row>
    <row r="11692">
      <c r="A11692" s="1" t="n">
        <v>11691</v>
      </c>
      <c r="B11692">
        <f>TEXT(11691, "[$-170000]yyyy-mm-dd")</f>
        <v/>
      </c>
      <c r="C11692">
        <f>TEXT(11691, "[$-060000]yyyy-mm-dd")</f>
        <v/>
      </c>
      <c r="D11692" t="inlineStr">
        <is>
          <t>1350-08-24</t>
        </is>
      </c>
    </row>
    <row r="11693">
      <c r="A11693" s="1" t="n">
        <v>11692</v>
      </c>
      <c r="B11693">
        <f>TEXT(11692, "[$-170000]yyyy-mm-dd")</f>
        <v/>
      </c>
      <c r="C11693">
        <f>TEXT(11692, "[$-060000]yyyy-mm-dd")</f>
        <v/>
      </c>
      <c r="D11693" t="inlineStr">
        <is>
          <t>1350-08-25</t>
        </is>
      </c>
    </row>
    <row r="11694">
      <c r="A11694" s="1" t="n">
        <v>11693</v>
      </c>
      <c r="B11694">
        <f>TEXT(11693, "[$-170000]yyyy-mm-dd")</f>
        <v/>
      </c>
      <c r="C11694">
        <f>TEXT(11693, "[$-060000]yyyy-mm-dd")</f>
        <v/>
      </c>
      <c r="D11694" t="inlineStr">
        <is>
          <t>1350-08-26</t>
        </is>
      </c>
    </row>
    <row r="11695">
      <c r="A11695" s="1" t="n">
        <v>11694</v>
      </c>
      <c r="B11695">
        <f>TEXT(11694, "[$-170000]yyyy-mm-dd")</f>
        <v/>
      </c>
      <c r="C11695">
        <f>TEXT(11694, "[$-060000]yyyy-mm-dd")</f>
        <v/>
      </c>
      <c r="D11695" t="inlineStr">
        <is>
          <t>1350-08-27</t>
        </is>
      </c>
    </row>
    <row r="11696">
      <c r="A11696" s="1" t="n">
        <v>11695</v>
      </c>
      <c r="B11696">
        <f>TEXT(11695, "[$-170000]yyyy-mm-dd")</f>
        <v/>
      </c>
      <c r="C11696">
        <f>TEXT(11695, "[$-060000]yyyy-mm-dd")</f>
        <v/>
      </c>
      <c r="D11696" t="inlineStr">
        <is>
          <t>1350-08-28</t>
        </is>
      </c>
    </row>
    <row r="11697">
      <c r="A11697" s="1" t="n">
        <v>11696</v>
      </c>
      <c r="B11697">
        <f>TEXT(11696, "[$-170000]yyyy-mm-dd")</f>
        <v/>
      </c>
      <c r="C11697">
        <f>TEXT(11696, "[$-060000]yyyy-mm-dd")</f>
        <v/>
      </c>
      <c r="D11697" t="inlineStr">
        <is>
          <t>1350-08-29</t>
        </is>
      </c>
    </row>
    <row r="11698">
      <c r="A11698" s="1" t="n">
        <v>11697</v>
      </c>
      <c r="B11698">
        <f>TEXT(11697, "[$-170000]yyyy-mm-dd")</f>
        <v/>
      </c>
      <c r="C11698">
        <f>TEXT(11697, "[$-060000]yyyy-mm-dd")</f>
        <v/>
      </c>
      <c r="D11698" t="inlineStr">
        <is>
          <t>1350-09-01</t>
        </is>
      </c>
    </row>
    <row r="11699">
      <c r="A11699" s="1" t="n">
        <v>11698</v>
      </c>
      <c r="B11699">
        <f>TEXT(11698, "[$-170000]yyyy-mm-dd")</f>
        <v/>
      </c>
      <c r="C11699">
        <f>TEXT(11698, "[$-060000]yyyy-mm-dd")</f>
        <v/>
      </c>
      <c r="D11699" t="inlineStr">
        <is>
          <t>1350-09-02</t>
        </is>
      </c>
    </row>
    <row r="11700">
      <c r="A11700" s="1" t="n">
        <v>11699</v>
      </c>
      <c r="B11700">
        <f>TEXT(11699, "[$-170000]yyyy-mm-dd")</f>
        <v/>
      </c>
      <c r="C11700">
        <f>TEXT(11699, "[$-060000]yyyy-mm-dd")</f>
        <v/>
      </c>
      <c r="D11700" t="inlineStr">
        <is>
          <t>1350-09-03</t>
        </is>
      </c>
    </row>
    <row r="11701">
      <c r="A11701" s="1" t="n">
        <v>11700</v>
      </c>
      <c r="B11701">
        <f>TEXT(11700, "[$-170000]yyyy-mm-dd")</f>
        <v/>
      </c>
      <c r="C11701">
        <f>TEXT(11700, "[$-060000]yyyy-mm-dd")</f>
        <v/>
      </c>
      <c r="D11701" t="inlineStr">
        <is>
          <t>1350-09-04</t>
        </is>
      </c>
    </row>
    <row r="11702">
      <c r="A11702" s="1" t="n">
        <v>11701</v>
      </c>
      <c r="B11702">
        <f>TEXT(11701, "[$-170000]yyyy-mm-dd")</f>
        <v/>
      </c>
      <c r="C11702">
        <f>TEXT(11701, "[$-060000]yyyy-mm-dd")</f>
        <v/>
      </c>
      <c r="D11702" t="inlineStr">
        <is>
          <t>1350-09-05</t>
        </is>
      </c>
    </row>
    <row r="11703">
      <c r="A11703" s="1" t="n">
        <v>11702</v>
      </c>
      <c r="B11703">
        <f>TEXT(11702, "[$-170000]yyyy-mm-dd")</f>
        <v/>
      </c>
      <c r="C11703">
        <f>TEXT(11702, "[$-060000]yyyy-mm-dd")</f>
        <v/>
      </c>
      <c r="D11703" t="inlineStr">
        <is>
          <t>1350-09-06</t>
        </is>
      </c>
    </row>
    <row r="11704">
      <c r="A11704" s="1" t="n">
        <v>11703</v>
      </c>
      <c r="B11704">
        <f>TEXT(11703, "[$-170000]yyyy-mm-dd")</f>
        <v/>
      </c>
      <c r="C11704">
        <f>TEXT(11703, "[$-060000]yyyy-mm-dd")</f>
        <v/>
      </c>
      <c r="D11704" t="inlineStr">
        <is>
          <t>1350-09-07</t>
        </is>
      </c>
    </row>
    <row r="11705">
      <c r="A11705" s="1" t="n">
        <v>11704</v>
      </c>
      <c r="B11705">
        <f>TEXT(11704, "[$-170000]yyyy-mm-dd")</f>
        <v/>
      </c>
      <c r="C11705">
        <f>TEXT(11704, "[$-060000]yyyy-mm-dd")</f>
        <v/>
      </c>
      <c r="D11705" t="inlineStr">
        <is>
          <t>1350-09-08</t>
        </is>
      </c>
    </row>
    <row r="11706">
      <c r="A11706" s="1" t="n">
        <v>11705</v>
      </c>
      <c r="B11706">
        <f>TEXT(11705, "[$-170000]yyyy-mm-dd")</f>
        <v/>
      </c>
      <c r="C11706">
        <f>TEXT(11705, "[$-060000]yyyy-mm-dd")</f>
        <v/>
      </c>
      <c r="D11706" t="inlineStr">
        <is>
          <t>1350-09-09</t>
        </is>
      </c>
    </row>
    <row r="11707">
      <c r="A11707" s="1" t="n">
        <v>11706</v>
      </c>
      <c r="B11707">
        <f>TEXT(11706, "[$-170000]yyyy-mm-dd")</f>
        <v/>
      </c>
      <c r="C11707">
        <f>TEXT(11706, "[$-060000]yyyy-mm-dd")</f>
        <v/>
      </c>
      <c r="D11707" t="inlineStr">
        <is>
          <t>1350-09-10</t>
        </is>
      </c>
    </row>
    <row r="11708">
      <c r="A11708" s="1" t="n">
        <v>11707</v>
      </c>
      <c r="B11708">
        <f>TEXT(11707, "[$-170000]yyyy-mm-dd")</f>
        <v/>
      </c>
      <c r="C11708">
        <f>TEXT(11707, "[$-060000]yyyy-mm-dd")</f>
        <v/>
      </c>
      <c r="D11708" t="inlineStr">
        <is>
          <t>1350-09-11</t>
        </is>
      </c>
    </row>
    <row r="11709">
      <c r="A11709" s="1" t="n">
        <v>11708</v>
      </c>
      <c r="B11709">
        <f>TEXT(11708, "[$-170000]yyyy-mm-dd")</f>
        <v/>
      </c>
      <c r="C11709">
        <f>TEXT(11708, "[$-060000]yyyy-mm-dd")</f>
        <v/>
      </c>
      <c r="D11709" t="inlineStr">
        <is>
          <t>1350-09-12</t>
        </is>
      </c>
    </row>
    <row r="11710">
      <c r="A11710" s="1" t="n">
        <v>11709</v>
      </c>
      <c r="B11710">
        <f>TEXT(11709, "[$-170000]yyyy-mm-dd")</f>
        <v/>
      </c>
      <c r="C11710">
        <f>TEXT(11709, "[$-060000]yyyy-mm-dd")</f>
        <v/>
      </c>
      <c r="D11710" t="inlineStr">
        <is>
          <t>1350-09-13</t>
        </is>
      </c>
    </row>
    <row r="11711">
      <c r="A11711" s="1" t="n">
        <v>11710</v>
      </c>
      <c r="B11711">
        <f>TEXT(11710, "[$-170000]yyyy-mm-dd")</f>
        <v/>
      </c>
      <c r="C11711">
        <f>TEXT(11710, "[$-060000]yyyy-mm-dd")</f>
        <v/>
      </c>
      <c r="D11711" t="inlineStr">
        <is>
          <t>1350-09-14</t>
        </is>
      </c>
    </row>
    <row r="11712">
      <c r="A11712" s="1" t="n">
        <v>11711</v>
      </c>
      <c r="B11712">
        <f>TEXT(11711, "[$-170000]yyyy-mm-dd")</f>
        <v/>
      </c>
      <c r="C11712">
        <f>TEXT(11711, "[$-060000]yyyy-mm-dd")</f>
        <v/>
      </c>
      <c r="D11712" t="inlineStr">
        <is>
          <t>1350-09-15</t>
        </is>
      </c>
    </row>
    <row r="11713">
      <c r="A11713" s="1" t="n">
        <v>11712</v>
      </c>
      <c r="B11713">
        <f>TEXT(11712, "[$-170000]yyyy-mm-dd")</f>
        <v/>
      </c>
      <c r="C11713">
        <f>TEXT(11712, "[$-060000]yyyy-mm-dd")</f>
        <v/>
      </c>
      <c r="D11713" t="inlineStr">
        <is>
          <t>1350-09-16</t>
        </is>
      </c>
    </row>
    <row r="11714">
      <c r="A11714" s="1" t="n">
        <v>11713</v>
      </c>
      <c r="B11714">
        <f>TEXT(11713, "[$-170000]yyyy-mm-dd")</f>
        <v/>
      </c>
      <c r="C11714">
        <f>TEXT(11713, "[$-060000]yyyy-mm-dd")</f>
        <v/>
      </c>
      <c r="D11714" t="inlineStr">
        <is>
          <t>1350-09-17</t>
        </is>
      </c>
    </row>
    <row r="11715">
      <c r="A11715" s="1" t="n">
        <v>11714</v>
      </c>
      <c r="B11715">
        <f>TEXT(11714, "[$-170000]yyyy-mm-dd")</f>
        <v/>
      </c>
      <c r="C11715">
        <f>TEXT(11714, "[$-060000]yyyy-mm-dd")</f>
        <v/>
      </c>
      <c r="D11715" t="inlineStr">
        <is>
          <t>1350-09-18</t>
        </is>
      </c>
    </row>
    <row r="11716">
      <c r="A11716" s="1" t="n">
        <v>11715</v>
      </c>
      <c r="B11716">
        <f>TEXT(11715, "[$-170000]yyyy-mm-dd")</f>
        <v/>
      </c>
      <c r="C11716">
        <f>TEXT(11715, "[$-060000]yyyy-mm-dd")</f>
        <v/>
      </c>
      <c r="D11716" t="inlineStr">
        <is>
          <t>1350-09-19</t>
        </is>
      </c>
    </row>
    <row r="11717">
      <c r="A11717" s="1" t="n">
        <v>11716</v>
      </c>
      <c r="B11717">
        <f>TEXT(11716, "[$-170000]yyyy-mm-dd")</f>
        <v/>
      </c>
      <c r="C11717">
        <f>TEXT(11716, "[$-060000]yyyy-mm-dd")</f>
        <v/>
      </c>
      <c r="D11717" t="inlineStr">
        <is>
          <t>1350-09-20</t>
        </is>
      </c>
    </row>
    <row r="11718">
      <c r="A11718" s="1" t="n">
        <v>11717</v>
      </c>
      <c r="B11718">
        <f>TEXT(11717, "[$-170000]yyyy-mm-dd")</f>
        <v/>
      </c>
      <c r="C11718">
        <f>TEXT(11717, "[$-060000]yyyy-mm-dd")</f>
        <v/>
      </c>
      <c r="D11718" t="inlineStr">
        <is>
          <t>1350-09-21</t>
        </is>
      </c>
    </row>
    <row r="11719">
      <c r="A11719" s="1" t="n">
        <v>11718</v>
      </c>
      <c r="B11719">
        <f>TEXT(11718, "[$-170000]yyyy-mm-dd")</f>
        <v/>
      </c>
      <c r="C11719">
        <f>TEXT(11718, "[$-060000]yyyy-mm-dd")</f>
        <v/>
      </c>
      <c r="D11719" t="inlineStr">
        <is>
          <t>1350-09-22</t>
        </is>
      </c>
    </row>
    <row r="11720">
      <c r="A11720" s="1" t="n">
        <v>11719</v>
      </c>
      <c r="B11720">
        <f>TEXT(11719, "[$-170000]yyyy-mm-dd")</f>
        <v/>
      </c>
      <c r="C11720">
        <f>TEXT(11719, "[$-060000]yyyy-mm-dd")</f>
        <v/>
      </c>
      <c r="D11720" t="inlineStr">
        <is>
          <t>1350-09-23</t>
        </is>
      </c>
    </row>
    <row r="11721">
      <c r="A11721" s="1" t="n">
        <v>11720</v>
      </c>
      <c r="B11721">
        <f>TEXT(11720, "[$-170000]yyyy-mm-dd")</f>
        <v/>
      </c>
      <c r="C11721">
        <f>TEXT(11720, "[$-060000]yyyy-mm-dd")</f>
        <v/>
      </c>
      <c r="D11721" t="inlineStr">
        <is>
          <t>1350-09-24</t>
        </is>
      </c>
    </row>
    <row r="11722">
      <c r="A11722" s="1" t="n">
        <v>11721</v>
      </c>
      <c r="B11722">
        <f>TEXT(11721, "[$-170000]yyyy-mm-dd")</f>
        <v/>
      </c>
      <c r="C11722">
        <f>TEXT(11721, "[$-060000]yyyy-mm-dd")</f>
        <v/>
      </c>
      <c r="D11722" t="inlineStr">
        <is>
          <t>1350-09-25</t>
        </is>
      </c>
    </row>
    <row r="11723">
      <c r="A11723" s="1" t="n">
        <v>11722</v>
      </c>
      <c r="B11723">
        <f>TEXT(11722, "[$-170000]yyyy-mm-dd")</f>
        <v/>
      </c>
      <c r="C11723">
        <f>TEXT(11722, "[$-060000]yyyy-mm-dd")</f>
        <v/>
      </c>
      <c r="D11723" t="inlineStr">
        <is>
          <t>1350-09-26</t>
        </is>
      </c>
    </row>
    <row r="11724">
      <c r="A11724" s="1" t="n">
        <v>11723</v>
      </c>
      <c r="B11724">
        <f>TEXT(11723, "[$-170000]yyyy-mm-dd")</f>
        <v/>
      </c>
      <c r="C11724">
        <f>TEXT(11723, "[$-060000]yyyy-mm-dd")</f>
        <v/>
      </c>
      <c r="D11724" t="inlineStr">
        <is>
          <t>1350-09-27</t>
        </is>
      </c>
    </row>
    <row r="11725">
      <c r="A11725" s="1" t="n">
        <v>11724</v>
      </c>
      <c r="B11725">
        <f>TEXT(11724, "[$-170000]yyyy-mm-dd")</f>
        <v/>
      </c>
      <c r="C11725">
        <f>TEXT(11724, "[$-060000]yyyy-mm-dd")</f>
        <v/>
      </c>
      <c r="D11725" t="inlineStr">
        <is>
          <t>1350-09-28</t>
        </is>
      </c>
    </row>
    <row r="11726">
      <c r="A11726" s="1" t="n">
        <v>11725</v>
      </c>
      <c r="B11726">
        <f>TEXT(11725, "[$-170000]yyyy-mm-dd")</f>
        <v/>
      </c>
      <c r="C11726">
        <f>TEXT(11725, "[$-060000]yyyy-mm-dd")</f>
        <v/>
      </c>
      <c r="D11726" t="inlineStr">
        <is>
          <t>1350-09-29</t>
        </is>
      </c>
    </row>
    <row r="11727">
      <c r="A11727" s="1" t="n">
        <v>11726</v>
      </c>
      <c r="B11727">
        <f>TEXT(11726, "[$-170000]yyyy-mm-dd")</f>
        <v/>
      </c>
      <c r="C11727">
        <f>TEXT(11726, "[$-060000]yyyy-mm-dd")</f>
        <v/>
      </c>
      <c r="D11727" t="inlineStr">
        <is>
          <t>1350-09-30</t>
        </is>
      </c>
    </row>
    <row r="11728">
      <c r="A11728" s="1" t="n">
        <v>11727</v>
      </c>
      <c r="B11728">
        <f>TEXT(11727, "[$-170000]yyyy-mm-dd")</f>
        <v/>
      </c>
      <c r="C11728">
        <f>TEXT(11727, "[$-060000]yyyy-mm-dd")</f>
        <v/>
      </c>
      <c r="D11728" t="inlineStr">
        <is>
          <t>1350-10-01</t>
        </is>
      </c>
    </row>
    <row r="11729">
      <c r="A11729" s="1" t="n">
        <v>11728</v>
      </c>
      <c r="B11729">
        <f>TEXT(11728, "[$-170000]yyyy-mm-dd")</f>
        <v/>
      </c>
      <c r="C11729">
        <f>TEXT(11728, "[$-060000]yyyy-mm-dd")</f>
        <v/>
      </c>
      <c r="D11729" t="inlineStr">
        <is>
          <t>1350-10-02</t>
        </is>
      </c>
    </row>
    <row r="11730">
      <c r="A11730" s="1" t="n">
        <v>11729</v>
      </c>
      <c r="B11730">
        <f>TEXT(11729, "[$-170000]yyyy-mm-dd")</f>
        <v/>
      </c>
      <c r="C11730">
        <f>TEXT(11729, "[$-060000]yyyy-mm-dd")</f>
        <v/>
      </c>
      <c r="D11730" t="inlineStr">
        <is>
          <t>1350-10-03</t>
        </is>
      </c>
    </row>
    <row r="11731">
      <c r="A11731" s="1" t="n">
        <v>11730</v>
      </c>
      <c r="B11731">
        <f>TEXT(11730, "[$-170000]yyyy-mm-dd")</f>
        <v/>
      </c>
      <c r="C11731">
        <f>TEXT(11730, "[$-060000]yyyy-mm-dd")</f>
        <v/>
      </c>
      <c r="D11731" t="inlineStr">
        <is>
          <t>1350-10-04</t>
        </is>
      </c>
    </row>
    <row r="11732">
      <c r="A11732" s="1" t="n">
        <v>11731</v>
      </c>
      <c r="B11732">
        <f>TEXT(11731, "[$-170000]yyyy-mm-dd")</f>
        <v/>
      </c>
      <c r="C11732">
        <f>TEXT(11731, "[$-060000]yyyy-mm-dd")</f>
        <v/>
      </c>
      <c r="D11732" t="inlineStr">
        <is>
          <t>1350-10-05</t>
        </is>
      </c>
    </row>
    <row r="11733">
      <c r="A11733" s="1" t="n">
        <v>11732</v>
      </c>
      <c r="B11733">
        <f>TEXT(11732, "[$-170000]yyyy-mm-dd")</f>
        <v/>
      </c>
      <c r="C11733">
        <f>TEXT(11732, "[$-060000]yyyy-mm-dd")</f>
        <v/>
      </c>
      <c r="D11733" t="inlineStr">
        <is>
          <t>1350-10-06</t>
        </is>
      </c>
    </row>
    <row r="11734">
      <c r="A11734" s="1" t="n">
        <v>11733</v>
      </c>
      <c r="B11734">
        <f>TEXT(11733, "[$-170000]yyyy-mm-dd")</f>
        <v/>
      </c>
      <c r="C11734">
        <f>TEXT(11733, "[$-060000]yyyy-mm-dd")</f>
        <v/>
      </c>
      <c r="D11734" t="inlineStr">
        <is>
          <t>1350-10-07</t>
        </is>
      </c>
    </row>
    <row r="11735">
      <c r="A11735" s="1" t="n">
        <v>11734</v>
      </c>
      <c r="B11735">
        <f>TEXT(11734, "[$-170000]yyyy-mm-dd")</f>
        <v/>
      </c>
      <c r="C11735">
        <f>TEXT(11734, "[$-060000]yyyy-mm-dd")</f>
        <v/>
      </c>
      <c r="D11735" t="inlineStr">
        <is>
          <t>1350-10-08</t>
        </is>
      </c>
    </row>
    <row r="11736">
      <c r="A11736" s="1" t="n">
        <v>11735</v>
      </c>
      <c r="B11736">
        <f>TEXT(11735, "[$-170000]yyyy-mm-dd")</f>
        <v/>
      </c>
      <c r="C11736">
        <f>TEXT(11735, "[$-060000]yyyy-mm-dd")</f>
        <v/>
      </c>
      <c r="D11736" t="inlineStr">
        <is>
          <t>1350-10-09</t>
        </is>
      </c>
    </row>
    <row r="11737">
      <c r="A11737" s="1" t="n">
        <v>11736</v>
      </c>
      <c r="B11737">
        <f>TEXT(11736, "[$-170000]yyyy-mm-dd")</f>
        <v/>
      </c>
      <c r="C11737">
        <f>TEXT(11736, "[$-060000]yyyy-mm-dd")</f>
        <v/>
      </c>
      <c r="D11737" t="inlineStr">
        <is>
          <t>1350-10-10</t>
        </is>
      </c>
    </row>
    <row r="11738">
      <c r="A11738" s="1" t="n">
        <v>11737</v>
      </c>
      <c r="B11738">
        <f>TEXT(11737, "[$-170000]yyyy-mm-dd")</f>
        <v/>
      </c>
      <c r="C11738">
        <f>TEXT(11737, "[$-060000]yyyy-mm-dd")</f>
        <v/>
      </c>
      <c r="D11738" t="inlineStr">
        <is>
          <t>1350-10-11</t>
        </is>
      </c>
    </row>
    <row r="11739">
      <c r="A11739" s="1" t="n">
        <v>11738</v>
      </c>
      <c r="B11739">
        <f>TEXT(11738, "[$-170000]yyyy-mm-dd")</f>
        <v/>
      </c>
      <c r="C11739">
        <f>TEXT(11738, "[$-060000]yyyy-mm-dd")</f>
        <v/>
      </c>
      <c r="D11739" t="inlineStr">
        <is>
          <t>1350-10-12</t>
        </is>
      </c>
    </row>
    <row r="11740">
      <c r="A11740" s="1" t="n">
        <v>11739</v>
      </c>
      <c r="B11740">
        <f>TEXT(11739, "[$-170000]yyyy-mm-dd")</f>
        <v/>
      </c>
      <c r="C11740">
        <f>TEXT(11739, "[$-060000]yyyy-mm-dd")</f>
        <v/>
      </c>
      <c r="D11740" t="inlineStr">
        <is>
          <t>1350-10-13</t>
        </is>
      </c>
    </row>
    <row r="11741">
      <c r="A11741" s="1" t="n">
        <v>11740</v>
      </c>
      <c r="B11741">
        <f>TEXT(11740, "[$-170000]yyyy-mm-dd")</f>
        <v/>
      </c>
      <c r="C11741">
        <f>TEXT(11740, "[$-060000]yyyy-mm-dd")</f>
        <v/>
      </c>
      <c r="D11741" t="inlineStr">
        <is>
          <t>1350-10-14</t>
        </is>
      </c>
    </row>
    <row r="11742">
      <c r="A11742" s="1" t="n">
        <v>11741</v>
      </c>
      <c r="B11742">
        <f>TEXT(11741, "[$-170000]yyyy-mm-dd")</f>
        <v/>
      </c>
      <c r="C11742">
        <f>TEXT(11741, "[$-060000]yyyy-mm-dd")</f>
        <v/>
      </c>
      <c r="D11742" t="inlineStr">
        <is>
          <t>1350-10-15</t>
        </is>
      </c>
    </row>
    <row r="11743">
      <c r="A11743" s="1" t="n">
        <v>11742</v>
      </c>
      <c r="B11743">
        <f>TEXT(11742, "[$-170000]yyyy-mm-dd")</f>
        <v/>
      </c>
      <c r="C11743">
        <f>TEXT(11742, "[$-060000]yyyy-mm-dd")</f>
        <v/>
      </c>
      <c r="D11743" t="inlineStr">
        <is>
          <t>1350-10-16</t>
        </is>
      </c>
    </row>
    <row r="11744">
      <c r="A11744" s="1" t="n">
        <v>11743</v>
      </c>
      <c r="B11744">
        <f>TEXT(11743, "[$-170000]yyyy-mm-dd")</f>
        <v/>
      </c>
      <c r="C11744">
        <f>TEXT(11743, "[$-060000]yyyy-mm-dd")</f>
        <v/>
      </c>
      <c r="D11744" t="inlineStr">
        <is>
          <t>1350-10-17</t>
        </is>
      </c>
    </row>
    <row r="11745">
      <c r="A11745" s="1" t="n">
        <v>11744</v>
      </c>
      <c r="B11745">
        <f>TEXT(11744, "[$-170000]yyyy-mm-dd")</f>
        <v/>
      </c>
      <c r="C11745">
        <f>TEXT(11744, "[$-060000]yyyy-mm-dd")</f>
        <v/>
      </c>
      <c r="D11745" t="inlineStr">
        <is>
          <t>1350-10-18</t>
        </is>
      </c>
    </row>
    <row r="11746">
      <c r="A11746" s="1" t="n">
        <v>11745</v>
      </c>
      <c r="B11746">
        <f>TEXT(11745, "[$-170000]yyyy-mm-dd")</f>
        <v/>
      </c>
      <c r="C11746">
        <f>TEXT(11745, "[$-060000]yyyy-mm-dd")</f>
        <v/>
      </c>
      <c r="D11746" t="inlineStr">
        <is>
          <t>1350-10-19</t>
        </is>
      </c>
    </row>
    <row r="11747">
      <c r="A11747" s="1" t="n">
        <v>11746</v>
      </c>
      <c r="B11747">
        <f>TEXT(11746, "[$-170000]yyyy-mm-dd")</f>
        <v/>
      </c>
      <c r="C11747">
        <f>TEXT(11746, "[$-060000]yyyy-mm-dd")</f>
        <v/>
      </c>
      <c r="D11747" t="inlineStr">
        <is>
          <t>1350-10-20</t>
        </is>
      </c>
    </row>
    <row r="11748">
      <c r="A11748" s="1" t="n">
        <v>11747</v>
      </c>
      <c r="B11748">
        <f>TEXT(11747, "[$-170000]yyyy-mm-dd")</f>
        <v/>
      </c>
      <c r="C11748">
        <f>TEXT(11747, "[$-060000]yyyy-mm-dd")</f>
        <v/>
      </c>
      <c r="D11748" t="inlineStr">
        <is>
          <t>1350-10-21</t>
        </is>
      </c>
    </row>
    <row r="11749">
      <c r="A11749" s="1" t="n">
        <v>11748</v>
      </c>
      <c r="B11749">
        <f>TEXT(11748, "[$-170000]yyyy-mm-dd")</f>
        <v/>
      </c>
      <c r="C11749">
        <f>TEXT(11748, "[$-060000]yyyy-mm-dd")</f>
        <v/>
      </c>
      <c r="D11749" t="inlineStr">
        <is>
          <t>1350-10-22</t>
        </is>
      </c>
    </row>
    <row r="11750">
      <c r="A11750" s="1" t="n">
        <v>11749</v>
      </c>
      <c r="B11750">
        <f>TEXT(11749, "[$-170000]yyyy-mm-dd")</f>
        <v/>
      </c>
      <c r="C11750">
        <f>TEXT(11749, "[$-060000]yyyy-mm-dd")</f>
        <v/>
      </c>
      <c r="D11750" t="inlineStr">
        <is>
          <t>1350-10-23</t>
        </is>
      </c>
    </row>
    <row r="11751">
      <c r="A11751" s="1" t="n">
        <v>11750</v>
      </c>
      <c r="B11751">
        <f>TEXT(11750, "[$-170000]yyyy-mm-dd")</f>
        <v/>
      </c>
      <c r="C11751">
        <f>TEXT(11750, "[$-060000]yyyy-mm-dd")</f>
        <v/>
      </c>
      <c r="D11751" t="inlineStr">
        <is>
          <t>1350-10-24</t>
        </is>
      </c>
    </row>
    <row r="11752">
      <c r="A11752" s="1" t="n">
        <v>11751</v>
      </c>
      <c r="B11752">
        <f>TEXT(11751, "[$-170000]yyyy-mm-dd")</f>
        <v/>
      </c>
      <c r="C11752">
        <f>TEXT(11751, "[$-060000]yyyy-mm-dd")</f>
        <v/>
      </c>
      <c r="D11752" t="inlineStr">
        <is>
          <t>1350-10-25</t>
        </is>
      </c>
    </row>
    <row r="11753">
      <c r="A11753" s="1" t="n">
        <v>11752</v>
      </c>
      <c r="B11753">
        <f>TEXT(11752, "[$-170000]yyyy-mm-dd")</f>
        <v/>
      </c>
      <c r="C11753">
        <f>TEXT(11752, "[$-060000]yyyy-mm-dd")</f>
        <v/>
      </c>
      <c r="D11753" t="inlineStr">
        <is>
          <t>1350-10-26</t>
        </is>
      </c>
    </row>
    <row r="11754">
      <c r="A11754" s="1" t="n">
        <v>11753</v>
      </c>
      <c r="B11754">
        <f>TEXT(11753, "[$-170000]yyyy-mm-dd")</f>
        <v/>
      </c>
      <c r="C11754">
        <f>TEXT(11753, "[$-060000]yyyy-mm-dd")</f>
        <v/>
      </c>
      <c r="D11754" t="inlineStr">
        <is>
          <t>1350-10-27</t>
        </is>
      </c>
    </row>
    <row r="11755">
      <c r="A11755" s="1" t="n">
        <v>11754</v>
      </c>
      <c r="B11755">
        <f>TEXT(11754, "[$-170000]yyyy-mm-dd")</f>
        <v/>
      </c>
      <c r="C11755">
        <f>TEXT(11754, "[$-060000]yyyy-mm-dd")</f>
        <v/>
      </c>
      <c r="D11755" t="inlineStr">
        <is>
          <t>1350-10-28</t>
        </is>
      </c>
    </row>
    <row r="11756">
      <c r="A11756" s="1" t="n">
        <v>11755</v>
      </c>
      <c r="B11756">
        <f>TEXT(11755, "[$-170000]yyyy-mm-dd")</f>
        <v/>
      </c>
      <c r="C11756">
        <f>TEXT(11755, "[$-060000]yyyy-mm-dd")</f>
        <v/>
      </c>
      <c r="D11756" t="inlineStr">
        <is>
          <t>1350-10-29</t>
        </is>
      </c>
    </row>
    <row r="11757">
      <c r="A11757" s="1" t="n">
        <v>11756</v>
      </c>
      <c r="B11757">
        <f>TEXT(11756, "[$-170000]yyyy-mm-dd")</f>
        <v/>
      </c>
      <c r="C11757">
        <f>TEXT(11756, "[$-060000]yyyy-mm-dd")</f>
        <v/>
      </c>
      <c r="D11757" t="inlineStr">
        <is>
          <t>1350-11-01</t>
        </is>
      </c>
    </row>
    <row r="11758">
      <c r="A11758" s="1" t="n">
        <v>11757</v>
      </c>
      <c r="B11758">
        <f>TEXT(11757, "[$-170000]yyyy-mm-dd")</f>
        <v/>
      </c>
      <c r="C11758">
        <f>TEXT(11757, "[$-060000]yyyy-mm-dd")</f>
        <v/>
      </c>
      <c r="D11758" t="inlineStr">
        <is>
          <t>1350-11-02</t>
        </is>
      </c>
    </row>
    <row r="11759">
      <c r="A11759" s="1" t="n">
        <v>11758</v>
      </c>
      <c r="B11759">
        <f>TEXT(11758, "[$-170000]yyyy-mm-dd")</f>
        <v/>
      </c>
      <c r="C11759">
        <f>TEXT(11758, "[$-060000]yyyy-mm-dd")</f>
        <v/>
      </c>
      <c r="D11759" t="inlineStr">
        <is>
          <t>1350-11-03</t>
        </is>
      </c>
    </row>
    <row r="11760">
      <c r="A11760" s="1" t="n">
        <v>11759</v>
      </c>
      <c r="B11760">
        <f>TEXT(11759, "[$-170000]yyyy-mm-dd")</f>
        <v/>
      </c>
      <c r="C11760">
        <f>TEXT(11759, "[$-060000]yyyy-mm-dd")</f>
        <v/>
      </c>
      <c r="D11760" t="inlineStr">
        <is>
          <t>1350-11-04</t>
        </is>
      </c>
    </row>
    <row r="11761">
      <c r="A11761" s="1" t="n">
        <v>11760</v>
      </c>
      <c r="B11761">
        <f>TEXT(11760, "[$-170000]yyyy-mm-dd")</f>
        <v/>
      </c>
      <c r="C11761">
        <f>TEXT(11760, "[$-060000]yyyy-mm-dd")</f>
        <v/>
      </c>
      <c r="D11761" t="inlineStr">
        <is>
          <t>1350-11-05</t>
        </is>
      </c>
    </row>
    <row r="11762">
      <c r="A11762" s="1" t="n">
        <v>11761</v>
      </c>
      <c r="B11762">
        <f>TEXT(11761, "[$-170000]yyyy-mm-dd")</f>
        <v/>
      </c>
      <c r="C11762">
        <f>TEXT(11761, "[$-060000]yyyy-mm-dd")</f>
        <v/>
      </c>
      <c r="D11762" t="inlineStr">
        <is>
          <t>1350-11-06</t>
        </is>
      </c>
    </row>
    <row r="11763">
      <c r="A11763" s="1" t="n">
        <v>11762</v>
      </c>
      <c r="B11763">
        <f>TEXT(11762, "[$-170000]yyyy-mm-dd")</f>
        <v/>
      </c>
      <c r="C11763">
        <f>TEXT(11762, "[$-060000]yyyy-mm-dd")</f>
        <v/>
      </c>
      <c r="D11763" t="inlineStr">
        <is>
          <t>1350-11-07</t>
        </is>
      </c>
    </row>
    <row r="11764">
      <c r="A11764" s="1" t="n">
        <v>11763</v>
      </c>
      <c r="B11764">
        <f>TEXT(11763, "[$-170000]yyyy-mm-dd")</f>
        <v/>
      </c>
      <c r="C11764">
        <f>TEXT(11763, "[$-060000]yyyy-mm-dd")</f>
        <v/>
      </c>
      <c r="D11764" t="inlineStr">
        <is>
          <t>1350-11-08</t>
        </is>
      </c>
    </row>
    <row r="11765">
      <c r="A11765" s="1" t="n">
        <v>11764</v>
      </c>
      <c r="B11765">
        <f>TEXT(11764, "[$-170000]yyyy-mm-dd")</f>
        <v/>
      </c>
      <c r="C11765">
        <f>TEXT(11764, "[$-060000]yyyy-mm-dd")</f>
        <v/>
      </c>
      <c r="D11765" t="inlineStr">
        <is>
          <t>1350-11-09</t>
        </is>
      </c>
    </row>
    <row r="11766">
      <c r="A11766" s="1" t="n">
        <v>11765</v>
      </c>
      <c r="B11766">
        <f>TEXT(11765, "[$-170000]yyyy-mm-dd")</f>
        <v/>
      </c>
      <c r="C11766">
        <f>TEXT(11765, "[$-060000]yyyy-mm-dd")</f>
        <v/>
      </c>
      <c r="D11766" t="inlineStr">
        <is>
          <t>1350-11-10</t>
        </is>
      </c>
    </row>
    <row r="11767">
      <c r="A11767" s="1" t="n">
        <v>11766</v>
      </c>
      <c r="B11767">
        <f>TEXT(11766, "[$-170000]yyyy-mm-dd")</f>
        <v/>
      </c>
      <c r="C11767">
        <f>TEXT(11766, "[$-060000]yyyy-mm-dd")</f>
        <v/>
      </c>
      <c r="D11767" t="inlineStr">
        <is>
          <t>1350-11-11</t>
        </is>
      </c>
    </row>
    <row r="11768">
      <c r="A11768" s="1" t="n">
        <v>11767</v>
      </c>
      <c r="B11768">
        <f>TEXT(11767, "[$-170000]yyyy-mm-dd")</f>
        <v/>
      </c>
      <c r="C11768">
        <f>TEXT(11767, "[$-060000]yyyy-mm-dd")</f>
        <v/>
      </c>
      <c r="D11768" t="inlineStr">
        <is>
          <t>1350-11-12</t>
        </is>
      </c>
    </row>
    <row r="11769">
      <c r="A11769" s="1" t="n">
        <v>11768</v>
      </c>
      <c r="B11769">
        <f>TEXT(11768, "[$-170000]yyyy-mm-dd")</f>
        <v/>
      </c>
      <c r="C11769">
        <f>TEXT(11768, "[$-060000]yyyy-mm-dd")</f>
        <v/>
      </c>
      <c r="D11769" t="inlineStr">
        <is>
          <t>1350-11-13</t>
        </is>
      </c>
    </row>
    <row r="11770">
      <c r="A11770" s="1" t="n">
        <v>11769</v>
      </c>
      <c r="B11770">
        <f>TEXT(11769, "[$-170000]yyyy-mm-dd")</f>
        <v/>
      </c>
      <c r="C11770">
        <f>TEXT(11769, "[$-060000]yyyy-mm-dd")</f>
        <v/>
      </c>
      <c r="D11770" t="inlineStr">
        <is>
          <t>1350-11-14</t>
        </is>
      </c>
    </row>
    <row r="11771">
      <c r="A11771" s="1" t="n">
        <v>11770</v>
      </c>
      <c r="B11771">
        <f>TEXT(11770, "[$-170000]yyyy-mm-dd")</f>
        <v/>
      </c>
      <c r="C11771">
        <f>TEXT(11770, "[$-060000]yyyy-mm-dd")</f>
        <v/>
      </c>
      <c r="D11771" t="inlineStr">
        <is>
          <t>1350-11-15</t>
        </is>
      </c>
    </row>
    <row r="11772">
      <c r="A11772" s="1" t="n">
        <v>11771</v>
      </c>
      <c r="B11772">
        <f>TEXT(11771, "[$-170000]yyyy-mm-dd")</f>
        <v/>
      </c>
      <c r="C11772">
        <f>TEXT(11771, "[$-060000]yyyy-mm-dd")</f>
        <v/>
      </c>
      <c r="D11772" t="inlineStr">
        <is>
          <t>1350-11-16</t>
        </is>
      </c>
    </row>
    <row r="11773">
      <c r="A11773" s="1" t="n">
        <v>11772</v>
      </c>
      <c r="B11773">
        <f>TEXT(11772, "[$-170000]yyyy-mm-dd")</f>
        <v/>
      </c>
      <c r="C11773">
        <f>TEXT(11772, "[$-060000]yyyy-mm-dd")</f>
        <v/>
      </c>
      <c r="D11773" t="inlineStr">
        <is>
          <t>1350-11-17</t>
        </is>
      </c>
    </row>
    <row r="11774">
      <c r="A11774" s="1" t="n">
        <v>11773</v>
      </c>
      <c r="B11774">
        <f>TEXT(11773, "[$-170000]yyyy-mm-dd")</f>
        <v/>
      </c>
      <c r="C11774">
        <f>TEXT(11773, "[$-060000]yyyy-mm-dd")</f>
        <v/>
      </c>
      <c r="D11774" t="inlineStr">
        <is>
          <t>1350-11-18</t>
        </is>
      </c>
    </row>
    <row r="11775">
      <c r="A11775" s="1" t="n">
        <v>11774</v>
      </c>
      <c r="B11775">
        <f>TEXT(11774, "[$-170000]yyyy-mm-dd")</f>
        <v/>
      </c>
      <c r="C11775">
        <f>TEXT(11774, "[$-060000]yyyy-mm-dd")</f>
        <v/>
      </c>
      <c r="D11775" t="inlineStr">
        <is>
          <t>1350-11-19</t>
        </is>
      </c>
    </row>
    <row r="11776">
      <c r="A11776" s="1" t="n">
        <v>11775</v>
      </c>
      <c r="B11776">
        <f>TEXT(11775, "[$-170000]yyyy-mm-dd")</f>
        <v/>
      </c>
      <c r="C11776">
        <f>TEXT(11775, "[$-060000]yyyy-mm-dd")</f>
        <v/>
      </c>
      <c r="D11776" t="inlineStr">
        <is>
          <t>1350-11-20</t>
        </is>
      </c>
    </row>
    <row r="11777">
      <c r="A11777" s="1" t="n">
        <v>11776</v>
      </c>
      <c r="B11777">
        <f>TEXT(11776, "[$-170000]yyyy-mm-dd")</f>
        <v/>
      </c>
      <c r="C11777">
        <f>TEXT(11776, "[$-060000]yyyy-mm-dd")</f>
        <v/>
      </c>
      <c r="D11777" t="inlineStr">
        <is>
          <t>1350-11-21</t>
        </is>
      </c>
    </row>
    <row r="11778">
      <c r="A11778" s="1" t="n">
        <v>11777</v>
      </c>
      <c r="B11778">
        <f>TEXT(11777, "[$-170000]yyyy-mm-dd")</f>
        <v/>
      </c>
      <c r="C11778">
        <f>TEXT(11777, "[$-060000]yyyy-mm-dd")</f>
        <v/>
      </c>
      <c r="D11778" t="inlineStr">
        <is>
          <t>1350-11-22</t>
        </is>
      </c>
    </row>
    <row r="11779">
      <c r="A11779" s="1" t="n">
        <v>11778</v>
      </c>
      <c r="B11779">
        <f>TEXT(11778, "[$-170000]yyyy-mm-dd")</f>
        <v/>
      </c>
      <c r="C11779">
        <f>TEXT(11778, "[$-060000]yyyy-mm-dd")</f>
        <v/>
      </c>
      <c r="D11779" t="inlineStr">
        <is>
          <t>1350-11-23</t>
        </is>
      </c>
    </row>
    <row r="11780">
      <c r="A11780" s="1" t="n">
        <v>11779</v>
      </c>
      <c r="B11780">
        <f>TEXT(11779, "[$-170000]yyyy-mm-dd")</f>
        <v/>
      </c>
      <c r="C11780">
        <f>TEXT(11779, "[$-060000]yyyy-mm-dd")</f>
        <v/>
      </c>
      <c r="D11780" t="inlineStr">
        <is>
          <t>1350-11-24</t>
        </is>
      </c>
    </row>
    <row r="11781">
      <c r="A11781" s="1" t="n">
        <v>11780</v>
      </c>
      <c r="B11781">
        <f>TEXT(11780, "[$-170000]yyyy-mm-dd")</f>
        <v/>
      </c>
      <c r="C11781">
        <f>TEXT(11780, "[$-060000]yyyy-mm-dd")</f>
        <v/>
      </c>
      <c r="D11781" t="inlineStr">
        <is>
          <t>1350-11-25</t>
        </is>
      </c>
    </row>
    <row r="11782">
      <c r="A11782" s="1" t="n">
        <v>11781</v>
      </c>
      <c r="B11782">
        <f>TEXT(11781, "[$-170000]yyyy-mm-dd")</f>
        <v/>
      </c>
      <c r="C11782">
        <f>TEXT(11781, "[$-060000]yyyy-mm-dd")</f>
        <v/>
      </c>
      <c r="D11782" t="inlineStr">
        <is>
          <t>1350-11-26</t>
        </is>
      </c>
    </row>
    <row r="11783">
      <c r="A11783" s="1" t="n">
        <v>11782</v>
      </c>
      <c r="B11783">
        <f>TEXT(11782, "[$-170000]yyyy-mm-dd")</f>
        <v/>
      </c>
      <c r="C11783">
        <f>TEXT(11782, "[$-060000]yyyy-mm-dd")</f>
        <v/>
      </c>
      <c r="D11783" t="inlineStr">
        <is>
          <t>1350-11-27</t>
        </is>
      </c>
    </row>
    <row r="11784">
      <c r="A11784" s="1" t="n">
        <v>11783</v>
      </c>
      <c r="B11784">
        <f>TEXT(11783, "[$-170000]yyyy-mm-dd")</f>
        <v/>
      </c>
      <c r="C11784">
        <f>TEXT(11783, "[$-060000]yyyy-mm-dd")</f>
        <v/>
      </c>
      <c r="D11784" t="inlineStr">
        <is>
          <t>1350-11-28</t>
        </is>
      </c>
    </row>
    <row r="11785">
      <c r="A11785" s="1" t="n">
        <v>11784</v>
      </c>
      <c r="B11785">
        <f>TEXT(11784, "[$-170000]yyyy-mm-dd")</f>
        <v/>
      </c>
      <c r="C11785">
        <f>TEXT(11784, "[$-060000]yyyy-mm-dd")</f>
        <v/>
      </c>
      <c r="D11785" t="inlineStr">
        <is>
          <t>1350-11-29</t>
        </is>
      </c>
    </row>
    <row r="11786">
      <c r="A11786" s="1" t="n">
        <v>11785</v>
      </c>
      <c r="B11786">
        <f>TEXT(11785, "[$-170000]yyyy-mm-dd")</f>
        <v/>
      </c>
      <c r="C11786">
        <f>TEXT(11785, "[$-060000]yyyy-mm-dd")</f>
        <v/>
      </c>
      <c r="D11786" t="inlineStr">
        <is>
          <t>1350-11-30</t>
        </is>
      </c>
    </row>
    <row r="11787">
      <c r="A11787" s="1" t="n">
        <v>11786</v>
      </c>
      <c r="B11787">
        <f>TEXT(11786, "[$-170000]yyyy-mm-dd")</f>
        <v/>
      </c>
      <c r="C11787">
        <f>TEXT(11786, "[$-060000]yyyy-mm-dd")</f>
        <v/>
      </c>
      <c r="D11787" t="inlineStr">
        <is>
          <t>1350-12-01</t>
        </is>
      </c>
    </row>
    <row r="11788">
      <c r="A11788" s="1" t="n">
        <v>11787</v>
      </c>
      <c r="B11788">
        <f>TEXT(11787, "[$-170000]yyyy-mm-dd")</f>
        <v/>
      </c>
      <c r="C11788">
        <f>TEXT(11787, "[$-060000]yyyy-mm-dd")</f>
        <v/>
      </c>
      <c r="D11788" t="inlineStr">
        <is>
          <t>1350-12-02</t>
        </is>
      </c>
    </row>
    <row r="11789">
      <c r="A11789" s="1" t="n">
        <v>11788</v>
      </c>
      <c r="B11789">
        <f>TEXT(11788, "[$-170000]yyyy-mm-dd")</f>
        <v/>
      </c>
      <c r="C11789">
        <f>TEXT(11788, "[$-060000]yyyy-mm-dd")</f>
        <v/>
      </c>
      <c r="D11789" t="inlineStr">
        <is>
          <t>1350-12-03</t>
        </is>
      </c>
    </row>
    <row r="11790">
      <c r="A11790" s="1" t="n">
        <v>11789</v>
      </c>
      <c r="B11790">
        <f>TEXT(11789, "[$-170000]yyyy-mm-dd")</f>
        <v/>
      </c>
      <c r="C11790">
        <f>TEXT(11789, "[$-060000]yyyy-mm-dd")</f>
        <v/>
      </c>
      <c r="D11790" t="inlineStr">
        <is>
          <t>1350-12-04</t>
        </is>
      </c>
    </row>
    <row r="11791">
      <c r="A11791" s="1" t="n">
        <v>11790</v>
      </c>
      <c r="B11791">
        <f>TEXT(11790, "[$-170000]yyyy-mm-dd")</f>
        <v/>
      </c>
      <c r="C11791">
        <f>TEXT(11790, "[$-060000]yyyy-mm-dd")</f>
        <v/>
      </c>
      <c r="D11791" t="inlineStr">
        <is>
          <t>1350-12-05</t>
        </is>
      </c>
    </row>
    <row r="11792">
      <c r="A11792" s="1" t="n">
        <v>11791</v>
      </c>
      <c r="B11792">
        <f>TEXT(11791, "[$-170000]yyyy-mm-dd")</f>
        <v/>
      </c>
      <c r="C11792">
        <f>TEXT(11791, "[$-060000]yyyy-mm-dd")</f>
        <v/>
      </c>
      <c r="D11792" t="inlineStr">
        <is>
          <t>1350-12-06</t>
        </is>
      </c>
    </row>
    <row r="11793">
      <c r="A11793" s="1" t="n">
        <v>11792</v>
      </c>
      <c r="B11793">
        <f>TEXT(11792, "[$-170000]yyyy-mm-dd")</f>
        <v/>
      </c>
      <c r="C11793">
        <f>TEXT(11792, "[$-060000]yyyy-mm-dd")</f>
        <v/>
      </c>
      <c r="D11793" t="inlineStr">
        <is>
          <t>1350-12-07</t>
        </is>
      </c>
    </row>
    <row r="11794">
      <c r="A11794" s="1" t="n">
        <v>11793</v>
      </c>
      <c r="B11794">
        <f>TEXT(11793, "[$-170000]yyyy-mm-dd")</f>
        <v/>
      </c>
      <c r="C11794">
        <f>TEXT(11793, "[$-060000]yyyy-mm-dd")</f>
        <v/>
      </c>
      <c r="D11794" t="inlineStr">
        <is>
          <t>1350-12-08</t>
        </is>
      </c>
    </row>
    <row r="11795">
      <c r="A11795" s="1" t="n">
        <v>11794</v>
      </c>
      <c r="B11795">
        <f>TEXT(11794, "[$-170000]yyyy-mm-dd")</f>
        <v/>
      </c>
      <c r="C11795">
        <f>TEXT(11794, "[$-060000]yyyy-mm-dd")</f>
        <v/>
      </c>
      <c r="D11795" t="inlineStr">
        <is>
          <t>1350-12-09</t>
        </is>
      </c>
    </row>
    <row r="11796">
      <c r="A11796" s="1" t="n">
        <v>11795</v>
      </c>
      <c r="B11796">
        <f>TEXT(11795, "[$-170000]yyyy-mm-dd")</f>
        <v/>
      </c>
      <c r="C11796">
        <f>TEXT(11795, "[$-060000]yyyy-mm-dd")</f>
        <v/>
      </c>
      <c r="D11796" t="inlineStr">
        <is>
          <t>1350-12-10</t>
        </is>
      </c>
    </row>
    <row r="11797">
      <c r="A11797" s="1" t="n">
        <v>11796</v>
      </c>
      <c r="B11797">
        <f>TEXT(11796, "[$-170000]yyyy-mm-dd")</f>
        <v/>
      </c>
      <c r="C11797">
        <f>TEXT(11796, "[$-060000]yyyy-mm-dd")</f>
        <v/>
      </c>
      <c r="D11797" t="inlineStr">
        <is>
          <t>1350-12-11</t>
        </is>
      </c>
    </row>
    <row r="11798">
      <c r="A11798" s="1" t="n">
        <v>11797</v>
      </c>
      <c r="B11798">
        <f>TEXT(11797, "[$-170000]yyyy-mm-dd")</f>
        <v/>
      </c>
      <c r="C11798">
        <f>TEXT(11797, "[$-060000]yyyy-mm-dd")</f>
        <v/>
      </c>
      <c r="D11798" t="inlineStr">
        <is>
          <t>1350-12-12</t>
        </is>
      </c>
    </row>
    <row r="11799">
      <c r="A11799" s="1" t="n">
        <v>11798</v>
      </c>
      <c r="B11799">
        <f>TEXT(11798, "[$-170000]yyyy-mm-dd")</f>
        <v/>
      </c>
      <c r="C11799">
        <f>TEXT(11798, "[$-060000]yyyy-mm-dd")</f>
        <v/>
      </c>
      <c r="D11799" t="inlineStr">
        <is>
          <t>1350-12-13</t>
        </is>
      </c>
    </row>
    <row r="11800">
      <c r="A11800" s="1" t="n">
        <v>11799</v>
      </c>
      <c r="B11800">
        <f>TEXT(11799, "[$-170000]yyyy-mm-dd")</f>
        <v/>
      </c>
      <c r="C11800">
        <f>TEXT(11799, "[$-060000]yyyy-mm-dd")</f>
        <v/>
      </c>
      <c r="D11800" t="inlineStr">
        <is>
          <t>1350-12-14</t>
        </is>
      </c>
    </row>
    <row r="11801">
      <c r="A11801" s="1" t="n">
        <v>11800</v>
      </c>
      <c r="B11801">
        <f>TEXT(11800, "[$-170000]yyyy-mm-dd")</f>
        <v/>
      </c>
      <c r="C11801">
        <f>TEXT(11800, "[$-060000]yyyy-mm-dd")</f>
        <v/>
      </c>
      <c r="D11801" t="inlineStr">
        <is>
          <t>1350-12-15</t>
        </is>
      </c>
    </row>
    <row r="11802">
      <c r="A11802" s="1" t="n">
        <v>11801</v>
      </c>
      <c r="B11802">
        <f>TEXT(11801, "[$-170000]yyyy-mm-dd")</f>
        <v/>
      </c>
      <c r="C11802">
        <f>TEXT(11801, "[$-060000]yyyy-mm-dd")</f>
        <v/>
      </c>
      <c r="D11802" t="inlineStr">
        <is>
          <t>1350-12-16</t>
        </is>
      </c>
    </row>
    <row r="11803">
      <c r="A11803" s="1" t="n">
        <v>11802</v>
      </c>
      <c r="B11803">
        <f>TEXT(11802, "[$-170000]yyyy-mm-dd")</f>
        <v/>
      </c>
      <c r="C11803">
        <f>TEXT(11802, "[$-060000]yyyy-mm-dd")</f>
        <v/>
      </c>
      <c r="D11803" t="inlineStr">
        <is>
          <t>1350-12-17</t>
        </is>
      </c>
    </row>
    <row r="11804">
      <c r="A11804" s="1" t="n">
        <v>11803</v>
      </c>
      <c r="B11804">
        <f>TEXT(11803, "[$-170000]yyyy-mm-dd")</f>
        <v/>
      </c>
      <c r="C11804">
        <f>TEXT(11803, "[$-060000]yyyy-mm-dd")</f>
        <v/>
      </c>
      <c r="D11804" t="inlineStr">
        <is>
          <t>1350-12-18</t>
        </is>
      </c>
    </row>
    <row r="11805">
      <c r="A11805" s="1" t="n">
        <v>11804</v>
      </c>
      <c r="B11805">
        <f>TEXT(11804, "[$-170000]yyyy-mm-dd")</f>
        <v/>
      </c>
      <c r="C11805">
        <f>TEXT(11804, "[$-060000]yyyy-mm-dd")</f>
        <v/>
      </c>
      <c r="D11805" t="inlineStr">
        <is>
          <t>1350-12-19</t>
        </is>
      </c>
    </row>
    <row r="11806">
      <c r="A11806" s="1" t="n">
        <v>11805</v>
      </c>
      <c r="B11806">
        <f>TEXT(11805, "[$-170000]yyyy-mm-dd")</f>
        <v/>
      </c>
      <c r="C11806">
        <f>TEXT(11805, "[$-060000]yyyy-mm-dd")</f>
        <v/>
      </c>
      <c r="D11806" t="inlineStr">
        <is>
          <t>1350-12-20</t>
        </is>
      </c>
    </row>
    <row r="11807">
      <c r="A11807" s="1" t="n">
        <v>11806</v>
      </c>
      <c r="B11807">
        <f>TEXT(11806, "[$-170000]yyyy-mm-dd")</f>
        <v/>
      </c>
      <c r="C11807">
        <f>TEXT(11806, "[$-060000]yyyy-mm-dd")</f>
        <v/>
      </c>
      <c r="D11807" t="inlineStr">
        <is>
          <t>1350-12-21</t>
        </is>
      </c>
    </row>
    <row r="11808">
      <c r="A11808" s="1" t="n">
        <v>11807</v>
      </c>
      <c r="B11808">
        <f>TEXT(11807, "[$-170000]yyyy-mm-dd")</f>
        <v/>
      </c>
      <c r="C11808">
        <f>TEXT(11807, "[$-060000]yyyy-mm-dd")</f>
        <v/>
      </c>
      <c r="D11808" t="inlineStr">
        <is>
          <t>1350-12-22</t>
        </is>
      </c>
    </row>
    <row r="11809">
      <c r="A11809" s="1" t="n">
        <v>11808</v>
      </c>
      <c r="B11809">
        <f>TEXT(11808, "[$-170000]yyyy-mm-dd")</f>
        <v/>
      </c>
      <c r="C11809">
        <f>TEXT(11808, "[$-060000]yyyy-mm-dd")</f>
        <v/>
      </c>
      <c r="D11809" t="inlineStr">
        <is>
          <t>1350-12-23</t>
        </is>
      </c>
    </row>
    <row r="11810">
      <c r="A11810" s="1" t="n">
        <v>11809</v>
      </c>
      <c r="B11810">
        <f>TEXT(11809, "[$-170000]yyyy-mm-dd")</f>
        <v/>
      </c>
      <c r="C11810">
        <f>TEXT(11809, "[$-060000]yyyy-mm-dd")</f>
        <v/>
      </c>
      <c r="D11810" t="inlineStr">
        <is>
          <t>1350-12-24</t>
        </is>
      </c>
    </row>
    <row r="11811">
      <c r="A11811" s="1" t="n">
        <v>11810</v>
      </c>
      <c r="B11811">
        <f>TEXT(11810, "[$-170000]yyyy-mm-dd")</f>
        <v/>
      </c>
      <c r="C11811">
        <f>TEXT(11810, "[$-060000]yyyy-mm-dd")</f>
        <v/>
      </c>
      <c r="D11811" t="inlineStr">
        <is>
          <t>1350-12-25</t>
        </is>
      </c>
    </row>
    <row r="11812">
      <c r="A11812" s="1" t="n">
        <v>11811</v>
      </c>
      <c r="B11812">
        <f>TEXT(11811, "[$-170000]yyyy-mm-dd")</f>
        <v/>
      </c>
      <c r="C11812">
        <f>TEXT(11811, "[$-060000]yyyy-mm-dd")</f>
        <v/>
      </c>
      <c r="D11812" t="inlineStr">
        <is>
          <t>1350-12-26</t>
        </is>
      </c>
    </row>
    <row r="11813">
      <c r="A11813" s="1" t="n">
        <v>11812</v>
      </c>
      <c r="B11813">
        <f>TEXT(11812, "[$-170000]yyyy-mm-dd")</f>
        <v/>
      </c>
      <c r="C11813">
        <f>TEXT(11812, "[$-060000]yyyy-mm-dd")</f>
        <v/>
      </c>
      <c r="D11813" t="inlineStr">
        <is>
          <t>1350-12-27</t>
        </is>
      </c>
    </row>
    <row r="11814">
      <c r="A11814" s="1" t="n">
        <v>11813</v>
      </c>
      <c r="B11814">
        <f>TEXT(11813, "[$-170000]yyyy-mm-dd")</f>
        <v/>
      </c>
      <c r="C11814">
        <f>TEXT(11813, "[$-060000]yyyy-mm-dd")</f>
        <v/>
      </c>
      <c r="D11814" t="inlineStr">
        <is>
          <t>1350-12-28</t>
        </is>
      </c>
    </row>
    <row r="11815">
      <c r="A11815" s="1" t="n">
        <v>11814</v>
      </c>
      <c r="B11815">
        <f>TEXT(11814, "[$-170000]yyyy-mm-dd")</f>
        <v/>
      </c>
      <c r="C11815">
        <f>TEXT(11814, "[$-060000]yyyy-mm-dd")</f>
        <v/>
      </c>
      <c r="D11815" t="inlineStr">
        <is>
          <t>1350-12-29</t>
        </is>
      </c>
    </row>
    <row r="11816">
      <c r="A11816" s="1" t="n">
        <v>11815</v>
      </c>
      <c r="B11816">
        <f>TEXT(11815, "[$-170000]yyyy-mm-dd")</f>
        <v/>
      </c>
      <c r="C11816">
        <f>TEXT(11815, "[$-060000]yyyy-mm-dd")</f>
        <v/>
      </c>
      <c r="D11816" t="inlineStr">
        <is>
          <t>1351-01-01</t>
        </is>
      </c>
    </row>
    <row r="11817">
      <c r="A11817" s="1" t="n">
        <v>11816</v>
      </c>
      <c r="B11817">
        <f>TEXT(11816, "[$-170000]yyyy-mm-dd")</f>
        <v/>
      </c>
      <c r="C11817">
        <f>TEXT(11816, "[$-060000]yyyy-mm-dd")</f>
        <v/>
      </c>
      <c r="D11817" t="inlineStr">
        <is>
          <t>1351-01-02</t>
        </is>
      </c>
    </row>
    <row r="11818">
      <c r="A11818" s="1" t="n">
        <v>11817</v>
      </c>
      <c r="B11818">
        <f>TEXT(11817, "[$-170000]yyyy-mm-dd")</f>
        <v/>
      </c>
      <c r="C11818">
        <f>TEXT(11817, "[$-060000]yyyy-mm-dd")</f>
        <v/>
      </c>
      <c r="D11818" t="inlineStr">
        <is>
          <t>1351-01-03</t>
        </is>
      </c>
    </row>
    <row r="11819">
      <c r="A11819" s="1" t="n">
        <v>11818</v>
      </c>
      <c r="B11819">
        <f>TEXT(11818, "[$-170000]yyyy-mm-dd")</f>
        <v/>
      </c>
      <c r="C11819">
        <f>TEXT(11818, "[$-060000]yyyy-mm-dd")</f>
        <v/>
      </c>
      <c r="D11819" t="inlineStr">
        <is>
          <t>1351-01-04</t>
        </is>
      </c>
    </row>
    <row r="11820">
      <c r="A11820" s="1" t="n">
        <v>11819</v>
      </c>
      <c r="B11820">
        <f>TEXT(11819, "[$-170000]yyyy-mm-dd")</f>
        <v/>
      </c>
      <c r="C11820">
        <f>TEXT(11819, "[$-060000]yyyy-mm-dd")</f>
        <v/>
      </c>
      <c r="D11820" t="inlineStr">
        <is>
          <t>1351-01-05</t>
        </is>
      </c>
    </row>
    <row r="11821">
      <c r="A11821" s="1" t="n">
        <v>11820</v>
      </c>
      <c r="B11821">
        <f>TEXT(11820, "[$-170000]yyyy-mm-dd")</f>
        <v/>
      </c>
      <c r="C11821">
        <f>TEXT(11820, "[$-060000]yyyy-mm-dd")</f>
        <v/>
      </c>
      <c r="D11821" t="inlineStr">
        <is>
          <t>1351-01-06</t>
        </is>
      </c>
    </row>
    <row r="11822">
      <c r="A11822" s="1" t="n">
        <v>11821</v>
      </c>
      <c r="B11822">
        <f>TEXT(11821, "[$-170000]yyyy-mm-dd")</f>
        <v/>
      </c>
      <c r="C11822">
        <f>TEXT(11821, "[$-060000]yyyy-mm-dd")</f>
        <v/>
      </c>
      <c r="D11822" t="inlineStr">
        <is>
          <t>1351-01-07</t>
        </is>
      </c>
    </row>
    <row r="11823">
      <c r="A11823" s="1" t="n">
        <v>11822</v>
      </c>
      <c r="B11823">
        <f>TEXT(11822, "[$-170000]yyyy-mm-dd")</f>
        <v/>
      </c>
      <c r="C11823">
        <f>TEXT(11822, "[$-060000]yyyy-mm-dd")</f>
        <v/>
      </c>
      <c r="D11823" t="inlineStr">
        <is>
          <t>1351-01-08</t>
        </is>
      </c>
    </row>
    <row r="11824">
      <c r="A11824" s="1" t="n">
        <v>11823</v>
      </c>
      <c r="B11824">
        <f>TEXT(11823, "[$-170000]yyyy-mm-dd")</f>
        <v/>
      </c>
      <c r="C11824">
        <f>TEXT(11823, "[$-060000]yyyy-mm-dd")</f>
        <v/>
      </c>
      <c r="D11824" t="inlineStr">
        <is>
          <t>1351-01-09</t>
        </is>
      </c>
    </row>
    <row r="11825">
      <c r="A11825" s="1" t="n">
        <v>11824</v>
      </c>
      <c r="B11825">
        <f>TEXT(11824, "[$-170000]yyyy-mm-dd")</f>
        <v/>
      </c>
      <c r="C11825">
        <f>TEXT(11824, "[$-060000]yyyy-mm-dd")</f>
        <v/>
      </c>
      <c r="D11825" t="inlineStr">
        <is>
          <t>1351-01-10</t>
        </is>
      </c>
    </row>
    <row r="11826">
      <c r="A11826" s="1" t="n">
        <v>11825</v>
      </c>
      <c r="B11826">
        <f>TEXT(11825, "[$-170000]yyyy-mm-dd")</f>
        <v/>
      </c>
      <c r="C11826">
        <f>TEXT(11825, "[$-060000]yyyy-mm-dd")</f>
        <v/>
      </c>
      <c r="D11826" t="inlineStr">
        <is>
          <t>1351-01-11</t>
        </is>
      </c>
    </row>
    <row r="11827">
      <c r="A11827" s="1" t="n">
        <v>11826</v>
      </c>
      <c r="B11827">
        <f>TEXT(11826, "[$-170000]yyyy-mm-dd")</f>
        <v/>
      </c>
      <c r="C11827">
        <f>TEXT(11826, "[$-060000]yyyy-mm-dd")</f>
        <v/>
      </c>
      <c r="D11827" t="inlineStr">
        <is>
          <t>1351-01-12</t>
        </is>
      </c>
    </row>
    <row r="11828">
      <c r="A11828" s="1" t="n">
        <v>11827</v>
      </c>
      <c r="B11828">
        <f>TEXT(11827, "[$-170000]yyyy-mm-dd")</f>
        <v/>
      </c>
      <c r="C11828">
        <f>TEXT(11827, "[$-060000]yyyy-mm-dd")</f>
        <v/>
      </c>
      <c r="D11828" t="inlineStr">
        <is>
          <t>1351-01-13</t>
        </is>
      </c>
    </row>
    <row r="11829">
      <c r="A11829" s="1" t="n">
        <v>11828</v>
      </c>
      <c r="B11829">
        <f>TEXT(11828, "[$-170000]yyyy-mm-dd")</f>
        <v/>
      </c>
      <c r="C11829">
        <f>TEXT(11828, "[$-060000]yyyy-mm-dd")</f>
        <v/>
      </c>
      <c r="D11829" t="inlineStr">
        <is>
          <t>1351-01-14</t>
        </is>
      </c>
    </row>
    <row r="11830">
      <c r="A11830" s="1" t="n">
        <v>11829</v>
      </c>
      <c r="B11830">
        <f>TEXT(11829, "[$-170000]yyyy-mm-dd")</f>
        <v/>
      </c>
      <c r="C11830">
        <f>TEXT(11829, "[$-060000]yyyy-mm-dd")</f>
        <v/>
      </c>
      <c r="D11830" t="inlineStr">
        <is>
          <t>1351-01-15</t>
        </is>
      </c>
    </row>
    <row r="11831">
      <c r="A11831" s="1" t="n">
        <v>11830</v>
      </c>
      <c r="B11831">
        <f>TEXT(11830, "[$-170000]yyyy-mm-dd")</f>
        <v/>
      </c>
      <c r="C11831">
        <f>TEXT(11830, "[$-060000]yyyy-mm-dd")</f>
        <v/>
      </c>
      <c r="D11831" t="inlineStr">
        <is>
          <t>1351-01-16</t>
        </is>
      </c>
    </row>
    <row r="11832">
      <c r="A11832" s="1" t="n">
        <v>11831</v>
      </c>
      <c r="B11832">
        <f>TEXT(11831, "[$-170000]yyyy-mm-dd")</f>
        <v/>
      </c>
      <c r="C11832">
        <f>TEXT(11831, "[$-060000]yyyy-mm-dd")</f>
        <v/>
      </c>
      <c r="D11832" t="inlineStr">
        <is>
          <t>1351-01-17</t>
        </is>
      </c>
    </row>
    <row r="11833">
      <c r="A11833" s="1" t="n">
        <v>11832</v>
      </c>
      <c r="B11833">
        <f>TEXT(11832, "[$-170000]yyyy-mm-dd")</f>
        <v/>
      </c>
      <c r="C11833">
        <f>TEXT(11832, "[$-060000]yyyy-mm-dd")</f>
        <v/>
      </c>
      <c r="D11833" t="inlineStr">
        <is>
          <t>1351-01-18</t>
        </is>
      </c>
    </row>
    <row r="11834">
      <c r="A11834" s="1" t="n">
        <v>11833</v>
      </c>
      <c r="B11834">
        <f>TEXT(11833, "[$-170000]yyyy-mm-dd")</f>
        <v/>
      </c>
      <c r="C11834">
        <f>TEXT(11833, "[$-060000]yyyy-mm-dd")</f>
        <v/>
      </c>
      <c r="D11834" t="inlineStr">
        <is>
          <t>1351-01-19</t>
        </is>
      </c>
    </row>
    <row r="11835">
      <c r="A11835" s="1" t="n">
        <v>11834</v>
      </c>
      <c r="B11835">
        <f>TEXT(11834, "[$-170000]yyyy-mm-dd")</f>
        <v/>
      </c>
      <c r="C11835">
        <f>TEXT(11834, "[$-060000]yyyy-mm-dd")</f>
        <v/>
      </c>
      <c r="D11835" t="inlineStr">
        <is>
          <t>1351-01-20</t>
        </is>
      </c>
    </row>
    <row r="11836">
      <c r="A11836" s="1" t="n">
        <v>11835</v>
      </c>
      <c r="B11836">
        <f>TEXT(11835, "[$-170000]yyyy-mm-dd")</f>
        <v/>
      </c>
      <c r="C11836">
        <f>TEXT(11835, "[$-060000]yyyy-mm-dd")</f>
        <v/>
      </c>
      <c r="D11836" t="inlineStr">
        <is>
          <t>1351-01-21</t>
        </is>
      </c>
    </row>
    <row r="11837">
      <c r="A11837" s="1" t="n">
        <v>11836</v>
      </c>
      <c r="B11837">
        <f>TEXT(11836, "[$-170000]yyyy-mm-dd")</f>
        <v/>
      </c>
      <c r="C11837">
        <f>TEXT(11836, "[$-060000]yyyy-mm-dd")</f>
        <v/>
      </c>
      <c r="D11837" t="inlineStr">
        <is>
          <t>1351-01-22</t>
        </is>
      </c>
    </row>
    <row r="11838">
      <c r="A11838" s="1" t="n">
        <v>11837</v>
      </c>
      <c r="B11838">
        <f>TEXT(11837, "[$-170000]yyyy-mm-dd")</f>
        <v/>
      </c>
      <c r="C11838">
        <f>TEXT(11837, "[$-060000]yyyy-mm-dd")</f>
        <v/>
      </c>
      <c r="D11838" t="inlineStr">
        <is>
          <t>1351-01-23</t>
        </is>
      </c>
    </row>
    <row r="11839">
      <c r="A11839" s="1" t="n">
        <v>11838</v>
      </c>
      <c r="B11839">
        <f>TEXT(11838, "[$-170000]yyyy-mm-dd")</f>
        <v/>
      </c>
      <c r="C11839">
        <f>TEXT(11838, "[$-060000]yyyy-mm-dd")</f>
        <v/>
      </c>
      <c r="D11839" t="inlineStr">
        <is>
          <t>1351-01-24</t>
        </is>
      </c>
    </row>
    <row r="11840">
      <c r="A11840" s="1" t="n">
        <v>11839</v>
      </c>
      <c r="B11840">
        <f>TEXT(11839, "[$-170000]yyyy-mm-dd")</f>
        <v/>
      </c>
      <c r="C11840">
        <f>TEXT(11839, "[$-060000]yyyy-mm-dd")</f>
        <v/>
      </c>
      <c r="D11840" t="inlineStr">
        <is>
          <t>1351-01-25</t>
        </is>
      </c>
    </row>
    <row r="11841">
      <c r="A11841" s="1" t="n">
        <v>11840</v>
      </c>
      <c r="B11841">
        <f>TEXT(11840, "[$-170000]yyyy-mm-dd")</f>
        <v/>
      </c>
      <c r="C11841">
        <f>TEXT(11840, "[$-060000]yyyy-mm-dd")</f>
        <v/>
      </c>
      <c r="D11841" t="inlineStr">
        <is>
          <t>1351-01-26</t>
        </is>
      </c>
    </row>
    <row r="11842">
      <c r="A11842" s="1" t="n">
        <v>11841</v>
      </c>
      <c r="B11842">
        <f>TEXT(11841, "[$-170000]yyyy-mm-dd")</f>
        <v/>
      </c>
      <c r="C11842">
        <f>TEXT(11841, "[$-060000]yyyy-mm-dd")</f>
        <v/>
      </c>
      <c r="D11842" t="inlineStr">
        <is>
          <t>1351-01-27</t>
        </is>
      </c>
    </row>
    <row r="11843">
      <c r="A11843" s="1" t="n">
        <v>11842</v>
      </c>
      <c r="B11843">
        <f>TEXT(11842, "[$-170000]yyyy-mm-dd")</f>
        <v/>
      </c>
      <c r="C11843">
        <f>TEXT(11842, "[$-060000]yyyy-mm-dd")</f>
        <v/>
      </c>
      <c r="D11843" t="inlineStr">
        <is>
          <t>1351-01-28</t>
        </is>
      </c>
    </row>
    <row r="11844">
      <c r="A11844" s="1" t="n">
        <v>11843</v>
      </c>
      <c r="B11844">
        <f>TEXT(11843, "[$-170000]yyyy-mm-dd")</f>
        <v/>
      </c>
      <c r="C11844">
        <f>TEXT(11843, "[$-060000]yyyy-mm-dd")</f>
        <v/>
      </c>
      <c r="D11844" t="inlineStr">
        <is>
          <t>1351-01-29</t>
        </is>
      </c>
    </row>
    <row r="11845">
      <c r="A11845" s="1" t="n">
        <v>11844</v>
      </c>
      <c r="B11845">
        <f>TEXT(11844, "[$-170000]yyyy-mm-dd")</f>
        <v/>
      </c>
      <c r="C11845">
        <f>TEXT(11844, "[$-060000]yyyy-mm-dd")</f>
        <v/>
      </c>
      <c r="D11845" t="inlineStr">
        <is>
          <t>1351-01-30</t>
        </is>
      </c>
    </row>
    <row r="11846">
      <c r="A11846" s="1" t="n">
        <v>11845</v>
      </c>
      <c r="B11846">
        <f>TEXT(11845, "[$-170000]yyyy-mm-dd")</f>
        <v/>
      </c>
      <c r="C11846">
        <f>TEXT(11845, "[$-060000]yyyy-mm-dd")</f>
        <v/>
      </c>
      <c r="D11846" t="inlineStr">
        <is>
          <t>1351-02-01</t>
        </is>
      </c>
    </row>
    <row r="11847">
      <c r="A11847" s="1" t="n">
        <v>11846</v>
      </c>
      <c r="B11847">
        <f>TEXT(11846, "[$-170000]yyyy-mm-dd")</f>
        <v/>
      </c>
      <c r="C11847">
        <f>TEXT(11846, "[$-060000]yyyy-mm-dd")</f>
        <v/>
      </c>
      <c r="D11847" t="inlineStr">
        <is>
          <t>1351-02-02</t>
        </is>
      </c>
    </row>
    <row r="11848">
      <c r="A11848" s="1" t="n">
        <v>11847</v>
      </c>
      <c r="B11848">
        <f>TEXT(11847, "[$-170000]yyyy-mm-dd")</f>
        <v/>
      </c>
      <c r="C11848">
        <f>TEXT(11847, "[$-060000]yyyy-mm-dd")</f>
        <v/>
      </c>
      <c r="D11848" t="inlineStr">
        <is>
          <t>1351-02-03</t>
        </is>
      </c>
    </row>
    <row r="11849">
      <c r="A11849" s="1" t="n">
        <v>11848</v>
      </c>
      <c r="B11849">
        <f>TEXT(11848, "[$-170000]yyyy-mm-dd")</f>
        <v/>
      </c>
      <c r="C11849">
        <f>TEXT(11848, "[$-060000]yyyy-mm-dd")</f>
        <v/>
      </c>
      <c r="D11849" t="inlineStr">
        <is>
          <t>1351-02-04</t>
        </is>
      </c>
    </row>
    <row r="11850">
      <c r="A11850" s="1" t="n">
        <v>11849</v>
      </c>
      <c r="B11850">
        <f>TEXT(11849, "[$-170000]yyyy-mm-dd")</f>
        <v/>
      </c>
      <c r="C11850">
        <f>TEXT(11849, "[$-060000]yyyy-mm-dd")</f>
        <v/>
      </c>
      <c r="D11850" t="inlineStr">
        <is>
          <t>1351-02-05</t>
        </is>
      </c>
    </row>
    <row r="11851">
      <c r="A11851" s="1" t="n">
        <v>11850</v>
      </c>
      <c r="B11851">
        <f>TEXT(11850, "[$-170000]yyyy-mm-dd")</f>
        <v/>
      </c>
      <c r="C11851">
        <f>TEXT(11850, "[$-060000]yyyy-mm-dd")</f>
        <v/>
      </c>
      <c r="D11851" t="inlineStr">
        <is>
          <t>1351-02-06</t>
        </is>
      </c>
    </row>
    <row r="11852">
      <c r="A11852" s="1" t="n">
        <v>11851</v>
      </c>
      <c r="B11852">
        <f>TEXT(11851, "[$-170000]yyyy-mm-dd")</f>
        <v/>
      </c>
      <c r="C11852">
        <f>TEXT(11851, "[$-060000]yyyy-mm-dd")</f>
        <v/>
      </c>
      <c r="D11852" t="inlineStr">
        <is>
          <t>1351-02-07</t>
        </is>
      </c>
    </row>
    <row r="11853">
      <c r="A11853" s="1" t="n">
        <v>11852</v>
      </c>
      <c r="B11853">
        <f>TEXT(11852, "[$-170000]yyyy-mm-dd")</f>
        <v/>
      </c>
      <c r="C11853">
        <f>TEXT(11852, "[$-060000]yyyy-mm-dd")</f>
        <v/>
      </c>
      <c r="D11853" t="inlineStr">
        <is>
          <t>1351-02-08</t>
        </is>
      </c>
    </row>
    <row r="11854">
      <c r="A11854" s="1" t="n">
        <v>11853</v>
      </c>
      <c r="B11854">
        <f>TEXT(11853, "[$-170000]yyyy-mm-dd")</f>
        <v/>
      </c>
      <c r="C11854">
        <f>TEXT(11853, "[$-060000]yyyy-mm-dd")</f>
        <v/>
      </c>
      <c r="D11854" t="inlineStr">
        <is>
          <t>1351-02-09</t>
        </is>
      </c>
    </row>
    <row r="11855">
      <c r="A11855" s="1" t="n">
        <v>11854</v>
      </c>
      <c r="B11855">
        <f>TEXT(11854, "[$-170000]yyyy-mm-dd")</f>
        <v/>
      </c>
      <c r="C11855">
        <f>TEXT(11854, "[$-060000]yyyy-mm-dd")</f>
        <v/>
      </c>
      <c r="D11855" t="inlineStr">
        <is>
          <t>1351-02-10</t>
        </is>
      </c>
    </row>
    <row r="11856">
      <c r="A11856" s="1" t="n">
        <v>11855</v>
      </c>
      <c r="B11856">
        <f>TEXT(11855, "[$-170000]yyyy-mm-dd")</f>
        <v/>
      </c>
      <c r="C11856">
        <f>TEXT(11855, "[$-060000]yyyy-mm-dd")</f>
        <v/>
      </c>
      <c r="D11856" t="inlineStr">
        <is>
          <t>1351-02-11</t>
        </is>
      </c>
    </row>
    <row r="11857">
      <c r="A11857" s="1" t="n">
        <v>11856</v>
      </c>
      <c r="B11857">
        <f>TEXT(11856, "[$-170000]yyyy-mm-dd")</f>
        <v/>
      </c>
      <c r="C11857">
        <f>TEXT(11856, "[$-060000]yyyy-mm-dd")</f>
        <v/>
      </c>
      <c r="D11857" t="inlineStr">
        <is>
          <t>1351-02-12</t>
        </is>
      </c>
    </row>
    <row r="11858">
      <c r="A11858" s="1" t="n">
        <v>11857</v>
      </c>
      <c r="B11858">
        <f>TEXT(11857, "[$-170000]yyyy-mm-dd")</f>
        <v/>
      </c>
      <c r="C11858">
        <f>TEXT(11857, "[$-060000]yyyy-mm-dd")</f>
        <v/>
      </c>
      <c r="D11858" t="inlineStr">
        <is>
          <t>1351-02-13</t>
        </is>
      </c>
    </row>
    <row r="11859">
      <c r="A11859" s="1" t="n">
        <v>11858</v>
      </c>
      <c r="B11859">
        <f>TEXT(11858, "[$-170000]yyyy-mm-dd")</f>
        <v/>
      </c>
      <c r="C11859">
        <f>TEXT(11858, "[$-060000]yyyy-mm-dd")</f>
        <v/>
      </c>
      <c r="D11859" t="inlineStr">
        <is>
          <t>1351-02-14</t>
        </is>
      </c>
    </row>
    <row r="11860">
      <c r="A11860" s="1" t="n">
        <v>11859</v>
      </c>
      <c r="B11860">
        <f>TEXT(11859, "[$-170000]yyyy-mm-dd")</f>
        <v/>
      </c>
      <c r="C11860">
        <f>TEXT(11859, "[$-060000]yyyy-mm-dd")</f>
        <v/>
      </c>
      <c r="D11860" t="inlineStr">
        <is>
          <t>1351-02-15</t>
        </is>
      </c>
    </row>
    <row r="11861">
      <c r="A11861" s="1" t="n">
        <v>11860</v>
      </c>
      <c r="B11861">
        <f>TEXT(11860, "[$-170000]yyyy-mm-dd")</f>
        <v/>
      </c>
      <c r="C11861">
        <f>TEXT(11860, "[$-060000]yyyy-mm-dd")</f>
        <v/>
      </c>
      <c r="D11861" t="inlineStr">
        <is>
          <t>1351-02-16</t>
        </is>
      </c>
    </row>
    <row r="11862">
      <c r="A11862" s="1" t="n">
        <v>11861</v>
      </c>
      <c r="B11862">
        <f>TEXT(11861, "[$-170000]yyyy-mm-dd")</f>
        <v/>
      </c>
      <c r="C11862">
        <f>TEXT(11861, "[$-060000]yyyy-mm-dd")</f>
        <v/>
      </c>
      <c r="D11862" t="inlineStr">
        <is>
          <t>1351-02-17</t>
        </is>
      </c>
    </row>
    <row r="11863">
      <c r="A11863" s="1" t="n">
        <v>11862</v>
      </c>
      <c r="B11863">
        <f>TEXT(11862, "[$-170000]yyyy-mm-dd")</f>
        <v/>
      </c>
      <c r="C11863">
        <f>TEXT(11862, "[$-060000]yyyy-mm-dd")</f>
        <v/>
      </c>
      <c r="D11863" t="inlineStr">
        <is>
          <t>1351-02-18</t>
        </is>
      </c>
    </row>
    <row r="11864">
      <c r="A11864" s="1" t="n">
        <v>11863</v>
      </c>
      <c r="B11864">
        <f>TEXT(11863, "[$-170000]yyyy-mm-dd")</f>
        <v/>
      </c>
      <c r="C11864">
        <f>TEXT(11863, "[$-060000]yyyy-mm-dd")</f>
        <v/>
      </c>
      <c r="D11864" t="inlineStr">
        <is>
          <t>1351-02-19</t>
        </is>
      </c>
    </row>
    <row r="11865">
      <c r="A11865" s="1" t="n">
        <v>11864</v>
      </c>
      <c r="B11865">
        <f>TEXT(11864, "[$-170000]yyyy-mm-dd")</f>
        <v/>
      </c>
      <c r="C11865">
        <f>TEXT(11864, "[$-060000]yyyy-mm-dd")</f>
        <v/>
      </c>
      <c r="D11865" t="inlineStr">
        <is>
          <t>1351-02-20</t>
        </is>
      </c>
    </row>
    <row r="11866">
      <c r="A11866" s="1" t="n">
        <v>11865</v>
      </c>
      <c r="B11866">
        <f>TEXT(11865, "[$-170000]yyyy-mm-dd")</f>
        <v/>
      </c>
      <c r="C11866">
        <f>TEXT(11865, "[$-060000]yyyy-mm-dd")</f>
        <v/>
      </c>
      <c r="D11866" t="inlineStr">
        <is>
          <t>1351-02-21</t>
        </is>
      </c>
    </row>
    <row r="11867">
      <c r="A11867" s="1" t="n">
        <v>11866</v>
      </c>
      <c r="B11867">
        <f>TEXT(11866, "[$-170000]yyyy-mm-dd")</f>
        <v/>
      </c>
      <c r="C11867">
        <f>TEXT(11866, "[$-060000]yyyy-mm-dd")</f>
        <v/>
      </c>
      <c r="D11867" t="inlineStr">
        <is>
          <t>1351-02-22</t>
        </is>
      </c>
    </row>
    <row r="11868">
      <c r="A11868" s="1" t="n">
        <v>11867</v>
      </c>
      <c r="B11868">
        <f>TEXT(11867, "[$-170000]yyyy-mm-dd")</f>
        <v/>
      </c>
      <c r="C11868">
        <f>TEXT(11867, "[$-060000]yyyy-mm-dd")</f>
        <v/>
      </c>
      <c r="D11868" t="inlineStr">
        <is>
          <t>1351-02-23</t>
        </is>
      </c>
    </row>
    <row r="11869">
      <c r="A11869" s="1" t="n">
        <v>11868</v>
      </c>
      <c r="B11869">
        <f>TEXT(11868, "[$-170000]yyyy-mm-dd")</f>
        <v/>
      </c>
      <c r="C11869">
        <f>TEXT(11868, "[$-060000]yyyy-mm-dd")</f>
        <v/>
      </c>
      <c r="D11869" t="inlineStr">
        <is>
          <t>1351-02-24</t>
        </is>
      </c>
    </row>
    <row r="11870">
      <c r="A11870" s="1" t="n">
        <v>11869</v>
      </c>
      <c r="B11870">
        <f>TEXT(11869, "[$-170000]yyyy-mm-dd")</f>
        <v/>
      </c>
      <c r="C11870">
        <f>TEXT(11869, "[$-060000]yyyy-mm-dd")</f>
        <v/>
      </c>
      <c r="D11870" t="inlineStr">
        <is>
          <t>1351-02-25</t>
        </is>
      </c>
    </row>
    <row r="11871">
      <c r="A11871" s="1" t="n">
        <v>11870</v>
      </c>
      <c r="B11871">
        <f>TEXT(11870, "[$-170000]yyyy-mm-dd")</f>
        <v/>
      </c>
      <c r="C11871">
        <f>TEXT(11870, "[$-060000]yyyy-mm-dd")</f>
        <v/>
      </c>
      <c r="D11871" t="inlineStr">
        <is>
          <t>1351-02-26</t>
        </is>
      </c>
    </row>
    <row r="11872">
      <c r="A11872" s="1" t="n">
        <v>11871</v>
      </c>
      <c r="B11872">
        <f>TEXT(11871, "[$-170000]yyyy-mm-dd")</f>
        <v/>
      </c>
      <c r="C11872">
        <f>TEXT(11871, "[$-060000]yyyy-mm-dd")</f>
        <v/>
      </c>
      <c r="D11872" t="inlineStr">
        <is>
          <t>1351-02-27</t>
        </is>
      </c>
    </row>
    <row r="11873">
      <c r="A11873" s="1" t="n">
        <v>11872</v>
      </c>
      <c r="B11873">
        <f>TEXT(11872, "[$-170000]yyyy-mm-dd")</f>
        <v/>
      </c>
      <c r="C11873">
        <f>TEXT(11872, "[$-060000]yyyy-mm-dd")</f>
        <v/>
      </c>
      <c r="D11873" t="inlineStr">
        <is>
          <t>1351-02-28</t>
        </is>
      </c>
    </row>
    <row r="11874">
      <c r="A11874" s="1" t="n">
        <v>11873</v>
      </c>
      <c r="B11874">
        <f>TEXT(11873, "[$-170000]yyyy-mm-dd")</f>
        <v/>
      </c>
      <c r="C11874">
        <f>TEXT(11873, "[$-060000]yyyy-mm-dd")</f>
        <v/>
      </c>
      <c r="D11874" t="inlineStr">
        <is>
          <t>1351-02-29</t>
        </is>
      </c>
    </row>
    <row r="11875">
      <c r="A11875" s="1" t="n">
        <v>11874</v>
      </c>
      <c r="B11875">
        <f>TEXT(11874, "[$-170000]yyyy-mm-dd")</f>
        <v/>
      </c>
      <c r="C11875">
        <f>TEXT(11874, "[$-060000]yyyy-mm-dd")</f>
        <v/>
      </c>
      <c r="D11875" t="inlineStr">
        <is>
          <t>1351-03-01</t>
        </is>
      </c>
    </row>
    <row r="11876">
      <c r="A11876" s="1" t="n">
        <v>11875</v>
      </c>
      <c r="B11876">
        <f>TEXT(11875, "[$-170000]yyyy-mm-dd")</f>
        <v/>
      </c>
      <c r="C11876">
        <f>TEXT(11875, "[$-060000]yyyy-mm-dd")</f>
        <v/>
      </c>
      <c r="D11876" t="inlineStr">
        <is>
          <t>1351-03-02</t>
        </is>
      </c>
    </row>
    <row r="11877">
      <c r="A11877" s="1" t="n">
        <v>11876</v>
      </c>
      <c r="B11877">
        <f>TEXT(11876, "[$-170000]yyyy-mm-dd")</f>
        <v/>
      </c>
      <c r="C11877">
        <f>TEXT(11876, "[$-060000]yyyy-mm-dd")</f>
        <v/>
      </c>
      <c r="D11877" t="inlineStr">
        <is>
          <t>1351-03-03</t>
        </is>
      </c>
    </row>
    <row r="11878">
      <c r="A11878" s="1" t="n">
        <v>11877</v>
      </c>
      <c r="B11878">
        <f>TEXT(11877, "[$-170000]yyyy-mm-dd")</f>
        <v/>
      </c>
      <c r="C11878">
        <f>TEXT(11877, "[$-060000]yyyy-mm-dd")</f>
        <v/>
      </c>
      <c r="D11878" t="inlineStr">
        <is>
          <t>1351-03-04</t>
        </is>
      </c>
    </row>
    <row r="11879">
      <c r="A11879" s="1" t="n">
        <v>11878</v>
      </c>
      <c r="B11879">
        <f>TEXT(11878, "[$-170000]yyyy-mm-dd")</f>
        <v/>
      </c>
      <c r="C11879">
        <f>TEXT(11878, "[$-060000]yyyy-mm-dd")</f>
        <v/>
      </c>
      <c r="D11879" t="inlineStr">
        <is>
          <t>1351-03-05</t>
        </is>
      </c>
    </row>
    <row r="11880">
      <c r="A11880" s="1" t="n">
        <v>11879</v>
      </c>
      <c r="B11880">
        <f>TEXT(11879, "[$-170000]yyyy-mm-dd")</f>
        <v/>
      </c>
      <c r="C11880">
        <f>TEXT(11879, "[$-060000]yyyy-mm-dd")</f>
        <v/>
      </c>
      <c r="D11880" t="inlineStr">
        <is>
          <t>1351-03-06</t>
        </is>
      </c>
    </row>
    <row r="11881">
      <c r="A11881" s="1" t="n">
        <v>11880</v>
      </c>
      <c r="B11881">
        <f>TEXT(11880, "[$-170000]yyyy-mm-dd")</f>
        <v/>
      </c>
      <c r="C11881">
        <f>TEXT(11880, "[$-060000]yyyy-mm-dd")</f>
        <v/>
      </c>
      <c r="D11881" t="inlineStr">
        <is>
          <t>1351-03-07</t>
        </is>
      </c>
    </row>
    <row r="11882">
      <c r="A11882" s="1" t="n">
        <v>11881</v>
      </c>
      <c r="B11882">
        <f>TEXT(11881, "[$-170000]yyyy-mm-dd")</f>
        <v/>
      </c>
      <c r="C11882">
        <f>TEXT(11881, "[$-060000]yyyy-mm-dd")</f>
        <v/>
      </c>
      <c r="D11882" t="inlineStr">
        <is>
          <t>1351-03-08</t>
        </is>
      </c>
    </row>
    <row r="11883">
      <c r="A11883" s="1" t="n">
        <v>11882</v>
      </c>
      <c r="B11883">
        <f>TEXT(11882, "[$-170000]yyyy-mm-dd")</f>
        <v/>
      </c>
      <c r="C11883">
        <f>TEXT(11882, "[$-060000]yyyy-mm-dd")</f>
        <v/>
      </c>
      <c r="D11883" t="inlineStr">
        <is>
          <t>1351-03-09</t>
        </is>
      </c>
    </row>
    <row r="11884">
      <c r="A11884" s="1" t="n">
        <v>11883</v>
      </c>
      <c r="B11884">
        <f>TEXT(11883, "[$-170000]yyyy-mm-dd")</f>
        <v/>
      </c>
      <c r="C11884">
        <f>TEXT(11883, "[$-060000]yyyy-mm-dd")</f>
        <v/>
      </c>
      <c r="D11884" t="inlineStr">
        <is>
          <t>1351-03-10</t>
        </is>
      </c>
    </row>
    <row r="11885">
      <c r="A11885" s="1" t="n">
        <v>11884</v>
      </c>
      <c r="B11885">
        <f>TEXT(11884, "[$-170000]yyyy-mm-dd")</f>
        <v/>
      </c>
      <c r="C11885">
        <f>TEXT(11884, "[$-060000]yyyy-mm-dd")</f>
        <v/>
      </c>
      <c r="D11885" t="inlineStr">
        <is>
          <t>1351-03-11</t>
        </is>
      </c>
    </row>
    <row r="11886">
      <c r="A11886" s="1" t="n">
        <v>11885</v>
      </c>
      <c r="B11886">
        <f>TEXT(11885, "[$-170000]yyyy-mm-dd")</f>
        <v/>
      </c>
      <c r="C11886">
        <f>TEXT(11885, "[$-060000]yyyy-mm-dd")</f>
        <v/>
      </c>
      <c r="D11886" t="inlineStr">
        <is>
          <t>1351-03-12</t>
        </is>
      </c>
    </row>
    <row r="11887">
      <c r="A11887" s="1" t="n">
        <v>11886</v>
      </c>
      <c r="B11887">
        <f>TEXT(11886, "[$-170000]yyyy-mm-dd")</f>
        <v/>
      </c>
      <c r="C11887">
        <f>TEXT(11886, "[$-060000]yyyy-mm-dd")</f>
        <v/>
      </c>
      <c r="D11887" t="inlineStr">
        <is>
          <t>1351-03-13</t>
        </is>
      </c>
    </row>
    <row r="11888">
      <c r="A11888" s="1" t="n">
        <v>11887</v>
      </c>
      <c r="B11888">
        <f>TEXT(11887, "[$-170000]yyyy-mm-dd")</f>
        <v/>
      </c>
      <c r="C11888">
        <f>TEXT(11887, "[$-060000]yyyy-mm-dd")</f>
        <v/>
      </c>
      <c r="D11888" t="inlineStr">
        <is>
          <t>1351-03-14</t>
        </is>
      </c>
    </row>
    <row r="11889">
      <c r="A11889" s="1" t="n">
        <v>11888</v>
      </c>
      <c r="B11889">
        <f>TEXT(11888, "[$-170000]yyyy-mm-dd")</f>
        <v/>
      </c>
      <c r="C11889">
        <f>TEXT(11888, "[$-060000]yyyy-mm-dd")</f>
        <v/>
      </c>
      <c r="D11889" t="inlineStr">
        <is>
          <t>1351-03-15</t>
        </is>
      </c>
    </row>
    <row r="11890">
      <c r="A11890" s="1" t="n">
        <v>11889</v>
      </c>
      <c r="B11890">
        <f>TEXT(11889, "[$-170000]yyyy-mm-dd")</f>
        <v/>
      </c>
      <c r="C11890">
        <f>TEXT(11889, "[$-060000]yyyy-mm-dd")</f>
        <v/>
      </c>
      <c r="D11890" t="inlineStr">
        <is>
          <t>1351-03-16</t>
        </is>
      </c>
    </row>
    <row r="11891">
      <c r="A11891" s="1" t="n">
        <v>11890</v>
      </c>
      <c r="B11891">
        <f>TEXT(11890, "[$-170000]yyyy-mm-dd")</f>
        <v/>
      </c>
      <c r="C11891">
        <f>TEXT(11890, "[$-060000]yyyy-mm-dd")</f>
        <v/>
      </c>
      <c r="D11891" t="inlineStr">
        <is>
          <t>1351-03-17</t>
        </is>
      </c>
    </row>
    <row r="11892">
      <c r="A11892" s="1" t="n">
        <v>11891</v>
      </c>
      <c r="B11892">
        <f>TEXT(11891, "[$-170000]yyyy-mm-dd")</f>
        <v/>
      </c>
      <c r="C11892">
        <f>TEXT(11891, "[$-060000]yyyy-mm-dd")</f>
        <v/>
      </c>
      <c r="D11892" t="inlineStr">
        <is>
          <t>1351-03-18</t>
        </is>
      </c>
    </row>
    <row r="11893">
      <c r="A11893" s="1" t="n">
        <v>11892</v>
      </c>
      <c r="B11893">
        <f>TEXT(11892, "[$-170000]yyyy-mm-dd")</f>
        <v/>
      </c>
      <c r="C11893">
        <f>TEXT(11892, "[$-060000]yyyy-mm-dd")</f>
        <v/>
      </c>
      <c r="D11893" t="inlineStr">
        <is>
          <t>1351-03-19</t>
        </is>
      </c>
    </row>
    <row r="11894">
      <c r="A11894" s="1" t="n">
        <v>11893</v>
      </c>
      <c r="B11894">
        <f>TEXT(11893, "[$-170000]yyyy-mm-dd")</f>
        <v/>
      </c>
      <c r="C11894">
        <f>TEXT(11893, "[$-060000]yyyy-mm-dd")</f>
        <v/>
      </c>
      <c r="D11894" t="inlineStr">
        <is>
          <t>1351-03-20</t>
        </is>
      </c>
    </row>
    <row r="11895">
      <c r="A11895" s="1" t="n">
        <v>11894</v>
      </c>
      <c r="B11895">
        <f>TEXT(11894, "[$-170000]yyyy-mm-dd")</f>
        <v/>
      </c>
      <c r="C11895">
        <f>TEXT(11894, "[$-060000]yyyy-mm-dd")</f>
        <v/>
      </c>
      <c r="D11895" t="inlineStr">
        <is>
          <t>1351-03-21</t>
        </is>
      </c>
    </row>
    <row r="11896">
      <c r="A11896" s="1" t="n">
        <v>11895</v>
      </c>
      <c r="B11896">
        <f>TEXT(11895, "[$-170000]yyyy-mm-dd")</f>
        <v/>
      </c>
      <c r="C11896">
        <f>TEXT(11895, "[$-060000]yyyy-mm-dd")</f>
        <v/>
      </c>
      <c r="D11896" t="inlineStr">
        <is>
          <t>1351-03-22</t>
        </is>
      </c>
    </row>
    <row r="11897">
      <c r="A11897" s="1" t="n">
        <v>11896</v>
      </c>
      <c r="B11897">
        <f>TEXT(11896, "[$-170000]yyyy-mm-dd")</f>
        <v/>
      </c>
      <c r="C11897">
        <f>TEXT(11896, "[$-060000]yyyy-mm-dd")</f>
        <v/>
      </c>
      <c r="D11897" t="inlineStr">
        <is>
          <t>1351-03-23</t>
        </is>
      </c>
    </row>
    <row r="11898">
      <c r="A11898" s="1" t="n">
        <v>11897</v>
      </c>
      <c r="B11898">
        <f>TEXT(11897, "[$-170000]yyyy-mm-dd")</f>
        <v/>
      </c>
      <c r="C11898">
        <f>TEXT(11897, "[$-060000]yyyy-mm-dd")</f>
        <v/>
      </c>
      <c r="D11898" t="inlineStr">
        <is>
          <t>1351-03-24</t>
        </is>
      </c>
    </row>
    <row r="11899">
      <c r="A11899" s="1" t="n">
        <v>11898</v>
      </c>
      <c r="B11899">
        <f>TEXT(11898, "[$-170000]yyyy-mm-dd")</f>
        <v/>
      </c>
      <c r="C11899">
        <f>TEXT(11898, "[$-060000]yyyy-mm-dd")</f>
        <v/>
      </c>
      <c r="D11899" t="inlineStr">
        <is>
          <t>1351-03-25</t>
        </is>
      </c>
    </row>
    <row r="11900">
      <c r="A11900" s="1" t="n">
        <v>11899</v>
      </c>
      <c r="B11900">
        <f>TEXT(11899, "[$-170000]yyyy-mm-dd")</f>
        <v/>
      </c>
      <c r="C11900">
        <f>TEXT(11899, "[$-060000]yyyy-mm-dd")</f>
        <v/>
      </c>
      <c r="D11900" t="inlineStr">
        <is>
          <t>1351-03-26</t>
        </is>
      </c>
    </row>
    <row r="11901">
      <c r="A11901" s="1" t="n">
        <v>11900</v>
      </c>
      <c r="B11901">
        <f>TEXT(11900, "[$-170000]yyyy-mm-dd")</f>
        <v/>
      </c>
      <c r="C11901">
        <f>TEXT(11900, "[$-060000]yyyy-mm-dd")</f>
        <v/>
      </c>
      <c r="D11901" t="inlineStr">
        <is>
          <t>1351-03-27</t>
        </is>
      </c>
    </row>
    <row r="11902">
      <c r="A11902" s="1" t="n">
        <v>11901</v>
      </c>
      <c r="B11902">
        <f>TEXT(11901, "[$-170000]yyyy-mm-dd")</f>
        <v/>
      </c>
      <c r="C11902">
        <f>TEXT(11901, "[$-060000]yyyy-mm-dd")</f>
        <v/>
      </c>
      <c r="D11902" t="inlineStr">
        <is>
          <t>1351-03-28</t>
        </is>
      </c>
    </row>
    <row r="11903">
      <c r="A11903" s="1" t="n">
        <v>11902</v>
      </c>
      <c r="B11903">
        <f>TEXT(11902, "[$-170000]yyyy-mm-dd")</f>
        <v/>
      </c>
      <c r="C11903">
        <f>TEXT(11902, "[$-060000]yyyy-mm-dd")</f>
        <v/>
      </c>
      <c r="D11903" t="inlineStr">
        <is>
          <t>1351-03-29</t>
        </is>
      </c>
    </row>
    <row r="11904">
      <c r="A11904" s="1" t="n">
        <v>11903</v>
      </c>
      <c r="B11904">
        <f>TEXT(11903, "[$-170000]yyyy-mm-dd")</f>
        <v/>
      </c>
      <c r="C11904">
        <f>TEXT(11903, "[$-060000]yyyy-mm-dd")</f>
        <v/>
      </c>
      <c r="D11904" t="inlineStr">
        <is>
          <t>1351-03-30</t>
        </is>
      </c>
    </row>
    <row r="11905">
      <c r="A11905" s="1" t="n">
        <v>11904</v>
      </c>
      <c r="B11905">
        <f>TEXT(11904, "[$-170000]yyyy-mm-dd")</f>
        <v/>
      </c>
      <c r="C11905">
        <f>TEXT(11904, "[$-060000]yyyy-mm-dd")</f>
        <v/>
      </c>
      <c r="D11905" t="inlineStr">
        <is>
          <t>1351-04-01</t>
        </is>
      </c>
    </row>
    <row r="11906">
      <c r="A11906" s="1" t="n">
        <v>11905</v>
      </c>
      <c r="B11906">
        <f>TEXT(11905, "[$-170000]yyyy-mm-dd")</f>
        <v/>
      </c>
      <c r="C11906">
        <f>TEXT(11905, "[$-060000]yyyy-mm-dd")</f>
        <v/>
      </c>
      <c r="D11906" t="inlineStr">
        <is>
          <t>1351-04-02</t>
        </is>
      </c>
    </row>
    <row r="11907">
      <c r="A11907" s="1" t="n">
        <v>11906</v>
      </c>
      <c r="B11907">
        <f>TEXT(11906, "[$-170000]yyyy-mm-dd")</f>
        <v/>
      </c>
      <c r="C11907">
        <f>TEXT(11906, "[$-060000]yyyy-mm-dd")</f>
        <v/>
      </c>
      <c r="D11907" t="inlineStr">
        <is>
          <t>1351-04-03</t>
        </is>
      </c>
    </row>
    <row r="11908">
      <c r="A11908" s="1" t="n">
        <v>11907</v>
      </c>
      <c r="B11908">
        <f>TEXT(11907, "[$-170000]yyyy-mm-dd")</f>
        <v/>
      </c>
      <c r="C11908">
        <f>TEXT(11907, "[$-060000]yyyy-mm-dd")</f>
        <v/>
      </c>
      <c r="D11908" t="inlineStr">
        <is>
          <t>1351-04-04</t>
        </is>
      </c>
    </row>
    <row r="11909">
      <c r="A11909" s="1" t="n">
        <v>11908</v>
      </c>
      <c r="B11909">
        <f>TEXT(11908, "[$-170000]yyyy-mm-dd")</f>
        <v/>
      </c>
      <c r="C11909">
        <f>TEXT(11908, "[$-060000]yyyy-mm-dd")</f>
        <v/>
      </c>
      <c r="D11909" t="inlineStr">
        <is>
          <t>1351-04-05</t>
        </is>
      </c>
    </row>
    <row r="11910">
      <c r="A11910" s="1" t="n">
        <v>11909</v>
      </c>
      <c r="B11910">
        <f>TEXT(11909, "[$-170000]yyyy-mm-dd")</f>
        <v/>
      </c>
      <c r="C11910">
        <f>TEXT(11909, "[$-060000]yyyy-mm-dd")</f>
        <v/>
      </c>
      <c r="D11910" t="inlineStr">
        <is>
          <t>1351-04-06</t>
        </is>
      </c>
    </row>
    <row r="11911">
      <c r="A11911" s="1" t="n">
        <v>11910</v>
      </c>
      <c r="B11911">
        <f>TEXT(11910, "[$-170000]yyyy-mm-dd")</f>
        <v/>
      </c>
      <c r="C11911">
        <f>TEXT(11910, "[$-060000]yyyy-mm-dd")</f>
        <v/>
      </c>
      <c r="D11911" t="inlineStr">
        <is>
          <t>1351-04-07</t>
        </is>
      </c>
    </row>
    <row r="11912">
      <c r="A11912" s="1" t="n">
        <v>11911</v>
      </c>
      <c r="B11912">
        <f>TEXT(11911, "[$-170000]yyyy-mm-dd")</f>
        <v/>
      </c>
      <c r="C11912">
        <f>TEXT(11911, "[$-060000]yyyy-mm-dd")</f>
        <v/>
      </c>
      <c r="D11912" t="inlineStr">
        <is>
          <t>1351-04-08</t>
        </is>
      </c>
    </row>
    <row r="11913">
      <c r="A11913" s="1" t="n">
        <v>11912</v>
      </c>
      <c r="B11913">
        <f>TEXT(11912, "[$-170000]yyyy-mm-dd")</f>
        <v/>
      </c>
      <c r="C11913">
        <f>TEXT(11912, "[$-060000]yyyy-mm-dd")</f>
        <v/>
      </c>
      <c r="D11913" t="inlineStr">
        <is>
          <t>1351-04-09</t>
        </is>
      </c>
    </row>
    <row r="11914">
      <c r="A11914" s="1" t="n">
        <v>11913</v>
      </c>
      <c r="B11914">
        <f>TEXT(11913, "[$-170000]yyyy-mm-dd")</f>
        <v/>
      </c>
      <c r="C11914">
        <f>TEXT(11913, "[$-060000]yyyy-mm-dd")</f>
        <v/>
      </c>
      <c r="D11914" t="inlineStr">
        <is>
          <t>1351-04-10</t>
        </is>
      </c>
    </row>
    <row r="11915">
      <c r="A11915" s="1" t="n">
        <v>11914</v>
      </c>
      <c r="B11915">
        <f>TEXT(11914, "[$-170000]yyyy-mm-dd")</f>
        <v/>
      </c>
      <c r="C11915">
        <f>TEXT(11914, "[$-060000]yyyy-mm-dd")</f>
        <v/>
      </c>
      <c r="D11915" t="inlineStr">
        <is>
          <t>1351-04-11</t>
        </is>
      </c>
    </row>
    <row r="11916">
      <c r="A11916" s="1" t="n">
        <v>11915</v>
      </c>
      <c r="B11916">
        <f>TEXT(11915, "[$-170000]yyyy-mm-dd")</f>
        <v/>
      </c>
      <c r="C11916">
        <f>TEXT(11915, "[$-060000]yyyy-mm-dd")</f>
        <v/>
      </c>
      <c r="D11916" t="inlineStr">
        <is>
          <t>1351-04-12</t>
        </is>
      </c>
    </row>
    <row r="11917">
      <c r="A11917" s="1" t="n">
        <v>11916</v>
      </c>
      <c r="B11917">
        <f>TEXT(11916, "[$-170000]yyyy-mm-dd")</f>
        <v/>
      </c>
      <c r="C11917">
        <f>TEXT(11916, "[$-060000]yyyy-mm-dd")</f>
        <v/>
      </c>
      <c r="D11917" t="inlineStr">
        <is>
          <t>1351-04-13</t>
        </is>
      </c>
    </row>
    <row r="11918">
      <c r="A11918" s="1" t="n">
        <v>11917</v>
      </c>
      <c r="B11918">
        <f>TEXT(11917, "[$-170000]yyyy-mm-dd")</f>
        <v/>
      </c>
      <c r="C11918">
        <f>TEXT(11917, "[$-060000]yyyy-mm-dd")</f>
        <v/>
      </c>
      <c r="D11918" t="inlineStr">
        <is>
          <t>1351-04-14</t>
        </is>
      </c>
    </row>
    <row r="11919">
      <c r="A11919" s="1" t="n">
        <v>11918</v>
      </c>
      <c r="B11919">
        <f>TEXT(11918, "[$-170000]yyyy-mm-dd")</f>
        <v/>
      </c>
      <c r="C11919">
        <f>TEXT(11918, "[$-060000]yyyy-mm-dd")</f>
        <v/>
      </c>
      <c r="D11919" t="inlineStr">
        <is>
          <t>1351-04-15</t>
        </is>
      </c>
    </row>
    <row r="11920">
      <c r="A11920" s="1" t="n">
        <v>11919</v>
      </c>
      <c r="B11920">
        <f>TEXT(11919, "[$-170000]yyyy-mm-dd")</f>
        <v/>
      </c>
      <c r="C11920">
        <f>TEXT(11919, "[$-060000]yyyy-mm-dd")</f>
        <v/>
      </c>
      <c r="D11920" t="inlineStr">
        <is>
          <t>1351-04-16</t>
        </is>
      </c>
    </row>
    <row r="11921">
      <c r="A11921" s="1" t="n">
        <v>11920</v>
      </c>
      <c r="B11921">
        <f>TEXT(11920, "[$-170000]yyyy-mm-dd")</f>
        <v/>
      </c>
      <c r="C11921">
        <f>TEXT(11920, "[$-060000]yyyy-mm-dd")</f>
        <v/>
      </c>
      <c r="D11921" t="inlineStr">
        <is>
          <t>1351-04-17</t>
        </is>
      </c>
    </row>
    <row r="11922">
      <c r="A11922" s="1" t="n">
        <v>11921</v>
      </c>
      <c r="B11922">
        <f>TEXT(11921, "[$-170000]yyyy-mm-dd")</f>
        <v/>
      </c>
      <c r="C11922">
        <f>TEXT(11921, "[$-060000]yyyy-mm-dd")</f>
        <v/>
      </c>
      <c r="D11922" t="inlineStr">
        <is>
          <t>1351-04-18</t>
        </is>
      </c>
    </row>
    <row r="11923">
      <c r="A11923" s="1" t="n">
        <v>11922</v>
      </c>
      <c r="B11923">
        <f>TEXT(11922, "[$-170000]yyyy-mm-dd")</f>
        <v/>
      </c>
      <c r="C11923">
        <f>TEXT(11922, "[$-060000]yyyy-mm-dd")</f>
        <v/>
      </c>
      <c r="D11923" t="inlineStr">
        <is>
          <t>1351-04-19</t>
        </is>
      </c>
    </row>
    <row r="11924">
      <c r="A11924" s="1" t="n">
        <v>11923</v>
      </c>
      <c r="B11924">
        <f>TEXT(11923, "[$-170000]yyyy-mm-dd")</f>
        <v/>
      </c>
      <c r="C11924">
        <f>TEXT(11923, "[$-060000]yyyy-mm-dd")</f>
        <v/>
      </c>
      <c r="D11924" t="inlineStr">
        <is>
          <t>1351-04-20</t>
        </is>
      </c>
    </row>
    <row r="11925">
      <c r="A11925" s="1" t="n">
        <v>11924</v>
      </c>
      <c r="B11925">
        <f>TEXT(11924, "[$-170000]yyyy-mm-dd")</f>
        <v/>
      </c>
      <c r="C11925">
        <f>TEXT(11924, "[$-060000]yyyy-mm-dd")</f>
        <v/>
      </c>
      <c r="D11925" t="inlineStr">
        <is>
          <t>1351-04-21</t>
        </is>
      </c>
    </row>
    <row r="11926">
      <c r="A11926" s="1" t="n">
        <v>11925</v>
      </c>
      <c r="B11926">
        <f>TEXT(11925, "[$-170000]yyyy-mm-dd")</f>
        <v/>
      </c>
      <c r="C11926">
        <f>TEXT(11925, "[$-060000]yyyy-mm-dd")</f>
        <v/>
      </c>
      <c r="D11926" t="inlineStr">
        <is>
          <t>1351-04-22</t>
        </is>
      </c>
    </row>
    <row r="11927">
      <c r="A11927" s="1" t="n">
        <v>11926</v>
      </c>
      <c r="B11927">
        <f>TEXT(11926, "[$-170000]yyyy-mm-dd")</f>
        <v/>
      </c>
      <c r="C11927">
        <f>TEXT(11926, "[$-060000]yyyy-mm-dd")</f>
        <v/>
      </c>
      <c r="D11927" t="inlineStr">
        <is>
          <t>1351-04-23</t>
        </is>
      </c>
    </row>
    <row r="11928">
      <c r="A11928" s="1" t="n">
        <v>11927</v>
      </c>
      <c r="B11928">
        <f>TEXT(11927, "[$-170000]yyyy-mm-dd")</f>
        <v/>
      </c>
      <c r="C11928">
        <f>TEXT(11927, "[$-060000]yyyy-mm-dd")</f>
        <v/>
      </c>
      <c r="D11928" t="inlineStr">
        <is>
          <t>1351-04-24</t>
        </is>
      </c>
    </row>
    <row r="11929">
      <c r="A11929" s="1" t="n">
        <v>11928</v>
      </c>
      <c r="B11929">
        <f>TEXT(11928, "[$-170000]yyyy-mm-dd")</f>
        <v/>
      </c>
      <c r="C11929">
        <f>TEXT(11928, "[$-060000]yyyy-mm-dd")</f>
        <v/>
      </c>
      <c r="D11929" t="inlineStr">
        <is>
          <t>1351-04-25</t>
        </is>
      </c>
    </row>
    <row r="11930">
      <c r="A11930" s="1" t="n">
        <v>11929</v>
      </c>
      <c r="B11930">
        <f>TEXT(11929, "[$-170000]yyyy-mm-dd")</f>
        <v/>
      </c>
      <c r="C11930">
        <f>TEXT(11929, "[$-060000]yyyy-mm-dd")</f>
        <v/>
      </c>
      <c r="D11930" t="inlineStr">
        <is>
          <t>1351-04-26</t>
        </is>
      </c>
    </row>
    <row r="11931">
      <c r="A11931" s="1" t="n">
        <v>11930</v>
      </c>
      <c r="B11931">
        <f>TEXT(11930, "[$-170000]yyyy-mm-dd")</f>
        <v/>
      </c>
      <c r="C11931">
        <f>TEXT(11930, "[$-060000]yyyy-mm-dd")</f>
        <v/>
      </c>
      <c r="D11931" t="inlineStr">
        <is>
          <t>1351-04-27</t>
        </is>
      </c>
    </row>
    <row r="11932">
      <c r="A11932" s="1" t="n">
        <v>11931</v>
      </c>
      <c r="B11932">
        <f>TEXT(11931, "[$-170000]yyyy-mm-dd")</f>
        <v/>
      </c>
      <c r="C11932">
        <f>TEXT(11931, "[$-060000]yyyy-mm-dd")</f>
        <v/>
      </c>
      <c r="D11932" t="inlineStr">
        <is>
          <t>1351-04-28</t>
        </is>
      </c>
    </row>
    <row r="11933">
      <c r="A11933" s="1" t="n">
        <v>11932</v>
      </c>
      <c r="B11933">
        <f>TEXT(11932, "[$-170000]yyyy-mm-dd")</f>
        <v/>
      </c>
      <c r="C11933">
        <f>TEXT(11932, "[$-060000]yyyy-mm-dd")</f>
        <v/>
      </c>
      <c r="D11933" t="inlineStr">
        <is>
          <t>1351-04-29</t>
        </is>
      </c>
    </row>
    <row r="11934">
      <c r="A11934" s="1" t="n">
        <v>11933</v>
      </c>
      <c r="B11934">
        <f>TEXT(11933, "[$-170000]yyyy-mm-dd")</f>
        <v/>
      </c>
      <c r="C11934">
        <f>TEXT(11933, "[$-060000]yyyy-mm-dd")</f>
        <v/>
      </c>
      <c r="D11934" t="inlineStr">
        <is>
          <t>1351-05-01</t>
        </is>
      </c>
    </row>
    <row r="11935">
      <c r="A11935" s="1" t="n">
        <v>11934</v>
      </c>
      <c r="B11935">
        <f>TEXT(11934, "[$-170000]yyyy-mm-dd")</f>
        <v/>
      </c>
      <c r="C11935">
        <f>TEXT(11934, "[$-060000]yyyy-mm-dd")</f>
        <v/>
      </c>
      <c r="D11935" t="inlineStr">
        <is>
          <t>1351-05-02</t>
        </is>
      </c>
    </row>
    <row r="11936">
      <c r="A11936" s="1" t="n">
        <v>11935</v>
      </c>
      <c r="B11936">
        <f>TEXT(11935, "[$-170000]yyyy-mm-dd")</f>
        <v/>
      </c>
      <c r="C11936">
        <f>TEXT(11935, "[$-060000]yyyy-mm-dd")</f>
        <v/>
      </c>
      <c r="D11936" t="inlineStr">
        <is>
          <t>1351-05-03</t>
        </is>
      </c>
    </row>
    <row r="11937">
      <c r="A11937" s="1" t="n">
        <v>11936</v>
      </c>
      <c r="B11937">
        <f>TEXT(11936, "[$-170000]yyyy-mm-dd")</f>
        <v/>
      </c>
      <c r="C11937">
        <f>TEXT(11936, "[$-060000]yyyy-mm-dd")</f>
        <v/>
      </c>
      <c r="D11937" t="inlineStr">
        <is>
          <t>1351-05-04</t>
        </is>
      </c>
    </row>
    <row r="11938">
      <c r="A11938" s="1" t="n">
        <v>11937</v>
      </c>
      <c r="B11938">
        <f>TEXT(11937, "[$-170000]yyyy-mm-dd")</f>
        <v/>
      </c>
      <c r="C11938">
        <f>TEXT(11937, "[$-060000]yyyy-mm-dd")</f>
        <v/>
      </c>
      <c r="D11938" t="inlineStr">
        <is>
          <t>1351-05-05</t>
        </is>
      </c>
    </row>
    <row r="11939">
      <c r="A11939" s="1" t="n">
        <v>11938</v>
      </c>
      <c r="B11939">
        <f>TEXT(11938, "[$-170000]yyyy-mm-dd")</f>
        <v/>
      </c>
      <c r="C11939">
        <f>TEXT(11938, "[$-060000]yyyy-mm-dd")</f>
        <v/>
      </c>
      <c r="D11939" t="inlineStr">
        <is>
          <t>1351-05-06</t>
        </is>
      </c>
    </row>
    <row r="11940">
      <c r="A11940" s="1" t="n">
        <v>11939</v>
      </c>
      <c r="B11940">
        <f>TEXT(11939, "[$-170000]yyyy-mm-dd")</f>
        <v/>
      </c>
      <c r="C11940">
        <f>TEXT(11939, "[$-060000]yyyy-mm-dd")</f>
        <v/>
      </c>
      <c r="D11940" t="inlineStr">
        <is>
          <t>1351-05-07</t>
        </is>
      </c>
    </row>
    <row r="11941">
      <c r="A11941" s="1" t="n">
        <v>11940</v>
      </c>
      <c r="B11941">
        <f>TEXT(11940, "[$-170000]yyyy-mm-dd")</f>
        <v/>
      </c>
      <c r="C11941">
        <f>TEXT(11940, "[$-060000]yyyy-mm-dd")</f>
        <v/>
      </c>
      <c r="D11941" t="inlineStr">
        <is>
          <t>1351-05-08</t>
        </is>
      </c>
    </row>
    <row r="11942">
      <c r="A11942" s="1" t="n">
        <v>11941</v>
      </c>
      <c r="B11942">
        <f>TEXT(11941, "[$-170000]yyyy-mm-dd")</f>
        <v/>
      </c>
      <c r="C11942">
        <f>TEXT(11941, "[$-060000]yyyy-mm-dd")</f>
        <v/>
      </c>
      <c r="D11942" t="inlineStr">
        <is>
          <t>1351-05-09</t>
        </is>
      </c>
    </row>
    <row r="11943">
      <c r="A11943" s="1" t="n">
        <v>11942</v>
      </c>
      <c r="B11943">
        <f>TEXT(11942, "[$-170000]yyyy-mm-dd")</f>
        <v/>
      </c>
      <c r="C11943">
        <f>TEXT(11942, "[$-060000]yyyy-mm-dd")</f>
        <v/>
      </c>
      <c r="D11943" t="inlineStr">
        <is>
          <t>1351-05-10</t>
        </is>
      </c>
    </row>
    <row r="11944">
      <c r="A11944" s="1" t="n">
        <v>11943</v>
      </c>
      <c r="B11944">
        <f>TEXT(11943, "[$-170000]yyyy-mm-dd")</f>
        <v/>
      </c>
      <c r="C11944">
        <f>TEXT(11943, "[$-060000]yyyy-mm-dd")</f>
        <v/>
      </c>
      <c r="D11944" t="inlineStr">
        <is>
          <t>1351-05-11</t>
        </is>
      </c>
    </row>
    <row r="11945">
      <c r="A11945" s="1" t="n">
        <v>11944</v>
      </c>
      <c r="B11945">
        <f>TEXT(11944, "[$-170000]yyyy-mm-dd")</f>
        <v/>
      </c>
      <c r="C11945">
        <f>TEXT(11944, "[$-060000]yyyy-mm-dd")</f>
        <v/>
      </c>
      <c r="D11945" t="inlineStr">
        <is>
          <t>1351-05-12</t>
        </is>
      </c>
    </row>
    <row r="11946">
      <c r="A11946" s="1" t="n">
        <v>11945</v>
      </c>
      <c r="B11946">
        <f>TEXT(11945, "[$-170000]yyyy-mm-dd")</f>
        <v/>
      </c>
      <c r="C11946">
        <f>TEXT(11945, "[$-060000]yyyy-mm-dd")</f>
        <v/>
      </c>
      <c r="D11946" t="inlineStr">
        <is>
          <t>1351-05-13</t>
        </is>
      </c>
    </row>
    <row r="11947">
      <c r="A11947" s="1" t="n">
        <v>11946</v>
      </c>
      <c r="B11947">
        <f>TEXT(11946, "[$-170000]yyyy-mm-dd")</f>
        <v/>
      </c>
      <c r="C11947">
        <f>TEXT(11946, "[$-060000]yyyy-mm-dd")</f>
        <v/>
      </c>
      <c r="D11947" t="inlineStr">
        <is>
          <t>1351-05-14</t>
        </is>
      </c>
    </row>
    <row r="11948">
      <c r="A11948" s="1" t="n">
        <v>11947</v>
      </c>
      <c r="B11948">
        <f>TEXT(11947, "[$-170000]yyyy-mm-dd")</f>
        <v/>
      </c>
      <c r="C11948">
        <f>TEXT(11947, "[$-060000]yyyy-mm-dd")</f>
        <v/>
      </c>
      <c r="D11948" t="inlineStr">
        <is>
          <t>1351-05-15</t>
        </is>
      </c>
    </row>
    <row r="11949">
      <c r="A11949" s="1" t="n">
        <v>11948</v>
      </c>
      <c r="B11949">
        <f>TEXT(11948, "[$-170000]yyyy-mm-dd")</f>
        <v/>
      </c>
      <c r="C11949">
        <f>TEXT(11948, "[$-060000]yyyy-mm-dd")</f>
        <v/>
      </c>
      <c r="D11949" t="inlineStr">
        <is>
          <t>1351-05-16</t>
        </is>
      </c>
    </row>
    <row r="11950">
      <c r="A11950" s="1" t="n">
        <v>11949</v>
      </c>
      <c r="B11950">
        <f>TEXT(11949, "[$-170000]yyyy-mm-dd")</f>
        <v/>
      </c>
      <c r="C11950">
        <f>TEXT(11949, "[$-060000]yyyy-mm-dd")</f>
        <v/>
      </c>
      <c r="D11950" t="inlineStr">
        <is>
          <t>1351-05-17</t>
        </is>
      </c>
    </row>
    <row r="11951">
      <c r="A11951" s="1" t="n">
        <v>11950</v>
      </c>
      <c r="B11951">
        <f>TEXT(11950, "[$-170000]yyyy-mm-dd")</f>
        <v/>
      </c>
      <c r="C11951">
        <f>TEXT(11950, "[$-060000]yyyy-mm-dd")</f>
        <v/>
      </c>
      <c r="D11951" t="inlineStr">
        <is>
          <t>1351-05-18</t>
        </is>
      </c>
    </row>
    <row r="11952">
      <c r="A11952" s="1" t="n">
        <v>11951</v>
      </c>
      <c r="B11952">
        <f>TEXT(11951, "[$-170000]yyyy-mm-dd")</f>
        <v/>
      </c>
      <c r="C11952">
        <f>TEXT(11951, "[$-060000]yyyy-mm-dd")</f>
        <v/>
      </c>
      <c r="D11952" t="inlineStr">
        <is>
          <t>1351-05-19</t>
        </is>
      </c>
    </row>
    <row r="11953">
      <c r="A11953" s="1" t="n">
        <v>11952</v>
      </c>
      <c r="B11953">
        <f>TEXT(11952, "[$-170000]yyyy-mm-dd")</f>
        <v/>
      </c>
      <c r="C11953">
        <f>TEXT(11952, "[$-060000]yyyy-mm-dd")</f>
        <v/>
      </c>
      <c r="D11953" t="inlineStr">
        <is>
          <t>1351-05-20</t>
        </is>
      </c>
    </row>
    <row r="11954">
      <c r="A11954" s="1" t="n">
        <v>11953</v>
      </c>
      <c r="B11954">
        <f>TEXT(11953, "[$-170000]yyyy-mm-dd")</f>
        <v/>
      </c>
      <c r="C11954">
        <f>TEXT(11953, "[$-060000]yyyy-mm-dd")</f>
        <v/>
      </c>
      <c r="D11954" t="inlineStr">
        <is>
          <t>1351-05-21</t>
        </is>
      </c>
    </row>
    <row r="11955">
      <c r="A11955" s="1" t="n">
        <v>11954</v>
      </c>
      <c r="B11955">
        <f>TEXT(11954, "[$-170000]yyyy-mm-dd")</f>
        <v/>
      </c>
      <c r="C11955">
        <f>TEXT(11954, "[$-060000]yyyy-mm-dd")</f>
        <v/>
      </c>
      <c r="D11955" t="inlineStr">
        <is>
          <t>1351-05-22</t>
        </is>
      </c>
    </row>
    <row r="11956">
      <c r="A11956" s="1" t="n">
        <v>11955</v>
      </c>
      <c r="B11956">
        <f>TEXT(11955, "[$-170000]yyyy-mm-dd")</f>
        <v/>
      </c>
      <c r="C11956">
        <f>TEXT(11955, "[$-060000]yyyy-mm-dd")</f>
        <v/>
      </c>
      <c r="D11956" t="inlineStr">
        <is>
          <t>1351-05-23</t>
        </is>
      </c>
    </row>
    <row r="11957">
      <c r="A11957" s="1" t="n">
        <v>11956</v>
      </c>
      <c r="B11957">
        <f>TEXT(11956, "[$-170000]yyyy-mm-dd")</f>
        <v/>
      </c>
      <c r="C11957">
        <f>TEXT(11956, "[$-060000]yyyy-mm-dd")</f>
        <v/>
      </c>
      <c r="D11957" t="inlineStr">
        <is>
          <t>1351-05-24</t>
        </is>
      </c>
    </row>
    <row r="11958">
      <c r="A11958" s="1" t="n">
        <v>11957</v>
      </c>
      <c r="B11958">
        <f>TEXT(11957, "[$-170000]yyyy-mm-dd")</f>
        <v/>
      </c>
      <c r="C11958">
        <f>TEXT(11957, "[$-060000]yyyy-mm-dd")</f>
        <v/>
      </c>
      <c r="D11958" t="inlineStr">
        <is>
          <t>1351-05-25</t>
        </is>
      </c>
    </row>
    <row r="11959">
      <c r="A11959" s="1" t="n">
        <v>11958</v>
      </c>
      <c r="B11959">
        <f>TEXT(11958, "[$-170000]yyyy-mm-dd")</f>
        <v/>
      </c>
      <c r="C11959">
        <f>TEXT(11958, "[$-060000]yyyy-mm-dd")</f>
        <v/>
      </c>
      <c r="D11959" t="inlineStr">
        <is>
          <t>1351-05-26</t>
        </is>
      </c>
    </row>
    <row r="11960">
      <c r="A11960" s="1" t="n">
        <v>11959</v>
      </c>
      <c r="B11960">
        <f>TEXT(11959, "[$-170000]yyyy-mm-dd")</f>
        <v/>
      </c>
      <c r="C11960">
        <f>TEXT(11959, "[$-060000]yyyy-mm-dd")</f>
        <v/>
      </c>
      <c r="D11960" t="inlineStr">
        <is>
          <t>1351-05-27</t>
        </is>
      </c>
    </row>
    <row r="11961">
      <c r="A11961" s="1" t="n">
        <v>11960</v>
      </c>
      <c r="B11961">
        <f>TEXT(11960, "[$-170000]yyyy-mm-dd")</f>
        <v/>
      </c>
      <c r="C11961">
        <f>TEXT(11960, "[$-060000]yyyy-mm-dd")</f>
        <v/>
      </c>
      <c r="D11961" t="inlineStr">
        <is>
          <t>1351-05-28</t>
        </is>
      </c>
    </row>
    <row r="11962">
      <c r="A11962" s="1" t="n">
        <v>11961</v>
      </c>
      <c r="B11962">
        <f>TEXT(11961, "[$-170000]yyyy-mm-dd")</f>
        <v/>
      </c>
      <c r="C11962">
        <f>TEXT(11961, "[$-060000]yyyy-mm-dd")</f>
        <v/>
      </c>
      <c r="D11962" t="inlineStr">
        <is>
          <t>1351-05-29</t>
        </is>
      </c>
    </row>
    <row r="11963">
      <c r="A11963" s="1" t="n">
        <v>11962</v>
      </c>
      <c r="B11963">
        <f>TEXT(11962, "[$-170000]yyyy-mm-dd")</f>
        <v/>
      </c>
      <c r="C11963">
        <f>TEXT(11962, "[$-060000]yyyy-mm-dd")</f>
        <v/>
      </c>
      <c r="D11963" t="inlineStr">
        <is>
          <t>1351-05-30</t>
        </is>
      </c>
    </row>
    <row r="11964">
      <c r="A11964" s="1" t="n">
        <v>11963</v>
      </c>
      <c r="B11964">
        <f>TEXT(11963, "[$-170000]yyyy-mm-dd")</f>
        <v/>
      </c>
      <c r="C11964">
        <f>TEXT(11963, "[$-060000]yyyy-mm-dd")</f>
        <v/>
      </c>
      <c r="D11964" t="inlineStr">
        <is>
          <t>1351-06-01</t>
        </is>
      </c>
    </row>
    <row r="11965">
      <c r="A11965" s="1" t="n">
        <v>11964</v>
      </c>
      <c r="B11965">
        <f>TEXT(11964, "[$-170000]yyyy-mm-dd")</f>
        <v/>
      </c>
      <c r="C11965">
        <f>TEXT(11964, "[$-060000]yyyy-mm-dd")</f>
        <v/>
      </c>
      <c r="D11965" t="inlineStr">
        <is>
          <t>1351-06-02</t>
        </is>
      </c>
    </row>
    <row r="11966">
      <c r="A11966" s="1" t="n">
        <v>11965</v>
      </c>
      <c r="B11966">
        <f>TEXT(11965, "[$-170000]yyyy-mm-dd")</f>
        <v/>
      </c>
      <c r="C11966">
        <f>TEXT(11965, "[$-060000]yyyy-mm-dd")</f>
        <v/>
      </c>
      <c r="D11966" t="inlineStr">
        <is>
          <t>1351-06-03</t>
        </is>
      </c>
    </row>
    <row r="11967">
      <c r="A11967" s="1" t="n">
        <v>11966</v>
      </c>
      <c r="B11967">
        <f>TEXT(11966, "[$-170000]yyyy-mm-dd")</f>
        <v/>
      </c>
      <c r="C11967">
        <f>TEXT(11966, "[$-060000]yyyy-mm-dd")</f>
        <v/>
      </c>
      <c r="D11967" t="inlineStr">
        <is>
          <t>1351-06-04</t>
        </is>
      </c>
    </row>
    <row r="11968">
      <c r="A11968" s="1" t="n">
        <v>11967</v>
      </c>
      <c r="B11968">
        <f>TEXT(11967, "[$-170000]yyyy-mm-dd")</f>
        <v/>
      </c>
      <c r="C11968">
        <f>TEXT(11967, "[$-060000]yyyy-mm-dd")</f>
        <v/>
      </c>
      <c r="D11968" t="inlineStr">
        <is>
          <t>1351-06-05</t>
        </is>
      </c>
    </row>
    <row r="11969">
      <c r="A11969" s="1" t="n">
        <v>11968</v>
      </c>
      <c r="B11969">
        <f>TEXT(11968, "[$-170000]yyyy-mm-dd")</f>
        <v/>
      </c>
      <c r="C11969">
        <f>TEXT(11968, "[$-060000]yyyy-mm-dd")</f>
        <v/>
      </c>
      <c r="D11969" t="inlineStr">
        <is>
          <t>1351-06-06</t>
        </is>
      </c>
    </row>
    <row r="11970">
      <c r="A11970" s="1" t="n">
        <v>11969</v>
      </c>
      <c r="B11970">
        <f>TEXT(11969, "[$-170000]yyyy-mm-dd")</f>
        <v/>
      </c>
      <c r="C11970">
        <f>TEXT(11969, "[$-060000]yyyy-mm-dd")</f>
        <v/>
      </c>
      <c r="D11970" t="inlineStr">
        <is>
          <t>1351-06-07</t>
        </is>
      </c>
    </row>
    <row r="11971">
      <c r="A11971" s="1" t="n">
        <v>11970</v>
      </c>
      <c r="B11971">
        <f>TEXT(11970, "[$-170000]yyyy-mm-dd")</f>
        <v/>
      </c>
      <c r="C11971">
        <f>TEXT(11970, "[$-060000]yyyy-mm-dd")</f>
        <v/>
      </c>
      <c r="D11971" t="inlineStr">
        <is>
          <t>1351-06-08</t>
        </is>
      </c>
    </row>
    <row r="11972">
      <c r="A11972" s="1" t="n">
        <v>11971</v>
      </c>
      <c r="B11972">
        <f>TEXT(11971, "[$-170000]yyyy-mm-dd")</f>
        <v/>
      </c>
      <c r="C11972">
        <f>TEXT(11971, "[$-060000]yyyy-mm-dd")</f>
        <v/>
      </c>
      <c r="D11972" t="inlineStr">
        <is>
          <t>1351-06-09</t>
        </is>
      </c>
    </row>
    <row r="11973">
      <c r="A11973" s="1" t="n">
        <v>11972</v>
      </c>
      <c r="B11973">
        <f>TEXT(11972, "[$-170000]yyyy-mm-dd")</f>
        <v/>
      </c>
      <c r="C11973">
        <f>TEXT(11972, "[$-060000]yyyy-mm-dd")</f>
        <v/>
      </c>
      <c r="D11973" t="inlineStr">
        <is>
          <t>1351-06-10</t>
        </is>
      </c>
    </row>
    <row r="11974">
      <c r="A11974" s="1" t="n">
        <v>11973</v>
      </c>
      <c r="B11974">
        <f>TEXT(11973, "[$-170000]yyyy-mm-dd")</f>
        <v/>
      </c>
      <c r="C11974">
        <f>TEXT(11973, "[$-060000]yyyy-mm-dd")</f>
        <v/>
      </c>
      <c r="D11974" t="inlineStr">
        <is>
          <t>1351-06-11</t>
        </is>
      </c>
    </row>
    <row r="11975">
      <c r="A11975" s="1" t="n">
        <v>11974</v>
      </c>
      <c r="B11975">
        <f>TEXT(11974, "[$-170000]yyyy-mm-dd")</f>
        <v/>
      </c>
      <c r="C11975">
        <f>TEXT(11974, "[$-060000]yyyy-mm-dd")</f>
        <v/>
      </c>
      <c r="D11975" t="inlineStr">
        <is>
          <t>1351-06-12</t>
        </is>
      </c>
    </row>
    <row r="11976">
      <c r="A11976" s="1" t="n">
        <v>11975</v>
      </c>
      <c r="B11976">
        <f>TEXT(11975, "[$-170000]yyyy-mm-dd")</f>
        <v/>
      </c>
      <c r="C11976">
        <f>TEXT(11975, "[$-060000]yyyy-mm-dd")</f>
        <v/>
      </c>
      <c r="D11976" t="inlineStr">
        <is>
          <t>1351-06-13</t>
        </is>
      </c>
    </row>
    <row r="11977">
      <c r="A11977" s="1" t="n">
        <v>11976</v>
      </c>
      <c r="B11977">
        <f>TEXT(11976, "[$-170000]yyyy-mm-dd")</f>
        <v/>
      </c>
      <c r="C11977">
        <f>TEXT(11976, "[$-060000]yyyy-mm-dd")</f>
        <v/>
      </c>
      <c r="D11977" t="inlineStr">
        <is>
          <t>1351-06-14</t>
        </is>
      </c>
    </row>
    <row r="11978">
      <c r="A11978" s="1" t="n">
        <v>11977</v>
      </c>
      <c r="B11978">
        <f>TEXT(11977, "[$-170000]yyyy-mm-dd")</f>
        <v/>
      </c>
      <c r="C11978">
        <f>TEXT(11977, "[$-060000]yyyy-mm-dd")</f>
        <v/>
      </c>
      <c r="D11978" t="inlineStr">
        <is>
          <t>1351-06-15</t>
        </is>
      </c>
    </row>
    <row r="11979">
      <c r="A11979" s="1" t="n">
        <v>11978</v>
      </c>
      <c r="B11979">
        <f>TEXT(11978, "[$-170000]yyyy-mm-dd")</f>
        <v/>
      </c>
      <c r="C11979">
        <f>TEXT(11978, "[$-060000]yyyy-mm-dd")</f>
        <v/>
      </c>
      <c r="D11979" t="inlineStr">
        <is>
          <t>1351-06-16</t>
        </is>
      </c>
    </row>
    <row r="11980">
      <c r="A11980" s="1" t="n">
        <v>11979</v>
      </c>
      <c r="B11980">
        <f>TEXT(11979, "[$-170000]yyyy-mm-dd")</f>
        <v/>
      </c>
      <c r="C11980">
        <f>TEXT(11979, "[$-060000]yyyy-mm-dd")</f>
        <v/>
      </c>
      <c r="D11980" t="inlineStr">
        <is>
          <t>1351-06-17</t>
        </is>
      </c>
    </row>
    <row r="11981">
      <c r="A11981" s="1" t="n">
        <v>11980</v>
      </c>
      <c r="B11981">
        <f>TEXT(11980, "[$-170000]yyyy-mm-dd")</f>
        <v/>
      </c>
      <c r="C11981">
        <f>TEXT(11980, "[$-060000]yyyy-mm-dd")</f>
        <v/>
      </c>
      <c r="D11981" t="inlineStr">
        <is>
          <t>1351-06-18</t>
        </is>
      </c>
    </row>
    <row r="11982">
      <c r="A11982" s="1" t="n">
        <v>11981</v>
      </c>
      <c r="B11982">
        <f>TEXT(11981, "[$-170000]yyyy-mm-dd")</f>
        <v/>
      </c>
      <c r="C11982">
        <f>TEXT(11981, "[$-060000]yyyy-mm-dd")</f>
        <v/>
      </c>
      <c r="D11982" t="inlineStr">
        <is>
          <t>1351-06-19</t>
        </is>
      </c>
    </row>
    <row r="11983">
      <c r="A11983" s="1" t="n">
        <v>11982</v>
      </c>
      <c r="B11983">
        <f>TEXT(11982, "[$-170000]yyyy-mm-dd")</f>
        <v/>
      </c>
      <c r="C11983">
        <f>TEXT(11982, "[$-060000]yyyy-mm-dd")</f>
        <v/>
      </c>
      <c r="D11983" t="inlineStr">
        <is>
          <t>1351-06-20</t>
        </is>
      </c>
    </row>
    <row r="11984">
      <c r="A11984" s="1" t="n">
        <v>11983</v>
      </c>
      <c r="B11984">
        <f>TEXT(11983, "[$-170000]yyyy-mm-dd")</f>
        <v/>
      </c>
      <c r="C11984">
        <f>TEXT(11983, "[$-060000]yyyy-mm-dd")</f>
        <v/>
      </c>
      <c r="D11984" t="inlineStr">
        <is>
          <t>1351-06-21</t>
        </is>
      </c>
    </row>
    <row r="11985">
      <c r="A11985" s="1" t="n">
        <v>11984</v>
      </c>
      <c r="B11985">
        <f>TEXT(11984, "[$-170000]yyyy-mm-dd")</f>
        <v/>
      </c>
      <c r="C11985">
        <f>TEXT(11984, "[$-060000]yyyy-mm-dd")</f>
        <v/>
      </c>
      <c r="D11985" t="inlineStr">
        <is>
          <t>1351-06-22</t>
        </is>
      </c>
    </row>
    <row r="11986">
      <c r="A11986" s="1" t="n">
        <v>11985</v>
      </c>
      <c r="B11986">
        <f>TEXT(11985, "[$-170000]yyyy-mm-dd")</f>
        <v/>
      </c>
      <c r="C11986">
        <f>TEXT(11985, "[$-060000]yyyy-mm-dd")</f>
        <v/>
      </c>
      <c r="D11986" t="inlineStr">
        <is>
          <t>1351-06-23</t>
        </is>
      </c>
    </row>
    <row r="11987">
      <c r="A11987" s="1" t="n">
        <v>11986</v>
      </c>
      <c r="B11987">
        <f>TEXT(11986, "[$-170000]yyyy-mm-dd")</f>
        <v/>
      </c>
      <c r="C11987">
        <f>TEXT(11986, "[$-060000]yyyy-mm-dd")</f>
        <v/>
      </c>
      <c r="D11987" t="inlineStr">
        <is>
          <t>1351-06-24</t>
        </is>
      </c>
    </row>
    <row r="11988">
      <c r="A11988" s="1" t="n">
        <v>11987</v>
      </c>
      <c r="B11988">
        <f>TEXT(11987, "[$-170000]yyyy-mm-dd")</f>
        <v/>
      </c>
      <c r="C11988">
        <f>TEXT(11987, "[$-060000]yyyy-mm-dd")</f>
        <v/>
      </c>
      <c r="D11988" t="inlineStr">
        <is>
          <t>1351-06-25</t>
        </is>
      </c>
    </row>
    <row r="11989">
      <c r="A11989" s="1" t="n">
        <v>11988</v>
      </c>
      <c r="B11989">
        <f>TEXT(11988, "[$-170000]yyyy-mm-dd")</f>
        <v/>
      </c>
      <c r="C11989">
        <f>TEXT(11988, "[$-060000]yyyy-mm-dd")</f>
        <v/>
      </c>
      <c r="D11989" t="inlineStr">
        <is>
          <t>1351-06-26</t>
        </is>
      </c>
    </row>
    <row r="11990">
      <c r="A11990" s="1" t="n">
        <v>11989</v>
      </c>
      <c r="B11990">
        <f>TEXT(11989, "[$-170000]yyyy-mm-dd")</f>
        <v/>
      </c>
      <c r="C11990">
        <f>TEXT(11989, "[$-060000]yyyy-mm-dd")</f>
        <v/>
      </c>
      <c r="D11990" t="inlineStr">
        <is>
          <t>1351-06-27</t>
        </is>
      </c>
    </row>
    <row r="11991">
      <c r="A11991" s="1" t="n">
        <v>11990</v>
      </c>
      <c r="B11991">
        <f>TEXT(11990, "[$-170000]yyyy-mm-dd")</f>
        <v/>
      </c>
      <c r="C11991">
        <f>TEXT(11990, "[$-060000]yyyy-mm-dd")</f>
        <v/>
      </c>
      <c r="D11991" t="inlineStr">
        <is>
          <t>1351-06-28</t>
        </is>
      </c>
    </row>
    <row r="11992">
      <c r="A11992" s="1" t="n">
        <v>11991</v>
      </c>
      <c r="B11992">
        <f>TEXT(11991, "[$-170000]yyyy-mm-dd")</f>
        <v/>
      </c>
      <c r="C11992">
        <f>TEXT(11991, "[$-060000]yyyy-mm-dd")</f>
        <v/>
      </c>
      <c r="D11992" t="inlineStr">
        <is>
          <t>1351-06-29</t>
        </is>
      </c>
    </row>
    <row r="11993">
      <c r="A11993" s="1" t="n">
        <v>11992</v>
      </c>
      <c r="B11993">
        <f>TEXT(11992, "[$-170000]yyyy-mm-dd")</f>
        <v/>
      </c>
      <c r="C11993">
        <f>TEXT(11992, "[$-060000]yyyy-mm-dd")</f>
        <v/>
      </c>
      <c r="D11993" t="inlineStr">
        <is>
          <t>1351-07-01</t>
        </is>
      </c>
    </row>
    <row r="11994">
      <c r="A11994" s="1" t="n">
        <v>11993</v>
      </c>
      <c r="B11994">
        <f>TEXT(11993, "[$-170000]yyyy-mm-dd")</f>
        <v/>
      </c>
      <c r="C11994">
        <f>TEXT(11993, "[$-060000]yyyy-mm-dd")</f>
        <v/>
      </c>
      <c r="D11994" t="inlineStr">
        <is>
          <t>1351-07-02</t>
        </is>
      </c>
    </row>
    <row r="11995">
      <c r="A11995" s="1" t="n">
        <v>11994</v>
      </c>
      <c r="B11995">
        <f>TEXT(11994, "[$-170000]yyyy-mm-dd")</f>
        <v/>
      </c>
      <c r="C11995">
        <f>TEXT(11994, "[$-060000]yyyy-mm-dd")</f>
        <v/>
      </c>
      <c r="D11995" t="inlineStr">
        <is>
          <t>1351-07-03</t>
        </is>
      </c>
    </row>
    <row r="11996">
      <c r="A11996" s="1" t="n">
        <v>11995</v>
      </c>
      <c r="B11996">
        <f>TEXT(11995, "[$-170000]yyyy-mm-dd")</f>
        <v/>
      </c>
      <c r="C11996">
        <f>TEXT(11995, "[$-060000]yyyy-mm-dd")</f>
        <v/>
      </c>
      <c r="D11996" t="inlineStr">
        <is>
          <t>1351-07-04</t>
        </is>
      </c>
    </row>
    <row r="11997">
      <c r="A11997" s="1" t="n">
        <v>11996</v>
      </c>
      <c r="B11997">
        <f>TEXT(11996, "[$-170000]yyyy-mm-dd")</f>
        <v/>
      </c>
      <c r="C11997">
        <f>TEXT(11996, "[$-060000]yyyy-mm-dd")</f>
        <v/>
      </c>
      <c r="D11997" t="inlineStr">
        <is>
          <t>1351-07-05</t>
        </is>
      </c>
    </row>
    <row r="11998">
      <c r="A11998" s="1" t="n">
        <v>11997</v>
      </c>
      <c r="B11998">
        <f>TEXT(11997, "[$-170000]yyyy-mm-dd")</f>
        <v/>
      </c>
      <c r="C11998">
        <f>TEXT(11997, "[$-060000]yyyy-mm-dd")</f>
        <v/>
      </c>
      <c r="D11998" t="inlineStr">
        <is>
          <t>1351-07-06</t>
        </is>
      </c>
    </row>
    <row r="11999">
      <c r="A11999" s="1" t="n">
        <v>11998</v>
      </c>
      <c r="B11999">
        <f>TEXT(11998, "[$-170000]yyyy-mm-dd")</f>
        <v/>
      </c>
      <c r="C11999">
        <f>TEXT(11998, "[$-060000]yyyy-mm-dd")</f>
        <v/>
      </c>
      <c r="D11999" t="inlineStr">
        <is>
          <t>1351-07-07</t>
        </is>
      </c>
    </row>
    <row r="12000">
      <c r="A12000" s="1" t="n">
        <v>11999</v>
      </c>
      <c r="B12000">
        <f>TEXT(11999, "[$-170000]yyyy-mm-dd")</f>
        <v/>
      </c>
      <c r="C12000">
        <f>TEXT(11999, "[$-060000]yyyy-mm-dd")</f>
        <v/>
      </c>
      <c r="D12000" t="inlineStr">
        <is>
          <t>1351-07-08</t>
        </is>
      </c>
    </row>
    <row r="12001">
      <c r="A12001" s="1" t="n">
        <v>12000</v>
      </c>
      <c r="B12001">
        <f>TEXT(12000, "[$-170000]yyyy-mm-dd")</f>
        <v/>
      </c>
      <c r="C12001">
        <f>TEXT(12000, "[$-060000]yyyy-mm-dd")</f>
        <v/>
      </c>
      <c r="D12001" t="inlineStr">
        <is>
          <t>1351-07-09</t>
        </is>
      </c>
    </row>
    <row r="12002">
      <c r="A12002" s="1" t="n">
        <v>12001</v>
      </c>
      <c r="B12002">
        <f>TEXT(12001, "[$-170000]yyyy-mm-dd")</f>
        <v/>
      </c>
      <c r="C12002">
        <f>TEXT(12001, "[$-060000]yyyy-mm-dd")</f>
        <v/>
      </c>
      <c r="D12002" t="inlineStr">
        <is>
          <t>1351-07-10</t>
        </is>
      </c>
    </row>
    <row r="12003">
      <c r="A12003" s="1" t="n">
        <v>12002</v>
      </c>
      <c r="B12003">
        <f>TEXT(12002, "[$-170000]yyyy-mm-dd")</f>
        <v/>
      </c>
      <c r="C12003">
        <f>TEXT(12002, "[$-060000]yyyy-mm-dd")</f>
        <v/>
      </c>
      <c r="D12003" t="inlineStr">
        <is>
          <t>1351-07-11</t>
        </is>
      </c>
    </row>
    <row r="12004">
      <c r="A12004" s="1" t="n">
        <v>12003</v>
      </c>
      <c r="B12004">
        <f>TEXT(12003, "[$-170000]yyyy-mm-dd")</f>
        <v/>
      </c>
      <c r="C12004">
        <f>TEXT(12003, "[$-060000]yyyy-mm-dd")</f>
        <v/>
      </c>
      <c r="D12004" t="inlineStr">
        <is>
          <t>1351-07-12</t>
        </is>
      </c>
    </row>
    <row r="12005">
      <c r="A12005" s="1" t="n">
        <v>12004</v>
      </c>
      <c r="B12005">
        <f>TEXT(12004, "[$-170000]yyyy-mm-dd")</f>
        <v/>
      </c>
      <c r="C12005">
        <f>TEXT(12004, "[$-060000]yyyy-mm-dd")</f>
        <v/>
      </c>
      <c r="D12005" t="inlineStr">
        <is>
          <t>1351-07-13</t>
        </is>
      </c>
    </row>
    <row r="12006">
      <c r="A12006" s="1" t="n">
        <v>12005</v>
      </c>
      <c r="B12006">
        <f>TEXT(12005, "[$-170000]yyyy-mm-dd")</f>
        <v/>
      </c>
      <c r="C12006">
        <f>TEXT(12005, "[$-060000]yyyy-mm-dd")</f>
        <v/>
      </c>
      <c r="D12006" t="inlineStr">
        <is>
          <t>1351-07-14</t>
        </is>
      </c>
    </row>
    <row r="12007">
      <c r="A12007" s="1" t="n">
        <v>12006</v>
      </c>
      <c r="B12007">
        <f>TEXT(12006, "[$-170000]yyyy-mm-dd")</f>
        <v/>
      </c>
      <c r="C12007">
        <f>TEXT(12006, "[$-060000]yyyy-mm-dd")</f>
        <v/>
      </c>
      <c r="D12007" t="inlineStr">
        <is>
          <t>1351-07-15</t>
        </is>
      </c>
    </row>
    <row r="12008">
      <c r="A12008" s="1" t="n">
        <v>12007</v>
      </c>
      <c r="B12008">
        <f>TEXT(12007, "[$-170000]yyyy-mm-dd")</f>
        <v/>
      </c>
      <c r="C12008">
        <f>TEXT(12007, "[$-060000]yyyy-mm-dd")</f>
        <v/>
      </c>
      <c r="D12008" t="inlineStr">
        <is>
          <t>1351-07-16</t>
        </is>
      </c>
    </row>
    <row r="12009">
      <c r="A12009" s="1" t="n">
        <v>12008</v>
      </c>
      <c r="B12009">
        <f>TEXT(12008, "[$-170000]yyyy-mm-dd")</f>
        <v/>
      </c>
      <c r="C12009">
        <f>TEXT(12008, "[$-060000]yyyy-mm-dd")</f>
        <v/>
      </c>
      <c r="D12009" t="inlineStr">
        <is>
          <t>1351-07-17</t>
        </is>
      </c>
    </row>
    <row r="12010">
      <c r="A12010" s="1" t="n">
        <v>12009</v>
      </c>
      <c r="B12010">
        <f>TEXT(12009, "[$-170000]yyyy-mm-dd")</f>
        <v/>
      </c>
      <c r="C12010">
        <f>TEXT(12009, "[$-060000]yyyy-mm-dd")</f>
        <v/>
      </c>
      <c r="D12010" t="inlineStr">
        <is>
          <t>1351-07-18</t>
        </is>
      </c>
    </row>
    <row r="12011">
      <c r="A12011" s="1" t="n">
        <v>12010</v>
      </c>
      <c r="B12011">
        <f>TEXT(12010, "[$-170000]yyyy-mm-dd")</f>
        <v/>
      </c>
      <c r="C12011">
        <f>TEXT(12010, "[$-060000]yyyy-mm-dd")</f>
        <v/>
      </c>
      <c r="D12011" t="inlineStr">
        <is>
          <t>1351-07-19</t>
        </is>
      </c>
    </row>
    <row r="12012">
      <c r="A12012" s="1" t="n">
        <v>12011</v>
      </c>
      <c r="B12012">
        <f>TEXT(12011, "[$-170000]yyyy-mm-dd")</f>
        <v/>
      </c>
      <c r="C12012">
        <f>TEXT(12011, "[$-060000]yyyy-mm-dd")</f>
        <v/>
      </c>
      <c r="D12012" t="inlineStr">
        <is>
          <t>1351-07-20</t>
        </is>
      </c>
    </row>
    <row r="12013">
      <c r="A12013" s="1" t="n">
        <v>12012</v>
      </c>
      <c r="B12013">
        <f>TEXT(12012, "[$-170000]yyyy-mm-dd")</f>
        <v/>
      </c>
      <c r="C12013">
        <f>TEXT(12012, "[$-060000]yyyy-mm-dd")</f>
        <v/>
      </c>
      <c r="D12013" t="inlineStr">
        <is>
          <t>1351-07-21</t>
        </is>
      </c>
    </row>
    <row r="12014">
      <c r="A12014" s="1" t="n">
        <v>12013</v>
      </c>
      <c r="B12014">
        <f>TEXT(12013, "[$-170000]yyyy-mm-dd")</f>
        <v/>
      </c>
      <c r="C12014">
        <f>TEXT(12013, "[$-060000]yyyy-mm-dd")</f>
        <v/>
      </c>
      <c r="D12014" t="inlineStr">
        <is>
          <t>1351-07-22</t>
        </is>
      </c>
    </row>
    <row r="12015">
      <c r="A12015" s="1" t="n">
        <v>12014</v>
      </c>
      <c r="B12015">
        <f>TEXT(12014, "[$-170000]yyyy-mm-dd")</f>
        <v/>
      </c>
      <c r="C12015">
        <f>TEXT(12014, "[$-060000]yyyy-mm-dd")</f>
        <v/>
      </c>
      <c r="D12015" t="inlineStr">
        <is>
          <t>1351-07-23</t>
        </is>
      </c>
    </row>
    <row r="12016">
      <c r="A12016" s="1" t="n">
        <v>12015</v>
      </c>
      <c r="B12016">
        <f>TEXT(12015, "[$-170000]yyyy-mm-dd")</f>
        <v/>
      </c>
      <c r="C12016">
        <f>TEXT(12015, "[$-060000]yyyy-mm-dd")</f>
        <v/>
      </c>
      <c r="D12016" t="inlineStr">
        <is>
          <t>1351-07-24</t>
        </is>
      </c>
    </row>
    <row r="12017">
      <c r="A12017" s="1" t="n">
        <v>12016</v>
      </c>
      <c r="B12017">
        <f>TEXT(12016, "[$-170000]yyyy-mm-dd")</f>
        <v/>
      </c>
      <c r="C12017">
        <f>TEXT(12016, "[$-060000]yyyy-mm-dd")</f>
        <v/>
      </c>
      <c r="D12017" t="inlineStr">
        <is>
          <t>1351-07-25</t>
        </is>
      </c>
    </row>
    <row r="12018">
      <c r="A12018" s="1" t="n">
        <v>12017</v>
      </c>
      <c r="B12018">
        <f>TEXT(12017, "[$-170000]yyyy-mm-dd")</f>
        <v/>
      </c>
      <c r="C12018">
        <f>TEXT(12017, "[$-060000]yyyy-mm-dd")</f>
        <v/>
      </c>
      <c r="D12018" t="inlineStr">
        <is>
          <t>1351-07-26</t>
        </is>
      </c>
    </row>
    <row r="12019">
      <c r="A12019" s="1" t="n">
        <v>12018</v>
      </c>
      <c r="B12019">
        <f>TEXT(12018, "[$-170000]yyyy-mm-dd")</f>
        <v/>
      </c>
      <c r="C12019">
        <f>TEXT(12018, "[$-060000]yyyy-mm-dd")</f>
        <v/>
      </c>
      <c r="D12019" t="inlineStr">
        <is>
          <t>1351-07-27</t>
        </is>
      </c>
    </row>
    <row r="12020">
      <c r="A12020" s="1" t="n">
        <v>12019</v>
      </c>
      <c r="B12020">
        <f>TEXT(12019, "[$-170000]yyyy-mm-dd")</f>
        <v/>
      </c>
      <c r="C12020">
        <f>TEXT(12019, "[$-060000]yyyy-mm-dd")</f>
        <v/>
      </c>
      <c r="D12020" t="inlineStr">
        <is>
          <t>1351-07-28</t>
        </is>
      </c>
    </row>
    <row r="12021">
      <c r="A12021" s="1" t="n">
        <v>12020</v>
      </c>
      <c r="B12021">
        <f>TEXT(12020, "[$-170000]yyyy-mm-dd")</f>
        <v/>
      </c>
      <c r="C12021">
        <f>TEXT(12020, "[$-060000]yyyy-mm-dd")</f>
        <v/>
      </c>
      <c r="D12021" t="inlineStr">
        <is>
          <t>1351-07-29</t>
        </is>
      </c>
    </row>
    <row r="12022">
      <c r="A12022" s="1" t="n">
        <v>12021</v>
      </c>
      <c r="B12022">
        <f>TEXT(12021, "[$-170000]yyyy-mm-dd")</f>
        <v/>
      </c>
      <c r="C12022">
        <f>TEXT(12021, "[$-060000]yyyy-mm-dd")</f>
        <v/>
      </c>
      <c r="D12022" t="inlineStr">
        <is>
          <t>1351-07-30</t>
        </is>
      </c>
    </row>
    <row r="12023">
      <c r="A12023" s="1" t="n">
        <v>12022</v>
      </c>
      <c r="B12023">
        <f>TEXT(12022, "[$-170000]yyyy-mm-dd")</f>
        <v/>
      </c>
      <c r="C12023">
        <f>TEXT(12022, "[$-060000]yyyy-mm-dd")</f>
        <v/>
      </c>
      <c r="D12023" t="inlineStr">
        <is>
          <t>1351-08-01</t>
        </is>
      </c>
    </row>
    <row r="12024">
      <c r="A12024" s="1" t="n">
        <v>12023</v>
      </c>
      <c r="B12024">
        <f>TEXT(12023, "[$-170000]yyyy-mm-dd")</f>
        <v/>
      </c>
      <c r="C12024">
        <f>TEXT(12023, "[$-060000]yyyy-mm-dd")</f>
        <v/>
      </c>
      <c r="D12024" t="inlineStr">
        <is>
          <t>1351-08-02</t>
        </is>
      </c>
    </row>
    <row r="12025">
      <c r="A12025" s="1" t="n">
        <v>12024</v>
      </c>
      <c r="B12025">
        <f>TEXT(12024, "[$-170000]yyyy-mm-dd")</f>
        <v/>
      </c>
      <c r="C12025">
        <f>TEXT(12024, "[$-060000]yyyy-mm-dd")</f>
        <v/>
      </c>
      <c r="D12025" t="inlineStr">
        <is>
          <t>1351-08-03</t>
        </is>
      </c>
    </row>
    <row r="12026">
      <c r="A12026" s="1" t="n">
        <v>12025</v>
      </c>
      <c r="B12026">
        <f>TEXT(12025, "[$-170000]yyyy-mm-dd")</f>
        <v/>
      </c>
      <c r="C12026">
        <f>TEXT(12025, "[$-060000]yyyy-mm-dd")</f>
        <v/>
      </c>
      <c r="D12026" t="inlineStr">
        <is>
          <t>1351-08-04</t>
        </is>
      </c>
    </row>
    <row r="12027">
      <c r="A12027" s="1" t="n">
        <v>12026</v>
      </c>
      <c r="B12027">
        <f>TEXT(12026, "[$-170000]yyyy-mm-dd")</f>
        <v/>
      </c>
      <c r="C12027">
        <f>TEXT(12026, "[$-060000]yyyy-mm-dd")</f>
        <v/>
      </c>
      <c r="D12027" t="inlineStr">
        <is>
          <t>1351-08-05</t>
        </is>
      </c>
    </row>
    <row r="12028">
      <c r="A12028" s="1" t="n">
        <v>12027</v>
      </c>
      <c r="B12028">
        <f>TEXT(12027, "[$-170000]yyyy-mm-dd")</f>
        <v/>
      </c>
      <c r="C12028">
        <f>TEXT(12027, "[$-060000]yyyy-mm-dd")</f>
        <v/>
      </c>
      <c r="D12028" t="inlineStr">
        <is>
          <t>1351-08-06</t>
        </is>
      </c>
    </row>
    <row r="12029">
      <c r="A12029" s="1" t="n">
        <v>12028</v>
      </c>
      <c r="B12029">
        <f>TEXT(12028, "[$-170000]yyyy-mm-dd")</f>
        <v/>
      </c>
      <c r="C12029">
        <f>TEXT(12028, "[$-060000]yyyy-mm-dd")</f>
        <v/>
      </c>
      <c r="D12029" t="inlineStr">
        <is>
          <t>1351-08-07</t>
        </is>
      </c>
    </row>
    <row r="12030">
      <c r="A12030" s="1" t="n">
        <v>12029</v>
      </c>
      <c r="B12030">
        <f>TEXT(12029, "[$-170000]yyyy-mm-dd")</f>
        <v/>
      </c>
      <c r="C12030">
        <f>TEXT(12029, "[$-060000]yyyy-mm-dd")</f>
        <v/>
      </c>
      <c r="D12030" t="inlineStr">
        <is>
          <t>1351-08-08</t>
        </is>
      </c>
    </row>
    <row r="12031">
      <c r="A12031" s="1" t="n">
        <v>12030</v>
      </c>
      <c r="B12031">
        <f>TEXT(12030, "[$-170000]yyyy-mm-dd")</f>
        <v/>
      </c>
      <c r="C12031">
        <f>TEXT(12030, "[$-060000]yyyy-mm-dd")</f>
        <v/>
      </c>
      <c r="D12031" t="inlineStr">
        <is>
          <t>1351-08-09</t>
        </is>
      </c>
    </row>
    <row r="12032">
      <c r="A12032" s="1" t="n">
        <v>12031</v>
      </c>
      <c r="B12032">
        <f>TEXT(12031, "[$-170000]yyyy-mm-dd")</f>
        <v/>
      </c>
      <c r="C12032">
        <f>TEXT(12031, "[$-060000]yyyy-mm-dd")</f>
        <v/>
      </c>
      <c r="D12032" t="inlineStr">
        <is>
          <t>1351-08-10</t>
        </is>
      </c>
    </row>
    <row r="12033">
      <c r="A12033" s="1" t="n">
        <v>12032</v>
      </c>
      <c r="B12033">
        <f>TEXT(12032, "[$-170000]yyyy-mm-dd")</f>
        <v/>
      </c>
      <c r="C12033">
        <f>TEXT(12032, "[$-060000]yyyy-mm-dd")</f>
        <v/>
      </c>
      <c r="D12033" t="inlineStr">
        <is>
          <t>1351-08-11</t>
        </is>
      </c>
    </row>
    <row r="12034">
      <c r="A12034" s="1" t="n">
        <v>12033</v>
      </c>
      <c r="B12034">
        <f>TEXT(12033, "[$-170000]yyyy-mm-dd")</f>
        <v/>
      </c>
      <c r="C12034">
        <f>TEXT(12033, "[$-060000]yyyy-mm-dd")</f>
        <v/>
      </c>
      <c r="D12034" t="inlineStr">
        <is>
          <t>1351-08-12</t>
        </is>
      </c>
    </row>
    <row r="12035">
      <c r="A12035" s="1" t="n">
        <v>12034</v>
      </c>
      <c r="B12035">
        <f>TEXT(12034, "[$-170000]yyyy-mm-dd")</f>
        <v/>
      </c>
      <c r="C12035">
        <f>TEXT(12034, "[$-060000]yyyy-mm-dd")</f>
        <v/>
      </c>
      <c r="D12035" t="inlineStr">
        <is>
          <t>1351-08-13</t>
        </is>
      </c>
    </row>
    <row r="12036">
      <c r="A12036" s="1" t="n">
        <v>12035</v>
      </c>
      <c r="B12036">
        <f>TEXT(12035, "[$-170000]yyyy-mm-dd")</f>
        <v/>
      </c>
      <c r="C12036">
        <f>TEXT(12035, "[$-060000]yyyy-mm-dd")</f>
        <v/>
      </c>
      <c r="D12036" t="inlineStr">
        <is>
          <t>1351-08-14</t>
        </is>
      </c>
    </row>
    <row r="12037">
      <c r="A12037" s="1" t="n">
        <v>12036</v>
      </c>
      <c r="B12037">
        <f>TEXT(12036, "[$-170000]yyyy-mm-dd")</f>
        <v/>
      </c>
      <c r="C12037">
        <f>TEXT(12036, "[$-060000]yyyy-mm-dd")</f>
        <v/>
      </c>
      <c r="D12037" t="inlineStr">
        <is>
          <t>1351-08-15</t>
        </is>
      </c>
    </row>
    <row r="12038">
      <c r="A12038" s="1" t="n">
        <v>12037</v>
      </c>
      <c r="B12038">
        <f>TEXT(12037, "[$-170000]yyyy-mm-dd")</f>
        <v/>
      </c>
      <c r="C12038">
        <f>TEXT(12037, "[$-060000]yyyy-mm-dd")</f>
        <v/>
      </c>
      <c r="D12038" t="inlineStr">
        <is>
          <t>1351-08-16</t>
        </is>
      </c>
    </row>
    <row r="12039">
      <c r="A12039" s="1" t="n">
        <v>12038</v>
      </c>
      <c r="B12039">
        <f>TEXT(12038, "[$-170000]yyyy-mm-dd")</f>
        <v/>
      </c>
      <c r="C12039">
        <f>TEXT(12038, "[$-060000]yyyy-mm-dd")</f>
        <v/>
      </c>
      <c r="D12039" t="inlineStr">
        <is>
          <t>1351-08-17</t>
        </is>
      </c>
    </row>
    <row r="12040">
      <c r="A12040" s="1" t="n">
        <v>12039</v>
      </c>
      <c r="B12040">
        <f>TEXT(12039, "[$-170000]yyyy-mm-dd")</f>
        <v/>
      </c>
      <c r="C12040">
        <f>TEXT(12039, "[$-060000]yyyy-mm-dd")</f>
        <v/>
      </c>
      <c r="D12040" t="inlineStr">
        <is>
          <t>1351-08-18</t>
        </is>
      </c>
    </row>
    <row r="12041">
      <c r="A12041" s="1" t="n">
        <v>12040</v>
      </c>
      <c r="B12041">
        <f>TEXT(12040, "[$-170000]yyyy-mm-dd")</f>
        <v/>
      </c>
      <c r="C12041">
        <f>TEXT(12040, "[$-060000]yyyy-mm-dd")</f>
        <v/>
      </c>
      <c r="D12041" t="inlineStr">
        <is>
          <t>1351-08-19</t>
        </is>
      </c>
    </row>
    <row r="12042">
      <c r="A12042" s="1" t="n">
        <v>12041</v>
      </c>
      <c r="B12042">
        <f>TEXT(12041, "[$-170000]yyyy-mm-dd")</f>
        <v/>
      </c>
      <c r="C12042">
        <f>TEXT(12041, "[$-060000]yyyy-mm-dd")</f>
        <v/>
      </c>
      <c r="D12042" t="inlineStr">
        <is>
          <t>1351-08-20</t>
        </is>
      </c>
    </row>
    <row r="12043">
      <c r="A12043" s="1" t="n">
        <v>12042</v>
      </c>
      <c r="B12043">
        <f>TEXT(12042, "[$-170000]yyyy-mm-dd")</f>
        <v/>
      </c>
      <c r="C12043">
        <f>TEXT(12042, "[$-060000]yyyy-mm-dd")</f>
        <v/>
      </c>
      <c r="D12043" t="inlineStr">
        <is>
          <t>1351-08-21</t>
        </is>
      </c>
    </row>
    <row r="12044">
      <c r="A12044" s="1" t="n">
        <v>12043</v>
      </c>
      <c r="B12044">
        <f>TEXT(12043, "[$-170000]yyyy-mm-dd")</f>
        <v/>
      </c>
      <c r="C12044">
        <f>TEXT(12043, "[$-060000]yyyy-mm-dd")</f>
        <v/>
      </c>
      <c r="D12044" t="inlineStr">
        <is>
          <t>1351-08-22</t>
        </is>
      </c>
    </row>
    <row r="12045">
      <c r="A12045" s="1" t="n">
        <v>12044</v>
      </c>
      <c r="B12045">
        <f>TEXT(12044, "[$-170000]yyyy-mm-dd")</f>
        <v/>
      </c>
      <c r="C12045">
        <f>TEXT(12044, "[$-060000]yyyy-mm-dd")</f>
        <v/>
      </c>
      <c r="D12045" t="inlineStr">
        <is>
          <t>1351-08-23</t>
        </is>
      </c>
    </row>
    <row r="12046">
      <c r="A12046" s="1" t="n">
        <v>12045</v>
      </c>
      <c r="B12046">
        <f>TEXT(12045, "[$-170000]yyyy-mm-dd")</f>
        <v/>
      </c>
      <c r="C12046">
        <f>TEXT(12045, "[$-060000]yyyy-mm-dd")</f>
        <v/>
      </c>
      <c r="D12046" t="inlineStr">
        <is>
          <t>1351-08-24</t>
        </is>
      </c>
    </row>
    <row r="12047">
      <c r="A12047" s="1" t="n">
        <v>12046</v>
      </c>
      <c r="B12047">
        <f>TEXT(12046, "[$-170000]yyyy-mm-dd")</f>
        <v/>
      </c>
      <c r="C12047">
        <f>TEXT(12046, "[$-060000]yyyy-mm-dd")</f>
        <v/>
      </c>
      <c r="D12047" t="inlineStr">
        <is>
          <t>1351-08-25</t>
        </is>
      </c>
    </row>
    <row r="12048">
      <c r="A12048" s="1" t="n">
        <v>12047</v>
      </c>
      <c r="B12048">
        <f>TEXT(12047, "[$-170000]yyyy-mm-dd")</f>
        <v/>
      </c>
      <c r="C12048">
        <f>TEXT(12047, "[$-060000]yyyy-mm-dd")</f>
        <v/>
      </c>
      <c r="D12048" t="inlineStr">
        <is>
          <t>1351-08-26</t>
        </is>
      </c>
    </row>
    <row r="12049">
      <c r="A12049" s="1" t="n">
        <v>12048</v>
      </c>
      <c r="B12049">
        <f>TEXT(12048, "[$-170000]yyyy-mm-dd")</f>
        <v/>
      </c>
      <c r="C12049">
        <f>TEXT(12048, "[$-060000]yyyy-mm-dd")</f>
        <v/>
      </c>
      <c r="D12049" t="inlineStr">
        <is>
          <t>1351-08-27</t>
        </is>
      </c>
    </row>
    <row r="12050">
      <c r="A12050" s="1" t="n">
        <v>12049</v>
      </c>
      <c r="B12050">
        <f>TEXT(12049, "[$-170000]yyyy-mm-dd")</f>
        <v/>
      </c>
      <c r="C12050">
        <f>TEXT(12049, "[$-060000]yyyy-mm-dd")</f>
        <v/>
      </c>
      <c r="D12050" t="inlineStr">
        <is>
          <t>1351-08-28</t>
        </is>
      </c>
    </row>
    <row r="12051">
      <c r="A12051" s="1" t="n">
        <v>12050</v>
      </c>
      <c r="B12051">
        <f>TEXT(12050, "[$-170000]yyyy-mm-dd")</f>
        <v/>
      </c>
      <c r="C12051">
        <f>TEXT(12050, "[$-060000]yyyy-mm-dd")</f>
        <v/>
      </c>
      <c r="D12051" t="inlineStr">
        <is>
          <t>1351-08-29</t>
        </is>
      </c>
    </row>
    <row r="12052">
      <c r="A12052" s="1" t="n">
        <v>12051</v>
      </c>
      <c r="B12052">
        <f>TEXT(12051, "[$-170000]yyyy-mm-dd")</f>
        <v/>
      </c>
      <c r="C12052">
        <f>TEXT(12051, "[$-060000]yyyy-mm-dd")</f>
        <v/>
      </c>
      <c r="D12052" t="inlineStr">
        <is>
          <t>1351-09-01</t>
        </is>
      </c>
    </row>
    <row r="12053">
      <c r="A12053" s="1" t="n">
        <v>12052</v>
      </c>
      <c r="B12053">
        <f>TEXT(12052, "[$-170000]yyyy-mm-dd")</f>
        <v/>
      </c>
      <c r="C12053">
        <f>TEXT(12052, "[$-060000]yyyy-mm-dd")</f>
        <v/>
      </c>
      <c r="D12053" t="inlineStr">
        <is>
          <t>1351-09-02</t>
        </is>
      </c>
    </row>
    <row r="12054">
      <c r="A12054" s="1" t="n">
        <v>12053</v>
      </c>
      <c r="B12054">
        <f>TEXT(12053, "[$-170000]yyyy-mm-dd")</f>
        <v/>
      </c>
      <c r="C12054">
        <f>TEXT(12053, "[$-060000]yyyy-mm-dd")</f>
        <v/>
      </c>
      <c r="D12054" t="inlineStr">
        <is>
          <t>1351-09-03</t>
        </is>
      </c>
    </row>
    <row r="12055">
      <c r="A12055" s="1" t="n">
        <v>12054</v>
      </c>
      <c r="B12055">
        <f>TEXT(12054, "[$-170000]yyyy-mm-dd")</f>
        <v/>
      </c>
      <c r="C12055">
        <f>TEXT(12054, "[$-060000]yyyy-mm-dd")</f>
        <v/>
      </c>
      <c r="D12055" t="inlineStr">
        <is>
          <t>1351-09-04</t>
        </is>
      </c>
    </row>
    <row r="12056">
      <c r="A12056" s="1" t="n">
        <v>12055</v>
      </c>
      <c r="B12056">
        <f>TEXT(12055, "[$-170000]yyyy-mm-dd")</f>
        <v/>
      </c>
      <c r="C12056">
        <f>TEXT(12055, "[$-060000]yyyy-mm-dd")</f>
        <v/>
      </c>
      <c r="D12056" t="inlineStr">
        <is>
          <t>1351-09-05</t>
        </is>
      </c>
    </row>
    <row r="12057">
      <c r="A12057" s="1" t="n">
        <v>12056</v>
      </c>
      <c r="B12057">
        <f>TEXT(12056, "[$-170000]yyyy-mm-dd")</f>
        <v/>
      </c>
      <c r="C12057">
        <f>TEXT(12056, "[$-060000]yyyy-mm-dd")</f>
        <v/>
      </c>
      <c r="D12057" t="inlineStr">
        <is>
          <t>1351-09-06</t>
        </is>
      </c>
    </row>
    <row r="12058">
      <c r="A12058" s="1" t="n">
        <v>12057</v>
      </c>
      <c r="B12058">
        <f>TEXT(12057, "[$-170000]yyyy-mm-dd")</f>
        <v/>
      </c>
      <c r="C12058">
        <f>TEXT(12057, "[$-060000]yyyy-mm-dd")</f>
        <v/>
      </c>
      <c r="D12058" t="inlineStr">
        <is>
          <t>1351-09-07</t>
        </is>
      </c>
    </row>
    <row r="12059">
      <c r="A12059" s="1" t="n">
        <v>12058</v>
      </c>
      <c r="B12059">
        <f>TEXT(12058, "[$-170000]yyyy-mm-dd")</f>
        <v/>
      </c>
      <c r="C12059">
        <f>TEXT(12058, "[$-060000]yyyy-mm-dd")</f>
        <v/>
      </c>
      <c r="D12059" t="inlineStr">
        <is>
          <t>1351-09-08</t>
        </is>
      </c>
    </row>
    <row r="12060">
      <c r="A12060" s="1" t="n">
        <v>12059</v>
      </c>
      <c r="B12060">
        <f>TEXT(12059, "[$-170000]yyyy-mm-dd")</f>
        <v/>
      </c>
      <c r="C12060">
        <f>TEXT(12059, "[$-060000]yyyy-mm-dd")</f>
        <v/>
      </c>
      <c r="D12060" t="inlineStr">
        <is>
          <t>1351-09-09</t>
        </is>
      </c>
    </row>
    <row r="12061">
      <c r="A12061" s="1" t="n">
        <v>12060</v>
      </c>
      <c r="B12061">
        <f>TEXT(12060, "[$-170000]yyyy-mm-dd")</f>
        <v/>
      </c>
      <c r="C12061">
        <f>TEXT(12060, "[$-060000]yyyy-mm-dd")</f>
        <v/>
      </c>
      <c r="D12061" t="inlineStr">
        <is>
          <t>1351-09-10</t>
        </is>
      </c>
    </row>
    <row r="12062">
      <c r="A12062" s="1" t="n">
        <v>12061</v>
      </c>
      <c r="B12062">
        <f>TEXT(12061, "[$-170000]yyyy-mm-dd")</f>
        <v/>
      </c>
      <c r="C12062">
        <f>TEXT(12061, "[$-060000]yyyy-mm-dd")</f>
        <v/>
      </c>
      <c r="D12062" t="inlineStr">
        <is>
          <t>1351-09-11</t>
        </is>
      </c>
    </row>
    <row r="12063">
      <c r="A12063" s="1" t="n">
        <v>12062</v>
      </c>
      <c r="B12063">
        <f>TEXT(12062, "[$-170000]yyyy-mm-dd")</f>
        <v/>
      </c>
      <c r="C12063">
        <f>TEXT(12062, "[$-060000]yyyy-mm-dd")</f>
        <v/>
      </c>
      <c r="D12063" t="inlineStr">
        <is>
          <t>1351-09-12</t>
        </is>
      </c>
    </row>
    <row r="12064">
      <c r="A12064" s="1" t="n">
        <v>12063</v>
      </c>
      <c r="B12064">
        <f>TEXT(12063, "[$-170000]yyyy-mm-dd")</f>
        <v/>
      </c>
      <c r="C12064">
        <f>TEXT(12063, "[$-060000]yyyy-mm-dd")</f>
        <v/>
      </c>
      <c r="D12064" t="inlineStr">
        <is>
          <t>1351-09-13</t>
        </is>
      </c>
    </row>
    <row r="12065">
      <c r="A12065" s="1" t="n">
        <v>12064</v>
      </c>
      <c r="B12065">
        <f>TEXT(12064, "[$-170000]yyyy-mm-dd")</f>
        <v/>
      </c>
      <c r="C12065">
        <f>TEXT(12064, "[$-060000]yyyy-mm-dd")</f>
        <v/>
      </c>
      <c r="D12065" t="inlineStr">
        <is>
          <t>1351-09-14</t>
        </is>
      </c>
    </row>
    <row r="12066">
      <c r="A12066" s="1" t="n">
        <v>12065</v>
      </c>
      <c r="B12066">
        <f>TEXT(12065, "[$-170000]yyyy-mm-dd")</f>
        <v/>
      </c>
      <c r="C12066">
        <f>TEXT(12065, "[$-060000]yyyy-mm-dd")</f>
        <v/>
      </c>
      <c r="D12066" t="inlineStr">
        <is>
          <t>1351-09-15</t>
        </is>
      </c>
    </row>
    <row r="12067">
      <c r="A12067" s="1" t="n">
        <v>12066</v>
      </c>
      <c r="B12067">
        <f>TEXT(12066, "[$-170000]yyyy-mm-dd")</f>
        <v/>
      </c>
      <c r="C12067">
        <f>TEXT(12066, "[$-060000]yyyy-mm-dd")</f>
        <v/>
      </c>
      <c r="D12067" t="inlineStr">
        <is>
          <t>1351-09-16</t>
        </is>
      </c>
    </row>
    <row r="12068">
      <c r="A12068" s="1" t="n">
        <v>12067</v>
      </c>
      <c r="B12068">
        <f>TEXT(12067, "[$-170000]yyyy-mm-dd")</f>
        <v/>
      </c>
      <c r="C12068">
        <f>TEXT(12067, "[$-060000]yyyy-mm-dd")</f>
        <v/>
      </c>
      <c r="D12068" t="inlineStr">
        <is>
          <t>1351-09-17</t>
        </is>
      </c>
    </row>
    <row r="12069">
      <c r="A12069" s="1" t="n">
        <v>12068</v>
      </c>
      <c r="B12069">
        <f>TEXT(12068, "[$-170000]yyyy-mm-dd")</f>
        <v/>
      </c>
      <c r="C12069">
        <f>TEXT(12068, "[$-060000]yyyy-mm-dd")</f>
        <v/>
      </c>
      <c r="D12069" t="inlineStr">
        <is>
          <t>1351-09-18</t>
        </is>
      </c>
    </row>
    <row r="12070">
      <c r="A12070" s="1" t="n">
        <v>12069</v>
      </c>
      <c r="B12070">
        <f>TEXT(12069, "[$-170000]yyyy-mm-dd")</f>
        <v/>
      </c>
      <c r="C12070">
        <f>TEXT(12069, "[$-060000]yyyy-mm-dd")</f>
        <v/>
      </c>
      <c r="D12070" t="inlineStr">
        <is>
          <t>1351-09-19</t>
        </is>
      </c>
    </row>
    <row r="12071">
      <c r="A12071" s="1" t="n">
        <v>12070</v>
      </c>
      <c r="B12071">
        <f>TEXT(12070, "[$-170000]yyyy-mm-dd")</f>
        <v/>
      </c>
      <c r="C12071">
        <f>TEXT(12070, "[$-060000]yyyy-mm-dd")</f>
        <v/>
      </c>
      <c r="D12071" t="inlineStr">
        <is>
          <t>1351-09-20</t>
        </is>
      </c>
    </row>
    <row r="12072">
      <c r="A12072" s="1" t="n">
        <v>12071</v>
      </c>
      <c r="B12072">
        <f>TEXT(12071, "[$-170000]yyyy-mm-dd")</f>
        <v/>
      </c>
      <c r="C12072">
        <f>TEXT(12071, "[$-060000]yyyy-mm-dd")</f>
        <v/>
      </c>
      <c r="D12072" t="inlineStr">
        <is>
          <t>1351-09-21</t>
        </is>
      </c>
    </row>
    <row r="12073">
      <c r="A12073" s="1" t="n">
        <v>12072</v>
      </c>
      <c r="B12073">
        <f>TEXT(12072, "[$-170000]yyyy-mm-dd")</f>
        <v/>
      </c>
      <c r="C12073">
        <f>TEXT(12072, "[$-060000]yyyy-mm-dd")</f>
        <v/>
      </c>
      <c r="D12073" t="inlineStr">
        <is>
          <t>1351-09-22</t>
        </is>
      </c>
    </row>
    <row r="12074">
      <c r="A12074" s="1" t="n">
        <v>12073</v>
      </c>
      <c r="B12074">
        <f>TEXT(12073, "[$-170000]yyyy-mm-dd")</f>
        <v/>
      </c>
      <c r="C12074">
        <f>TEXT(12073, "[$-060000]yyyy-mm-dd")</f>
        <v/>
      </c>
      <c r="D12074" t="inlineStr">
        <is>
          <t>1351-09-23</t>
        </is>
      </c>
    </row>
    <row r="12075">
      <c r="A12075" s="1" t="n">
        <v>12074</v>
      </c>
      <c r="B12075">
        <f>TEXT(12074, "[$-170000]yyyy-mm-dd")</f>
        <v/>
      </c>
      <c r="C12075">
        <f>TEXT(12074, "[$-060000]yyyy-mm-dd")</f>
        <v/>
      </c>
      <c r="D12075" t="inlineStr">
        <is>
          <t>1351-09-24</t>
        </is>
      </c>
    </row>
    <row r="12076">
      <c r="A12076" s="1" t="n">
        <v>12075</v>
      </c>
      <c r="B12076">
        <f>TEXT(12075, "[$-170000]yyyy-mm-dd")</f>
        <v/>
      </c>
      <c r="C12076">
        <f>TEXT(12075, "[$-060000]yyyy-mm-dd")</f>
        <v/>
      </c>
      <c r="D12076" t="inlineStr">
        <is>
          <t>1351-09-25</t>
        </is>
      </c>
    </row>
    <row r="12077">
      <c r="A12077" s="1" t="n">
        <v>12076</v>
      </c>
      <c r="B12077">
        <f>TEXT(12076, "[$-170000]yyyy-mm-dd")</f>
        <v/>
      </c>
      <c r="C12077">
        <f>TEXT(12076, "[$-060000]yyyy-mm-dd")</f>
        <v/>
      </c>
      <c r="D12077" t="inlineStr">
        <is>
          <t>1351-09-26</t>
        </is>
      </c>
    </row>
    <row r="12078">
      <c r="A12078" s="1" t="n">
        <v>12077</v>
      </c>
      <c r="B12078">
        <f>TEXT(12077, "[$-170000]yyyy-mm-dd")</f>
        <v/>
      </c>
      <c r="C12078">
        <f>TEXT(12077, "[$-060000]yyyy-mm-dd")</f>
        <v/>
      </c>
      <c r="D12078" t="inlineStr">
        <is>
          <t>1351-09-27</t>
        </is>
      </c>
    </row>
    <row r="12079">
      <c r="A12079" s="1" t="n">
        <v>12078</v>
      </c>
      <c r="B12079">
        <f>TEXT(12078, "[$-170000]yyyy-mm-dd")</f>
        <v/>
      </c>
      <c r="C12079">
        <f>TEXT(12078, "[$-060000]yyyy-mm-dd")</f>
        <v/>
      </c>
      <c r="D12079" t="inlineStr">
        <is>
          <t>1351-09-28</t>
        </is>
      </c>
    </row>
    <row r="12080">
      <c r="A12080" s="1" t="n">
        <v>12079</v>
      </c>
      <c r="B12080">
        <f>TEXT(12079, "[$-170000]yyyy-mm-dd")</f>
        <v/>
      </c>
      <c r="C12080">
        <f>TEXT(12079, "[$-060000]yyyy-mm-dd")</f>
        <v/>
      </c>
      <c r="D12080" t="inlineStr">
        <is>
          <t>1351-09-29</t>
        </is>
      </c>
    </row>
    <row r="12081">
      <c r="A12081" s="1" t="n">
        <v>12080</v>
      </c>
      <c r="B12081">
        <f>TEXT(12080, "[$-170000]yyyy-mm-dd")</f>
        <v/>
      </c>
      <c r="C12081">
        <f>TEXT(12080, "[$-060000]yyyy-mm-dd")</f>
        <v/>
      </c>
      <c r="D12081" t="inlineStr">
        <is>
          <t>1351-09-30</t>
        </is>
      </c>
    </row>
    <row r="12082">
      <c r="A12082" s="1" t="n">
        <v>12081</v>
      </c>
      <c r="B12082">
        <f>TEXT(12081, "[$-170000]yyyy-mm-dd")</f>
        <v/>
      </c>
      <c r="C12082">
        <f>TEXT(12081, "[$-060000]yyyy-mm-dd")</f>
        <v/>
      </c>
      <c r="D12082" t="inlineStr">
        <is>
          <t>1351-10-01</t>
        </is>
      </c>
    </row>
    <row r="12083">
      <c r="A12083" s="1" t="n">
        <v>12082</v>
      </c>
      <c r="B12083">
        <f>TEXT(12082, "[$-170000]yyyy-mm-dd")</f>
        <v/>
      </c>
      <c r="C12083">
        <f>TEXT(12082, "[$-060000]yyyy-mm-dd")</f>
        <v/>
      </c>
      <c r="D12083" t="inlineStr">
        <is>
          <t>1351-10-02</t>
        </is>
      </c>
    </row>
    <row r="12084">
      <c r="A12084" s="1" t="n">
        <v>12083</v>
      </c>
      <c r="B12084">
        <f>TEXT(12083, "[$-170000]yyyy-mm-dd")</f>
        <v/>
      </c>
      <c r="C12084">
        <f>TEXT(12083, "[$-060000]yyyy-mm-dd")</f>
        <v/>
      </c>
      <c r="D12084" t="inlineStr">
        <is>
          <t>1351-10-03</t>
        </is>
      </c>
    </row>
    <row r="12085">
      <c r="A12085" s="1" t="n">
        <v>12084</v>
      </c>
      <c r="B12085">
        <f>TEXT(12084, "[$-170000]yyyy-mm-dd")</f>
        <v/>
      </c>
      <c r="C12085">
        <f>TEXT(12084, "[$-060000]yyyy-mm-dd")</f>
        <v/>
      </c>
      <c r="D12085" t="inlineStr">
        <is>
          <t>1351-10-04</t>
        </is>
      </c>
    </row>
    <row r="12086">
      <c r="A12086" s="1" t="n">
        <v>12085</v>
      </c>
      <c r="B12086">
        <f>TEXT(12085, "[$-170000]yyyy-mm-dd")</f>
        <v/>
      </c>
      <c r="C12086">
        <f>TEXT(12085, "[$-060000]yyyy-mm-dd")</f>
        <v/>
      </c>
      <c r="D12086" t="inlineStr">
        <is>
          <t>1351-10-05</t>
        </is>
      </c>
    </row>
    <row r="12087">
      <c r="A12087" s="1" t="n">
        <v>12086</v>
      </c>
      <c r="B12087">
        <f>TEXT(12086, "[$-170000]yyyy-mm-dd")</f>
        <v/>
      </c>
      <c r="C12087">
        <f>TEXT(12086, "[$-060000]yyyy-mm-dd")</f>
        <v/>
      </c>
      <c r="D12087" t="inlineStr">
        <is>
          <t>1351-10-06</t>
        </is>
      </c>
    </row>
    <row r="12088">
      <c r="A12088" s="1" t="n">
        <v>12087</v>
      </c>
      <c r="B12088">
        <f>TEXT(12087, "[$-170000]yyyy-mm-dd")</f>
        <v/>
      </c>
      <c r="C12088">
        <f>TEXT(12087, "[$-060000]yyyy-mm-dd")</f>
        <v/>
      </c>
      <c r="D12088" t="inlineStr">
        <is>
          <t>1351-10-07</t>
        </is>
      </c>
    </row>
    <row r="12089">
      <c r="A12089" s="1" t="n">
        <v>12088</v>
      </c>
      <c r="B12089">
        <f>TEXT(12088, "[$-170000]yyyy-mm-dd")</f>
        <v/>
      </c>
      <c r="C12089">
        <f>TEXT(12088, "[$-060000]yyyy-mm-dd")</f>
        <v/>
      </c>
      <c r="D12089" t="inlineStr">
        <is>
          <t>1351-10-08</t>
        </is>
      </c>
    </row>
    <row r="12090">
      <c r="A12090" s="1" t="n">
        <v>12089</v>
      </c>
      <c r="B12090">
        <f>TEXT(12089, "[$-170000]yyyy-mm-dd")</f>
        <v/>
      </c>
      <c r="C12090">
        <f>TEXT(12089, "[$-060000]yyyy-mm-dd")</f>
        <v/>
      </c>
      <c r="D12090" t="inlineStr">
        <is>
          <t>1351-10-09</t>
        </is>
      </c>
    </row>
    <row r="12091">
      <c r="A12091" s="1" t="n">
        <v>12090</v>
      </c>
      <c r="B12091">
        <f>TEXT(12090, "[$-170000]yyyy-mm-dd")</f>
        <v/>
      </c>
      <c r="C12091">
        <f>TEXT(12090, "[$-060000]yyyy-mm-dd")</f>
        <v/>
      </c>
      <c r="D12091" t="inlineStr">
        <is>
          <t>1351-10-10</t>
        </is>
      </c>
    </row>
    <row r="12092">
      <c r="A12092" s="1" t="n">
        <v>12091</v>
      </c>
      <c r="B12092">
        <f>TEXT(12091, "[$-170000]yyyy-mm-dd")</f>
        <v/>
      </c>
      <c r="C12092">
        <f>TEXT(12091, "[$-060000]yyyy-mm-dd")</f>
        <v/>
      </c>
      <c r="D12092" t="inlineStr">
        <is>
          <t>1351-10-11</t>
        </is>
      </c>
    </row>
    <row r="12093">
      <c r="A12093" s="1" t="n">
        <v>12092</v>
      </c>
      <c r="B12093">
        <f>TEXT(12092, "[$-170000]yyyy-mm-dd")</f>
        <v/>
      </c>
      <c r="C12093">
        <f>TEXT(12092, "[$-060000]yyyy-mm-dd")</f>
        <v/>
      </c>
      <c r="D12093" t="inlineStr">
        <is>
          <t>1351-10-12</t>
        </is>
      </c>
    </row>
    <row r="12094">
      <c r="A12094" s="1" t="n">
        <v>12093</v>
      </c>
      <c r="B12094">
        <f>TEXT(12093, "[$-170000]yyyy-mm-dd")</f>
        <v/>
      </c>
      <c r="C12094">
        <f>TEXT(12093, "[$-060000]yyyy-mm-dd")</f>
        <v/>
      </c>
      <c r="D12094" t="inlineStr">
        <is>
          <t>1351-10-13</t>
        </is>
      </c>
    </row>
    <row r="12095">
      <c r="A12095" s="1" t="n">
        <v>12094</v>
      </c>
      <c r="B12095">
        <f>TEXT(12094, "[$-170000]yyyy-mm-dd")</f>
        <v/>
      </c>
      <c r="C12095">
        <f>TEXT(12094, "[$-060000]yyyy-mm-dd")</f>
        <v/>
      </c>
      <c r="D12095" t="inlineStr">
        <is>
          <t>1351-10-14</t>
        </is>
      </c>
    </row>
    <row r="12096">
      <c r="A12096" s="1" t="n">
        <v>12095</v>
      </c>
      <c r="B12096">
        <f>TEXT(12095, "[$-170000]yyyy-mm-dd")</f>
        <v/>
      </c>
      <c r="C12096">
        <f>TEXT(12095, "[$-060000]yyyy-mm-dd")</f>
        <v/>
      </c>
      <c r="D12096" t="inlineStr">
        <is>
          <t>1351-10-15</t>
        </is>
      </c>
    </row>
    <row r="12097">
      <c r="A12097" s="1" t="n">
        <v>12096</v>
      </c>
      <c r="B12097">
        <f>TEXT(12096, "[$-170000]yyyy-mm-dd")</f>
        <v/>
      </c>
      <c r="C12097">
        <f>TEXT(12096, "[$-060000]yyyy-mm-dd")</f>
        <v/>
      </c>
      <c r="D12097" t="inlineStr">
        <is>
          <t>1351-10-16</t>
        </is>
      </c>
    </row>
    <row r="12098">
      <c r="A12098" s="1" t="n">
        <v>12097</v>
      </c>
      <c r="B12098">
        <f>TEXT(12097, "[$-170000]yyyy-mm-dd")</f>
        <v/>
      </c>
      <c r="C12098">
        <f>TEXT(12097, "[$-060000]yyyy-mm-dd")</f>
        <v/>
      </c>
      <c r="D12098" t="inlineStr">
        <is>
          <t>1351-10-17</t>
        </is>
      </c>
    </row>
    <row r="12099">
      <c r="A12099" s="1" t="n">
        <v>12098</v>
      </c>
      <c r="B12099">
        <f>TEXT(12098, "[$-170000]yyyy-mm-dd")</f>
        <v/>
      </c>
      <c r="C12099">
        <f>TEXT(12098, "[$-060000]yyyy-mm-dd")</f>
        <v/>
      </c>
      <c r="D12099" t="inlineStr">
        <is>
          <t>1351-10-18</t>
        </is>
      </c>
    </row>
    <row r="12100">
      <c r="A12100" s="1" t="n">
        <v>12099</v>
      </c>
      <c r="B12100">
        <f>TEXT(12099, "[$-170000]yyyy-mm-dd")</f>
        <v/>
      </c>
      <c r="C12100">
        <f>TEXT(12099, "[$-060000]yyyy-mm-dd")</f>
        <v/>
      </c>
      <c r="D12100" t="inlineStr">
        <is>
          <t>1351-10-19</t>
        </is>
      </c>
    </row>
    <row r="12101">
      <c r="A12101" s="1" t="n">
        <v>12100</v>
      </c>
      <c r="B12101">
        <f>TEXT(12100, "[$-170000]yyyy-mm-dd")</f>
        <v/>
      </c>
      <c r="C12101">
        <f>TEXT(12100, "[$-060000]yyyy-mm-dd")</f>
        <v/>
      </c>
      <c r="D12101" t="inlineStr">
        <is>
          <t>1351-10-20</t>
        </is>
      </c>
    </row>
    <row r="12102">
      <c r="A12102" s="1" t="n">
        <v>12101</v>
      </c>
      <c r="B12102">
        <f>TEXT(12101, "[$-170000]yyyy-mm-dd")</f>
        <v/>
      </c>
      <c r="C12102">
        <f>TEXT(12101, "[$-060000]yyyy-mm-dd")</f>
        <v/>
      </c>
      <c r="D12102" t="inlineStr">
        <is>
          <t>1351-10-21</t>
        </is>
      </c>
    </row>
    <row r="12103">
      <c r="A12103" s="1" t="n">
        <v>12102</v>
      </c>
      <c r="B12103">
        <f>TEXT(12102, "[$-170000]yyyy-mm-dd")</f>
        <v/>
      </c>
      <c r="C12103">
        <f>TEXT(12102, "[$-060000]yyyy-mm-dd")</f>
        <v/>
      </c>
      <c r="D12103" t="inlineStr">
        <is>
          <t>1351-10-22</t>
        </is>
      </c>
    </row>
    <row r="12104">
      <c r="A12104" s="1" t="n">
        <v>12103</v>
      </c>
      <c r="B12104">
        <f>TEXT(12103, "[$-170000]yyyy-mm-dd")</f>
        <v/>
      </c>
      <c r="C12104">
        <f>TEXT(12103, "[$-060000]yyyy-mm-dd")</f>
        <v/>
      </c>
      <c r="D12104" t="inlineStr">
        <is>
          <t>1351-10-23</t>
        </is>
      </c>
    </row>
    <row r="12105">
      <c r="A12105" s="1" t="n">
        <v>12104</v>
      </c>
      <c r="B12105">
        <f>TEXT(12104, "[$-170000]yyyy-mm-dd")</f>
        <v/>
      </c>
      <c r="C12105">
        <f>TEXT(12104, "[$-060000]yyyy-mm-dd")</f>
        <v/>
      </c>
      <c r="D12105" t="inlineStr">
        <is>
          <t>1351-10-24</t>
        </is>
      </c>
    </row>
    <row r="12106">
      <c r="A12106" s="1" t="n">
        <v>12105</v>
      </c>
      <c r="B12106">
        <f>TEXT(12105, "[$-170000]yyyy-mm-dd")</f>
        <v/>
      </c>
      <c r="C12106">
        <f>TEXT(12105, "[$-060000]yyyy-mm-dd")</f>
        <v/>
      </c>
      <c r="D12106" t="inlineStr">
        <is>
          <t>1351-10-25</t>
        </is>
      </c>
    </row>
    <row r="12107">
      <c r="A12107" s="1" t="n">
        <v>12106</v>
      </c>
      <c r="B12107">
        <f>TEXT(12106, "[$-170000]yyyy-mm-dd")</f>
        <v/>
      </c>
      <c r="C12107">
        <f>TEXT(12106, "[$-060000]yyyy-mm-dd")</f>
        <v/>
      </c>
      <c r="D12107" t="inlineStr">
        <is>
          <t>1351-10-26</t>
        </is>
      </c>
    </row>
    <row r="12108">
      <c r="A12108" s="1" t="n">
        <v>12107</v>
      </c>
      <c r="B12108">
        <f>TEXT(12107, "[$-170000]yyyy-mm-dd")</f>
        <v/>
      </c>
      <c r="C12108">
        <f>TEXT(12107, "[$-060000]yyyy-mm-dd")</f>
        <v/>
      </c>
      <c r="D12108" t="inlineStr">
        <is>
          <t>1351-10-27</t>
        </is>
      </c>
    </row>
    <row r="12109">
      <c r="A12109" s="1" t="n">
        <v>12108</v>
      </c>
      <c r="B12109">
        <f>TEXT(12108, "[$-170000]yyyy-mm-dd")</f>
        <v/>
      </c>
      <c r="C12109">
        <f>TEXT(12108, "[$-060000]yyyy-mm-dd")</f>
        <v/>
      </c>
      <c r="D12109" t="inlineStr">
        <is>
          <t>1351-10-28</t>
        </is>
      </c>
    </row>
    <row r="12110">
      <c r="A12110" s="1" t="n">
        <v>12109</v>
      </c>
      <c r="B12110">
        <f>TEXT(12109, "[$-170000]yyyy-mm-dd")</f>
        <v/>
      </c>
      <c r="C12110">
        <f>TEXT(12109, "[$-060000]yyyy-mm-dd")</f>
        <v/>
      </c>
      <c r="D12110" t="inlineStr">
        <is>
          <t>1351-10-29</t>
        </is>
      </c>
    </row>
    <row r="12111">
      <c r="A12111" s="1" t="n">
        <v>12110</v>
      </c>
      <c r="B12111">
        <f>TEXT(12110, "[$-170000]yyyy-mm-dd")</f>
        <v/>
      </c>
      <c r="C12111">
        <f>TEXT(12110, "[$-060000]yyyy-mm-dd")</f>
        <v/>
      </c>
      <c r="D12111" t="inlineStr">
        <is>
          <t>1351-11-01</t>
        </is>
      </c>
    </row>
    <row r="12112">
      <c r="A12112" s="1" t="n">
        <v>12111</v>
      </c>
      <c r="B12112">
        <f>TEXT(12111, "[$-170000]yyyy-mm-dd")</f>
        <v/>
      </c>
      <c r="C12112">
        <f>TEXT(12111, "[$-060000]yyyy-mm-dd")</f>
        <v/>
      </c>
      <c r="D12112" t="inlineStr">
        <is>
          <t>1351-11-02</t>
        </is>
      </c>
    </row>
    <row r="12113">
      <c r="A12113" s="1" t="n">
        <v>12112</v>
      </c>
      <c r="B12113">
        <f>TEXT(12112, "[$-170000]yyyy-mm-dd")</f>
        <v/>
      </c>
      <c r="C12113">
        <f>TEXT(12112, "[$-060000]yyyy-mm-dd")</f>
        <v/>
      </c>
      <c r="D12113" t="inlineStr">
        <is>
          <t>1351-11-03</t>
        </is>
      </c>
    </row>
    <row r="12114">
      <c r="A12114" s="1" t="n">
        <v>12113</v>
      </c>
      <c r="B12114">
        <f>TEXT(12113, "[$-170000]yyyy-mm-dd")</f>
        <v/>
      </c>
      <c r="C12114">
        <f>TEXT(12113, "[$-060000]yyyy-mm-dd")</f>
        <v/>
      </c>
      <c r="D12114" t="inlineStr">
        <is>
          <t>1351-11-04</t>
        </is>
      </c>
    </row>
    <row r="12115">
      <c r="A12115" s="1" t="n">
        <v>12114</v>
      </c>
      <c r="B12115">
        <f>TEXT(12114, "[$-170000]yyyy-mm-dd")</f>
        <v/>
      </c>
      <c r="C12115">
        <f>TEXT(12114, "[$-060000]yyyy-mm-dd")</f>
        <v/>
      </c>
      <c r="D12115" t="inlineStr">
        <is>
          <t>1351-11-05</t>
        </is>
      </c>
    </row>
    <row r="12116">
      <c r="A12116" s="1" t="n">
        <v>12115</v>
      </c>
      <c r="B12116">
        <f>TEXT(12115, "[$-170000]yyyy-mm-dd")</f>
        <v/>
      </c>
      <c r="C12116">
        <f>TEXT(12115, "[$-060000]yyyy-mm-dd")</f>
        <v/>
      </c>
      <c r="D12116" t="inlineStr">
        <is>
          <t>1351-11-06</t>
        </is>
      </c>
    </row>
    <row r="12117">
      <c r="A12117" s="1" t="n">
        <v>12116</v>
      </c>
      <c r="B12117">
        <f>TEXT(12116, "[$-170000]yyyy-mm-dd")</f>
        <v/>
      </c>
      <c r="C12117">
        <f>TEXT(12116, "[$-060000]yyyy-mm-dd")</f>
        <v/>
      </c>
      <c r="D12117" t="inlineStr">
        <is>
          <t>1351-11-07</t>
        </is>
      </c>
    </row>
    <row r="12118">
      <c r="A12118" s="1" t="n">
        <v>12117</v>
      </c>
      <c r="B12118">
        <f>TEXT(12117, "[$-170000]yyyy-mm-dd")</f>
        <v/>
      </c>
      <c r="C12118">
        <f>TEXT(12117, "[$-060000]yyyy-mm-dd")</f>
        <v/>
      </c>
      <c r="D12118" t="inlineStr">
        <is>
          <t>1351-11-08</t>
        </is>
      </c>
    </row>
    <row r="12119">
      <c r="A12119" s="1" t="n">
        <v>12118</v>
      </c>
      <c r="B12119">
        <f>TEXT(12118, "[$-170000]yyyy-mm-dd")</f>
        <v/>
      </c>
      <c r="C12119">
        <f>TEXT(12118, "[$-060000]yyyy-mm-dd")</f>
        <v/>
      </c>
      <c r="D12119" t="inlineStr">
        <is>
          <t>1351-11-09</t>
        </is>
      </c>
    </row>
    <row r="12120">
      <c r="A12120" s="1" t="n">
        <v>12119</v>
      </c>
      <c r="B12120">
        <f>TEXT(12119, "[$-170000]yyyy-mm-dd")</f>
        <v/>
      </c>
      <c r="C12120">
        <f>TEXT(12119, "[$-060000]yyyy-mm-dd")</f>
        <v/>
      </c>
      <c r="D12120" t="inlineStr">
        <is>
          <t>1351-11-10</t>
        </is>
      </c>
    </row>
    <row r="12121">
      <c r="A12121" s="1" t="n">
        <v>12120</v>
      </c>
      <c r="B12121">
        <f>TEXT(12120, "[$-170000]yyyy-mm-dd")</f>
        <v/>
      </c>
      <c r="C12121">
        <f>TEXT(12120, "[$-060000]yyyy-mm-dd")</f>
        <v/>
      </c>
      <c r="D12121" t="inlineStr">
        <is>
          <t>1351-11-11</t>
        </is>
      </c>
    </row>
    <row r="12122">
      <c r="A12122" s="1" t="n">
        <v>12121</v>
      </c>
      <c r="B12122">
        <f>TEXT(12121, "[$-170000]yyyy-mm-dd")</f>
        <v/>
      </c>
      <c r="C12122">
        <f>TEXT(12121, "[$-060000]yyyy-mm-dd")</f>
        <v/>
      </c>
      <c r="D12122" t="inlineStr">
        <is>
          <t>1351-11-12</t>
        </is>
      </c>
    </row>
    <row r="12123">
      <c r="A12123" s="1" t="n">
        <v>12122</v>
      </c>
      <c r="B12123">
        <f>TEXT(12122, "[$-170000]yyyy-mm-dd")</f>
        <v/>
      </c>
      <c r="C12123">
        <f>TEXT(12122, "[$-060000]yyyy-mm-dd")</f>
        <v/>
      </c>
      <c r="D12123" t="inlineStr">
        <is>
          <t>1351-11-13</t>
        </is>
      </c>
    </row>
    <row r="12124">
      <c r="A12124" s="1" t="n">
        <v>12123</v>
      </c>
      <c r="B12124">
        <f>TEXT(12123, "[$-170000]yyyy-mm-dd")</f>
        <v/>
      </c>
      <c r="C12124">
        <f>TEXT(12123, "[$-060000]yyyy-mm-dd")</f>
        <v/>
      </c>
      <c r="D12124" t="inlineStr">
        <is>
          <t>1351-11-14</t>
        </is>
      </c>
    </row>
    <row r="12125">
      <c r="A12125" s="1" t="n">
        <v>12124</v>
      </c>
      <c r="B12125">
        <f>TEXT(12124, "[$-170000]yyyy-mm-dd")</f>
        <v/>
      </c>
      <c r="C12125">
        <f>TEXT(12124, "[$-060000]yyyy-mm-dd")</f>
        <v/>
      </c>
      <c r="D12125" t="inlineStr">
        <is>
          <t>1351-11-15</t>
        </is>
      </c>
    </row>
    <row r="12126">
      <c r="A12126" s="1" t="n">
        <v>12125</v>
      </c>
      <c r="B12126">
        <f>TEXT(12125, "[$-170000]yyyy-mm-dd")</f>
        <v/>
      </c>
      <c r="C12126">
        <f>TEXT(12125, "[$-060000]yyyy-mm-dd")</f>
        <v/>
      </c>
      <c r="D12126" t="inlineStr">
        <is>
          <t>1351-11-16</t>
        </is>
      </c>
    </row>
    <row r="12127">
      <c r="A12127" s="1" t="n">
        <v>12126</v>
      </c>
      <c r="B12127">
        <f>TEXT(12126, "[$-170000]yyyy-mm-dd")</f>
        <v/>
      </c>
      <c r="C12127">
        <f>TEXT(12126, "[$-060000]yyyy-mm-dd")</f>
        <v/>
      </c>
      <c r="D12127" t="inlineStr">
        <is>
          <t>1351-11-17</t>
        </is>
      </c>
    </row>
    <row r="12128">
      <c r="A12128" s="1" t="n">
        <v>12127</v>
      </c>
      <c r="B12128">
        <f>TEXT(12127, "[$-170000]yyyy-mm-dd")</f>
        <v/>
      </c>
      <c r="C12128">
        <f>TEXT(12127, "[$-060000]yyyy-mm-dd")</f>
        <v/>
      </c>
      <c r="D12128" t="inlineStr">
        <is>
          <t>1351-11-18</t>
        </is>
      </c>
    </row>
    <row r="12129">
      <c r="A12129" s="1" t="n">
        <v>12128</v>
      </c>
      <c r="B12129">
        <f>TEXT(12128, "[$-170000]yyyy-mm-dd")</f>
        <v/>
      </c>
      <c r="C12129">
        <f>TEXT(12128, "[$-060000]yyyy-mm-dd")</f>
        <v/>
      </c>
      <c r="D12129" t="inlineStr">
        <is>
          <t>1351-11-19</t>
        </is>
      </c>
    </row>
    <row r="12130">
      <c r="A12130" s="1" t="n">
        <v>12129</v>
      </c>
      <c r="B12130">
        <f>TEXT(12129, "[$-170000]yyyy-mm-dd")</f>
        <v/>
      </c>
      <c r="C12130">
        <f>TEXT(12129, "[$-060000]yyyy-mm-dd")</f>
        <v/>
      </c>
      <c r="D12130" t="inlineStr">
        <is>
          <t>1351-11-20</t>
        </is>
      </c>
    </row>
    <row r="12131">
      <c r="A12131" s="1" t="n">
        <v>12130</v>
      </c>
      <c r="B12131">
        <f>TEXT(12130, "[$-170000]yyyy-mm-dd")</f>
        <v/>
      </c>
      <c r="C12131">
        <f>TEXT(12130, "[$-060000]yyyy-mm-dd")</f>
        <v/>
      </c>
      <c r="D12131" t="inlineStr">
        <is>
          <t>1351-11-21</t>
        </is>
      </c>
    </row>
    <row r="12132">
      <c r="A12132" s="1" t="n">
        <v>12131</v>
      </c>
      <c r="B12132">
        <f>TEXT(12131, "[$-170000]yyyy-mm-dd")</f>
        <v/>
      </c>
      <c r="C12132">
        <f>TEXT(12131, "[$-060000]yyyy-mm-dd")</f>
        <v/>
      </c>
      <c r="D12132" t="inlineStr">
        <is>
          <t>1351-11-22</t>
        </is>
      </c>
    </row>
    <row r="12133">
      <c r="A12133" s="1" t="n">
        <v>12132</v>
      </c>
      <c r="B12133">
        <f>TEXT(12132, "[$-170000]yyyy-mm-dd")</f>
        <v/>
      </c>
      <c r="C12133">
        <f>TEXT(12132, "[$-060000]yyyy-mm-dd")</f>
        <v/>
      </c>
      <c r="D12133" t="inlineStr">
        <is>
          <t>1351-11-23</t>
        </is>
      </c>
    </row>
    <row r="12134">
      <c r="A12134" s="1" t="n">
        <v>12133</v>
      </c>
      <c r="B12134">
        <f>TEXT(12133, "[$-170000]yyyy-mm-dd")</f>
        <v/>
      </c>
      <c r="C12134">
        <f>TEXT(12133, "[$-060000]yyyy-mm-dd")</f>
        <v/>
      </c>
      <c r="D12134" t="inlineStr">
        <is>
          <t>1351-11-24</t>
        </is>
      </c>
    </row>
    <row r="12135">
      <c r="A12135" s="1" t="n">
        <v>12134</v>
      </c>
      <c r="B12135">
        <f>TEXT(12134, "[$-170000]yyyy-mm-dd")</f>
        <v/>
      </c>
      <c r="C12135">
        <f>TEXT(12134, "[$-060000]yyyy-mm-dd")</f>
        <v/>
      </c>
      <c r="D12135" t="inlineStr">
        <is>
          <t>1351-11-25</t>
        </is>
      </c>
    </row>
    <row r="12136">
      <c r="A12136" s="1" t="n">
        <v>12135</v>
      </c>
      <c r="B12136">
        <f>TEXT(12135, "[$-170000]yyyy-mm-dd")</f>
        <v/>
      </c>
      <c r="C12136">
        <f>TEXT(12135, "[$-060000]yyyy-mm-dd")</f>
        <v/>
      </c>
      <c r="D12136" t="inlineStr">
        <is>
          <t>1351-11-26</t>
        </is>
      </c>
    </row>
    <row r="12137">
      <c r="A12137" s="1" t="n">
        <v>12136</v>
      </c>
      <c r="B12137">
        <f>TEXT(12136, "[$-170000]yyyy-mm-dd")</f>
        <v/>
      </c>
      <c r="C12137">
        <f>TEXT(12136, "[$-060000]yyyy-mm-dd")</f>
        <v/>
      </c>
      <c r="D12137" t="inlineStr">
        <is>
          <t>1351-11-27</t>
        </is>
      </c>
    </row>
    <row r="12138">
      <c r="A12138" s="1" t="n">
        <v>12137</v>
      </c>
      <c r="B12138">
        <f>TEXT(12137, "[$-170000]yyyy-mm-dd")</f>
        <v/>
      </c>
      <c r="C12138">
        <f>TEXT(12137, "[$-060000]yyyy-mm-dd")</f>
        <v/>
      </c>
      <c r="D12138" t="inlineStr">
        <is>
          <t>1351-11-28</t>
        </is>
      </c>
    </row>
    <row r="12139">
      <c r="A12139" s="1" t="n">
        <v>12138</v>
      </c>
      <c r="B12139">
        <f>TEXT(12138, "[$-170000]yyyy-mm-dd")</f>
        <v/>
      </c>
      <c r="C12139">
        <f>TEXT(12138, "[$-060000]yyyy-mm-dd")</f>
        <v/>
      </c>
      <c r="D12139" t="inlineStr">
        <is>
          <t>1351-11-29</t>
        </is>
      </c>
    </row>
    <row r="12140">
      <c r="A12140" s="1" t="n">
        <v>12139</v>
      </c>
      <c r="B12140">
        <f>TEXT(12139, "[$-170000]yyyy-mm-dd")</f>
        <v/>
      </c>
      <c r="C12140">
        <f>TEXT(12139, "[$-060000]yyyy-mm-dd")</f>
        <v/>
      </c>
      <c r="D12140" t="inlineStr">
        <is>
          <t>1351-11-30</t>
        </is>
      </c>
    </row>
    <row r="12141">
      <c r="A12141" s="1" t="n">
        <v>12140</v>
      </c>
      <c r="B12141">
        <f>TEXT(12140, "[$-170000]yyyy-mm-dd")</f>
        <v/>
      </c>
      <c r="C12141">
        <f>TEXT(12140, "[$-060000]yyyy-mm-dd")</f>
        <v/>
      </c>
      <c r="D12141" t="inlineStr">
        <is>
          <t>1351-12-01</t>
        </is>
      </c>
    </row>
    <row r="12142">
      <c r="A12142" s="1" t="n">
        <v>12141</v>
      </c>
      <c r="B12142">
        <f>TEXT(12141, "[$-170000]yyyy-mm-dd")</f>
        <v/>
      </c>
      <c r="C12142">
        <f>TEXT(12141, "[$-060000]yyyy-mm-dd")</f>
        <v/>
      </c>
      <c r="D12142" t="inlineStr">
        <is>
          <t>1351-12-02</t>
        </is>
      </c>
    </row>
    <row r="12143">
      <c r="A12143" s="1" t="n">
        <v>12142</v>
      </c>
      <c r="B12143">
        <f>TEXT(12142, "[$-170000]yyyy-mm-dd")</f>
        <v/>
      </c>
      <c r="C12143">
        <f>TEXT(12142, "[$-060000]yyyy-mm-dd")</f>
        <v/>
      </c>
      <c r="D12143" t="inlineStr">
        <is>
          <t>1351-12-03</t>
        </is>
      </c>
    </row>
    <row r="12144">
      <c r="A12144" s="1" t="n">
        <v>12143</v>
      </c>
      <c r="B12144">
        <f>TEXT(12143, "[$-170000]yyyy-mm-dd")</f>
        <v/>
      </c>
      <c r="C12144">
        <f>TEXT(12143, "[$-060000]yyyy-mm-dd")</f>
        <v/>
      </c>
      <c r="D12144" t="inlineStr">
        <is>
          <t>1351-12-04</t>
        </is>
      </c>
    </row>
    <row r="12145">
      <c r="A12145" s="1" t="n">
        <v>12144</v>
      </c>
      <c r="B12145">
        <f>TEXT(12144, "[$-170000]yyyy-mm-dd")</f>
        <v/>
      </c>
      <c r="C12145">
        <f>TEXT(12144, "[$-060000]yyyy-mm-dd")</f>
        <v/>
      </c>
      <c r="D12145" t="inlineStr">
        <is>
          <t>1351-12-05</t>
        </is>
      </c>
    </row>
    <row r="12146">
      <c r="A12146" s="1" t="n">
        <v>12145</v>
      </c>
      <c r="B12146">
        <f>TEXT(12145, "[$-170000]yyyy-mm-dd")</f>
        <v/>
      </c>
      <c r="C12146">
        <f>TEXT(12145, "[$-060000]yyyy-mm-dd")</f>
        <v/>
      </c>
      <c r="D12146" t="inlineStr">
        <is>
          <t>1351-12-06</t>
        </is>
      </c>
    </row>
    <row r="12147">
      <c r="A12147" s="1" t="n">
        <v>12146</v>
      </c>
      <c r="B12147">
        <f>TEXT(12146, "[$-170000]yyyy-mm-dd")</f>
        <v/>
      </c>
      <c r="C12147">
        <f>TEXT(12146, "[$-060000]yyyy-mm-dd")</f>
        <v/>
      </c>
      <c r="D12147" t="inlineStr">
        <is>
          <t>1351-12-07</t>
        </is>
      </c>
    </row>
    <row r="12148">
      <c r="A12148" s="1" t="n">
        <v>12147</v>
      </c>
      <c r="B12148">
        <f>TEXT(12147, "[$-170000]yyyy-mm-dd")</f>
        <v/>
      </c>
      <c r="C12148">
        <f>TEXT(12147, "[$-060000]yyyy-mm-dd")</f>
        <v/>
      </c>
      <c r="D12148" t="inlineStr">
        <is>
          <t>1351-12-08</t>
        </is>
      </c>
    </row>
    <row r="12149">
      <c r="A12149" s="1" t="n">
        <v>12148</v>
      </c>
      <c r="B12149">
        <f>TEXT(12148, "[$-170000]yyyy-mm-dd")</f>
        <v/>
      </c>
      <c r="C12149">
        <f>TEXT(12148, "[$-060000]yyyy-mm-dd")</f>
        <v/>
      </c>
      <c r="D12149" t="inlineStr">
        <is>
          <t>1351-12-09</t>
        </is>
      </c>
    </row>
    <row r="12150">
      <c r="A12150" s="1" t="n">
        <v>12149</v>
      </c>
      <c r="B12150">
        <f>TEXT(12149, "[$-170000]yyyy-mm-dd")</f>
        <v/>
      </c>
      <c r="C12150">
        <f>TEXT(12149, "[$-060000]yyyy-mm-dd")</f>
        <v/>
      </c>
      <c r="D12150" t="inlineStr">
        <is>
          <t>1351-12-10</t>
        </is>
      </c>
    </row>
    <row r="12151">
      <c r="A12151" s="1" t="n">
        <v>12150</v>
      </c>
      <c r="B12151">
        <f>TEXT(12150, "[$-170000]yyyy-mm-dd")</f>
        <v/>
      </c>
      <c r="C12151">
        <f>TEXT(12150, "[$-060000]yyyy-mm-dd")</f>
        <v/>
      </c>
      <c r="D12151" t="inlineStr">
        <is>
          <t>1351-12-11</t>
        </is>
      </c>
    </row>
    <row r="12152">
      <c r="A12152" s="1" t="n">
        <v>12151</v>
      </c>
      <c r="B12152">
        <f>TEXT(12151, "[$-170000]yyyy-mm-dd")</f>
        <v/>
      </c>
      <c r="C12152">
        <f>TEXT(12151, "[$-060000]yyyy-mm-dd")</f>
        <v/>
      </c>
      <c r="D12152" t="inlineStr">
        <is>
          <t>1351-12-12</t>
        </is>
      </c>
    </row>
    <row r="12153">
      <c r="A12153" s="1" t="n">
        <v>12152</v>
      </c>
      <c r="B12153">
        <f>TEXT(12152, "[$-170000]yyyy-mm-dd")</f>
        <v/>
      </c>
      <c r="C12153">
        <f>TEXT(12152, "[$-060000]yyyy-mm-dd")</f>
        <v/>
      </c>
      <c r="D12153" t="inlineStr">
        <is>
          <t>1351-12-13</t>
        </is>
      </c>
    </row>
    <row r="12154">
      <c r="A12154" s="1" t="n">
        <v>12153</v>
      </c>
      <c r="B12154">
        <f>TEXT(12153, "[$-170000]yyyy-mm-dd")</f>
        <v/>
      </c>
      <c r="C12154">
        <f>TEXT(12153, "[$-060000]yyyy-mm-dd")</f>
        <v/>
      </c>
      <c r="D12154" t="inlineStr">
        <is>
          <t>1351-12-14</t>
        </is>
      </c>
    </row>
    <row r="12155">
      <c r="A12155" s="1" t="n">
        <v>12154</v>
      </c>
      <c r="B12155">
        <f>TEXT(12154, "[$-170000]yyyy-mm-dd")</f>
        <v/>
      </c>
      <c r="C12155">
        <f>TEXT(12154, "[$-060000]yyyy-mm-dd")</f>
        <v/>
      </c>
      <c r="D12155" t="inlineStr">
        <is>
          <t>1351-12-15</t>
        </is>
      </c>
    </row>
    <row r="12156">
      <c r="A12156" s="1" t="n">
        <v>12155</v>
      </c>
      <c r="B12156">
        <f>TEXT(12155, "[$-170000]yyyy-mm-dd")</f>
        <v/>
      </c>
      <c r="C12156">
        <f>TEXT(12155, "[$-060000]yyyy-mm-dd")</f>
        <v/>
      </c>
      <c r="D12156" t="inlineStr">
        <is>
          <t>1351-12-16</t>
        </is>
      </c>
    </row>
    <row r="12157">
      <c r="A12157" s="1" t="n">
        <v>12156</v>
      </c>
      <c r="B12157">
        <f>TEXT(12156, "[$-170000]yyyy-mm-dd")</f>
        <v/>
      </c>
      <c r="C12157">
        <f>TEXT(12156, "[$-060000]yyyy-mm-dd")</f>
        <v/>
      </c>
      <c r="D12157" t="inlineStr">
        <is>
          <t>1351-12-17</t>
        </is>
      </c>
    </row>
    <row r="12158">
      <c r="A12158" s="1" t="n">
        <v>12157</v>
      </c>
      <c r="B12158">
        <f>TEXT(12157, "[$-170000]yyyy-mm-dd")</f>
        <v/>
      </c>
      <c r="C12158">
        <f>TEXT(12157, "[$-060000]yyyy-mm-dd")</f>
        <v/>
      </c>
      <c r="D12158" t="inlineStr">
        <is>
          <t>1351-12-18</t>
        </is>
      </c>
    </row>
    <row r="12159">
      <c r="A12159" s="1" t="n">
        <v>12158</v>
      </c>
      <c r="B12159">
        <f>TEXT(12158, "[$-170000]yyyy-mm-dd")</f>
        <v/>
      </c>
      <c r="C12159">
        <f>TEXT(12158, "[$-060000]yyyy-mm-dd")</f>
        <v/>
      </c>
      <c r="D12159" t="inlineStr">
        <is>
          <t>1351-12-19</t>
        </is>
      </c>
    </row>
    <row r="12160">
      <c r="A12160" s="1" t="n">
        <v>12159</v>
      </c>
      <c r="B12160">
        <f>TEXT(12159, "[$-170000]yyyy-mm-dd")</f>
        <v/>
      </c>
      <c r="C12160">
        <f>TEXT(12159, "[$-060000]yyyy-mm-dd")</f>
        <v/>
      </c>
      <c r="D12160" t="inlineStr">
        <is>
          <t>1351-12-20</t>
        </is>
      </c>
    </row>
    <row r="12161">
      <c r="A12161" s="1" t="n">
        <v>12160</v>
      </c>
      <c r="B12161">
        <f>TEXT(12160, "[$-170000]yyyy-mm-dd")</f>
        <v/>
      </c>
      <c r="C12161">
        <f>TEXT(12160, "[$-060000]yyyy-mm-dd")</f>
        <v/>
      </c>
      <c r="D12161" t="inlineStr">
        <is>
          <t>1351-12-21</t>
        </is>
      </c>
    </row>
    <row r="12162">
      <c r="A12162" s="1" t="n">
        <v>12161</v>
      </c>
      <c r="B12162">
        <f>TEXT(12161, "[$-170000]yyyy-mm-dd")</f>
        <v/>
      </c>
      <c r="C12162">
        <f>TEXT(12161, "[$-060000]yyyy-mm-dd")</f>
        <v/>
      </c>
      <c r="D12162" t="inlineStr">
        <is>
          <t>1351-12-22</t>
        </is>
      </c>
    </row>
    <row r="12163">
      <c r="A12163" s="1" t="n">
        <v>12162</v>
      </c>
      <c r="B12163">
        <f>TEXT(12162, "[$-170000]yyyy-mm-dd")</f>
        <v/>
      </c>
      <c r="C12163">
        <f>TEXT(12162, "[$-060000]yyyy-mm-dd")</f>
        <v/>
      </c>
      <c r="D12163" t="inlineStr">
        <is>
          <t>1351-12-23</t>
        </is>
      </c>
    </row>
    <row r="12164">
      <c r="A12164" s="1" t="n">
        <v>12163</v>
      </c>
      <c r="B12164">
        <f>TEXT(12163, "[$-170000]yyyy-mm-dd")</f>
        <v/>
      </c>
      <c r="C12164">
        <f>TEXT(12163, "[$-060000]yyyy-mm-dd")</f>
        <v/>
      </c>
      <c r="D12164" t="inlineStr">
        <is>
          <t>1351-12-24</t>
        </is>
      </c>
    </row>
    <row r="12165">
      <c r="A12165" s="1" t="n">
        <v>12164</v>
      </c>
      <c r="B12165">
        <f>TEXT(12164, "[$-170000]yyyy-mm-dd")</f>
        <v/>
      </c>
      <c r="C12165">
        <f>TEXT(12164, "[$-060000]yyyy-mm-dd")</f>
        <v/>
      </c>
      <c r="D12165" t="inlineStr">
        <is>
          <t>1351-12-25</t>
        </is>
      </c>
    </row>
    <row r="12166">
      <c r="A12166" s="1" t="n">
        <v>12165</v>
      </c>
      <c r="B12166">
        <f>TEXT(12165, "[$-170000]yyyy-mm-dd")</f>
        <v/>
      </c>
      <c r="C12166">
        <f>TEXT(12165, "[$-060000]yyyy-mm-dd")</f>
        <v/>
      </c>
      <c r="D12166" t="inlineStr">
        <is>
          <t>1351-12-26</t>
        </is>
      </c>
    </row>
    <row r="12167">
      <c r="A12167" s="1" t="n">
        <v>12166</v>
      </c>
      <c r="B12167">
        <f>TEXT(12166, "[$-170000]yyyy-mm-dd")</f>
        <v/>
      </c>
      <c r="C12167">
        <f>TEXT(12166, "[$-060000]yyyy-mm-dd")</f>
        <v/>
      </c>
      <c r="D12167" t="inlineStr">
        <is>
          <t>1351-12-27</t>
        </is>
      </c>
    </row>
    <row r="12168">
      <c r="A12168" s="1" t="n">
        <v>12167</v>
      </c>
      <c r="B12168">
        <f>TEXT(12167, "[$-170000]yyyy-mm-dd")</f>
        <v/>
      </c>
      <c r="C12168">
        <f>TEXT(12167, "[$-060000]yyyy-mm-dd")</f>
        <v/>
      </c>
      <c r="D12168" t="inlineStr">
        <is>
          <t>1351-12-28</t>
        </is>
      </c>
    </row>
    <row r="12169">
      <c r="A12169" s="1" t="n">
        <v>12168</v>
      </c>
      <c r="B12169">
        <f>TEXT(12168, "[$-170000]yyyy-mm-dd")</f>
        <v/>
      </c>
      <c r="C12169">
        <f>TEXT(12168, "[$-060000]yyyy-mm-dd")</f>
        <v/>
      </c>
      <c r="D12169" t="inlineStr">
        <is>
          <t>1351-12-29</t>
        </is>
      </c>
    </row>
    <row r="12170">
      <c r="A12170" s="1" t="n">
        <v>12169</v>
      </c>
      <c r="B12170">
        <f>TEXT(12169, "[$-170000]yyyy-mm-dd")</f>
        <v/>
      </c>
      <c r="C12170">
        <f>TEXT(12169, "[$-060000]yyyy-mm-dd")</f>
        <v/>
      </c>
      <c r="D12170" t="inlineStr">
        <is>
          <t>1352-01-01</t>
        </is>
      </c>
    </row>
    <row r="12171">
      <c r="A12171" s="1" t="n">
        <v>12170</v>
      </c>
      <c r="B12171">
        <f>TEXT(12170, "[$-170000]yyyy-mm-dd")</f>
        <v/>
      </c>
      <c r="C12171">
        <f>TEXT(12170, "[$-060000]yyyy-mm-dd")</f>
        <v/>
      </c>
      <c r="D12171" t="inlineStr">
        <is>
          <t>1352-01-02</t>
        </is>
      </c>
    </row>
    <row r="12172">
      <c r="A12172" s="1" t="n">
        <v>12171</v>
      </c>
      <c r="B12172">
        <f>TEXT(12171, "[$-170000]yyyy-mm-dd")</f>
        <v/>
      </c>
      <c r="C12172">
        <f>TEXT(12171, "[$-060000]yyyy-mm-dd")</f>
        <v/>
      </c>
      <c r="D12172" t="inlineStr">
        <is>
          <t>1352-01-03</t>
        </is>
      </c>
    </row>
    <row r="12173">
      <c r="A12173" s="1" t="n">
        <v>12172</v>
      </c>
      <c r="B12173">
        <f>TEXT(12172, "[$-170000]yyyy-mm-dd")</f>
        <v/>
      </c>
      <c r="C12173">
        <f>TEXT(12172, "[$-060000]yyyy-mm-dd")</f>
        <v/>
      </c>
      <c r="D12173" t="inlineStr">
        <is>
          <t>1352-01-04</t>
        </is>
      </c>
    </row>
    <row r="12174">
      <c r="A12174" s="1" t="n">
        <v>12173</v>
      </c>
      <c r="B12174">
        <f>TEXT(12173, "[$-170000]yyyy-mm-dd")</f>
        <v/>
      </c>
      <c r="C12174">
        <f>TEXT(12173, "[$-060000]yyyy-mm-dd")</f>
        <v/>
      </c>
      <c r="D12174" t="inlineStr">
        <is>
          <t>1352-01-05</t>
        </is>
      </c>
    </row>
    <row r="12175">
      <c r="A12175" s="1" t="n">
        <v>12174</v>
      </c>
      <c r="B12175">
        <f>TEXT(12174, "[$-170000]yyyy-mm-dd")</f>
        <v/>
      </c>
      <c r="C12175">
        <f>TEXT(12174, "[$-060000]yyyy-mm-dd")</f>
        <v/>
      </c>
      <c r="D12175" t="inlineStr">
        <is>
          <t>1352-01-06</t>
        </is>
      </c>
    </row>
    <row r="12176">
      <c r="A12176" s="1" t="n">
        <v>12175</v>
      </c>
      <c r="B12176">
        <f>TEXT(12175, "[$-170000]yyyy-mm-dd")</f>
        <v/>
      </c>
      <c r="C12176">
        <f>TEXT(12175, "[$-060000]yyyy-mm-dd")</f>
        <v/>
      </c>
      <c r="D12176" t="inlineStr">
        <is>
          <t>1352-01-07</t>
        </is>
      </c>
    </row>
    <row r="12177">
      <c r="A12177" s="1" t="n">
        <v>12176</v>
      </c>
      <c r="B12177">
        <f>TEXT(12176, "[$-170000]yyyy-mm-dd")</f>
        <v/>
      </c>
      <c r="C12177">
        <f>TEXT(12176, "[$-060000]yyyy-mm-dd")</f>
        <v/>
      </c>
      <c r="D12177" t="inlineStr">
        <is>
          <t>1352-01-08</t>
        </is>
      </c>
    </row>
    <row r="12178">
      <c r="A12178" s="1" t="n">
        <v>12177</v>
      </c>
      <c r="B12178">
        <f>TEXT(12177, "[$-170000]yyyy-mm-dd")</f>
        <v/>
      </c>
      <c r="C12178">
        <f>TEXT(12177, "[$-060000]yyyy-mm-dd")</f>
        <v/>
      </c>
      <c r="D12178" t="inlineStr">
        <is>
          <t>1352-01-09</t>
        </is>
      </c>
    </row>
    <row r="12179">
      <c r="A12179" s="1" t="n">
        <v>12178</v>
      </c>
      <c r="B12179">
        <f>TEXT(12178, "[$-170000]yyyy-mm-dd")</f>
        <v/>
      </c>
      <c r="C12179">
        <f>TEXT(12178, "[$-060000]yyyy-mm-dd")</f>
        <v/>
      </c>
      <c r="D12179" t="inlineStr">
        <is>
          <t>1352-01-10</t>
        </is>
      </c>
    </row>
    <row r="12180">
      <c r="A12180" s="1" t="n">
        <v>12179</v>
      </c>
      <c r="B12180">
        <f>TEXT(12179, "[$-170000]yyyy-mm-dd")</f>
        <v/>
      </c>
      <c r="C12180">
        <f>TEXT(12179, "[$-060000]yyyy-mm-dd")</f>
        <v/>
      </c>
      <c r="D12180" t="inlineStr">
        <is>
          <t>1352-01-11</t>
        </is>
      </c>
    </row>
    <row r="12181">
      <c r="A12181" s="1" t="n">
        <v>12180</v>
      </c>
      <c r="B12181">
        <f>TEXT(12180, "[$-170000]yyyy-mm-dd")</f>
        <v/>
      </c>
      <c r="C12181">
        <f>TEXT(12180, "[$-060000]yyyy-mm-dd")</f>
        <v/>
      </c>
      <c r="D12181" t="inlineStr">
        <is>
          <t>1352-01-12</t>
        </is>
      </c>
    </row>
    <row r="12182">
      <c r="A12182" s="1" t="n">
        <v>12181</v>
      </c>
      <c r="B12182">
        <f>TEXT(12181, "[$-170000]yyyy-mm-dd")</f>
        <v/>
      </c>
      <c r="C12182">
        <f>TEXT(12181, "[$-060000]yyyy-mm-dd")</f>
        <v/>
      </c>
      <c r="D12182" t="inlineStr">
        <is>
          <t>1352-01-13</t>
        </is>
      </c>
    </row>
    <row r="12183">
      <c r="A12183" s="1" t="n">
        <v>12182</v>
      </c>
      <c r="B12183">
        <f>TEXT(12182, "[$-170000]yyyy-mm-dd")</f>
        <v/>
      </c>
      <c r="C12183">
        <f>TEXT(12182, "[$-060000]yyyy-mm-dd")</f>
        <v/>
      </c>
      <c r="D12183" t="inlineStr">
        <is>
          <t>1352-01-14</t>
        </is>
      </c>
    </row>
    <row r="12184">
      <c r="A12184" s="1" t="n">
        <v>12183</v>
      </c>
      <c r="B12184">
        <f>TEXT(12183, "[$-170000]yyyy-mm-dd")</f>
        <v/>
      </c>
      <c r="C12184">
        <f>TEXT(12183, "[$-060000]yyyy-mm-dd")</f>
        <v/>
      </c>
      <c r="D12184" t="inlineStr">
        <is>
          <t>1352-01-15</t>
        </is>
      </c>
    </row>
    <row r="12185">
      <c r="A12185" s="1" t="n">
        <v>12184</v>
      </c>
      <c r="B12185">
        <f>TEXT(12184, "[$-170000]yyyy-mm-dd")</f>
        <v/>
      </c>
      <c r="C12185">
        <f>TEXT(12184, "[$-060000]yyyy-mm-dd")</f>
        <v/>
      </c>
      <c r="D12185" t="inlineStr">
        <is>
          <t>1352-01-16</t>
        </is>
      </c>
    </row>
    <row r="12186">
      <c r="A12186" s="1" t="n">
        <v>12185</v>
      </c>
      <c r="B12186">
        <f>TEXT(12185, "[$-170000]yyyy-mm-dd")</f>
        <v/>
      </c>
      <c r="C12186">
        <f>TEXT(12185, "[$-060000]yyyy-mm-dd")</f>
        <v/>
      </c>
      <c r="D12186" t="inlineStr">
        <is>
          <t>1352-01-17</t>
        </is>
      </c>
    </row>
    <row r="12187">
      <c r="A12187" s="1" t="n">
        <v>12186</v>
      </c>
      <c r="B12187">
        <f>TEXT(12186, "[$-170000]yyyy-mm-dd")</f>
        <v/>
      </c>
      <c r="C12187">
        <f>TEXT(12186, "[$-060000]yyyy-mm-dd")</f>
        <v/>
      </c>
      <c r="D12187" t="inlineStr">
        <is>
          <t>1352-01-18</t>
        </is>
      </c>
    </row>
    <row r="12188">
      <c r="A12188" s="1" t="n">
        <v>12187</v>
      </c>
      <c r="B12188">
        <f>TEXT(12187, "[$-170000]yyyy-mm-dd")</f>
        <v/>
      </c>
      <c r="C12188">
        <f>TEXT(12187, "[$-060000]yyyy-mm-dd")</f>
        <v/>
      </c>
      <c r="D12188" t="inlineStr">
        <is>
          <t>1352-01-19</t>
        </is>
      </c>
    </row>
    <row r="12189">
      <c r="A12189" s="1" t="n">
        <v>12188</v>
      </c>
      <c r="B12189">
        <f>TEXT(12188, "[$-170000]yyyy-mm-dd")</f>
        <v/>
      </c>
      <c r="C12189">
        <f>TEXT(12188, "[$-060000]yyyy-mm-dd")</f>
        <v/>
      </c>
      <c r="D12189" t="inlineStr">
        <is>
          <t>1352-01-20</t>
        </is>
      </c>
    </row>
    <row r="12190">
      <c r="A12190" s="1" t="n">
        <v>12189</v>
      </c>
      <c r="B12190">
        <f>TEXT(12189, "[$-170000]yyyy-mm-dd")</f>
        <v/>
      </c>
      <c r="C12190">
        <f>TEXT(12189, "[$-060000]yyyy-mm-dd")</f>
        <v/>
      </c>
      <c r="D12190" t="inlineStr">
        <is>
          <t>1352-01-21</t>
        </is>
      </c>
    </row>
    <row r="12191">
      <c r="A12191" s="1" t="n">
        <v>12190</v>
      </c>
      <c r="B12191">
        <f>TEXT(12190, "[$-170000]yyyy-mm-dd")</f>
        <v/>
      </c>
      <c r="C12191">
        <f>TEXT(12190, "[$-060000]yyyy-mm-dd")</f>
        <v/>
      </c>
      <c r="D12191" t="inlineStr">
        <is>
          <t>1352-01-22</t>
        </is>
      </c>
    </row>
    <row r="12192">
      <c r="A12192" s="1" t="n">
        <v>12191</v>
      </c>
      <c r="B12192">
        <f>TEXT(12191, "[$-170000]yyyy-mm-dd")</f>
        <v/>
      </c>
      <c r="C12192">
        <f>TEXT(12191, "[$-060000]yyyy-mm-dd")</f>
        <v/>
      </c>
      <c r="D12192" t="inlineStr">
        <is>
          <t>1352-01-23</t>
        </is>
      </c>
    </row>
    <row r="12193">
      <c r="A12193" s="1" t="n">
        <v>12192</v>
      </c>
      <c r="B12193">
        <f>TEXT(12192, "[$-170000]yyyy-mm-dd")</f>
        <v/>
      </c>
      <c r="C12193">
        <f>TEXT(12192, "[$-060000]yyyy-mm-dd")</f>
        <v/>
      </c>
      <c r="D12193" t="inlineStr">
        <is>
          <t>1352-01-24</t>
        </is>
      </c>
    </row>
    <row r="12194">
      <c r="A12194" s="1" t="n">
        <v>12193</v>
      </c>
      <c r="B12194">
        <f>TEXT(12193, "[$-170000]yyyy-mm-dd")</f>
        <v/>
      </c>
      <c r="C12194">
        <f>TEXT(12193, "[$-060000]yyyy-mm-dd")</f>
        <v/>
      </c>
      <c r="D12194" t="inlineStr">
        <is>
          <t>1352-01-25</t>
        </is>
      </c>
    </row>
    <row r="12195">
      <c r="A12195" s="1" t="n">
        <v>12194</v>
      </c>
      <c r="B12195">
        <f>TEXT(12194, "[$-170000]yyyy-mm-dd")</f>
        <v/>
      </c>
      <c r="C12195">
        <f>TEXT(12194, "[$-060000]yyyy-mm-dd")</f>
        <v/>
      </c>
      <c r="D12195" t="inlineStr">
        <is>
          <t>1352-01-26</t>
        </is>
      </c>
    </row>
    <row r="12196">
      <c r="A12196" s="1" t="n">
        <v>12195</v>
      </c>
      <c r="B12196">
        <f>TEXT(12195, "[$-170000]yyyy-mm-dd")</f>
        <v/>
      </c>
      <c r="C12196">
        <f>TEXT(12195, "[$-060000]yyyy-mm-dd")</f>
        <v/>
      </c>
      <c r="D12196" t="inlineStr">
        <is>
          <t>1352-01-27</t>
        </is>
      </c>
    </row>
    <row r="12197">
      <c r="A12197" s="1" t="n">
        <v>12196</v>
      </c>
      <c r="B12197">
        <f>TEXT(12196, "[$-170000]yyyy-mm-dd")</f>
        <v/>
      </c>
      <c r="C12197">
        <f>TEXT(12196, "[$-060000]yyyy-mm-dd")</f>
        <v/>
      </c>
      <c r="D12197" t="inlineStr">
        <is>
          <t>1352-01-28</t>
        </is>
      </c>
    </row>
    <row r="12198">
      <c r="A12198" s="1" t="n">
        <v>12197</v>
      </c>
      <c r="B12198">
        <f>TEXT(12197, "[$-170000]yyyy-mm-dd")</f>
        <v/>
      </c>
      <c r="C12198">
        <f>TEXT(12197, "[$-060000]yyyy-mm-dd")</f>
        <v/>
      </c>
      <c r="D12198" t="inlineStr">
        <is>
          <t>1352-01-29</t>
        </is>
      </c>
    </row>
    <row r="12199">
      <c r="A12199" s="1" t="n">
        <v>12198</v>
      </c>
      <c r="B12199">
        <f>TEXT(12198, "[$-170000]yyyy-mm-dd")</f>
        <v/>
      </c>
      <c r="C12199">
        <f>TEXT(12198, "[$-060000]yyyy-mm-dd")</f>
        <v/>
      </c>
      <c r="D12199" t="inlineStr">
        <is>
          <t>1352-01-30</t>
        </is>
      </c>
    </row>
    <row r="12200">
      <c r="A12200" s="1" t="n">
        <v>12199</v>
      </c>
      <c r="B12200">
        <f>TEXT(12199, "[$-170000]yyyy-mm-dd")</f>
        <v/>
      </c>
      <c r="C12200">
        <f>TEXT(12199, "[$-060000]yyyy-mm-dd")</f>
        <v/>
      </c>
      <c r="D12200" t="inlineStr">
        <is>
          <t>1352-02-01</t>
        </is>
      </c>
    </row>
    <row r="12201">
      <c r="A12201" s="1" t="n">
        <v>12200</v>
      </c>
      <c r="B12201">
        <f>TEXT(12200, "[$-170000]yyyy-mm-dd")</f>
        <v/>
      </c>
      <c r="C12201">
        <f>TEXT(12200, "[$-060000]yyyy-mm-dd")</f>
        <v/>
      </c>
      <c r="D12201" t="inlineStr">
        <is>
          <t>1352-02-02</t>
        </is>
      </c>
    </row>
    <row r="12202">
      <c r="A12202" s="1" t="n">
        <v>12201</v>
      </c>
      <c r="B12202">
        <f>TEXT(12201, "[$-170000]yyyy-mm-dd")</f>
        <v/>
      </c>
      <c r="C12202">
        <f>TEXT(12201, "[$-060000]yyyy-mm-dd")</f>
        <v/>
      </c>
      <c r="D12202" t="inlineStr">
        <is>
          <t>1352-02-03</t>
        </is>
      </c>
    </row>
    <row r="12203">
      <c r="A12203" s="1" t="n">
        <v>12202</v>
      </c>
      <c r="B12203">
        <f>TEXT(12202, "[$-170000]yyyy-mm-dd")</f>
        <v/>
      </c>
      <c r="C12203">
        <f>TEXT(12202, "[$-060000]yyyy-mm-dd")</f>
        <v/>
      </c>
      <c r="D12203" t="inlineStr">
        <is>
          <t>1352-02-04</t>
        </is>
      </c>
    </row>
    <row r="12204">
      <c r="A12204" s="1" t="n">
        <v>12203</v>
      </c>
      <c r="B12204">
        <f>TEXT(12203, "[$-170000]yyyy-mm-dd")</f>
        <v/>
      </c>
      <c r="C12204">
        <f>TEXT(12203, "[$-060000]yyyy-mm-dd")</f>
        <v/>
      </c>
      <c r="D12204" t="inlineStr">
        <is>
          <t>1352-02-05</t>
        </is>
      </c>
    </row>
    <row r="12205">
      <c r="A12205" s="1" t="n">
        <v>12204</v>
      </c>
      <c r="B12205">
        <f>TEXT(12204, "[$-170000]yyyy-mm-dd")</f>
        <v/>
      </c>
      <c r="C12205">
        <f>TEXT(12204, "[$-060000]yyyy-mm-dd")</f>
        <v/>
      </c>
      <c r="D12205" t="inlineStr">
        <is>
          <t>1352-02-06</t>
        </is>
      </c>
    </row>
    <row r="12206">
      <c r="A12206" s="1" t="n">
        <v>12205</v>
      </c>
      <c r="B12206">
        <f>TEXT(12205, "[$-170000]yyyy-mm-dd")</f>
        <v/>
      </c>
      <c r="C12206">
        <f>TEXT(12205, "[$-060000]yyyy-mm-dd")</f>
        <v/>
      </c>
      <c r="D12206" t="inlineStr">
        <is>
          <t>1352-02-07</t>
        </is>
      </c>
    </row>
    <row r="12207">
      <c r="A12207" s="1" t="n">
        <v>12206</v>
      </c>
      <c r="B12207">
        <f>TEXT(12206, "[$-170000]yyyy-mm-dd")</f>
        <v/>
      </c>
      <c r="C12207">
        <f>TEXT(12206, "[$-060000]yyyy-mm-dd")</f>
        <v/>
      </c>
      <c r="D12207" t="inlineStr">
        <is>
          <t>1352-02-08</t>
        </is>
      </c>
    </row>
    <row r="12208">
      <c r="A12208" s="1" t="n">
        <v>12207</v>
      </c>
      <c r="B12208">
        <f>TEXT(12207, "[$-170000]yyyy-mm-dd")</f>
        <v/>
      </c>
      <c r="C12208">
        <f>TEXT(12207, "[$-060000]yyyy-mm-dd")</f>
        <v/>
      </c>
      <c r="D12208" t="inlineStr">
        <is>
          <t>1352-02-09</t>
        </is>
      </c>
    </row>
    <row r="12209">
      <c r="A12209" s="1" t="n">
        <v>12208</v>
      </c>
      <c r="B12209">
        <f>TEXT(12208, "[$-170000]yyyy-mm-dd")</f>
        <v/>
      </c>
      <c r="C12209">
        <f>TEXT(12208, "[$-060000]yyyy-mm-dd")</f>
        <v/>
      </c>
      <c r="D12209" t="inlineStr">
        <is>
          <t>1352-02-10</t>
        </is>
      </c>
    </row>
    <row r="12210">
      <c r="A12210" s="1" t="n">
        <v>12209</v>
      </c>
      <c r="B12210">
        <f>TEXT(12209, "[$-170000]yyyy-mm-dd")</f>
        <v/>
      </c>
      <c r="C12210">
        <f>TEXT(12209, "[$-060000]yyyy-mm-dd")</f>
        <v/>
      </c>
      <c r="D12210" t="inlineStr">
        <is>
          <t>1352-02-11</t>
        </is>
      </c>
    </row>
    <row r="12211">
      <c r="A12211" s="1" t="n">
        <v>12210</v>
      </c>
      <c r="B12211">
        <f>TEXT(12210, "[$-170000]yyyy-mm-dd")</f>
        <v/>
      </c>
      <c r="C12211">
        <f>TEXT(12210, "[$-060000]yyyy-mm-dd")</f>
        <v/>
      </c>
      <c r="D12211" t="inlineStr">
        <is>
          <t>1352-02-12</t>
        </is>
      </c>
    </row>
    <row r="12212">
      <c r="A12212" s="1" t="n">
        <v>12211</v>
      </c>
      <c r="B12212">
        <f>TEXT(12211, "[$-170000]yyyy-mm-dd")</f>
        <v/>
      </c>
      <c r="C12212">
        <f>TEXT(12211, "[$-060000]yyyy-mm-dd")</f>
        <v/>
      </c>
      <c r="D12212" t="inlineStr">
        <is>
          <t>1352-02-13</t>
        </is>
      </c>
    </row>
    <row r="12213">
      <c r="A12213" s="1" t="n">
        <v>12212</v>
      </c>
      <c r="B12213">
        <f>TEXT(12212, "[$-170000]yyyy-mm-dd")</f>
        <v/>
      </c>
      <c r="C12213">
        <f>TEXT(12212, "[$-060000]yyyy-mm-dd")</f>
        <v/>
      </c>
      <c r="D12213" t="inlineStr">
        <is>
          <t>1352-02-14</t>
        </is>
      </c>
    </row>
    <row r="12214">
      <c r="A12214" s="1" t="n">
        <v>12213</v>
      </c>
      <c r="B12214">
        <f>TEXT(12213, "[$-170000]yyyy-mm-dd")</f>
        <v/>
      </c>
      <c r="C12214">
        <f>TEXT(12213, "[$-060000]yyyy-mm-dd")</f>
        <v/>
      </c>
      <c r="D12214" t="inlineStr">
        <is>
          <t>1352-02-15</t>
        </is>
      </c>
    </row>
    <row r="12215">
      <c r="A12215" s="1" t="n">
        <v>12214</v>
      </c>
      <c r="B12215">
        <f>TEXT(12214, "[$-170000]yyyy-mm-dd")</f>
        <v/>
      </c>
      <c r="C12215">
        <f>TEXT(12214, "[$-060000]yyyy-mm-dd")</f>
        <v/>
      </c>
      <c r="D12215" t="inlineStr">
        <is>
          <t>1352-02-16</t>
        </is>
      </c>
    </row>
    <row r="12216">
      <c r="A12216" s="1" t="n">
        <v>12215</v>
      </c>
      <c r="B12216">
        <f>TEXT(12215, "[$-170000]yyyy-mm-dd")</f>
        <v/>
      </c>
      <c r="C12216">
        <f>TEXT(12215, "[$-060000]yyyy-mm-dd")</f>
        <v/>
      </c>
      <c r="D12216" t="inlineStr">
        <is>
          <t>1352-02-17</t>
        </is>
      </c>
    </row>
    <row r="12217">
      <c r="A12217" s="1" t="n">
        <v>12216</v>
      </c>
      <c r="B12217">
        <f>TEXT(12216, "[$-170000]yyyy-mm-dd")</f>
        <v/>
      </c>
      <c r="C12217">
        <f>TEXT(12216, "[$-060000]yyyy-mm-dd")</f>
        <v/>
      </c>
      <c r="D12217" t="inlineStr">
        <is>
          <t>1352-02-18</t>
        </is>
      </c>
    </row>
    <row r="12218">
      <c r="A12218" s="1" t="n">
        <v>12217</v>
      </c>
      <c r="B12218">
        <f>TEXT(12217, "[$-170000]yyyy-mm-dd")</f>
        <v/>
      </c>
      <c r="C12218">
        <f>TEXT(12217, "[$-060000]yyyy-mm-dd")</f>
        <v/>
      </c>
      <c r="D12218" t="inlineStr">
        <is>
          <t>1352-02-19</t>
        </is>
      </c>
    </row>
    <row r="12219">
      <c r="A12219" s="1" t="n">
        <v>12218</v>
      </c>
      <c r="B12219">
        <f>TEXT(12218, "[$-170000]yyyy-mm-dd")</f>
        <v/>
      </c>
      <c r="C12219">
        <f>TEXT(12218, "[$-060000]yyyy-mm-dd")</f>
        <v/>
      </c>
      <c r="D12219" t="inlineStr">
        <is>
          <t>1352-02-20</t>
        </is>
      </c>
    </row>
    <row r="12220">
      <c r="A12220" s="1" t="n">
        <v>12219</v>
      </c>
      <c r="B12220">
        <f>TEXT(12219, "[$-170000]yyyy-mm-dd")</f>
        <v/>
      </c>
      <c r="C12220">
        <f>TEXT(12219, "[$-060000]yyyy-mm-dd")</f>
        <v/>
      </c>
      <c r="D12220" t="inlineStr">
        <is>
          <t>1352-02-21</t>
        </is>
      </c>
    </row>
    <row r="12221">
      <c r="A12221" s="1" t="n">
        <v>12220</v>
      </c>
      <c r="B12221">
        <f>TEXT(12220, "[$-170000]yyyy-mm-dd")</f>
        <v/>
      </c>
      <c r="C12221">
        <f>TEXT(12220, "[$-060000]yyyy-mm-dd")</f>
        <v/>
      </c>
      <c r="D12221" t="inlineStr">
        <is>
          <t>1352-02-22</t>
        </is>
      </c>
    </row>
    <row r="12222">
      <c r="A12222" s="1" t="n">
        <v>12221</v>
      </c>
      <c r="B12222">
        <f>TEXT(12221, "[$-170000]yyyy-mm-dd")</f>
        <v/>
      </c>
      <c r="C12222">
        <f>TEXT(12221, "[$-060000]yyyy-mm-dd")</f>
        <v/>
      </c>
      <c r="D12222" t="inlineStr">
        <is>
          <t>1352-02-23</t>
        </is>
      </c>
    </row>
    <row r="12223">
      <c r="A12223" s="1" t="n">
        <v>12222</v>
      </c>
      <c r="B12223">
        <f>TEXT(12222, "[$-170000]yyyy-mm-dd")</f>
        <v/>
      </c>
      <c r="C12223">
        <f>TEXT(12222, "[$-060000]yyyy-mm-dd")</f>
        <v/>
      </c>
      <c r="D12223" t="inlineStr">
        <is>
          <t>1352-02-24</t>
        </is>
      </c>
    </row>
    <row r="12224">
      <c r="A12224" s="1" t="n">
        <v>12223</v>
      </c>
      <c r="B12224">
        <f>TEXT(12223, "[$-170000]yyyy-mm-dd")</f>
        <v/>
      </c>
      <c r="C12224">
        <f>TEXT(12223, "[$-060000]yyyy-mm-dd")</f>
        <v/>
      </c>
      <c r="D12224" t="inlineStr">
        <is>
          <t>1352-02-25</t>
        </is>
      </c>
    </row>
    <row r="12225">
      <c r="A12225" s="1" t="n">
        <v>12224</v>
      </c>
      <c r="B12225">
        <f>TEXT(12224, "[$-170000]yyyy-mm-dd")</f>
        <v/>
      </c>
      <c r="C12225">
        <f>TEXT(12224, "[$-060000]yyyy-mm-dd")</f>
        <v/>
      </c>
      <c r="D12225" t="inlineStr">
        <is>
          <t>1352-02-26</t>
        </is>
      </c>
    </row>
    <row r="12226">
      <c r="A12226" s="1" t="n">
        <v>12225</v>
      </c>
      <c r="B12226">
        <f>TEXT(12225, "[$-170000]yyyy-mm-dd")</f>
        <v/>
      </c>
      <c r="C12226">
        <f>TEXT(12225, "[$-060000]yyyy-mm-dd")</f>
        <v/>
      </c>
      <c r="D12226" t="inlineStr">
        <is>
          <t>1352-02-27</t>
        </is>
      </c>
    </row>
    <row r="12227">
      <c r="A12227" s="1" t="n">
        <v>12226</v>
      </c>
      <c r="B12227">
        <f>TEXT(12226, "[$-170000]yyyy-mm-dd")</f>
        <v/>
      </c>
      <c r="C12227">
        <f>TEXT(12226, "[$-060000]yyyy-mm-dd")</f>
        <v/>
      </c>
      <c r="D12227" t="inlineStr">
        <is>
          <t>1352-02-28</t>
        </is>
      </c>
    </row>
    <row r="12228">
      <c r="A12228" s="1" t="n">
        <v>12227</v>
      </c>
      <c r="B12228">
        <f>TEXT(12227, "[$-170000]yyyy-mm-dd")</f>
        <v/>
      </c>
      <c r="C12228">
        <f>TEXT(12227, "[$-060000]yyyy-mm-dd")</f>
        <v/>
      </c>
      <c r="D12228" t="inlineStr">
        <is>
          <t>1352-02-29</t>
        </is>
      </c>
    </row>
    <row r="12229">
      <c r="A12229" s="1" t="n">
        <v>12228</v>
      </c>
      <c r="B12229">
        <f>TEXT(12228, "[$-170000]yyyy-mm-dd")</f>
        <v/>
      </c>
      <c r="C12229">
        <f>TEXT(12228, "[$-060000]yyyy-mm-dd")</f>
        <v/>
      </c>
      <c r="D12229" t="inlineStr">
        <is>
          <t>1352-03-01</t>
        </is>
      </c>
    </row>
    <row r="12230">
      <c r="A12230" s="1" t="n">
        <v>12229</v>
      </c>
      <c r="B12230">
        <f>TEXT(12229, "[$-170000]yyyy-mm-dd")</f>
        <v/>
      </c>
      <c r="C12230">
        <f>TEXT(12229, "[$-060000]yyyy-mm-dd")</f>
        <v/>
      </c>
      <c r="D12230" t="inlineStr">
        <is>
          <t>1352-03-02</t>
        </is>
      </c>
    </row>
    <row r="12231">
      <c r="A12231" s="1" t="n">
        <v>12230</v>
      </c>
      <c r="B12231">
        <f>TEXT(12230, "[$-170000]yyyy-mm-dd")</f>
        <v/>
      </c>
      <c r="C12231">
        <f>TEXT(12230, "[$-060000]yyyy-mm-dd")</f>
        <v/>
      </c>
      <c r="D12231" t="inlineStr">
        <is>
          <t>1352-03-03</t>
        </is>
      </c>
    </row>
    <row r="12232">
      <c r="A12232" s="1" t="n">
        <v>12231</v>
      </c>
      <c r="B12232">
        <f>TEXT(12231, "[$-170000]yyyy-mm-dd")</f>
        <v/>
      </c>
      <c r="C12232">
        <f>TEXT(12231, "[$-060000]yyyy-mm-dd")</f>
        <v/>
      </c>
      <c r="D12232" t="inlineStr">
        <is>
          <t>1352-03-04</t>
        </is>
      </c>
    </row>
    <row r="12233">
      <c r="A12233" s="1" t="n">
        <v>12232</v>
      </c>
      <c r="B12233">
        <f>TEXT(12232, "[$-170000]yyyy-mm-dd")</f>
        <v/>
      </c>
      <c r="C12233">
        <f>TEXT(12232, "[$-060000]yyyy-mm-dd")</f>
        <v/>
      </c>
      <c r="D12233" t="inlineStr">
        <is>
          <t>1352-03-05</t>
        </is>
      </c>
    </row>
    <row r="12234">
      <c r="A12234" s="1" t="n">
        <v>12233</v>
      </c>
      <c r="B12234">
        <f>TEXT(12233, "[$-170000]yyyy-mm-dd")</f>
        <v/>
      </c>
      <c r="C12234">
        <f>TEXT(12233, "[$-060000]yyyy-mm-dd")</f>
        <v/>
      </c>
      <c r="D12234" t="inlineStr">
        <is>
          <t>1352-03-06</t>
        </is>
      </c>
    </row>
    <row r="12235">
      <c r="A12235" s="1" t="n">
        <v>12234</v>
      </c>
      <c r="B12235">
        <f>TEXT(12234, "[$-170000]yyyy-mm-dd")</f>
        <v/>
      </c>
      <c r="C12235">
        <f>TEXT(12234, "[$-060000]yyyy-mm-dd")</f>
        <v/>
      </c>
      <c r="D12235" t="inlineStr">
        <is>
          <t>1352-03-07</t>
        </is>
      </c>
    </row>
    <row r="12236">
      <c r="A12236" s="1" t="n">
        <v>12235</v>
      </c>
      <c r="B12236">
        <f>TEXT(12235, "[$-170000]yyyy-mm-dd")</f>
        <v/>
      </c>
      <c r="C12236">
        <f>TEXT(12235, "[$-060000]yyyy-mm-dd")</f>
        <v/>
      </c>
      <c r="D12236" t="inlineStr">
        <is>
          <t>1352-03-08</t>
        </is>
      </c>
    </row>
    <row r="12237">
      <c r="A12237" s="1" t="n">
        <v>12236</v>
      </c>
      <c r="B12237">
        <f>TEXT(12236, "[$-170000]yyyy-mm-dd")</f>
        <v/>
      </c>
      <c r="C12237">
        <f>TEXT(12236, "[$-060000]yyyy-mm-dd")</f>
        <v/>
      </c>
      <c r="D12237" t="inlineStr">
        <is>
          <t>1352-03-09</t>
        </is>
      </c>
    </row>
    <row r="12238">
      <c r="A12238" s="1" t="n">
        <v>12237</v>
      </c>
      <c r="B12238">
        <f>TEXT(12237, "[$-170000]yyyy-mm-dd")</f>
        <v/>
      </c>
      <c r="C12238">
        <f>TEXT(12237, "[$-060000]yyyy-mm-dd")</f>
        <v/>
      </c>
      <c r="D12238" t="inlineStr">
        <is>
          <t>1352-03-10</t>
        </is>
      </c>
    </row>
    <row r="12239">
      <c r="A12239" s="1" t="n">
        <v>12238</v>
      </c>
      <c r="B12239">
        <f>TEXT(12238, "[$-170000]yyyy-mm-dd")</f>
        <v/>
      </c>
      <c r="C12239">
        <f>TEXT(12238, "[$-060000]yyyy-mm-dd")</f>
        <v/>
      </c>
      <c r="D12239" t="inlineStr">
        <is>
          <t>1352-03-11</t>
        </is>
      </c>
    </row>
    <row r="12240">
      <c r="A12240" s="1" t="n">
        <v>12239</v>
      </c>
      <c r="B12240">
        <f>TEXT(12239, "[$-170000]yyyy-mm-dd")</f>
        <v/>
      </c>
      <c r="C12240">
        <f>TEXT(12239, "[$-060000]yyyy-mm-dd")</f>
        <v/>
      </c>
      <c r="D12240" t="inlineStr">
        <is>
          <t>1352-03-12</t>
        </is>
      </c>
    </row>
    <row r="12241">
      <c r="A12241" s="1" t="n">
        <v>12240</v>
      </c>
      <c r="B12241">
        <f>TEXT(12240, "[$-170000]yyyy-mm-dd")</f>
        <v/>
      </c>
      <c r="C12241">
        <f>TEXT(12240, "[$-060000]yyyy-mm-dd")</f>
        <v/>
      </c>
      <c r="D12241" t="inlineStr">
        <is>
          <t>1352-03-13</t>
        </is>
      </c>
    </row>
    <row r="12242">
      <c r="A12242" s="1" t="n">
        <v>12241</v>
      </c>
      <c r="B12242">
        <f>TEXT(12241, "[$-170000]yyyy-mm-dd")</f>
        <v/>
      </c>
      <c r="C12242">
        <f>TEXT(12241, "[$-060000]yyyy-mm-dd")</f>
        <v/>
      </c>
      <c r="D12242" t="inlineStr">
        <is>
          <t>1352-03-14</t>
        </is>
      </c>
    </row>
    <row r="12243">
      <c r="A12243" s="1" t="n">
        <v>12242</v>
      </c>
      <c r="B12243">
        <f>TEXT(12242, "[$-170000]yyyy-mm-dd")</f>
        <v/>
      </c>
      <c r="C12243">
        <f>TEXT(12242, "[$-060000]yyyy-mm-dd")</f>
        <v/>
      </c>
      <c r="D12243" t="inlineStr">
        <is>
          <t>1352-03-15</t>
        </is>
      </c>
    </row>
    <row r="12244">
      <c r="A12244" s="1" t="n">
        <v>12243</v>
      </c>
      <c r="B12244">
        <f>TEXT(12243, "[$-170000]yyyy-mm-dd")</f>
        <v/>
      </c>
      <c r="C12244">
        <f>TEXT(12243, "[$-060000]yyyy-mm-dd")</f>
        <v/>
      </c>
      <c r="D12244" t="inlineStr">
        <is>
          <t>1352-03-16</t>
        </is>
      </c>
    </row>
    <row r="12245">
      <c r="A12245" s="1" t="n">
        <v>12244</v>
      </c>
      <c r="B12245">
        <f>TEXT(12244, "[$-170000]yyyy-mm-dd")</f>
        <v/>
      </c>
      <c r="C12245">
        <f>TEXT(12244, "[$-060000]yyyy-mm-dd")</f>
        <v/>
      </c>
      <c r="D12245" t="inlineStr">
        <is>
          <t>1352-03-17</t>
        </is>
      </c>
    </row>
    <row r="12246">
      <c r="A12246" s="1" t="n">
        <v>12245</v>
      </c>
      <c r="B12246">
        <f>TEXT(12245, "[$-170000]yyyy-mm-dd")</f>
        <v/>
      </c>
      <c r="C12246">
        <f>TEXT(12245, "[$-060000]yyyy-mm-dd")</f>
        <v/>
      </c>
      <c r="D12246" t="inlineStr">
        <is>
          <t>1352-03-18</t>
        </is>
      </c>
    </row>
    <row r="12247">
      <c r="A12247" s="1" t="n">
        <v>12246</v>
      </c>
      <c r="B12247">
        <f>TEXT(12246, "[$-170000]yyyy-mm-dd")</f>
        <v/>
      </c>
      <c r="C12247">
        <f>TEXT(12246, "[$-060000]yyyy-mm-dd")</f>
        <v/>
      </c>
      <c r="D12247" t="inlineStr">
        <is>
          <t>1352-03-19</t>
        </is>
      </c>
    </row>
    <row r="12248">
      <c r="A12248" s="1" t="n">
        <v>12247</v>
      </c>
      <c r="B12248">
        <f>TEXT(12247, "[$-170000]yyyy-mm-dd")</f>
        <v/>
      </c>
      <c r="C12248">
        <f>TEXT(12247, "[$-060000]yyyy-mm-dd")</f>
        <v/>
      </c>
      <c r="D12248" t="inlineStr">
        <is>
          <t>1352-03-20</t>
        </is>
      </c>
    </row>
    <row r="12249">
      <c r="A12249" s="1" t="n">
        <v>12248</v>
      </c>
      <c r="B12249">
        <f>TEXT(12248, "[$-170000]yyyy-mm-dd")</f>
        <v/>
      </c>
      <c r="C12249">
        <f>TEXT(12248, "[$-060000]yyyy-mm-dd")</f>
        <v/>
      </c>
      <c r="D12249" t="inlineStr">
        <is>
          <t>1352-03-21</t>
        </is>
      </c>
    </row>
    <row r="12250">
      <c r="A12250" s="1" t="n">
        <v>12249</v>
      </c>
      <c r="B12250">
        <f>TEXT(12249, "[$-170000]yyyy-mm-dd")</f>
        <v/>
      </c>
      <c r="C12250">
        <f>TEXT(12249, "[$-060000]yyyy-mm-dd")</f>
        <v/>
      </c>
      <c r="D12250" t="inlineStr">
        <is>
          <t>1352-03-22</t>
        </is>
      </c>
    </row>
    <row r="12251">
      <c r="A12251" s="1" t="n">
        <v>12250</v>
      </c>
      <c r="B12251">
        <f>TEXT(12250, "[$-170000]yyyy-mm-dd")</f>
        <v/>
      </c>
      <c r="C12251">
        <f>TEXT(12250, "[$-060000]yyyy-mm-dd")</f>
        <v/>
      </c>
      <c r="D12251" t="inlineStr">
        <is>
          <t>1352-03-23</t>
        </is>
      </c>
    </row>
    <row r="12252">
      <c r="A12252" s="1" t="n">
        <v>12251</v>
      </c>
      <c r="B12252">
        <f>TEXT(12251, "[$-170000]yyyy-mm-dd")</f>
        <v/>
      </c>
      <c r="C12252">
        <f>TEXT(12251, "[$-060000]yyyy-mm-dd")</f>
        <v/>
      </c>
      <c r="D12252" t="inlineStr">
        <is>
          <t>1352-03-24</t>
        </is>
      </c>
    </row>
    <row r="12253">
      <c r="A12253" s="1" t="n">
        <v>12252</v>
      </c>
      <c r="B12253">
        <f>TEXT(12252, "[$-170000]yyyy-mm-dd")</f>
        <v/>
      </c>
      <c r="C12253">
        <f>TEXT(12252, "[$-060000]yyyy-mm-dd")</f>
        <v/>
      </c>
      <c r="D12253" t="inlineStr">
        <is>
          <t>1352-03-25</t>
        </is>
      </c>
    </row>
    <row r="12254">
      <c r="A12254" s="1" t="n">
        <v>12253</v>
      </c>
      <c r="B12254">
        <f>TEXT(12253, "[$-170000]yyyy-mm-dd")</f>
        <v/>
      </c>
      <c r="C12254">
        <f>TEXT(12253, "[$-060000]yyyy-mm-dd")</f>
        <v/>
      </c>
      <c r="D12254" t="inlineStr">
        <is>
          <t>1352-03-26</t>
        </is>
      </c>
    </row>
    <row r="12255">
      <c r="A12255" s="1" t="n">
        <v>12254</v>
      </c>
      <c r="B12255">
        <f>TEXT(12254, "[$-170000]yyyy-mm-dd")</f>
        <v/>
      </c>
      <c r="C12255">
        <f>TEXT(12254, "[$-060000]yyyy-mm-dd")</f>
        <v/>
      </c>
      <c r="D12255" t="inlineStr">
        <is>
          <t>1352-03-27</t>
        </is>
      </c>
    </row>
    <row r="12256">
      <c r="A12256" s="1" t="n">
        <v>12255</v>
      </c>
      <c r="B12256">
        <f>TEXT(12255, "[$-170000]yyyy-mm-dd")</f>
        <v/>
      </c>
      <c r="C12256">
        <f>TEXT(12255, "[$-060000]yyyy-mm-dd")</f>
        <v/>
      </c>
      <c r="D12256" t="inlineStr">
        <is>
          <t>1352-03-28</t>
        </is>
      </c>
    </row>
    <row r="12257">
      <c r="A12257" s="1" t="n">
        <v>12256</v>
      </c>
      <c r="B12257">
        <f>TEXT(12256, "[$-170000]yyyy-mm-dd")</f>
        <v/>
      </c>
      <c r="C12257">
        <f>TEXT(12256, "[$-060000]yyyy-mm-dd")</f>
        <v/>
      </c>
      <c r="D12257" t="inlineStr">
        <is>
          <t>1352-03-29</t>
        </is>
      </c>
    </row>
    <row r="12258">
      <c r="A12258" s="1" t="n">
        <v>12257</v>
      </c>
      <c r="B12258">
        <f>TEXT(12257, "[$-170000]yyyy-mm-dd")</f>
        <v/>
      </c>
      <c r="C12258">
        <f>TEXT(12257, "[$-060000]yyyy-mm-dd")</f>
        <v/>
      </c>
      <c r="D12258" t="inlineStr">
        <is>
          <t>1352-03-30</t>
        </is>
      </c>
    </row>
    <row r="12259">
      <c r="A12259" s="1" t="n">
        <v>12258</v>
      </c>
      <c r="B12259">
        <f>TEXT(12258, "[$-170000]yyyy-mm-dd")</f>
        <v/>
      </c>
      <c r="C12259">
        <f>TEXT(12258, "[$-060000]yyyy-mm-dd")</f>
        <v/>
      </c>
      <c r="D12259" t="inlineStr">
        <is>
          <t>1352-04-01</t>
        </is>
      </c>
    </row>
    <row r="12260">
      <c r="A12260" s="1" t="n">
        <v>12259</v>
      </c>
      <c r="B12260">
        <f>TEXT(12259, "[$-170000]yyyy-mm-dd")</f>
        <v/>
      </c>
      <c r="C12260">
        <f>TEXT(12259, "[$-060000]yyyy-mm-dd")</f>
        <v/>
      </c>
      <c r="D12260" t="inlineStr">
        <is>
          <t>1352-04-02</t>
        </is>
      </c>
    </row>
    <row r="12261">
      <c r="A12261" s="1" t="n">
        <v>12260</v>
      </c>
      <c r="B12261">
        <f>TEXT(12260, "[$-170000]yyyy-mm-dd")</f>
        <v/>
      </c>
      <c r="C12261">
        <f>TEXT(12260, "[$-060000]yyyy-mm-dd")</f>
        <v/>
      </c>
      <c r="D12261" t="inlineStr">
        <is>
          <t>1352-04-03</t>
        </is>
      </c>
    </row>
    <row r="12262">
      <c r="A12262" s="1" t="n">
        <v>12261</v>
      </c>
      <c r="B12262">
        <f>TEXT(12261, "[$-170000]yyyy-mm-dd")</f>
        <v/>
      </c>
      <c r="C12262">
        <f>TEXT(12261, "[$-060000]yyyy-mm-dd")</f>
        <v/>
      </c>
      <c r="D12262" t="inlineStr">
        <is>
          <t>1352-04-04</t>
        </is>
      </c>
    </row>
    <row r="12263">
      <c r="A12263" s="1" t="n">
        <v>12262</v>
      </c>
      <c r="B12263">
        <f>TEXT(12262, "[$-170000]yyyy-mm-dd")</f>
        <v/>
      </c>
      <c r="C12263">
        <f>TEXT(12262, "[$-060000]yyyy-mm-dd")</f>
        <v/>
      </c>
      <c r="D12263" t="inlineStr">
        <is>
          <t>1352-04-05</t>
        </is>
      </c>
    </row>
    <row r="12264">
      <c r="A12264" s="1" t="n">
        <v>12263</v>
      </c>
      <c r="B12264">
        <f>TEXT(12263, "[$-170000]yyyy-mm-dd")</f>
        <v/>
      </c>
      <c r="C12264">
        <f>TEXT(12263, "[$-060000]yyyy-mm-dd")</f>
        <v/>
      </c>
      <c r="D12264" t="inlineStr">
        <is>
          <t>1352-04-06</t>
        </is>
      </c>
    </row>
    <row r="12265">
      <c r="A12265" s="1" t="n">
        <v>12264</v>
      </c>
      <c r="B12265">
        <f>TEXT(12264, "[$-170000]yyyy-mm-dd")</f>
        <v/>
      </c>
      <c r="C12265">
        <f>TEXT(12264, "[$-060000]yyyy-mm-dd")</f>
        <v/>
      </c>
      <c r="D12265" t="inlineStr">
        <is>
          <t>1352-04-07</t>
        </is>
      </c>
    </row>
    <row r="12266">
      <c r="A12266" s="1" t="n">
        <v>12265</v>
      </c>
      <c r="B12266">
        <f>TEXT(12265, "[$-170000]yyyy-mm-dd")</f>
        <v/>
      </c>
      <c r="C12266">
        <f>TEXT(12265, "[$-060000]yyyy-mm-dd")</f>
        <v/>
      </c>
      <c r="D12266" t="inlineStr">
        <is>
          <t>1352-04-08</t>
        </is>
      </c>
    </row>
    <row r="12267">
      <c r="A12267" s="1" t="n">
        <v>12266</v>
      </c>
      <c r="B12267">
        <f>TEXT(12266, "[$-170000]yyyy-mm-dd")</f>
        <v/>
      </c>
      <c r="C12267">
        <f>TEXT(12266, "[$-060000]yyyy-mm-dd")</f>
        <v/>
      </c>
      <c r="D12267" t="inlineStr">
        <is>
          <t>1352-04-09</t>
        </is>
      </c>
    </row>
    <row r="12268">
      <c r="A12268" s="1" t="n">
        <v>12267</v>
      </c>
      <c r="B12268">
        <f>TEXT(12267, "[$-170000]yyyy-mm-dd")</f>
        <v/>
      </c>
      <c r="C12268">
        <f>TEXT(12267, "[$-060000]yyyy-mm-dd")</f>
        <v/>
      </c>
      <c r="D12268" t="inlineStr">
        <is>
          <t>1352-04-10</t>
        </is>
      </c>
    </row>
    <row r="12269">
      <c r="A12269" s="1" t="n">
        <v>12268</v>
      </c>
      <c r="B12269">
        <f>TEXT(12268, "[$-170000]yyyy-mm-dd")</f>
        <v/>
      </c>
      <c r="C12269">
        <f>TEXT(12268, "[$-060000]yyyy-mm-dd")</f>
        <v/>
      </c>
      <c r="D12269" t="inlineStr">
        <is>
          <t>1352-04-11</t>
        </is>
      </c>
    </row>
    <row r="12270">
      <c r="A12270" s="1" t="n">
        <v>12269</v>
      </c>
      <c r="B12270">
        <f>TEXT(12269, "[$-170000]yyyy-mm-dd")</f>
        <v/>
      </c>
      <c r="C12270">
        <f>TEXT(12269, "[$-060000]yyyy-mm-dd")</f>
        <v/>
      </c>
      <c r="D12270" t="inlineStr">
        <is>
          <t>1352-04-12</t>
        </is>
      </c>
    </row>
    <row r="12271">
      <c r="A12271" s="1" t="n">
        <v>12270</v>
      </c>
      <c r="B12271">
        <f>TEXT(12270, "[$-170000]yyyy-mm-dd")</f>
        <v/>
      </c>
      <c r="C12271">
        <f>TEXT(12270, "[$-060000]yyyy-mm-dd")</f>
        <v/>
      </c>
      <c r="D12271" t="inlineStr">
        <is>
          <t>1352-04-13</t>
        </is>
      </c>
    </row>
    <row r="12272">
      <c r="A12272" s="1" t="n">
        <v>12271</v>
      </c>
      <c r="B12272">
        <f>TEXT(12271, "[$-170000]yyyy-mm-dd")</f>
        <v/>
      </c>
      <c r="C12272">
        <f>TEXT(12271, "[$-060000]yyyy-mm-dd")</f>
        <v/>
      </c>
      <c r="D12272" t="inlineStr">
        <is>
          <t>1352-04-14</t>
        </is>
      </c>
    </row>
    <row r="12273">
      <c r="A12273" s="1" t="n">
        <v>12272</v>
      </c>
      <c r="B12273">
        <f>TEXT(12272, "[$-170000]yyyy-mm-dd")</f>
        <v/>
      </c>
      <c r="C12273">
        <f>TEXT(12272, "[$-060000]yyyy-mm-dd")</f>
        <v/>
      </c>
      <c r="D12273" t="inlineStr">
        <is>
          <t>1352-04-15</t>
        </is>
      </c>
    </row>
    <row r="12274">
      <c r="A12274" s="1" t="n">
        <v>12273</v>
      </c>
      <c r="B12274">
        <f>TEXT(12273, "[$-170000]yyyy-mm-dd")</f>
        <v/>
      </c>
      <c r="C12274">
        <f>TEXT(12273, "[$-060000]yyyy-mm-dd")</f>
        <v/>
      </c>
      <c r="D12274" t="inlineStr">
        <is>
          <t>1352-04-16</t>
        </is>
      </c>
    </row>
    <row r="12275">
      <c r="A12275" s="1" t="n">
        <v>12274</v>
      </c>
      <c r="B12275">
        <f>TEXT(12274, "[$-170000]yyyy-mm-dd")</f>
        <v/>
      </c>
      <c r="C12275">
        <f>TEXT(12274, "[$-060000]yyyy-mm-dd")</f>
        <v/>
      </c>
      <c r="D12275" t="inlineStr">
        <is>
          <t>1352-04-17</t>
        </is>
      </c>
    </row>
    <row r="12276">
      <c r="A12276" s="1" t="n">
        <v>12275</v>
      </c>
      <c r="B12276">
        <f>TEXT(12275, "[$-170000]yyyy-mm-dd")</f>
        <v/>
      </c>
      <c r="C12276">
        <f>TEXT(12275, "[$-060000]yyyy-mm-dd")</f>
        <v/>
      </c>
      <c r="D12276" t="inlineStr">
        <is>
          <t>1352-04-18</t>
        </is>
      </c>
    </row>
    <row r="12277">
      <c r="A12277" s="1" t="n">
        <v>12276</v>
      </c>
      <c r="B12277">
        <f>TEXT(12276, "[$-170000]yyyy-mm-dd")</f>
        <v/>
      </c>
      <c r="C12277">
        <f>TEXT(12276, "[$-060000]yyyy-mm-dd")</f>
        <v/>
      </c>
      <c r="D12277" t="inlineStr">
        <is>
          <t>1352-04-19</t>
        </is>
      </c>
    </row>
    <row r="12278">
      <c r="A12278" s="1" t="n">
        <v>12277</v>
      </c>
      <c r="B12278">
        <f>TEXT(12277, "[$-170000]yyyy-mm-dd")</f>
        <v/>
      </c>
      <c r="C12278">
        <f>TEXT(12277, "[$-060000]yyyy-mm-dd")</f>
        <v/>
      </c>
      <c r="D12278" t="inlineStr">
        <is>
          <t>1352-04-20</t>
        </is>
      </c>
    </row>
    <row r="12279">
      <c r="A12279" s="1" t="n">
        <v>12278</v>
      </c>
      <c r="B12279">
        <f>TEXT(12278, "[$-170000]yyyy-mm-dd")</f>
        <v/>
      </c>
      <c r="C12279">
        <f>TEXT(12278, "[$-060000]yyyy-mm-dd")</f>
        <v/>
      </c>
      <c r="D12279" t="inlineStr">
        <is>
          <t>1352-04-21</t>
        </is>
      </c>
    </row>
    <row r="12280">
      <c r="A12280" s="1" t="n">
        <v>12279</v>
      </c>
      <c r="B12280">
        <f>TEXT(12279, "[$-170000]yyyy-mm-dd")</f>
        <v/>
      </c>
      <c r="C12280">
        <f>TEXT(12279, "[$-060000]yyyy-mm-dd")</f>
        <v/>
      </c>
      <c r="D12280" t="inlineStr">
        <is>
          <t>1352-04-22</t>
        </is>
      </c>
    </row>
    <row r="12281">
      <c r="A12281" s="1" t="n">
        <v>12280</v>
      </c>
      <c r="B12281">
        <f>TEXT(12280, "[$-170000]yyyy-mm-dd")</f>
        <v/>
      </c>
      <c r="C12281">
        <f>TEXT(12280, "[$-060000]yyyy-mm-dd")</f>
        <v/>
      </c>
      <c r="D12281" t="inlineStr">
        <is>
          <t>1352-04-23</t>
        </is>
      </c>
    </row>
    <row r="12282">
      <c r="A12282" s="1" t="n">
        <v>12281</v>
      </c>
      <c r="B12282">
        <f>TEXT(12281, "[$-170000]yyyy-mm-dd")</f>
        <v/>
      </c>
      <c r="C12282">
        <f>TEXT(12281, "[$-060000]yyyy-mm-dd")</f>
        <v/>
      </c>
      <c r="D12282" t="inlineStr">
        <is>
          <t>1352-04-24</t>
        </is>
      </c>
    </row>
    <row r="12283">
      <c r="A12283" s="1" t="n">
        <v>12282</v>
      </c>
      <c r="B12283">
        <f>TEXT(12282, "[$-170000]yyyy-mm-dd")</f>
        <v/>
      </c>
      <c r="C12283">
        <f>TEXT(12282, "[$-060000]yyyy-mm-dd")</f>
        <v/>
      </c>
      <c r="D12283" t="inlineStr">
        <is>
          <t>1352-04-25</t>
        </is>
      </c>
    </row>
    <row r="12284">
      <c r="A12284" s="1" t="n">
        <v>12283</v>
      </c>
      <c r="B12284">
        <f>TEXT(12283, "[$-170000]yyyy-mm-dd")</f>
        <v/>
      </c>
      <c r="C12284">
        <f>TEXT(12283, "[$-060000]yyyy-mm-dd")</f>
        <v/>
      </c>
      <c r="D12284" t="inlineStr">
        <is>
          <t>1352-04-26</t>
        </is>
      </c>
    </row>
    <row r="12285">
      <c r="A12285" s="1" t="n">
        <v>12284</v>
      </c>
      <c r="B12285">
        <f>TEXT(12284, "[$-170000]yyyy-mm-dd")</f>
        <v/>
      </c>
      <c r="C12285">
        <f>TEXT(12284, "[$-060000]yyyy-mm-dd")</f>
        <v/>
      </c>
      <c r="D12285" t="inlineStr">
        <is>
          <t>1352-04-27</t>
        </is>
      </c>
    </row>
    <row r="12286">
      <c r="A12286" s="1" t="n">
        <v>12285</v>
      </c>
      <c r="B12286">
        <f>TEXT(12285, "[$-170000]yyyy-mm-dd")</f>
        <v/>
      </c>
      <c r="C12286">
        <f>TEXT(12285, "[$-060000]yyyy-mm-dd")</f>
        <v/>
      </c>
      <c r="D12286" t="inlineStr">
        <is>
          <t>1352-04-28</t>
        </is>
      </c>
    </row>
    <row r="12287">
      <c r="A12287" s="1" t="n">
        <v>12286</v>
      </c>
      <c r="B12287">
        <f>TEXT(12286, "[$-170000]yyyy-mm-dd")</f>
        <v/>
      </c>
      <c r="C12287">
        <f>TEXT(12286, "[$-060000]yyyy-mm-dd")</f>
        <v/>
      </c>
      <c r="D12287" t="inlineStr">
        <is>
          <t>1352-04-29</t>
        </is>
      </c>
    </row>
    <row r="12288">
      <c r="A12288" s="1" t="n">
        <v>12287</v>
      </c>
      <c r="B12288">
        <f>TEXT(12287, "[$-170000]yyyy-mm-dd")</f>
        <v/>
      </c>
      <c r="C12288">
        <f>TEXT(12287, "[$-060000]yyyy-mm-dd")</f>
        <v/>
      </c>
      <c r="D12288" t="inlineStr">
        <is>
          <t>1352-05-01</t>
        </is>
      </c>
    </row>
    <row r="12289">
      <c r="A12289" s="1" t="n">
        <v>12288</v>
      </c>
      <c r="B12289">
        <f>TEXT(12288, "[$-170000]yyyy-mm-dd")</f>
        <v/>
      </c>
      <c r="C12289">
        <f>TEXT(12288, "[$-060000]yyyy-mm-dd")</f>
        <v/>
      </c>
      <c r="D12289" t="inlineStr">
        <is>
          <t>1352-05-02</t>
        </is>
      </c>
    </row>
    <row r="12290">
      <c r="A12290" s="1" t="n">
        <v>12289</v>
      </c>
      <c r="B12290">
        <f>TEXT(12289, "[$-170000]yyyy-mm-dd")</f>
        <v/>
      </c>
      <c r="C12290">
        <f>TEXT(12289, "[$-060000]yyyy-mm-dd")</f>
        <v/>
      </c>
      <c r="D12290" t="inlineStr">
        <is>
          <t>1352-05-03</t>
        </is>
      </c>
    </row>
    <row r="12291">
      <c r="A12291" s="1" t="n">
        <v>12290</v>
      </c>
      <c r="B12291">
        <f>TEXT(12290, "[$-170000]yyyy-mm-dd")</f>
        <v/>
      </c>
      <c r="C12291">
        <f>TEXT(12290, "[$-060000]yyyy-mm-dd")</f>
        <v/>
      </c>
      <c r="D12291" t="inlineStr">
        <is>
          <t>1352-05-04</t>
        </is>
      </c>
    </row>
    <row r="12292">
      <c r="A12292" s="1" t="n">
        <v>12291</v>
      </c>
      <c r="B12292">
        <f>TEXT(12291, "[$-170000]yyyy-mm-dd")</f>
        <v/>
      </c>
      <c r="C12292">
        <f>TEXT(12291, "[$-060000]yyyy-mm-dd")</f>
        <v/>
      </c>
      <c r="D12292" t="inlineStr">
        <is>
          <t>1352-05-05</t>
        </is>
      </c>
    </row>
    <row r="12293">
      <c r="A12293" s="1" t="n">
        <v>12292</v>
      </c>
      <c r="B12293">
        <f>TEXT(12292, "[$-170000]yyyy-mm-dd")</f>
        <v/>
      </c>
      <c r="C12293">
        <f>TEXT(12292, "[$-060000]yyyy-mm-dd")</f>
        <v/>
      </c>
      <c r="D12293" t="inlineStr">
        <is>
          <t>1352-05-06</t>
        </is>
      </c>
    </row>
    <row r="12294">
      <c r="A12294" s="1" t="n">
        <v>12293</v>
      </c>
      <c r="B12294">
        <f>TEXT(12293, "[$-170000]yyyy-mm-dd")</f>
        <v/>
      </c>
      <c r="C12294">
        <f>TEXT(12293, "[$-060000]yyyy-mm-dd")</f>
        <v/>
      </c>
      <c r="D12294" t="inlineStr">
        <is>
          <t>1352-05-07</t>
        </is>
      </c>
    </row>
    <row r="12295">
      <c r="A12295" s="1" t="n">
        <v>12294</v>
      </c>
      <c r="B12295">
        <f>TEXT(12294, "[$-170000]yyyy-mm-dd")</f>
        <v/>
      </c>
      <c r="C12295">
        <f>TEXT(12294, "[$-060000]yyyy-mm-dd")</f>
        <v/>
      </c>
      <c r="D12295" t="inlineStr">
        <is>
          <t>1352-05-08</t>
        </is>
      </c>
    </row>
    <row r="12296">
      <c r="A12296" s="1" t="n">
        <v>12295</v>
      </c>
      <c r="B12296">
        <f>TEXT(12295, "[$-170000]yyyy-mm-dd")</f>
        <v/>
      </c>
      <c r="C12296">
        <f>TEXT(12295, "[$-060000]yyyy-mm-dd")</f>
        <v/>
      </c>
      <c r="D12296" t="inlineStr">
        <is>
          <t>1352-05-09</t>
        </is>
      </c>
    </row>
    <row r="12297">
      <c r="A12297" s="1" t="n">
        <v>12296</v>
      </c>
      <c r="B12297">
        <f>TEXT(12296, "[$-170000]yyyy-mm-dd")</f>
        <v/>
      </c>
      <c r="C12297">
        <f>TEXT(12296, "[$-060000]yyyy-mm-dd")</f>
        <v/>
      </c>
      <c r="D12297" t="inlineStr">
        <is>
          <t>1352-05-10</t>
        </is>
      </c>
    </row>
    <row r="12298">
      <c r="A12298" s="1" t="n">
        <v>12297</v>
      </c>
      <c r="B12298">
        <f>TEXT(12297, "[$-170000]yyyy-mm-dd")</f>
        <v/>
      </c>
      <c r="C12298">
        <f>TEXT(12297, "[$-060000]yyyy-mm-dd")</f>
        <v/>
      </c>
      <c r="D12298" t="inlineStr">
        <is>
          <t>1352-05-11</t>
        </is>
      </c>
    </row>
    <row r="12299">
      <c r="A12299" s="1" t="n">
        <v>12298</v>
      </c>
      <c r="B12299">
        <f>TEXT(12298, "[$-170000]yyyy-mm-dd")</f>
        <v/>
      </c>
      <c r="C12299">
        <f>TEXT(12298, "[$-060000]yyyy-mm-dd")</f>
        <v/>
      </c>
      <c r="D12299" t="inlineStr">
        <is>
          <t>1352-05-12</t>
        </is>
      </c>
    </row>
    <row r="12300">
      <c r="A12300" s="1" t="n">
        <v>12299</v>
      </c>
      <c r="B12300">
        <f>TEXT(12299, "[$-170000]yyyy-mm-dd")</f>
        <v/>
      </c>
      <c r="C12300">
        <f>TEXT(12299, "[$-060000]yyyy-mm-dd")</f>
        <v/>
      </c>
      <c r="D12300" t="inlineStr">
        <is>
          <t>1352-05-13</t>
        </is>
      </c>
    </row>
    <row r="12301">
      <c r="A12301" s="1" t="n">
        <v>12300</v>
      </c>
      <c r="B12301">
        <f>TEXT(12300, "[$-170000]yyyy-mm-dd")</f>
        <v/>
      </c>
      <c r="C12301">
        <f>TEXT(12300, "[$-060000]yyyy-mm-dd")</f>
        <v/>
      </c>
      <c r="D12301" t="inlineStr">
        <is>
          <t>1352-05-14</t>
        </is>
      </c>
    </row>
    <row r="12302">
      <c r="A12302" s="1" t="n">
        <v>12301</v>
      </c>
      <c r="B12302">
        <f>TEXT(12301, "[$-170000]yyyy-mm-dd")</f>
        <v/>
      </c>
      <c r="C12302">
        <f>TEXT(12301, "[$-060000]yyyy-mm-dd")</f>
        <v/>
      </c>
      <c r="D12302" t="inlineStr">
        <is>
          <t>1352-05-15</t>
        </is>
      </c>
    </row>
    <row r="12303">
      <c r="A12303" s="1" t="n">
        <v>12302</v>
      </c>
      <c r="B12303">
        <f>TEXT(12302, "[$-170000]yyyy-mm-dd")</f>
        <v/>
      </c>
      <c r="C12303">
        <f>TEXT(12302, "[$-060000]yyyy-mm-dd")</f>
        <v/>
      </c>
      <c r="D12303" t="inlineStr">
        <is>
          <t>1352-05-16</t>
        </is>
      </c>
    </row>
    <row r="12304">
      <c r="A12304" s="1" t="n">
        <v>12303</v>
      </c>
      <c r="B12304">
        <f>TEXT(12303, "[$-170000]yyyy-mm-dd")</f>
        <v/>
      </c>
      <c r="C12304">
        <f>TEXT(12303, "[$-060000]yyyy-mm-dd")</f>
        <v/>
      </c>
      <c r="D12304" t="inlineStr">
        <is>
          <t>1352-05-17</t>
        </is>
      </c>
    </row>
    <row r="12305">
      <c r="A12305" s="1" t="n">
        <v>12304</v>
      </c>
      <c r="B12305">
        <f>TEXT(12304, "[$-170000]yyyy-mm-dd")</f>
        <v/>
      </c>
      <c r="C12305">
        <f>TEXT(12304, "[$-060000]yyyy-mm-dd")</f>
        <v/>
      </c>
      <c r="D12305" t="inlineStr">
        <is>
          <t>1352-05-18</t>
        </is>
      </c>
    </row>
    <row r="12306">
      <c r="A12306" s="1" t="n">
        <v>12305</v>
      </c>
      <c r="B12306">
        <f>TEXT(12305, "[$-170000]yyyy-mm-dd")</f>
        <v/>
      </c>
      <c r="C12306">
        <f>TEXT(12305, "[$-060000]yyyy-mm-dd")</f>
        <v/>
      </c>
      <c r="D12306" t="inlineStr">
        <is>
          <t>1352-05-19</t>
        </is>
      </c>
    </row>
    <row r="12307">
      <c r="A12307" s="1" t="n">
        <v>12306</v>
      </c>
      <c r="B12307">
        <f>TEXT(12306, "[$-170000]yyyy-mm-dd")</f>
        <v/>
      </c>
      <c r="C12307">
        <f>TEXT(12306, "[$-060000]yyyy-mm-dd")</f>
        <v/>
      </c>
      <c r="D12307" t="inlineStr">
        <is>
          <t>1352-05-20</t>
        </is>
      </c>
    </row>
    <row r="12308">
      <c r="A12308" s="1" t="n">
        <v>12307</v>
      </c>
      <c r="B12308">
        <f>TEXT(12307, "[$-170000]yyyy-mm-dd")</f>
        <v/>
      </c>
      <c r="C12308">
        <f>TEXT(12307, "[$-060000]yyyy-mm-dd")</f>
        <v/>
      </c>
      <c r="D12308" t="inlineStr">
        <is>
          <t>1352-05-21</t>
        </is>
      </c>
    </row>
    <row r="12309">
      <c r="A12309" s="1" t="n">
        <v>12308</v>
      </c>
      <c r="B12309">
        <f>TEXT(12308, "[$-170000]yyyy-mm-dd")</f>
        <v/>
      </c>
      <c r="C12309">
        <f>TEXT(12308, "[$-060000]yyyy-mm-dd")</f>
        <v/>
      </c>
      <c r="D12309" t="inlineStr">
        <is>
          <t>1352-05-22</t>
        </is>
      </c>
    </row>
    <row r="12310">
      <c r="A12310" s="1" t="n">
        <v>12309</v>
      </c>
      <c r="B12310">
        <f>TEXT(12309, "[$-170000]yyyy-mm-dd")</f>
        <v/>
      </c>
      <c r="C12310">
        <f>TEXT(12309, "[$-060000]yyyy-mm-dd")</f>
        <v/>
      </c>
      <c r="D12310" t="inlineStr">
        <is>
          <t>1352-05-23</t>
        </is>
      </c>
    </row>
    <row r="12311">
      <c r="A12311" s="1" t="n">
        <v>12310</v>
      </c>
      <c r="B12311">
        <f>TEXT(12310, "[$-170000]yyyy-mm-dd")</f>
        <v/>
      </c>
      <c r="C12311">
        <f>TEXT(12310, "[$-060000]yyyy-mm-dd")</f>
        <v/>
      </c>
      <c r="D12311" t="inlineStr">
        <is>
          <t>1352-05-24</t>
        </is>
      </c>
    </row>
    <row r="12312">
      <c r="A12312" s="1" t="n">
        <v>12311</v>
      </c>
      <c r="B12312">
        <f>TEXT(12311, "[$-170000]yyyy-mm-dd")</f>
        <v/>
      </c>
      <c r="C12312">
        <f>TEXT(12311, "[$-060000]yyyy-mm-dd")</f>
        <v/>
      </c>
      <c r="D12312" t="inlineStr">
        <is>
          <t>1352-05-25</t>
        </is>
      </c>
    </row>
    <row r="12313">
      <c r="A12313" s="1" t="n">
        <v>12312</v>
      </c>
      <c r="B12313">
        <f>TEXT(12312, "[$-170000]yyyy-mm-dd")</f>
        <v/>
      </c>
      <c r="C12313">
        <f>TEXT(12312, "[$-060000]yyyy-mm-dd")</f>
        <v/>
      </c>
      <c r="D12313" t="inlineStr">
        <is>
          <t>1352-05-26</t>
        </is>
      </c>
    </row>
    <row r="12314">
      <c r="A12314" s="1" t="n">
        <v>12313</v>
      </c>
      <c r="B12314">
        <f>TEXT(12313, "[$-170000]yyyy-mm-dd")</f>
        <v/>
      </c>
      <c r="C12314">
        <f>TEXT(12313, "[$-060000]yyyy-mm-dd")</f>
        <v/>
      </c>
      <c r="D12314" t="inlineStr">
        <is>
          <t>1352-05-27</t>
        </is>
      </c>
    </row>
    <row r="12315">
      <c r="A12315" s="1" t="n">
        <v>12314</v>
      </c>
      <c r="B12315">
        <f>TEXT(12314, "[$-170000]yyyy-mm-dd")</f>
        <v/>
      </c>
      <c r="C12315">
        <f>TEXT(12314, "[$-060000]yyyy-mm-dd")</f>
        <v/>
      </c>
      <c r="D12315" t="inlineStr">
        <is>
          <t>1352-05-28</t>
        </is>
      </c>
    </row>
    <row r="12316">
      <c r="A12316" s="1" t="n">
        <v>12315</v>
      </c>
      <c r="B12316">
        <f>TEXT(12315, "[$-170000]yyyy-mm-dd")</f>
        <v/>
      </c>
      <c r="C12316">
        <f>TEXT(12315, "[$-060000]yyyy-mm-dd")</f>
        <v/>
      </c>
      <c r="D12316" t="inlineStr">
        <is>
          <t>1352-05-29</t>
        </is>
      </c>
    </row>
    <row r="12317">
      <c r="A12317" s="1" t="n">
        <v>12316</v>
      </c>
      <c r="B12317">
        <f>TEXT(12316, "[$-170000]yyyy-mm-dd")</f>
        <v/>
      </c>
      <c r="C12317">
        <f>TEXT(12316, "[$-060000]yyyy-mm-dd")</f>
        <v/>
      </c>
      <c r="D12317" t="inlineStr">
        <is>
          <t>1352-05-30</t>
        </is>
      </c>
    </row>
    <row r="12318">
      <c r="A12318" s="1" t="n">
        <v>12317</v>
      </c>
      <c r="B12318">
        <f>TEXT(12317, "[$-170000]yyyy-mm-dd")</f>
        <v/>
      </c>
      <c r="C12318">
        <f>TEXT(12317, "[$-060000]yyyy-mm-dd")</f>
        <v/>
      </c>
      <c r="D12318" t="inlineStr">
        <is>
          <t>1352-06-01</t>
        </is>
      </c>
    </row>
    <row r="12319">
      <c r="A12319" s="1" t="n">
        <v>12318</v>
      </c>
      <c r="B12319">
        <f>TEXT(12318, "[$-170000]yyyy-mm-dd")</f>
        <v/>
      </c>
      <c r="C12319">
        <f>TEXT(12318, "[$-060000]yyyy-mm-dd")</f>
        <v/>
      </c>
      <c r="D12319" t="inlineStr">
        <is>
          <t>1352-06-02</t>
        </is>
      </c>
    </row>
    <row r="12320">
      <c r="A12320" s="1" t="n">
        <v>12319</v>
      </c>
      <c r="B12320">
        <f>TEXT(12319, "[$-170000]yyyy-mm-dd")</f>
        <v/>
      </c>
      <c r="C12320">
        <f>TEXT(12319, "[$-060000]yyyy-mm-dd")</f>
        <v/>
      </c>
      <c r="D12320" t="inlineStr">
        <is>
          <t>1352-06-03</t>
        </is>
      </c>
    </row>
    <row r="12321">
      <c r="A12321" s="1" t="n">
        <v>12320</v>
      </c>
      <c r="B12321">
        <f>TEXT(12320, "[$-170000]yyyy-mm-dd")</f>
        <v/>
      </c>
      <c r="C12321">
        <f>TEXT(12320, "[$-060000]yyyy-mm-dd")</f>
        <v/>
      </c>
      <c r="D12321" t="inlineStr">
        <is>
          <t>1352-06-04</t>
        </is>
      </c>
    </row>
    <row r="12322">
      <c r="A12322" s="1" t="n">
        <v>12321</v>
      </c>
      <c r="B12322">
        <f>TEXT(12321, "[$-170000]yyyy-mm-dd")</f>
        <v/>
      </c>
      <c r="C12322">
        <f>TEXT(12321, "[$-060000]yyyy-mm-dd")</f>
        <v/>
      </c>
      <c r="D12322" t="inlineStr">
        <is>
          <t>1352-06-05</t>
        </is>
      </c>
    </row>
    <row r="12323">
      <c r="A12323" s="1" t="n">
        <v>12322</v>
      </c>
      <c r="B12323">
        <f>TEXT(12322, "[$-170000]yyyy-mm-dd")</f>
        <v/>
      </c>
      <c r="C12323">
        <f>TEXT(12322, "[$-060000]yyyy-mm-dd")</f>
        <v/>
      </c>
      <c r="D12323" t="inlineStr">
        <is>
          <t>1352-06-06</t>
        </is>
      </c>
    </row>
    <row r="12324">
      <c r="A12324" s="1" t="n">
        <v>12323</v>
      </c>
      <c r="B12324">
        <f>TEXT(12323, "[$-170000]yyyy-mm-dd")</f>
        <v/>
      </c>
      <c r="C12324">
        <f>TEXT(12323, "[$-060000]yyyy-mm-dd")</f>
        <v/>
      </c>
      <c r="D12324" t="inlineStr">
        <is>
          <t>1352-06-07</t>
        </is>
      </c>
    </row>
    <row r="12325">
      <c r="A12325" s="1" t="n">
        <v>12324</v>
      </c>
      <c r="B12325">
        <f>TEXT(12324, "[$-170000]yyyy-mm-dd")</f>
        <v/>
      </c>
      <c r="C12325">
        <f>TEXT(12324, "[$-060000]yyyy-mm-dd")</f>
        <v/>
      </c>
      <c r="D12325" t="inlineStr">
        <is>
          <t>1352-06-08</t>
        </is>
      </c>
    </row>
    <row r="12326">
      <c r="A12326" s="1" t="n">
        <v>12325</v>
      </c>
      <c r="B12326">
        <f>TEXT(12325, "[$-170000]yyyy-mm-dd")</f>
        <v/>
      </c>
      <c r="C12326">
        <f>TEXT(12325, "[$-060000]yyyy-mm-dd")</f>
        <v/>
      </c>
      <c r="D12326" t="inlineStr">
        <is>
          <t>1352-06-09</t>
        </is>
      </c>
    </row>
    <row r="12327">
      <c r="A12327" s="1" t="n">
        <v>12326</v>
      </c>
      <c r="B12327">
        <f>TEXT(12326, "[$-170000]yyyy-mm-dd")</f>
        <v/>
      </c>
      <c r="C12327">
        <f>TEXT(12326, "[$-060000]yyyy-mm-dd")</f>
        <v/>
      </c>
      <c r="D12327" t="inlineStr">
        <is>
          <t>1352-06-10</t>
        </is>
      </c>
    </row>
    <row r="12328">
      <c r="A12328" s="1" t="n">
        <v>12327</v>
      </c>
      <c r="B12328">
        <f>TEXT(12327, "[$-170000]yyyy-mm-dd")</f>
        <v/>
      </c>
      <c r="C12328">
        <f>TEXT(12327, "[$-060000]yyyy-mm-dd")</f>
        <v/>
      </c>
      <c r="D12328" t="inlineStr">
        <is>
          <t>1352-06-11</t>
        </is>
      </c>
    </row>
    <row r="12329">
      <c r="A12329" s="1" t="n">
        <v>12328</v>
      </c>
      <c r="B12329">
        <f>TEXT(12328, "[$-170000]yyyy-mm-dd")</f>
        <v/>
      </c>
      <c r="C12329">
        <f>TEXT(12328, "[$-060000]yyyy-mm-dd")</f>
        <v/>
      </c>
      <c r="D12329" t="inlineStr">
        <is>
          <t>1352-06-12</t>
        </is>
      </c>
    </row>
    <row r="12330">
      <c r="A12330" s="1" t="n">
        <v>12329</v>
      </c>
      <c r="B12330">
        <f>TEXT(12329, "[$-170000]yyyy-mm-dd")</f>
        <v/>
      </c>
      <c r="C12330">
        <f>TEXT(12329, "[$-060000]yyyy-mm-dd")</f>
        <v/>
      </c>
      <c r="D12330" t="inlineStr">
        <is>
          <t>1352-06-13</t>
        </is>
      </c>
    </row>
    <row r="12331">
      <c r="A12331" s="1" t="n">
        <v>12330</v>
      </c>
      <c r="B12331">
        <f>TEXT(12330, "[$-170000]yyyy-mm-dd")</f>
        <v/>
      </c>
      <c r="C12331">
        <f>TEXT(12330, "[$-060000]yyyy-mm-dd")</f>
        <v/>
      </c>
      <c r="D12331" t="inlineStr">
        <is>
          <t>1352-06-14</t>
        </is>
      </c>
    </row>
    <row r="12332">
      <c r="A12332" s="1" t="n">
        <v>12331</v>
      </c>
      <c r="B12332">
        <f>TEXT(12331, "[$-170000]yyyy-mm-dd")</f>
        <v/>
      </c>
      <c r="C12332">
        <f>TEXT(12331, "[$-060000]yyyy-mm-dd")</f>
        <v/>
      </c>
      <c r="D12332" t="inlineStr">
        <is>
          <t>1352-06-15</t>
        </is>
      </c>
    </row>
    <row r="12333">
      <c r="A12333" s="1" t="n">
        <v>12332</v>
      </c>
      <c r="B12333">
        <f>TEXT(12332, "[$-170000]yyyy-mm-dd")</f>
        <v/>
      </c>
      <c r="C12333">
        <f>TEXT(12332, "[$-060000]yyyy-mm-dd")</f>
        <v/>
      </c>
      <c r="D12333" t="inlineStr">
        <is>
          <t>1352-06-16</t>
        </is>
      </c>
    </row>
    <row r="12334">
      <c r="A12334" s="1" t="n">
        <v>12333</v>
      </c>
      <c r="B12334">
        <f>TEXT(12333, "[$-170000]yyyy-mm-dd")</f>
        <v/>
      </c>
      <c r="C12334">
        <f>TEXT(12333, "[$-060000]yyyy-mm-dd")</f>
        <v/>
      </c>
      <c r="D12334" t="inlineStr">
        <is>
          <t>1352-06-17</t>
        </is>
      </c>
    </row>
    <row r="12335">
      <c r="A12335" s="1" t="n">
        <v>12334</v>
      </c>
      <c r="B12335">
        <f>TEXT(12334, "[$-170000]yyyy-mm-dd")</f>
        <v/>
      </c>
      <c r="C12335">
        <f>TEXT(12334, "[$-060000]yyyy-mm-dd")</f>
        <v/>
      </c>
      <c r="D12335" t="inlineStr">
        <is>
          <t>1352-06-18</t>
        </is>
      </c>
    </row>
    <row r="12336">
      <c r="A12336" s="1" t="n">
        <v>12335</v>
      </c>
      <c r="B12336">
        <f>TEXT(12335, "[$-170000]yyyy-mm-dd")</f>
        <v/>
      </c>
      <c r="C12336">
        <f>TEXT(12335, "[$-060000]yyyy-mm-dd")</f>
        <v/>
      </c>
      <c r="D12336" t="inlineStr">
        <is>
          <t>1352-06-19</t>
        </is>
      </c>
    </row>
    <row r="12337">
      <c r="A12337" s="1" t="n">
        <v>12336</v>
      </c>
      <c r="B12337">
        <f>TEXT(12336, "[$-170000]yyyy-mm-dd")</f>
        <v/>
      </c>
      <c r="C12337">
        <f>TEXT(12336, "[$-060000]yyyy-mm-dd")</f>
        <v/>
      </c>
      <c r="D12337" t="inlineStr">
        <is>
          <t>1352-06-20</t>
        </is>
      </c>
    </row>
    <row r="12338">
      <c r="A12338" s="1" t="n">
        <v>12337</v>
      </c>
      <c r="B12338">
        <f>TEXT(12337, "[$-170000]yyyy-mm-dd")</f>
        <v/>
      </c>
      <c r="C12338">
        <f>TEXT(12337, "[$-060000]yyyy-mm-dd")</f>
        <v/>
      </c>
      <c r="D12338" t="inlineStr">
        <is>
          <t>1352-06-21</t>
        </is>
      </c>
    </row>
    <row r="12339">
      <c r="A12339" s="1" t="n">
        <v>12338</v>
      </c>
      <c r="B12339">
        <f>TEXT(12338, "[$-170000]yyyy-mm-dd")</f>
        <v/>
      </c>
      <c r="C12339">
        <f>TEXT(12338, "[$-060000]yyyy-mm-dd")</f>
        <v/>
      </c>
      <c r="D12339" t="inlineStr">
        <is>
          <t>1352-06-22</t>
        </is>
      </c>
    </row>
    <row r="12340">
      <c r="A12340" s="1" t="n">
        <v>12339</v>
      </c>
      <c r="B12340">
        <f>TEXT(12339, "[$-170000]yyyy-mm-dd")</f>
        <v/>
      </c>
      <c r="C12340">
        <f>TEXT(12339, "[$-060000]yyyy-mm-dd")</f>
        <v/>
      </c>
      <c r="D12340" t="inlineStr">
        <is>
          <t>1352-06-23</t>
        </is>
      </c>
    </row>
    <row r="12341">
      <c r="A12341" s="1" t="n">
        <v>12340</v>
      </c>
      <c r="B12341">
        <f>TEXT(12340, "[$-170000]yyyy-mm-dd")</f>
        <v/>
      </c>
      <c r="C12341">
        <f>TEXT(12340, "[$-060000]yyyy-mm-dd")</f>
        <v/>
      </c>
      <c r="D12341" t="inlineStr">
        <is>
          <t>1352-06-24</t>
        </is>
      </c>
    </row>
    <row r="12342">
      <c r="A12342" s="1" t="n">
        <v>12341</v>
      </c>
      <c r="B12342">
        <f>TEXT(12341, "[$-170000]yyyy-mm-dd")</f>
        <v/>
      </c>
      <c r="C12342">
        <f>TEXT(12341, "[$-060000]yyyy-mm-dd")</f>
        <v/>
      </c>
      <c r="D12342" t="inlineStr">
        <is>
          <t>1352-06-25</t>
        </is>
      </c>
    </row>
    <row r="12343">
      <c r="A12343" s="1" t="n">
        <v>12342</v>
      </c>
      <c r="B12343">
        <f>TEXT(12342, "[$-170000]yyyy-mm-dd")</f>
        <v/>
      </c>
      <c r="C12343">
        <f>TEXT(12342, "[$-060000]yyyy-mm-dd")</f>
        <v/>
      </c>
      <c r="D12343" t="inlineStr">
        <is>
          <t>1352-06-26</t>
        </is>
      </c>
    </row>
    <row r="12344">
      <c r="A12344" s="1" t="n">
        <v>12343</v>
      </c>
      <c r="B12344">
        <f>TEXT(12343, "[$-170000]yyyy-mm-dd")</f>
        <v/>
      </c>
      <c r="C12344">
        <f>TEXT(12343, "[$-060000]yyyy-mm-dd")</f>
        <v/>
      </c>
      <c r="D12344" t="inlineStr">
        <is>
          <t>1352-06-27</t>
        </is>
      </c>
    </row>
    <row r="12345">
      <c r="A12345" s="1" t="n">
        <v>12344</v>
      </c>
      <c r="B12345">
        <f>TEXT(12344, "[$-170000]yyyy-mm-dd")</f>
        <v/>
      </c>
      <c r="C12345">
        <f>TEXT(12344, "[$-060000]yyyy-mm-dd")</f>
        <v/>
      </c>
      <c r="D12345" t="inlineStr">
        <is>
          <t>1352-06-28</t>
        </is>
      </c>
    </row>
    <row r="12346">
      <c r="A12346" s="1" t="n">
        <v>12345</v>
      </c>
      <c r="B12346">
        <f>TEXT(12345, "[$-170000]yyyy-mm-dd")</f>
        <v/>
      </c>
      <c r="C12346">
        <f>TEXT(12345, "[$-060000]yyyy-mm-dd")</f>
        <v/>
      </c>
      <c r="D12346" t="inlineStr">
        <is>
          <t>1352-06-29</t>
        </is>
      </c>
    </row>
    <row r="12347">
      <c r="A12347" s="1" t="n">
        <v>12346</v>
      </c>
      <c r="B12347">
        <f>TEXT(12346, "[$-170000]yyyy-mm-dd")</f>
        <v/>
      </c>
      <c r="C12347">
        <f>TEXT(12346, "[$-060000]yyyy-mm-dd")</f>
        <v/>
      </c>
      <c r="D12347" t="inlineStr">
        <is>
          <t>1352-07-01</t>
        </is>
      </c>
    </row>
    <row r="12348">
      <c r="A12348" s="1" t="n">
        <v>12347</v>
      </c>
      <c r="B12348">
        <f>TEXT(12347, "[$-170000]yyyy-mm-dd")</f>
        <v/>
      </c>
      <c r="C12348">
        <f>TEXT(12347, "[$-060000]yyyy-mm-dd")</f>
        <v/>
      </c>
      <c r="D12348" t="inlineStr">
        <is>
          <t>1352-07-02</t>
        </is>
      </c>
    </row>
    <row r="12349">
      <c r="A12349" s="1" t="n">
        <v>12348</v>
      </c>
      <c r="B12349">
        <f>TEXT(12348, "[$-170000]yyyy-mm-dd")</f>
        <v/>
      </c>
      <c r="C12349">
        <f>TEXT(12348, "[$-060000]yyyy-mm-dd")</f>
        <v/>
      </c>
      <c r="D12349" t="inlineStr">
        <is>
          <t>1352-07-03</t>
        </is>
      </c>
    </row>
    <row r="12350">
      <c r="A12350" s="1" t="n">
        <v>12349</v>
      </c>
      <c r="B12350">
        <f>TEXT(12349, "[$-170000]yyyy-mm-dd")</f>
        <v/>
      </c>
      <c r="C12350">
        <f>TEXT(12349, "[$-060000]yyyy-mm-dd")</f>
        <v/>
      </c>
      <c r="D12350" t="inlineStr">
        <is>
          <t>1352-07-04</t>
        </is>
      </c>
    </row>
    <row r="12351">
      <c r="A12351" s="1" t="n">
        <v>12350</v>
      </c>
      <c r="B12351">
        <f>TEXT(12350, "[$-170000]yyyy-mm-dd")</f>
        <v/>
      </c>
      <c r="C12351">
        <f>TEXT(12350, "[$-060000]yyyy-mm-dd")</f>
        <v/>
      </c>
      <c r="D12351" t="inlineStr">
        <is>
          <t>1352-07-05</t>
        </is>
      </c>
    </row>
    <row r="12352">
      <c r="A12352" s="1" t="n">
        <v>12351</v>
      </c>
      <c r="B12352">
        <f>TEXT(12351, "[$-170000]yyyy-mm-dd")</f>
        <v/>
      </c>
      <c r="C12352">
        <f>TEXT(12351, "[$-060000]yyyy-mm-dd")</f>
        <v/>
      </c>
      <c r="D12352" t="inlineStr">
        <is>
          <t>1352-07-06</t>
        </is>
      </c>
    </row>
    <row r="12353">
      <c r="A12353" s="1" t="n">
        <v>12352</v>
      </c>
      <c r="B12353">
        <f>TEXT(12352, "[$-170000]yyyy-mm-dd")</f>
        <v/>
      </c>
      <c r="C12353">
        <f>TEXT(12352, "[$-060000]yyyy-mm-dd")</f>
        <v/>
      </c>
      <c r="D12353" t="inlineStr">
        <is>
          <t>1352-07-07</t>
        </is>
      </c>
    </row>
    <row r="12354">
      <c r="A12354" s="1" t="n">
        <v>12353</v>
      </c>
      <c r="B12354">
        <f>TEXT(12353, "[$-170000]yyyy-mm-dd")</f>
        <v/>
      </c>
      <c r="C12354">
        <f>TEXT(12353, "[$-060000]yyyy-mm-dd")</f>
        <v/>
      </c>
      <c r="D12354" t="inlineStr">
        <is>
          <t>1352-07-08</t>
        </is>
      </c>
    </row>
    <row r="12355">
      <c r="A12355" s="1" t="n">
        <v>12354</v>
      </c>
      <c r="B12355">
        <f>TEXT(12354, "[$-170000]yyyy-mm-dd")</f>
        <v/>
      </c>
      <c r="C12355">
        <f>TEXT(12354, "[$-060000]yyyy-mm-dd")</f>
        <v/>
      </c>
      <c r="D12355" t="inlineStr">
        <is>
          <t>1352-07-09</t>
        </is>
      </c>
    </row>
    <row r="12356">
      <c r="A12356" s="1" t="n">
        <v>12355</v>
      </c>
      <c r="B12356">
        <f>TEXT(12355, "[$-170000]yyyy-mm-dd")</f>
        <v/>
      </c>
      <c r="C12356">
        <f>TEXT(12355, "[$-060000]yyyy-mm-dd")</f>
        <v/>
      </c>
      <c r="D12356" t="inlineStr">
        <is>
          <t>1352-07-10</t>
        </is>
      </c>
    </row>
    <row r="12357">
      <c r="A12357" s="1" t="n">
        <v>12356</v>
      </c>
      <c r="B12357">
        <f>TEXT(12356, "[$-170000]yyyy-mm-dd")</f>
        <v/>
      </c>
      <c r="C12357">
        <f>TEXT(12356, "[$-060000]yyyy-mm-dd")</f>
        <v/>
      </c>
      <c r="D12357" t="inlineStr">
        <is>
          <t>1352-07-11</t>
        </is>
      </c>
    </row>
    <row r="12358">
      <c r="A12358" s="1" t="n">
        <v>12357</v>
      </c>
      <c r="B12358">
        <f>TEXT(12357, "[$-170000]yyyy-mm-dd")</f>
        <v/>
      </c>
      <c r="C12358">
        <f>TEXT(12357, "[$-060000]yyyy-mm-dd")</f>
        <v/>
      </c>
      <c r="D12358" t="inlineStr">
        <is>
          <t>1352-07-12</t>
        </is>
      </c>
    </row>
    <row r="12359">
      <c r="A12359" s="1" t="n">
        <v>12358</v>
      </c>
      <c r="B12359">
        <f>TEXT(12358, "[$-170000]yyyy-mm-dd")</f>
        <v/>
      </c>
      <c r="C12359">
        <f>TEXT(12358, "[$-060000]yyyy-mm-dd")</f>
        <v/>
      </c>
      <c r="D12359" t="inlineStr">
        <is>
          <t>1352-07-13</t>
        </is>
      </c>
    </row>
    <row r="12360">
      <c r="A12360" s="1" t="n">
        <v>12359</v>
      </c>
      <c r="B12360">
        <f>TEXT(12359, "[$-170000]yyyy-mm-dd")</f>
        <v/>
      </c>
      <c r="C12360">
        <f>TEXT(12359, "[$-060000]yyyy-mm-dd")</f>
        <v/>
      </c>
      <c r="D12360" t="inlineStr">
        <is>
          <t>1352-07-14</t>
        </is>
      </c>
    </row>
    <row r="12361">
      <c r="A12361" s="1" t="n">
        <v>12360</v>
      </c>
      <c r="B12361">
        <f>TEXT(12360, "[$-170000]yyyy-mm-dd")</f>
        <v/>
      </c>
      <c r="C12361">
        <f>TEXT(12360, "[$-060000]yyyy-mm-dd")</f>
        <v/>
      </c>
      <c r="D12361" t="inlineStr">
        <is>
          <t>1352-07-15</t>
        </is>
      </c>
    </row>
    <row r="12362">
      <c r="A12362" s="1" t="n">
        <v>12361</v>
      </c>
      <c r="B12362">
        <f>TEXT(12361, "[$-170000]yyyy-mm-dd")</f>
        <v/>
      </c>
      <c r="C12362">
        <f>TEXT(12361, "[$-060000]yyyy-mm-dd")</f>
        <v/>
      </c>
      <c r="D12362" t="inlineStr">
        <is>
          <t>1352-07-16</t>
        </is>
      </c>
    </row>
    <row r="12363">
      <c r="A12363" s="1" t="n">
        <v>12362</v>
      </c>
      <c r="B12363">
        <f>TEXT(12362, "[$-170000]yyyy-mm-dd")</f>
        <v/>
      </c>
      <c r="C12363">
        <f>TEXT(12362, "[$-060000]yyyy-mm-dd")</f>
        <v/>
      </c>
      <c r="D12363" t="inlineStr">
        <is>
          <t>1352-07-17</t>
        </is>
      </c>
    </row>
    <row r="12364">
      <c r="A12364" s="1" t="n">
        <v>12363</v>
      </c>
      <c r="B12364">
        <f>TEXT(12363, "[$-170000]yyyy-mm-dd")</f>
        <v/>
      </c>
      <c r="C12364">
        <f>TEXT(12363, "[$-060000]yyyy-mm-dd")</f>
        <v/>
      </c>
      <c r="D12364" t="inlineStr">
        <is>
          <t>1352-07-18</t>
        </is>
      </c>
    </row>
    <row r="12365">
      <c r="A12365" s="1" t="n">
        <v>12364</v>
      </c>
      <c r="B12365">
        <f>TEXT(12364, "[$-170000]yyyy-mm-dd")</f>
        <v/>
      </c>
      <c r="C12365">
        <f>TEXT(12364, "[$-060000]yyyy-mm-dd")</f>
        <v/>
      </c>
      <c r="D12365" t="inlineStr">
        <is>
          <t>1352-07-19</t>
        </is>
      </c>
    </row>
    <row r="12366">
      <c r="A12366" s="1" t="n">
        <v>12365</v>
      </c>
      <c r="B12366">
        <f>TEXT(12365, "[$-170000]yyyy-mm-dd")</f>
        <v/>
      </c>
      <c r="C12366">
        <f>TEXT(12365, "[$-060000]yyyy-mm-dd")</f>
        <v/>
      </c>
      <c r="D12366" t="inlineStr">
        <is>
          <t>1352-07-20</t>
        </is>
      </c>
    </row>
    <row r="12367">
      <c r="A12367" s="1" t="n">
        <v>12366</v>
      </c>
      <c r="B12367">
        <f>TEXT(12366, "[$-170000]yyyy-mm-dd")</f>
        <v/>
      </c>
      <c r="C12367">
        <f>TEXT(12366, "[$-060000]yyyy-mm-dd")</f>
        <v/>
      </c>
      <c r="D12367" t="inlineStr">
        <is>
          <t>1352-07-21</t>
        </is>
      </c>
    </row>
    <row r="12368">
      <c r="A12368" s="1" t="n">
        <v>12367</v>
      </c>
      <c r="B12368">
        <f>TEXT(12367, "[$-170000]yyyy-mm-dd")</f>
        <v/>
      </c>
      <c r="C12368">
        <f>TEXT(12367, "[$-060000]yyyy-mm-dd")</f>
        <v/>
      </c>
      <c r="D12368" t="inlineStr">
        <is>
          <t>1352-07-22</t>
        </is>
      </c>
    </row>
    <row r="12369">
      <c r="A12369" s="1" t="n">
        <v>12368</v>
      </c>
      <c r="B12369">
        <f>TEXT(12368, "[$-170000]yyyy-mm-dd")</f>
        <v/>
      </c>
      <c r="C12369">
        <f>TEXT(12368, "[$-060000]yyyy-mm-dd")</f>
        <v/>
      </c>
      <c r="D12369" t="inlineStr">
        <is>
          <t>1352-07-23</t>
        </is>
      </c>
    </row>
    <row r="12370">
      <c r="A12370" s="1" t="n">
        <v>12369</v>
      </c>
      <c r="B12370">
        <f>TEXT(12369, "[$-170000]yyyy-mm-dd")</f>
        <v/>
      </c>
      <c r="C12370">
        <f>TEXT(12369, "[$-060000]yyyy-mm-dd")</f>
        <v/>
      </c>
      <c r="D12370" t="inlineStr">
        <is>
          <t>1352-07-24</t>
        </is>
      </c>
    </row>
    <row r="12371">
      <c r="A12371" s="1" t="n">
        <v>12370</v>
      </c>
      <c r="B12371">
        <f>TEXT(12370, "[$-170000]yyyy-mm-dd")</f>
        <v/>
      </c>
      <c r="C12371">
        <f>TEXT(12370, "[$-060000]yyyy-mm-dd")</f>
        <v/>
      </c>
      <c r="D12371" t="inlineStr">
        <is>
          <t>1352-07-25</t>
        </is>
      </c>
    </row>
    <row r="12372">
      <c r="A12372" s="1" t="n">
        <v>12371</v>
      </c>
      <c r="B12372">
        <f>TEXT(12371, "[$-170000]yyyy-mm-dd")</f>
        <v/>
      </c>
      <c r="C12372">
        <f>TEXT(12371, "[$-060000]yyyy-mm-dd")</f>
        <v/>
      </c>
      <c r="D12372" t="inlineStr">
        <is>
          <t>1352-07-26</t>
        </is>
      </c>
    </row>
    <row r="12373">
      <c r="A12373" s="1" t="n">
        <v>12372</v>
      </c>
      <c r="B12373">
        <f>TEXT(12372, "[$-170000]yyyy-mm-dd")</f>
        <v/>
      </c>
      <c r="C12373">
        <f>TEXT(12372, "[$-060000]yyyy-mm-dd")</f>
        <v/>
      </c>
      <c r="D12373" t="inlineStr">
        <is>
          <t>1352-07-27</t>
        </is>
      </c>
    </row>
    <row r="12374">
      <c r="A12374" s="1" t="n">
        <v>12373</v>
      </c>
      <c r="B12374">
        <f>TEXT(12373, "[$-170000]yyyy-mm-dd")</f>
        <v/>
      </c>
      <c r="C12374">
        <f>TEXT(12373, "[$-060000]yyyy-mm-dd")</f>
        <v/>
      </c>
      <c r="D12374" t="inlineStr">
        <is>
          <t>1352-07-28</t>
        </is>
      </c>
    </row>
    <row r="12375">
      <c r="A12375" s="1" t="n">
        <v>12374</v>
      </c>
      <c r="B12375">
        <f>TEXT(12374, "[$-170000]yyyy-mm-dd")</f>
        <v/>
      </c>
      <c r="C12375">
        <f>TEXT(12374, "[$-060000]yyyy-mm-dd")</f>
        <v/>
      </c>
      <c r="D12375" t="inlineStr">
        <is>
          <t>1352-07-29</t>
        </is>
      </c>
    </row>
    <row r="12376">
      <c r="A12376" s="1" t="n">
        <v>12375</v>
      </c>
      <c r="B12376">
        <f>TEXT(12375, "[$-170000]yyyy-mm-dd")</f>
        <v/>
      </c>
      <c r="C12376">
        <f>TEXT(12375, "[$-060000]yyyy-mm-dd")</f>
        <v/>
      </c>
      <c r="D12376" t="inlineStr">
        <is>
          <t>1352-07-30</t>
        </is>
      </c>
    </row>
    <row r="12377">
      <c r="A12377" s="1" t="n">
        <v>12376</v>
      </c>
      <c r="B12377">
        <f>TEXT(12376, "[$-170000]yyyy-mm-dd")</f>
        <v/>
      </c>
      <c r="C12377">
        <f>TEXT(12376, "[$-060000]yyyy-mm-dd")</f>
        <v/>
      </c>
      <c r="D12377" t="inlineStr">
        <is>
          <t>1352-08-01</t>
        </is>
      </c>
    </row>
    <row r="12378">
      <c r="A12378" s="1" t="n">
        <v>12377</v>
      </c>
      <c r="B12378">
        <f>TEXT(12377, "[$-170000]yyyy-mm-dd")</f>
        <v/>
      </c>
      <c r="C12378">
        <f>TEXT(12377, "[$-060000]yyyy-mm-dd")</f>
        <v/>
      </c>
      <c r="D12378" t="inlineStr">
        <is>
          <t>1352-08-02</t>
        </is>
      </c>
    </row>
    <row r="12379">
      <c r="A12379" s="1" t="n">
        <v>12378</v>
      </c>
      <c r="B12379">
        <f>TEXT(12378, "[$-170000]yyyy-mm-dd")</f>
        <v/>
      </c>
      <c r="C12379">
        <f>TEXT(12378, "[$-060000]yyyy-mm-dd")</f>
        <v/>
      </c>
      <c r="D12379" t="inlineStr">
        <is>
          <t>1352-08-03</t>
        </is>
      </c>
    </row>
    <row r="12380">
      <c r="A12380" s="1" t="n">
        <v>12379</v>
      </c>
      <c r="B12380">
        <f>TEXT(12379, "[$-170000]yyyy-mm-dd")</f>
        <v/>
      </c>
      <c r="C12380">
        <f>TEXT(12379, "[$-060000]yyyy-mm-dd")</f>
        <v/>
      </c>
      <c r="D12380" t="inlineStr">
        <is>
          <t>1352-08-04</t>
        </is>
      </c>
    </row>
    <row r="12381">
      <c r="A12381" s="1" t="n">
        <v>12380</v>
      </c>
      <c r="B12381">
        <f>TEXT(12380, "[$-170000]yyyy-mm-dd")</f>
        <v/>
      </c>
      <c r="C12381">
        <f>TEXT(12380, "[$-060000]yyyy-mm-dd")</f>
        <v/>
      </c>
      <c r="D12381" t="inlineStr">
        <is>
          <t>1352-08-05</t>
        </is>
      </c>
    </row>
    <row r="12382">
      <c r="A12382" s="1" t="n">
        <v>12381</v>
      </c>
      <c r="B12382">
        <f>TEXT(12381, "[$-170000]yyyy-mm-dd")</f>
        <v/>
      </c>
      <c r="C12382">
        <f>TEXT(12381, "[$-060000]yyyy-mm-dd")</f>
        <v/>
      </c>
      <c r="D12382" t="inlineStr">
        <is>
          <t>1352-08-06</t>
        </is>
      </c>
    </row>
    <row r="12383">
      <c r="A12383" s="1" t="n">
        <v>12382</v>
      </c>
      <c r="B12383">
        <f>TEXT(12382, "[$-170000]yyyy-mm-dd")</f>
        <v/>
      </c>
      <c r="C12383">
        <f>TEXT(12382, "[$-060000]yyyy-mm-dd")</f>
        <v/>
      </c>
      <c r="D12383" t="inlineStr">
        <is>
          <t>1352-08-07</t>
        </is>
      </c>
    </row>
    <row r="12384">
      <c r="A12384" s="1" t="n">
        <v>12383</v>
      </c>
      <c r="B12384">
        <f>TEXT(12383, "[$-170000]yyyy-mm-dd")</f>
        <v/>
      </c>
      <c r="C12384">
        <f>TEXT(12383, "[$-060000]yyyy-mm-dd")</f>
        <v/>
      </c>
      <c r="D12384" t="inlineStr">
        <is>
          <t>1352-08-08</t>
        </is>
      </c>
    </row>
    <row r="12385">
      <c r="A12385" s="1" t="n">
        <v>12384</v>
      </c>
      <c r="B12385">
        <f>TEXT(12384, "[$-170000]yyyy-mm-dd")</f>
        <v/>
      </c>
      <c r="C12385">
        <f>TEXT(12384, "[$-060000]yyyy-mm-dd")</f>
        <v/>
      </c>
      <c r="D12385" t="inlineStr">
        <is>
          <t>1352-08-09</t>
        </is>
      </c>
    </row>
    <row r="12386">
      <c r="A12386" s="1" t="n">
        <v>12385</v>
      </c>
      <c r="B12386">
        <f>TEXT(12385, "[$-170000]yyyy-mm-dd")</f>
        <v/>
      </c>
      <c r="C12386">
        <f>TEXT(12385, "[$-060000]yyyy-mm-dd")</f>
        <v/>
      </c>
      <c r="D12386" t="inlineStr">
        <is>
          <t>1352-08-10</t>
        </is>
      </c>
    </row>
    <row r="12387">
      <c r="A12387" s="1" t="n">
        <v>12386</v>
      </c>
      <c r="B12387">
        <f>TEXT(12386, "[$-170000]yyyy-mm-dd")</f>
        <v/>
      </c>
      <c r="C12387">
        <f>TEXT(12386, "[$-060000]yyyy-mm-dd")</f>
        <v/>
      </c>
      <c r="D12387" t="inlineStr">
        <is>
          <t>1352-08-11</t>
        </is>
      </c>
    </row>
    <row r="12388">
      <c r="A12388" s="1" t="n">
        <v>12387</v>
      </c>
      <c r="B12388">
        <f>TEXT(12387, "[$-170000]yyyy-mm-dd")</f>
        <v/>
      </c>
      <c r="C12388">
        <f>TEXT(12387, "[$-060000]yyyy-mm-dd")</f>
        <v/>
      </c>
      <c r="D12388" t="inlineStr">
        <is>
          <t>1352-08-12</t>
        </is>
      </c>
    </row>
    <row r="12389">
      <c r="A12389" s="1" t="n">
        <v>12388</v>
      </c>
      <c r="B12389">
        <f>TEXT(12388, "[$-170000]yyyy-mm-dd")</f>
        <v/>
      </c>
      <c r="C12389">
        <f>TEXT(12388, "[$-060000]yyyy-mm-dd")</f>
        <v/>
      </c>
      <c r="D12389" t="inlineStr">
        <is>
          <t>1352-08-13</t>
        </is>
      </c>
    </row>
    <row r="12390">
      <c r="A12390" s="1" t="n">
        <v>12389</v>
      </c>
      <c r="B12390">
        <f>TEXT(12389, "[$-170000]yyyy-mm-dd")</f>
        <v/>
      </c>
      <c r="C12390">
        <f>TEXT(12389, "[$-060000]yyyy-mm-dd")</f>
        <v/>
      </c>
      <c r="D12390" t="inlineStr">
        <is>
          <t>1352-08-14</t>
        </is>
      </c>
    </row>
    <row r="12391">
      <c r="A12391" s="1" t="n">
        <v>12390</v>
      </c>
      <c r="B12391">
        <f>TEXT(12390, "[$-170000]yyyy-mm-dd")</f>
        <v/>
      </c>
      <c r="C12391">
        <f>TEXT(12390, "[$-060000]yyyy-mm-dd")</f>
        <v/>
      </c>
      <c r="D12391" t="inlineStr">
        <is>
          <t>1352-08-15</t>
        </is>
      </c>
    </row>
    <row r="12392">
      <c r="A12392" s="1" t="n">
        <v>12391</v>
      </c>
      <c r="B12392">
        <f>TEXT(12391, "[$-170000]yyyy-mm-dd")</f>
        <v/>
      </c>
      <c r="C12392">
        <f>TEXT(12391, "[$-060000]yyyy-mm-dd")</f>
        <v/>
      </c>
      <c r="D12392" t="inlineStr">
        <is>
          <t>1352-08-16</t>
        </is>
      </c>
    </row>
    <row r="12393">
      <c r="A12393" s="1" t="n">
        <v>12392</v>
      </c>
      <c r="B12393">
        <f>TEXT(12392, "[$-170000]yyyy-mm-dd")</f>
        <v/>
      </c>
      <c r="C12393">
        <f>TEXT(12392, "[$-060000]yyyy-mm-dd")</f>
        <v/>
      </c>
      <c r="D12393" t="inlineStr">
        <is>
          <t>1352-08-17</t>
        </is>
      </c>
    </row>
    <row r="12394">
      <c r="A12394" s="1" t="n">
        <v>12393</v>
      </c>
      <c r="B12394">
        <f>TEXT(12393, "[$-170000]yyyy-mm-dd")</f>
        <v/>
      </c>
      <c r="C12394">
        <f>TEXT(12393, "[$-060000]yyyy-mm-dd")</f>
        <v/>
      </c>
      <c r="D12394" t="inlineStr">
        <is>
          <t>1352-08-18</t>
        </is>
      </c>
    </row>
    <row r="12395">
      <c r="A12395" s="1" t="n">
        <v>12394</v>
      </c>
      <c r="B12395">
        <f>TEXT(12394, "[$-170000]yyyy-mm-dd")</f>
        <v/>
      </c>
      <c r="C12395">
        <f>TEXT(12394, "[$-060000]yyyy-mm-dd")</f>
        <v/>
      </c>
      <c r="D12395" t="inlineStr">
        <is>
          <t>1352-08-19</t>
        </is>
      </c>
    </row>
    <row r="12396">
      <c r="A12396" s="1" t="n">
        <v>12395</v>
      </c>
      <c r="B12396">
        <f>TEXT(12395, "[$-170000]yyyy-mm-dd")</f>
        <v/>
      </c>
      <c r="C12396">
        <f>TEXT(12395, "[$-060000]yyyy-mm-dd")</f>
        <v/>
      </c>
      <c r="D12396" t="inlineStr">
        <is>
          <t>1352-08-20</t>
        </is>
      </c>
    </row>
    <row r="12397">
      <c r="A12397" s="1" t="n">
        <v>12396</v>
      </c>
      <c r="B12397">
        <f>TEXT(12396, "[$-170000]yyyy-mm-dd")</f>
        <v/>
      </c>
      <c r="C12397">
        <f>TEXT(12396, "[$-060000]yyyy-mm-dd")</f>
        <v/>
      </c>
      <c r="D12397" t="inlineStr">
        <is>
          <t>1352-08-21</t>
        </is>
      </c>
    </row>
    <row r="12398">
      <c r="A12398" s="1" t="n">
        <v>12397</v>
      </c>
      <c r="B12398">
        <f>TEXT(12397, "[$-170000]yyyy-mm-dd")</f>
        <v/>
      </c>
      <c r="C12398">
        <f>TEXT(12397, "[$-060000]yyyy-mm-dd")</f>
        <v/>
      </c>
      <c r="D12398" t="inlineStr">
        <is>
          <t>1352-08-22</t>
        </is>
      </c>
    </row>
    <row r="12399">
      <c r="A12399" s="1" t="n">
        <v>12398</v>
      </c>
      <c r="B12399">
        <f>TEXT(12398, "[$-170000]yyyy-mm-dd")</f>
        <v/>
      </c>
      <c r="C12399">
        <f>TEXT(12398, "[$-060000]yyyy-mm-dd")</f>
        <v/>
      </c>
      <c r="D12399" t="inlineStr">
        <is>
          <t>1352-08-23</t>
        </is>
      </c>
    </row>
    <row r="12400">
      <c r="A12400" s="1" t="n">
        <v>12399</v>
      </c>
      <c r="B12400">
        <f>TEXT(12399, "[$-170000]yyyy-mm-dd")</f>
        <v/>
      </c>
      <c r="C12400">
        <f>TEXT(12399, "[$-060000]yyyy-mm-dd")</f>
        <v/>
      </c>
      <c r="D12400" t="inlineStr">
        <is>
          <t>1352-08-24</t>
        </is>
      </c>
    </row>
    <row r="12401">
      <c r="A12401" s="1" t="n">
        <v>12400</v>
      </c>
      <c r="B12401">
        <f>TEXT(12400, "[$-170000]yyyy-mm-dd")</f>
        <v/>
      </c>
      <c r="C12401">
        <f>TEXT(12400, "[$-060000]yyyy-mm-dd")</f>
        <v/>
      </c>
      <c r="D12401" t="inlineStr">
        <is>
          <t>1352-08-25</t>
        </is>
      </c>
    </row>
    <row r="12402">
      <c r="A12402" s="1" t="n">
        <v>12401</v>
      </c>
      <c r="B12402">
        <f>TEXT(12401, "[$-170000]yyyy-mm-dd")</f>
        <v/>
      </c>
      <c r="C12402">
        <f>TEXT(12401, "[$-060000]yyyy-mm-dd")</f>
        <v/>
      </c>
      <c r="D12402" t="inlineStr">
        <is>
          <t>1352-08-26</t>
        </is>
      </c>
    </row>
    <row r="12403">
      <c r="A12403" s="1" t="n">
        <v>12402</v>
      </c>
      <c r="B12403">
        <f>TEXT(12402, "[$-170000]yyyy-mm-dd")</f>
        <v/>
      </c>
      <c r="C12403">
        <f>TEXT(12402, "[$-060000]yyyy-mm-dd")</f>
        <v/>
      </c>
      <c r="D12403" t="inlineStr">
        <is>
          <t>1352-08-27</t>
        </is>
      </c>
    </row>
    <row r="12404">
      <c r="A12404" s="1" t="n">
        <v>12403</v>
      </c>
      <c r="B12404">
        <f>TEXT(12403, "[$-170000]yyyy-mm-dd")</f>
        <v/>
      </c>
      <c r="C12404">
        <f>TEXT(12403, "[$-060000]yyyy-mm-dd")</f>
        <v/>
      </c>
      <c r="D12404" t="inlineStr">
        <is>
          <t>1352-08-28</t>
        </is>
      </c>
    </row>
    <row r="12405">
      <c r="A12405" s="1" t="n">
        <v>12404</v>
      </c>
      <c r="B12405">
        <f>TEXT(12404, "[$-170000]yyyy-mm-dd")</f>
        <v/>
      </c>
      <c r="C12405">
        <f>TEXT(12404, "[$-060000]yyyy-mm-dd")</f>
        <v/>
      </c>
      <c r="D12405" t="inlineStr">
        <is>
          <t>1352-08-29</t>
        </is>
      </c>
    </row>
    <row r="12406">
      <c r="A12406" s="1" t="n">
        <v>12405</v>
      </c>
      <c r="B12406">
        <f>TEXT(12405, "[$-170000]yyyy-mm-dd")</f>
        <v/>
      </c>
      <c r="C12406">
        <f>TEXT(12405, "[$-060000]yyyy-mm-dd")</f>
        <v/>
      </c>
      <c r="D12406" t="inlineStr">
        <is>
          <t>1352-09-01</t>
        </is>
      </c>
    </row>
    <row r="12407">
      <c r="A12407" s="1" t="n">
        <v>12406</v>
      </c>
      <c r="B12407">
        <f>TEXT(12406, "[$-170000]yyyy-mm-dd")</f>
        <v/>
      </c>
      <c r="C12407">
        <f>TEXT(12406, "[$-060000]yyyy-mm-dd")</f>
        <v/>
      </c>
      <c r="D12407" t="inlineStr">
        <is>
          <t>1352-09-02</t>
        </is>
      </c>
    </row>
    <row r="12408">
      <c r="A12408" s="1" t="n">
        <v>12407</v>
      </c>
      <c r="B12408">
        <f>TEXT(12407, "[$-170000]yyyy-mm-dd")</f>
        <v/>
      </c>
      <c r="C12408">
        <f>TEXT(12407, "[$-060000]yyyy-mm-dd")</f>
        <v/>
      </c>
      <c r="D12408" t="inlineStr">
        <is>
          <t>1352-09-03</t>
        </is>
      </c>
    </row>
    <row r="12409">
      <c r="A12409" s="1" t="n">
        <v>12408</v>
      </c>
      <c r="B12409">
        <f>TEXT(12408, "[$-170000]yyyy-mm-dd")</f>
        <v/>
      </c>
      <c r="C12409">
        <f>TEXT(12408, "[$-060000]yyyy-mm-dd")</f>
        <v/>
      </c>
      <c r="D12409" t="inlineStr">
        <is>
          <t>1352-09-04</t>
        </is>
      </c>
    </row>
    <row r="12410">
      <c r="A12410" s="1" t="n">
        <v>12409</v>
      </c>
      <c r="B12410">
        <f>TEXT(12409, "[$-170000]yyyy-mm-dd")</f>
        <v/>
      </c>
      <c r="C12410">
        <f>TEXT(12409, "[$-060000]yyyy-mm-dd")</f>
        <v/>
      </c>
      <c r="D12410" t="inlineStr">
        <is>
          <t>1352-09-05</t>
        </is>
      </c>
    </row>
    <row r="12411">
      <c r="A12411" s="1" t="n">
        <v>12410</v>
      </c>
      <c r="B12411">
        <f>TEXT(12410, "[$-170000]yyyy-mm-dd")</f>
        <v/>
      </c>
      <c r="C12411">
        <f>TEXT(12410, "[$-060000]yyyy-mm-dd")</f>
        <v/>
      </c>
      <c r="D12411" t="inlineStr">
        <is>
          <t>1352-09-06</t>
        </is>
      </c>
    </row>
    <row r="12412">
      <c r="A12412" s="1" t="n">
        <v>12411</v>
      </c>
      <c r="B12412">
        <f>TEXT(12411, "[$-170000]yyyy-mm-dd")</f>
        <v/>
      </c>
      <c r="C12412">
        <f>TEXT(12411, "[$-060000]yyyy-mm-dd")</f>
        <v/>
      </c>
      <c r="D12412" t="inlineStr">
        <is>
          <t>1352-09-07</t>
        </is>
      </c>
    </row>
    <row r="12413">
      <c r="A12413" s="1" t="n">
        <v>12412</v>
      </c>
      <c r="B12413">
        <f>TEXT(12412, "[$-170000]yyyy-mm-dd")</f>
        <v/>
      </c>
      <c r="C12413">
        <f>TEXT(12412, "[$-060000]yyyy-mm-dd")</f>
        <v/>
      </c>
      <c r="D12413" t="inlineStr">
        <is>
          <t>1352-09-08</t>
        </is>
      </c>
    </row>
    <row r="12414">
      <c r="A12414" s="1" t="n">
        <v>12413</v>
      </c>
      <c r="B12414">
        <f>TEXT(12413, "[$-170000]yyyy-mm-dd")</f>
        <v/>
      </c>
      <c r="C12414">
        <f>TEXT(12413, "[$-060000]yyyy-mm-dd")</f>
        <v/>
      </c>
      <c r="D12414" t="inlineStr">
        <is>
          <t>1352-09-09</t>
        </is>
      </c>
    </row>
    <row r="12415">
      <c r="A12415" s="1" t="n">
        <v>12414</v>
      </c>
      <c r="B12415">
        <f>TEXT(12414, "[$-170000]yyyy-mm-dd")</f>
        <v/>
      </c>
      <c r="C12415">
        <f>TEXT(12414, "[$-060000]yyyy-mm-dd")</f>
        <v/>
      </c>
      <c r="D12415" t="inlineStr">
        <is>
          <t>1352-09-10</t>
        </is>
      </c>
    </row>
    <row r="12416">
      <c r="A12416" s="1" t="n">
        <v>12415</v>
      </c>
      <c r="B12416">
        <f>TEXT(12415, "[$-170000]yyyy-mm-dd")</f>
        <v/>
      </c>
      <c r="C12416">
        <f>TEXT(12415, "[$-060000]yyyy-mm-dd")</f>
        <v/>
      </c>
      <c r="D12416" t="inlineStr">
        <is>
          <t>1352-09-11</t>
        </is>
      </c>
    </row>
    <row r="12417">
      <c r="A12417" s="1" t="n">
        <v>12416</v>
      </c>
      <c r="B12417">
        <f>TEXT(12416, "[$-170000]yyyy-mm-dd")</f>
        <v/>
      </c>
      <c r="C12417">
        <f>TEXT(12416, "[$-060000]yyyy-mm-dd")</f>
        <v/>
      </c>
      <c r="D12417" t="inlineStr">
        <is>
          <t>1352-09-12</t>
        </is>
      </c>
    </row>
    <row r="12418">
      <c r="A12418" s="1" t="n">
        <v>12417</v>
      </c>
      <c r="B12418">
        <f>TEXT(12417, "[$-170000]yyyy-mm-dd")</f>
        <v/>
      </c>
      <c r="C12418">
        <f>TEXT(12417, "[$-060000]yyyy-mm-dd")</f>
        <v/>
      </c>
      <c r="D12418" t="inlineStr">
        <is>
          <t>1352-09-13</t>
        </is>
      </c>
    </row>
    <row r="12419">
      <c r="A12419" s="1" t="n">
        <v>12418</v>
      </c>
      <c r="B12419">
        <f>TEXT(12418, "[$-170000]yyyy-mm-dd")</f>
        <v/>
      </c>
      <c r="C12419">
        <f>TEXT(12418, "[$-060000]yyyy-mm-dd")</f>
        <v/>
      </c>
      <c r="D12419" t="inlineStr">
        <is>
          <t>1352-09-14</t>
        </is>
      </c>
    </row>
    <row r="12420">
      <c r="A12420" s="1" t="n">
        <v>12419</v>
      </c>
      <c r="B12420">
        <f>TEXT(12419, "[$-170000]yyyy-mm-dd")</f>
        <v/>
      </c>
      <c r="C12420">
        <f>TEXT(12419, "[$-060000]yyyy-mm-dd")</f>
        <v/>
      </c>
      <c r="D12420" t="inlineStr">
        <is>
          <t>1352-09-15</t>
        </is>
      </c>
    </row>
    <row r="12421">
      <c r="A12421" s="1" t="n">
        <v>12420</v>
      </c>
      <c r="B12421">
        <f>TEXT(12420, "[$-170000]yyyy-mm-dd")</f>
        <v/>
      </c>
      <c r="C12421">
        <f>TEXT(12420, "[$-060000]yyyy-mm-dd")</f>
        <v/>
      </c>
      <c r="D12421" t="inlineStr">
        <is>
          <t>1352-09-16</t>
        </is>
      </c>
    </row>
    <row r="12422">
      <c r="A12422" s="1" t="n">
        <v>12421</v>
      </c>
      <c r="B12422">
        <f>TEXT(12421, "[$-170000]yyyy-mm-dd")</f>
        <v/>
      </c>
      <c r="C12422">
        <f>TEXT(12421, "[$-060000]yyyy-mm-dd")</f>
        <v/>
      </c>
      <c r="D12422" t="inlineStr">
        <is>
          <t>1352-09-17</t>
        </is>
      </c>
    </row>
    <row r="12423">
      <c r="A12423" s="1" t="n">
        <v>12422</v>
      </c>
      <c r="B12423">
        <f>TEXT(12422, "[$-170000]yyyy-mm-dd")</f>
        <v/>
      </c>
      <c r="C12423">
        <f>TEXT(12422, "[$-060000]yyyy-mm-dd")</f>
        <v/>
      </c>
      <c r="D12423" t="inlineStr">
        <is>
          <t>1352-09-18</t>
        </is>
      </c>
    </row>
    <row r="12424">
      <c r="A12424" s="1" t="n">
        <v>12423</v>
      </c>
      <c r="B12424">
        <f>TEXT(12423, "[$-170000]yyyy-mm-dd")</f>
        <v/>
      </c>
      <c r="C12424">
        <f>TEXT(12423, "[$-060000]yyyy-mm-dd")</f>
        <v/>
      </c>
      <c r="D12424" t="inlineStr">
        <is>
          <t>1352-09-19</t>
        </is>
      </c>
    </row>
    <row r="12425">
      <c r="A12425" s="1" t="n">
        <v>12424</v>
      </c>
      <c r="B12425">
        <f>TEXT(12424, "[$-170000]yyyy-mm-dd")</f>
        <v/>
      </c>
      <c r="C12425">
        <f>TEXT(12424, "[$-060000]yyyy-mm-dd")</f>
        <v/>
      </c>
      <c r="D12425" t="inlineStr">
        <is>
          <t>1352-09-20</t>
        </is>
      </c>
    </row>
    <row r="12426">
      <c r="A12426" s="1" t="n">
        <v>12425</v>
      </c>
      <c r="B12426">
        <f>TEXT(12425, "[$-170000]yyyy-mm-dd")</f>
        <v/>
      </c>
      <c r="C12426">
        <f>TEXT(12425, "[$-060000]yyyy-mm-dd")</f>
        <v/>
      </c>
      <c r="D12426" t="inlineStr">
        <is>
          <t>1352-09-21</t>
        </is>
      </c>
    </row>
    <row r="12427">
      <c r="A12427" s="1" t="n">
        <v>12426</v>
      </c>
      <c r="B12427">
        <f>TEXT(12426, "[$-170000]yyyy-mm-dd")</f>
        <v/>
      </c>
      <c r="C12427">
        <f>TEXT(12426, "[$-060000]yyyy-mm-dd")</f>
        <v/>
      </c>
      <c r="D12427" t="inlineStr">
        <is>
          <t>1352-09-22</t>
        </is>
      </c>
    </row>
    <row r="12428">
      <c r="A12428" s="1" t="n">
        <v>12427</v>
      </c>
      <c r="B12428">
        <f>TEXT(12427, "[$-170000]yyyy-mm-dd")</f>
        <v/>
      </c>
      <c r="C12428">
        <f>TEXT(12427, "[$-060000]yyyy-mm-dd")</f>
        <v/>
      </c>
      <c r="D12428" t="inlineStr">
        <is>
          <t>1352-09-23</t>
        </is>
      </c>
    </row>
    <row r="12429">
      <c r="A12429" s="1" t="n">
        <v>12428</v>
      </c>
      <c r="B12429">
        <f>TEXT(12428, "[$-170000]yyyy-mm-dd")</f>
        <v/>
      </c>
      <c r="C12429">
        <f>TEXT(12428, "[$-060000]yyyy-mm-dd")</f>
        <v/>
      </c>
      <c r="D12429" t="inlineStr">
        <is>
          <t>1352-09-24</t>
        </is>
      </c>
    </row>
    <row r="12430">
      <c r="A12430" s="1" t="n">
        <v>12429</v>
      </c>
      <c r="B12430">
        <f>TEXT(12429, "[$-170000]yyyy-mm-dd")</f>
        <v/>
      </c>
      <c r="C12430">
        <f>TEXT(12429, "[$-060000]yyyy-mm-dd")</f>
        <v/>
      </c>
      <c r="D12430" t="inlineStr">
        <is>
          <t>1352-09-25</t>
        </is>
      </c>
    </row>
    <row r="12431">
      <c r="A12431" s="1" t="n">
        <v>12430</v>
      </c>
      <c r="B12431">
        <f>TEXT(12430, "[$-170000]yyyy-mm-dd")</f>
        <v/>
      </c>
      <c r="C12431">
        <f>TEXT(12430, "[$-060000]yyyy-mm-dd")</f>
        <v/>
      </c>
      <c r="D12431" t="inlineStr">
        <is>
          <t>1352-09-26</t>
        </is>
      </c>
    </row>
    <row r="12432">
      <c r="A12432" s="1" t="n">
        <v>12431</v>
      </c>
      <c r="B12432">
        <f>TEXT(12431, "[$-170000]yyyy-mm-dd")</f>
        <v/>
      </c>
      <c r="C12432">
        <f>TEXT(12431, "[$-060000]yyyy-mm-dd")</f>
        <v/>
      </c>
      <c r="D12432" t="inlineStr">
        <is>
          <t>1352-09-27</t>
        </is>
      </c>
    </row>
    <row r="12433">
      <c r="A12433" s="1" t="n">
        <v>12432</v>
      </c>
      <c r="B12433">
        <f>TEXT(12432, "[$-170000]yyyy-mm-dd")</f>
        <v/>
      </c>
      <c r="C12433">
        <f>TEXT(12432, "[$-060000]yyyy-mm-dd")</f>
        <v/>
      </c>
      <c r="D12433" t="inlineStr">
        <is>
          <t>1352-09-28</t>
        </is>
      </c>
    </row>
    <row r="12434">
      <c r="A12434" s="1" t="n">
        <v>12433</v>
      </c>
      <c r="B12434">
        <f>TEXT(12433, "[$-170000]yyyy-mm-dd")</f>
        <v/>
      </c>
      <c r="C12434">
        <f>TEXT(12433, "[$-060000]yyyy-mm-dd")</f>
        <v/>
      </c>
      <c r="D12434" t="inlineStr">
        <is>
          <t>1352-09-29</t>
        </is>
      </c>
    </row>
    <row r="12435">
      <c r="A12435" s="1" t="n">
        <v>12434</v>
      </c>
      <c r="B12435">
        <f>TEXT(12434, "[$-170000]yyyy-mm-dd")</f>
        <v/>
      </c>
      <c r="C12435">
        <f>TEXT(12434, "[$-060000]yyyy-mm-dd")</f>
        <v/>
      </c>
      <c r="D12435" t="inlineStr">
        <is>
          <t>1352-09-30</t>
        </is>
      </c>
    </row>
    <row r="12436">
      <c r="A12436" s="1" t="n">
        <v>12435</v>
      </c>
      <c r="B12436">
        <f>TEXT(12435, "[$-170000]yyyy-mm-dd")</f>
        <v/>
      </c>
      <c r="C12436">
        <f>TEXT(12435, "[$-060000]yyyy-mm-dd")</f>
        <v/>
      </c>
      <c r="D12436" t="inlineStr">
        <is>
          <t>1352-10-01</t>
        </is>
      </c>
    </row>
    <row r="12437">
      <c r="A12437" s="1" t="n">
        <v>12436</v>
      </c>
      <c r="B12437">
        <f>TEXT(12436, "[$-170000]yyyy-mm-dd")</f>
        <v/>
      </c>
      <c r="C12437">
        <f>TEXT(12436, "[$-060000]yyyy-mm-dd")</f>
        <v/>
      </c>
      <c r="D12437" t="inlineStr">
        <is>
          <t>1352-10-02</t>
        </is>
      </c>
    </row>
    <row r="12438">
      <c r="A12438" s="1" t="n">
        <v>12437</v>
      </c>
      <c r="B12438">
        <f>TEXT(12437, "[$-170000]yyyy-mm-dd")</f>
        <v/>
      </c>
      <c r="C12438">
        <f>TEXT(12437, "[$-060000]yyyy-mm-dd")</f>
        <v/>
      </c>
      <c r="D12438" t="inlineStr">
        <is>
          <t>1352-10-03</t>
        </is>
      </c>
    </row>
    <row r="12439">
      <c r="A12439" s="1" t="n">
        <v>12438</v>
      </c>
      <c r="B12439">
        <f>TEXT(12438, "[$-170000]yyyy-mm-dd")</f>
        <v/>
      </c>
      <c r="C12439">
        <f>TEXT(12438, "[$-060000]yyyy-mm-dd")</f>
        <v/>
      </c>
      <c r="D12439" t="inlineStr">
        <is>
          <t>1352-10-04</t>
        </is>
      </c>
    </row>
    <row r="12440">
      <c r="A12440" s="1" t="n">
        <v>12439</v>
      </c>
      <c r="B12440">
        <f>TEXT(12439, "[$-170000]yyyy-mm-dd")</f>
        <v/>
      </c>
      <c r="C12440">
        <f>TEXT(12439, "[$-060000]yyyy-mm-dd")</f>
        <v/>
      </c>
      <c r="D12440" t="inlineStr">
        <is>
          <t>1352-10-05</t>
        </is>
      </c>
    </row>
    <row r="12441">
      <c r="A12441" s="1" t="n">
        <v>12440</v>
      </c>
      <c r="B12441">
        <f>TEXT(12440, "[$-170000]yyyy-mm-dd")</f>
        <v/>
      </c>
      <c r="C12441">
        <f>TEXT(12440, "[$-060000]yyyy-mm-dd")</f>
        <v/>
      </c>
      <c r="D12441" t="inlineStr">
        <is>
          <t>1352-10-06</t>
        </is>
      </c>
    </row>
    <row r="12442">
      <c r="A12442" s="1" t="n">
        <v>12441</v>
      </c>
      <c r="B12442">
        <f>TEXT(12441, "[$-170000]yyyy-mm-dd")</f>
        <v/>
      </c>
      <c r="C12442">
        <f>TEXT(12441, "[$-060000]yyyy-mm-dd")</f>
        <v/>
      </c>
      <c r="D12442" t="inlineStr">
        <is>
          <t>1352-10-07</t>
        </is>
      </c>
    </row>
    <row r="12443">
      <c r="A12443" s="1" t="n">
        <v>12442</v>
      </c>
      <c r="B12443">
        <f>TEXT(12442, "[$-170000]yyyy-mm-dd")</f>
        <v/>
      </c>
      <c r="C12443">
        <f>TEXT(12442, "[$-060000]yyyy-mm-dd")</f>
        <v/>
      </c>
      <c r="D12443" t="inlineStr">
        <is>
          <t>1352-10-08</t>
        </is>
      </c>
    </row>
    <row r="12444">
      <c r="A12444" s="1" t="n">
        <v>12443</v>
      </c>
      <c r="B12444">
        <f>TEXT(12443, "[$-170000]yyyy-mm-dd")</f>
        <v/>
      </c>
      <c r="C12444">
        <f>TEXT(12443, "[$-060000]yyyy-mm-dd")</f>
        <v/>
      </c>
      <c r="D12444" t="inlineStr">
        <is>
          <t>1352-10-09</t>
        </is>
      </c>
    </row>
    <row r="12445">
      <c r="A12445" s="1" t="n">
        <v>12444</v>
      </c>
      <c r="B12445">
        <f>TEXT(12444, "[$-170000]yyyy-mm-dd")</f>
        <v/>
      </c>
      <c r="C12445">
        <f>TEXT(12444, "[$-060000]yyyy-mm-dd")</f>
        <v/>
      </c>
      <c r="D12445" t="inlineStr">
        <is>
          <t>1352-10-10</t>
        </is>
      </c>
    </row>
    <row r="12446">
      <c r="A12446" s="1" t="n">
        <v>12445</v>
      </c>
      <c r="B12446">
        <f>TEXT(12445, "[$-170000]yyyy-mm-dd")</f>
        <v/>
      </c>
      <c r="C12446">
        <f>TEXT(12445, "[$-060000]yyyy-mm-dd")</f>
        <v/>
      </c>
      <c r="D12446" t="inlineStr">
        <is>
          <t>1352-10-11</t>
        </is>
      </c>
    </row>
    <row r="12447">
      <c r="A12447" s="1" t="n">
        <v>12446</v>
      </c>
      <c r="B12447">
        <f>TEXT(12446, "[$-170000]yyyy-mm-dd")</f>
        <v/>
      </c>
      <c r="C12447">
        <f>TEXT(12446, "[$-060000]yyyy-mm-dd")</f>
        <v/>
      </c>
      <c r="D12447" t="inlineStr">
        <is>
          <t>1352-10-12</t>
        </is>
      </c>
    </row>
    <row r="12448">
      <c r="A12448" s="1" t="n">
        <v>12447</v>
      </c>
      <c r="B12448">
        <f>TEXT(12447, "[$-170000]yyyy-mm-dd")</f>
        <v/>
      </c>
      <c r="C12448">
        <f>TEXT(12447, "[$-060000]yyyy-mm-dd")</f>
        <v/>
      </c>
      <c r="D12448" t="inlineStr">
        <is>
          <t>1352-10-13</t>
        </is>
      </c>
    </row>
    <row r="12449">
      <c r="A12449" s="1" t="n">
        <v>12448</v>
      </c>
      <c r="B12449">
        <f>TEXT(12448, "[$-170000]yyyy-mm-dd")</f>
        <v/>
      </c>
      <c r="C12449">
        <f>TEXT(12448, "[$-060000]yyyy-mm-dd")</f>
        <v/>
      </c>
      <c r="D12449" t="inlineStr">
        <is>
          <t>1352-10-14</t>
        </is>
      </c>
    </row>
    <row r="12450">
      <c r="A12450" s="1" t="n">
        <v>12449</v>
      </c>
      <c r="B12450">
        <f>TEXT(12449, "[$-170000]yyyy-mm-dd")</f>
        <v/>
      </c>
      <c r="C12450">
        <f>TEXT(12449, "[$-060000]yyyy-mm-dd")</f>
        <v/>
      </c>
      <c r="D12450" t="inlineStr">
        <is>
          <t>1352-10-15</t>
        </is>
      </c>
    </row>
    <row r="12451">
      <c r="A12451" s="1" t="n">
        <v>12450</v>
      </c>
      <c r="B12451">
        <f>TEXT(12450, "[$-170000]yyyy-mm-dd")</f>
        <v/>
      </c>
      <c r="C12451">
        <f>TEXT(12450, "[$-060000]yyyy-mm-dd")</f>
        <v/>
      </c>
      <c r="D12451" t="inlineStr">
        <is>
          <t>1352-10-16</t>
        </is>
      </c>
    </row>
    <row r="12452">
      <c r="A12452" s="1" t="n">
        <v>12451</v>
      </c>
      <c r="B12452">
        <f>TEXT(12451, "[$-170000]yyyy-mm-dd")</f>
        <v/>
      </c>
      <c r="C12452">
        <f>TEXT(12451, "[$-060000]yyyy-mm-dd")</f>
        <v/>
      </c>
      <c r="D12452" t="inlineStr">
        <is>
          <t>1352-10-17</t>
        </is>
      </c>
    </row>
    <row r="12453">
      <c r="A12453" s="1" t="n">
        <v>12452</v>
      </c>
      <c r="B12453">
        <f>TEXT(12452, "[$-170000]yyyy-mm-dd")</f>
        <v/>
      </c>
      <c r="C12453">
        <f>TEXT(12452, "[$-060000]yyyy-mm-dd")</f>
        <v/>
      </c>
      <c r="D12453" t="inlineStr">
        <is>
          <t>1352-10-18</t>
        </is>
      </c>
    </row>
    <row r="12454">
      <c r="A12454" s="1" t="n">
        <v>12453</v>
      </c>
      <c r="B12454">
        <f>TEXT(12453, "[$-170000]yyyy-mm-dd")</f>
        <v/>
      </c>
      <c r="C12454">
        <f>TEXT(12453, "[$-060000]yyyy-mm-dd")</f>
        <v/>
      </c>
      <c r="D12454" t="inlineStr">
        <is>
          <t>1352-10-19</t>
        </is>
      </c>
    </row>
    <row r="12455">
      <c r="A12455" s="1" t="n">
        <v>12454</v>
      </c>
      <c r="B12455">
        <f>TEXT(12454, "[$-170000]yyyy-mm-dd")</f>
        <v/>
      </c>
      <c r="C12455">
        <f>TEXT(12454, "[$-060000]yyyy-mm-dd")</f>
        <v/>
      </c>
      <c r="D12455" t="inlineStr">
        <is>
          <t>1352-10-20</t>
        </is>
      </c>
    </row>
    <row r="12456">
      <c r="A12456" s="1" t="n">
        <v>12455</v>
      </c>
      <c r="B12456">
        <f>TEXT(12455, "[$-170000]yyyy-mm-dd")</f>
        <v/>
      </c>
      <c r="C12456">
        <f>TEXT(12455, "[$-060000]yyyy-mm-dd")</f>
        <v/>
      </c>
      <c r="D12456" t="inlineStr">
        <is>
          <t>1352-10-21</t>
        </is>
      </c>
    </row>
    <row r="12457">
      <c r="A12457" s="1" t="n">
        <v>12456</v>
      </c>
      <c r="B12457">
        <f>TEXT(12456, "[$-170000]yyyy-mm-dd")</f>
        <v/>
      </c>
      <c r="C12457">
        <f>TEXT(12456, "[$-060000]yyyy-mm-dd")</f>
        <v/>
      </c>
      <c r="D12457" t="inlineStr">
        <is>
          <t>1352-10-22</t>
        </is>
      </c>
    </row>
    <row r="12458">
      <c r="A12458" s="1" t="n">
        <v>12457</v>
      </c>
      <c r="B12458">
        <f>TEXT(12457, "[$-170000]yyyy-mm-dd")</f>
        <v/>
      </c>
      <c r="C12458">
        <f>TEXT(12457, "[$-060000]yyyy-mm-dd")</f>
        <v/>
      </c>
      <c r="D12458" t="inlineStr">
        <is>
          <t>1352-10-23</t>
        </is>
      </c>
    </row>
    <row r="12459">
      <c r="A12459" s="1" t="n">
        <v>12458</v>
      </c>
      <c r="B12459">
        <f>TEXT(12458, "[$-170000]yyyy-mm-dd")</f>
        <v/>
      </c>
      <c r="C12459">
        <f>TEXT(12458, "[$-060000]yyyy-mm-dd")</f>
        <v/>
      </c>
      <c r="D12459" t="inlineStr">
        <is>
          <t>1352-10-24</t>
        </is>
      </c>
    </row>
    <row r="12460">
      <c r="A12460" s="1" t="n">
        <v>12459</v>
      </c>
      <c r="B12460">
        <f>TEXT(12459, "[$-170000]yyyy-mm-dd")</f>
        <v/>
      </c>
      <c r="C12460">
        <f>TEXT(12459, "[$-060000]yyyy-mm-dd")</f>
        <v/>
      </c>
      <c r="D12460" t="inlineStr">
        <is>
          <t>1352-10-25</t>
        </is>
      </c>
    </row>
    <row r="12461">
      <c r="A12461" s="1" t="n">
        <v>12460</v>
      </c>
      <c r="B12461">
        <f>TEXT(12460, "[$-170000]yyyy-mm-dd")</f>
        <v/>
      </c>
      <c r="C12461">
        <f>TEXT(12460, "[$-060000]yyyy-mm-dd")</f>
        <v/>
      </c>
      <c r="D12461" t="inlineStr">
        <is>
          <t>1352-10-26</t>
        </is>
      </c>
    </row>
    <row r="12462">
      <c r="A12462" s="1" t="n">
        <v>12461</v>
      </c>
      <c r="B12462">
        <f>TEXT(12461, "[$-170000]yyyy-mm-dd")</f>
        <v/>
      </c>
      <c r="C12462">
        <f>TEXT(12461, "[$-060000]yyyy-mm-dd")</f>
        <v/>
      </c>
      <c r="D12462" t="inlineStr">
        <is>
          <t>1352-10-27</t>
        </is>
      </c>
    </row>
    <row r="12463">
      <c r="A12463" s="1" t="n">
        <v>12462</v>
      </c>
      <c r="B12463">
        <f>TEXT(12462, "[$-170000]yyyy-mm-dd")</f>
        <v/>
      </c>
      <c r="C12463">
        <f>TEXT(12462, "[$-060000]yyyy-mm-dd")</f>
        <v/>
      </c>
      <c r="D12463" t="inlineStr">
        <is>
          <t>1352-10-28</t>
        </is>
      </c>
    </row>
    <row r="12464">
      <c r="A12464" s="1" t="n">
        <v>12463</v>
      </c>
      <c r="B12464">
        <f>TEXT(12463, "[$-170000]yyyy-mm-dd")</f>
        <v/>
      </c>
      <c r="C12464">
        <f>TEXT(12463, "[$-060000]yyyy-mm-dd")</f>
        <v/>
      </c>
      <c r="D12464" t="inlineStr">
        <is>
          <t>1352-10-29</t>
        </is>
      </c>
    </row>
    <row r="12465">
      <c r="A12465" s="1" t="n">
        <v>12464</v>
      </c>
      <c r="B12465">
        <f>TEXT(12464, "[$-170000]yyyy-mm-dd")</f>
        <v/>
      </c>
      <c r="C12465">
        <f>TEXT(12464, "[$-060000]yyyy-mm-dd")</f>
        <v/>
      </c>
      <c r="D12465" t="inlineStr">
        <is>
          <t>1352-11-01</t>
        </is>
      </c>
    </row>
    <row r="12466">
      <c r="A12466" s="1" t="n">
        <v>12465</v>
      </c>
      <c r="B12466">
        <f>TEXT(12465, "[$-170000]yyyy-mm-dd")</f>
        <v/>
      </c>
      <c r="C12466">
        <f>TEXT(12465, "[$-060000]yyyy-mm-dd")</f>
        <v/>
      </c>
      <c r="D12466" t="inlineStr">
        <is>
          <t>1352-11-02</t>
        </is>
      </c>
    </row>
    <row r="12467">
      <c r="A12467" s="1" t="n">
        <v>12466</v>
      </c>
      <c r="B12467">
        <f>TEXT(12466, "[$-170000]yyyy-mm-dd")</f>
        <v/>
      </c>
      <c r="C12467">
        <f>TEXT(12466, "[$-060000]yyyy-mm-dd")</f>
        <v/>
      </c>
      <c r="D12467" t="inlineStr">
        <is>
          <t>1352-11-03</t>
        </is>
      </c>
    </row>
    <row r="12468">
      <c r="A12468" s="1" t="n">
        <v>12467</v>
      </c>
      <c r="B12468">
        <f>TEXT(12467, "[$-170000]yyyy-mm-dd")</f>
        <v/>
      </c>
      <c r="C12468">
        <f>TEXT(12467, "[$-060000]yyyy-mm-dd")</f>
        <v/>
      </c>
      <c r="D12468" t="inlineStr">
        <is>
          <t>1352-11-04</t>
        </is>
      </c>
    </row>
    <row r="12469">
      <c r="A12469" s="1" t="n">
        <v>12468</v>
      </c>
      <c r="B12469">
        <f>TEXT(12468, "[$-170000]yyyy-mm-dd")</f>
        <v/>
      </c>
      <c r="C12469">
        <f>TEXT(12468, "[$-060000]yyyy-mm-dd")</f>
        <v/>
      </c>
      <c r="D12469" t="inlineStr">
        <is>
          <t>1352-11-05</t>
        </is>
      </c>
    </row>
    <row r="12470">
      <c r="A12470" s="1" t="n">
        <v>12469</v>
      </c>
      <c r="B12470">
        <f>TEXT(12469, "[$-170000]yyyy-mm-dd")</f>
        <v/>
      </c>
      <c r="C12470">
        <f>TEXT(12469, "[$-060000]yyyy-mm-dd")</f>
        <v/>
      </c>
      <c r="D12470" t="inlineStr">
        <is>
          <t>1352-11-06</t>
        </is>
      </c>
    </row>
    <row r="12471">
      <c r="A12471" s="1" t="n">
        <v>12470</v>
      </c>
      <c r="B12471">
        <f>TEXT(12470, "[$-170000]yyyy-mm-dd")</f>
        <v/>
      </c>
      <c r="C12471">
        <f>TEXT(12470, "[$-060000]yyyy-mm-dd")</f>
        <v/>
      </c>
      <c r="D12471" t="inlineStr">
        <is>
          <t>1352-11-07</t>
        </is>
      </c>
    </row>
    <row r="12472">
      <c r="A12472" s="1" t="n">
        <v>12471</v>
      </c>
      <c r="B12472">
        <f>TEXT(12471, "[$-170000]yyyy-mm-dd")</f>
        <v/>
      </c>
      <c r="C12472">
        <f>TEXT(12471, "[$-060000]yyyy-mm-dd")</f>
        <v/>
      </c>
      <c r="D12472" t="inlineStr">
        <is>
          <t>1352-11-08</t>
        </is>
      </c>
    </row>
    <row r="12473">
      <c r="A12473" s="1" t="n">
        <v>12472</v>
      </c>
      <c r="B12473">
        <f>TEXT(12472, "[$-170000]yyyy-mm-dd")</f>
        <v/>
      </c>
      <c r="C12473">
        <f>TEXT(12472, "[$-060000]yyyy-mm-dd")</f>
        <v/>
      </c>
      <c r="D12473" t="inlineStr">
        <is>
          <t>1352-11-09</t>
        </is>
      </c>
    </row>
    <row r="12474">
      <c r="A12474" s="1" t="n">
        <v>12473</v>
      </c>
      <c r="B12474">
        <f>TEXT(12473, "[$-170000]yyyy-mm-dd")</f>
        <v/>
      </c>
      <c r="C12474">
        <f>TEXT(12473, "[$-060000]yyyy-mm-dd")</f>
        <v/>
      </c>
      <c r="D12474" t="inlineStr">
        <is>
          <t>1352-11-10</t>
        </is>
      </c>
    </row>
    <row r="12475">
      <c r="A12475" s="1" t="n">
        <v>12474</v>
      </c>
      <c r="B12475">
        <f>TEXT(12474, "[$-170000]yyyy-mm-dd")</f>
        <v/>
      </c>
      <c r="C12475">
        <f>TEXT(12474, "[$-060000]yyyy-mm-dd")</f>
        <v/>
      </c>
      <c r="D12475" t="inlineStr">
        <is>
          <t>1352-11-11</t>
        </is>
      </c>
    </row>
    <row r="12476">
      <c r="A12476" s="1" t="n">
        <v>12475</v>
      </c>
      <c r="B12476">
        <f>TEXT(12475, "[$-170000]yyyy-mm-dd")</f>
        <v/>
      </c>
      <c r="C12476">
        <f>TEXT(12475, "[$-060000]yyyy-mm-dd")</f>
        <v/>
      </c>
      <c r="D12476" t="inlineStr">
        <is>
          <t>1352-11-12</t>
        </is>
      </c>
    </row>
    <row r="12477">
      <c r="A12477" s="1" t="n">
        <v>12476</v>
      </c>
      <c r="B12477">
        <f>TEXT(12476, "[$-170000]yyyy-mm-dd")</f>
        <v/>
      </c>
      <c r="C12477">
        <f>TEXT(12476, "[$-060000]yyyy-mm-dd")</f>
        <v/>
      </c>
      <c r="D12477" t="inlineStr">
        <is>
          <t>1352-11-13</t>
        </is>
      </c>
    </row>
    <row r="12478">
      <c r="A12478" s="1" t="n">
        <v>12477</v>
      </c>
      <c r="B12478">
        <f>TEXT(12477, "[$-170000]yyyy-mm-dd")</f>
        <v/>
      </c>
      <c r="C12478">
        <f>TEXT(12477, "[$-060000]yyyy-mm-dd")</f>
        <v/>
      </c>
      <c r="D12478" t="inlineStr">
        <is>
          <t>1352-11-14</t>
        </is>
      </c>
    </row>
    <row r="12479">
      <c r="A12479" s="1" t="n">
        <v>12478</v>
      </c>
      <c r="B12479">
        <f>TEXT(12478, "[$-170000]yyyy-mm-dd")</f>
        <v/>
      </c>
      <c r="C12479">
        <f>TEXT(12478, "[$-060000]yyyy-mm-dd")</f>
        <v/>
      </c>
      <c r="D12479" t="inlineStr">
        <is>
          <t>1352-11-15</t>
        </is>
      </c>
    </row>
    <row r="12480">
      <c r="A12480" s="1" t="n">
        <v>12479</v>
      </c>
      <c r="B12480">
        <f>TEXT(12479, "[$-170000]yyyy-mm-dd")</f>
        <v/>
      </c>
      <c r="C12480">
        <f>TEXT(12479, "[$-060000]yyyy-mm-dd")</f>
        <v/>
      </c>
      <c r="D12480" t="inlineStr">
        <is>
          <t>1352-11-16</t>
        </is>
      </c>
    </row>
    <row r="12481">
      <c r="A12481" s="1" t="n">
        <v>12480</v>
      </c>
      <c r="B12481">
        <f>TEXT(12480, "[$-170000]yyyy-mm-dd")</f>
        <v/>
      </c>
      <c r="C12481">
        <f>TEXT(12480, "[$-060000]yyyy-mm-dd")</f>
        <v/>
      </c>
      <c r="D12481" t="inlineStr">
        <is>
          <t>1352-11-17</t>
        </is>
      </c>
    </row>
    <row r="12482">
      <c r="A12482" s="1" t="n">
        <v>12481</v>
      </c>
      <c r="B12482">
        <f>TEXT(12481, "[$-170000]yyyy-mm-dd")</f>
        <v/>
      </c>
      <c r="C12482">
        <f>TEXT(12481, "[$-060000]yyyy-mm-dd")</f>
        <v/>
      </c>
      <c r="D12482" t="inlineStr">
        <is>
          <t>1352-11-18</t>
        </is>
      </c>
    </row>
    <row r="12483">
      <c r="A12483" s="1" t="n">
        <v>12482</v>
      </c>
      <c r="B12483">
        <f>TEXT(12482, "[$-170000]yyyy-mm-dd")</f>
        <v/>
      </c>
      <c r="C12483">
        <f>TEXT(12482, "[$-060000]yyyy-mm-dd")</f>
        <v/>
      </c>
      <c r="D12483" t="inlineStr">
        <is>
          <t>1352-11-19</t>
        </is>
      </c>
    </row>
    <row r="12484">
      <c r="A12484" s="1" t="n">
        <v>12483</v>
      </c>
      <c r="B12484">
        <f>TEXT(12483, "[$-170000]yyyy-mm-dd")</f>
        <v/>
      </c>
      <c r="C12484">
        <f>TEXT(12483, "[$-060000]yyyy-mm-dd")</f>
        <v/>
      </c>
      <c r="D12484" t="inlineStr">
        <is>
          <t>1352-11-20</t>
        </is>
      </c>
    </row>
    <row r="12485">
      <c r="A12485" s="1" t="n">
        <v>12484</v>
      </c>
      <c r="B12485">
        <f>TEXT(12484, "[$-170000]yyyy-mm-dd")</f>
        <v/>
      </c>
      <c r="C12485">
        <f>TEXT(12484, "[$-060000]yyyy-mm-dd")</f>
        <v/>
      </c>
      <c r="D12485" t="inlineStr">
        <is>
          <t>1352-11-21</t>
        </is>
      </c>
    </row>
    <row r="12486">
      <c r="A12486" s="1" t="n">
        <v>12485</v>
      </c>
      <c r="B12486">
        <f>TEXT(12485, "[$-170000]yyyy-mm-dd")</f>
        <v/>
      </c>
      <c r="C12486">
        <f>TEXT(12485, "[$-060000]yyyy-mm-dd")</f>
        <v/>
      </c>
      <c r="D12486" t="inlineStr">
        <is>
          <t>1352-11-22</t>
        </is>
      </c>
    </row>
    <row r="12487">
      <c r="A12487" s="1" t="n">
        <v>12486</v>
      </c>
      <c r="B12487">
        <f>TEXT(12486, "[$-170000]yyyy-mm-dd")</f>
        <v/>
      </c>
      <c r="C12487">
        <f>TEXT(12486, "[$-060000]yyyy-mm-dd")</f>
        <v/>
      </c>
      <c r="D12487" t="inlineStr">
        <is>
          <t>1352-11-23</t>
        </is>
      </c>
    </row>
    <row r="12488">
      <c r="A12488" s="1" t="n">
        <v>12487</v>
      </c>
      <c r="B12488">
        <f>TEXT(12487, "[$-170000]yyyy-mm-dd")</f>
        <v/>
      </c>
      <c r="C12488">
        <f>TEXT(12487, "[$-060000]yyyy-mm-dd")</f>
        <v/>
      </c>
      <c r="D12488" t="inlineStr">
        <is>
          <t>1352-11-24</t>
        </is>
      </c>
    </row>
    <row r="12489">
      <c r="A12489" s="1" t="n">
        <v>12488</v>
      </c>
      <c r="B12489">
        <f>TEXT(12488, "[$-170000]yyyy-mm-dd")</f>
        <v/>
      </c>
      <c r="C12489">
        <f>TEXT(12488, "[$-060000]yyyy-mm-dd")</f>
        <v/>
      </c>
      <c r="D12489" t="inlineStr">
        <is>
          <t>1352-11-25</t>
        </is>
      </c>
    </row>
    <row r="12490">
      <c r="A12490" s="1" t="n">
        <v>12489</v>
      </c>
      <c r="B12490">
        <f>TEXT(12489, "[$-170000]yyyy-mm-dd")</f>
        <v/>
      </c>
      <c r="C12490">
        <f>TEXT(12489, "[$-060000]yyyy-mm-dd")</f>
        <v/>
      </c>
      <c r="D12490" t="inlineStr">
        <is>
          <t>1352-11-26</t>
        </is>
      </c>
    </row>
    <row r="12491">
      <c r="A12491" s="1" t="n">
        <v>12490</v>
      </c>
      <c r="B12491">
        <f>TEXT(12490, "[$-170000]yyyy-mm-dd")</f>
        <v/>
      </c>
      <c r="C12491">
        <f>TEXT(12490, "[$-060000]yyyy-mm-dd")</f>
        <v/>
      </c>
      <c r="D12491" t="inlineStr">
        <is>
          <t>1352-11-27</t>
        </is>
      </c>
    </row>
    <row r="12492">
      <c r="A12492" s="1" t="n">
        <v>12491</v>
      </c>
      <c r="B12492">
        <f>TEXT(12491, "[$-170000]yyyy-mm-dd")</f>
        <v/>
      </c>
      <c r="C12492">
        <f>TEXT(12491, "[$-060000]yyyy-mm-dd")</f>
        <v/>
      </c>
      <c r="D12492" t="inlineStr">
        <is>
          <t>1352-11-28</t>
        </is>
      </c>
    </row>
    <row r="12493">
      <c r="A12493" s="1" t="n">
        <v>12492</v>
      </c>
      <c r="B12493">
        <f>TEXT(12492, "[$-170000]yyyy-mm-dd")</f>
        <v/>
      </c>
      <c r="C12493">
        <f>TEXT(12492, "[$-060000]yyyy-mm-dd")</f>
        <v/>
      </c>
      <c r="D12493" t="inlineStr">
        <is>
          <t>1352-11-29</t>
        </is>
      </c>
    </row>
    <row r="12494">
      <c r="A12494" s="1" t="n">
        <v>12493</v>
      </c>
      <c r="B12494">
        <f>TEXT(12493, "[$-170000]yyyy-mm-dd")</f>
        <v/>
      </c>
      <c r="C12494">
        <f>TEXT(12493, "[$-060000]yyyy-mm-dd")</f>
        <v/>
      </c>
      <c r="D12494" t="inlineStr">
        <is>
          <t>1352-11-30</t>
        </is>
      </c>
    </row>
    <row r="12495">
      <c r="A12495" s="1" t="n">
        <v>12494</v>
      </c>
      <c r="B12495">
        <f>TEXT(12494, "[$-170000]yyyy-mm-dd")</f>
        <v/>
      </c>
      <c r="C12495">
        <f>TEXT(12494, "[$-060000]yyyy-mm-dd")</f>
        <v/>
      </c>
      <c r="D12495" t="inlineStr">
        <is>
          <t>1352-12-01</t>
        </is>
      </c>
    </row>
    <row r="12496">
      <c r="A12496" s="1" t="n">
        <v>12495</v>
      </c>
      <c r="B12496">
        <f>TEXT(12495, "[$-170000]yyyy-mm-dd")</f>
        <v/>
      </c>
      <c r="C12496">
        <f>TEXT(12495, "[$-060000]yyyy-mm-dd")</f>
        <v/>
      </c>
      <c r="D12496" t="inlineStr">
        <is>
          <t>1352-12-02</t>
        </is>
      </c>
    </row>
    <row r="12497">
      <c r="A12497" s="1" t="n">
        <v>12496</v>
      </c>
      <c r="B12497">
        <f>TEXT(12496, "[$-170000]yyyy-mm-dd")</f>
        <v/>
      </c>
      <c r="C12497">
        <f>TEXT(12496, "[$-060000]yyyy-mm-dd")</f>
        <v/>
      </c>
      <c r="D12497" t="inlineStr">
        <is>
          <t>1352-12-03</t>
        </is>
      </c>
    </row>
    <row r="12498">
      <c r="A12498" s="1" t="n">
        <v>12497</v>
      </c>
      <c r="B12498">
        <f>TEXT(12497, "[$-170000]yyyy-mm-dd")</f>
        <v/>
      </c>
      <c r="C12498">
        <f>TEXT(12497, "[$-060000]yyyy-mm-dd")</f>
        <v/>
      </c>
      <c r="D12498" t="inlineStr">
        <is>
          <t>1352-12-04</t>
        </is>
      </c>
    </row>
    <row r="12499">
      <c r="A12499" s="1" t="n">
        <v>12498</v>
      </c>
      <c r="B12499">
        <f>TEXT(12498, "[$-170000]yyyy-mm-dd")</f>
        <v/>
      </c>
      <c r="C12499">
        <f>TEXT(12498, "[$-060000]yyyy-mm-dd")</f>
        <v/>
      </c>
      <c r="D12499" t="inlineStr">
        <is>
          <t>1352-12-05</t>
        </is>
      </c>
    </row>
    <row r="12500">
      <c r="A12500" s="1" t="n">
        <v>12499</v>
      </c>
      <c r="B12500">
        <f>TEXT(12499, "[$-170000]yyyy-mm-dd")</f>
        <v/>
      </c>
      <c r="C12500">
        <f>TEXT(12499, "[$-060000]yyyy-mm-dd")</f>
        <v/>
      </c>
      <c r="D12500" t="inlineStr">
        <is>
          <t>1352-12-06</t>
        </is>
      </c>
    </row>
    <row r="12501">
      <c r="A12501" s="1" t="n">
        <v>12500</v>
      </c>
      <c r="B12501">
        <f>TEXT(12500, "[$-170000]yyyy-mm-dd")</f>
        <v/>
      </c>
      <c r="C12501">
        <f>TEXT(12500, "[$-060000]yyyy-mm-dd")</f>
        <v/>
      </c>
      <c r="D12501" t="inlineStr">
        <is>
          <t>1352-12-07</t>
        </is>
      </c>
    </row>
    <row r="12502">
      <c r="A12502" s="1" t="n">
        <v>12501</v>
      </c>
      <c r="B12502">
        <f>TEXT(12501, "[$-170000]yyyy-mm-dd")</f>
        <v/>
      </c>
      <c r="C12502">
        <f>TEXT(12501, "[$-060000]yyyy-mm-dd")</f>
        <v/>
      </c>
      <c r="D12502" t="inlineStr">
        <is>
          <t>1352-12-08</t>
        </is>
      </c>
    </row>
    <row r="12503">
      <c r="A12503" s="1" t="n">
        <v>12502</v>
      </c>
      <c r="B12503">
        <f>TEXT(12502, "[$-170000]yyyy-mm-dd")</f>
        <v/>
      </c>
      <c r="C12503">
        <f>TEXT(12502, "[$-060000]yyyy-mm-dd")</f>
        <v/>
      </c>
      <c r="D12503" t="inlineStr">
        <is>
          <t>1352-12-09</t>
        </is>
      </c>
    </row>
    <row r="12504">
      <c r="A12504" s="1" t="n">
        <v>12503</v>
      </c>
      <c r="B12504">
        <f>TEXT(12503, "[$-170000]yyyy-mm-dd")</f>
        <v/>
      </c>
      <c r="C12504">
        <f>TEXT(12503, "[$-060000]yyyy-mm-dd")</f>
        <v/>
      </c>
      <c r="D12504" t="inlineStr">
        <is>
          <t>1352-12-10</t>
        </is>
      </c>
    </row>
    <row r="12505">
      <c r="A12505" s="1" t="n">
        <v>12504</v>
      </c>
      <c r="B12505">
        <f>TEXT(12504, "[$-170000]yyyy-mm-dd")</f>
        <v/>
      </c>
      <c r="C12505">
        <f>TEXT(12504, "[$-060000]yyyy-mm-dd")</f>
        <v/>
      </c>
      <c r="D12505" t="inlineStr">
        <is>
          <t>1352-12-11</t>
        </is>
      </c>
    </row>
    <row r="12506">
      <c r="A12506" s="1" t="n">
        <v>12505</v>
      </c>
      <c r="B12506">
        <f>TEXT(12505, "[$-170000]yyyy-mm-dd")</f>
        <v/>
      </c>
      <c r="C12506">
        <f>TEXT(12505, "[$-060000]yyyy-mm-dd")</f>
        <v/>
      </c>
      <c r="D12506" t="inlineStr">
        <is>
          <t>1352-12-12</t>
        </is>
      </c>
    </row>
    <row r="12507">
      <c r="A12507" s="1" t="n">
        <v>12506</v>
      </c>
      <c r="B12507">
        <f>TEXT(12506, "[$-170000]yyyy-mm-dd")</f>
        <v/>
      </c>
      <c r="C12507">
        <f>TEXT(12506, "[$-060000]yyyy-mm-dd")</f>
        <v/>
      </c>
      <c r="D12507" t="inlineStr">
        <is>
          <t>1352-12-13</t>
        </is>
      </c>
    </row>
    <row r="12508">
      <c r="A12508" s="1" t="n">
        <v>12507</v>
      </c>
      <c r="B12508">
        <f>TEXT(12507, "[$-170000]yyyy-mm-dd")</f>
        <v/>
      </c>
      <c r="C12508">
        <f>TEXT(12507, "[$-060000]yyyy-mm-dd")</f>
        <v/>
      </c>
      <c r="D12508" t="inlineStr">
        <is>
          <t>1352-12-14</t>
        </is>
      </c>
    </row>
    <row r="12509">
      <c r="A12509" s="1" t="n">
        <v>12508</v>
      </c>
      <c r="B12509">
        <f>TEXT(12508, "[$-170000]yyyy-mm-dd")</f>
        <v/>
      </c>
      <c r="C12509">
        <f>TEXT(12508, "[$-060000]yyyy-mm-dd")</f>
        <v/>
      </c>
      <c r="D12509" t="inlineStr">
        <is>
          <t>1352-12-15</t>
        </is>
      </c>
    </row>
    <row r="12510">
      <c r="A12510" s="1" t="n">
        <v>12509</v>
      </c>
      <c r="B12510">
        <f>TEXT(12509, "[$-170000]yyyy-mm-dd")</f>
        <v/>
      </c>
      <c r="C12510">
        <f>TEXT(12509, "[$-060000]yyyy-mm-dd")</f>
        <v/>
      </c>
      <c r="D12510" t="inlineStr">
        <is>
          <t>1352-12-16</t>
        </is>
      </c>
    </row>
    <row r="12511">
      <c r="A12511" s="1" t="n">
        <v>12510</v>
      </c>
      <c r="B12511">
        <f>TEXT(12510, "[$-170000]yyyy-mm-dd")</f>
        <v/>
      </c>
      <c r="C12511">
        <f>TEXT(12510, "[$-060000]yyyy-mm-dd")</f>
        <v/>
      </c>
      <c r="D12511" t="inlineStr">
        <is>
          <t>1352-12-17</t>
        </is>
      </c>
    </row>
    <row r="12512">
      <c r="A12512" s="1" t="n">
        <v>12511</v>
      </c>
      <c r="B12512">
        <f>TEXT(12511, "[$-170000]yyyy-mm-dd")</f>
        <v/>
      </c>
      <c r="C12512">
        <f>TEXT(12511, "[$-060000]yyyy-mm-dd")</f>
        <v/>
      </c>
      <c r="D12512" t="inlineStr">
        <is>
          <t>1352-12-18</t>
        </is>
      </c>
    </row>
    <row r="12513">
      <c r="A12513" s="1" t="n">
        <v>12512</v>
      </c>
      <c r="B12513">
        <f>TEXT(12512, "[$-170000]yyyy-mm-dd")</f>
        <v/>
      </c>
      <c r="C12513">
        <f>TEXT(12512, "[$-060000]yyyy-mm-dd")</f>
        <v/>
      </c>
      <c r="D12513" t="inlineStr">
        <is>
          <t>1352-12-19</t>
        </is>
      </c>
    </row>
    <row r="12514">
      <c r="A12514" s="1" t="n">
        <v>12513</v>
      </c>
      <c r="B12514">
        <f>TEXT(12513, "[$-170000]yyyy-mm-dd")</f>
        <v/>
      </c>
      <c r="C12514">
        <f>TEXT(12513, "[$-060000]yyyy-mm-dd")</f>
        <v/>
      </c>
      <c r="D12514" t="inlineStr">
        <is>
          <t>1352-12-20</t>
        </is>
      </c>
    </row>
    <row r="12515">
      <c r="A12515" s="1" t="n">
        <v>12514</v>
      </c>
      <c r="B12515">
        <f>TEXT(12514, "[$-170000]yyyy-mm-dd")</f>
        <v/>
      </c>
      <c r="C12515">
        <f>TEXT(12514, "[$-060000]yyyy-mm-dd")</f>
        <v/>
      </c>
      <c r="D12515" t="inlineStr">
        <is>
          <t>1352-12-21</t>
        </is>
      </c>
    </row>
    <row r="12516">
      <c r="A12516" s="1" t="n">
        <v>12515</v>
      </c>
      <c r="B12516">
        <f>TEXT(12515, "[$-170000]yyyy-mm-dd")</f>
        <v/>
      </c>
      <c r="C12516">
        <f>TEXT(12515, "[$-060000]yyyy-mm-dd")</f>
        <v/>
      </c>
      <c r="D12516" t="inlineStr">
        <is>
          <t>1352-12-22</t>
        </is>
      </c>
    </row>
    <row r="12517">
      <c r="A12517" s="1" t="n">
        <v>12516</v>
      </c>
      <c r="B12517">
        <f>TEXT(12516, "[$-170000]yyyy-mm-dd")</f>
        <v/>
      </c>
      <c r="C12517">
        <f>TEXT(12516, "[$-060000]yyyy-mm-dd")</f>
        <v/>
      </c>
      <c r="D12517" t="inlineStr">
        <is>
          <t>1352-12-23</t>
        </is>
      </c>
    </row>
    <row r="12518">
      <c r="A12518" s="1" t="n">
        <v>12517</v>
      </c>
      <c r="B12518">
        <f>TEXT(12517, "[$-170000]yyyy-mm-dd")</f>
        <v/>
      </c>
      <c r="C12518">
        <f>TEXT(12517, "[$-060000]yyyy-mm-dd")</f>
        <v/>
      </c>
      <c r="D12518" t="inlineStr">
        <is>
          <t>1352-12-24</t>
        </is>
      </c>
    </row>
    <row r="12519">
      <c r="A12519" s="1" t="n">
        <v>12518</v>
      </c>
      <c r="B12519">
        <f>TEXT(12518, "[$-170000]yyyy-mm-dd")</f>
        <v/>
      </c>
      <c r="C12519">
        <f>TEXT(12518, "[$-060000]yyyy-mm-dd")</f>
        <v/>
      </c>
      <c r="D12519" t="inlineStr">
        <is>
          <t>1352-12-25</t>
        </is>
      </c>
    </row>
    <row r="12520">
      <c r="A12520" s="1" t="n">
        <v>12519</v>
      </c>
      <c r="B12520">
        <f>TEXT(12519, "[$-170000]yyyy-mm-dd")</f>
        <v/>
      </c>
      <c r="C12520">
        <f>TEXT(12519, "[$-060000]yyyy-mm-dd")</f>
        <v/>
      </c>
      <c r="D12520" t="inlineStr">
        <is>
          <t>1352-12-26</t>
        </is>
      </c>
    </row>
    <row r="12521">
      <c r="A12521" s="1" t="n">
        <v>12520</v>
      </c>
      <c r="B12521">
        <f>TEXT(12520, "[$-170000]yyyy-mm-dd")</f>
        <v/>
      </c>
      <c r="C12521">
        <f>TEXT(12520, "[$-060000]yyyy-mm-dd")</f>
        <v/>
      </c>
      <c r="D12521" t="inlineStr">
        <is>
          <t>1352-12-27</t>
        </is>
      </c>
    </row>
    <row r="12522">
      <c r="A12522" s="1" t="n">
        <v>12521</v>
      </c>
      <c r="B12522">
        <f>TEXT(12521, "[$-170000]yyyy-mm-dd")</f>
        <v/>
      </c>
      <c r="C12522">
        <f>TEXT(12521, "[$-060000]yyyy-mm-dd")</f>
        <v/>
      </c>
      <c r="D12522" t="inlineStr">
        <is>
          <t>1352-12-28</t>
        </is>
      </c>
    </row>
    <row r="12523">
      <c r="A12523" s="1" t="n">
        <v>12522</v>
      </c>
      <c r="B12523">
        <f>TEXT(12522, "[$-170000]yyyy-mm-dd")</f>
        <v/>
      </c>
      <c r="C12523">
        <f>TEXT(12522, "[$-060000]yyyy-mm-dd")</f>
        <v/>
      </c>
      <c r="D12523" t="inlineStr">
        <is>
          <t>1352-12-29</t>
        </is>
      </c>
    </row>
    <row r="12524">
      <c r="A12524" s="1" t="n">
        <v>12523</v>
      </c>
      <c r="B12524">
        <f>TEXT(12523, "[$-170000]yyyy-mm-dd")</f>
        <v/>
      </c>
      <c r="C12524">
        <f>TEXT(12523, "[$-060000]yyyy-mm-dd")</f>
        <v/>
      </c>
      <c r="D12524" t="inlineStr">
        <is>
          <t>1352-12-30</t>
        </is>
      </c>
    </row>
    <row r="12525">
      <c r="A12525" s="1" t="n">
        <v>12524</v>
      </c>
      <c r="B12525">
        <f>TEXT(12524, "[$-170000]yyyy-mm-dd")</f>
        <v/>
      </c>
      <c r="C12525">
        <f>TEXT(12524, "[$-060000]yyyy-mm-dd")</f>
        <v/>
      </c>
      <c r="D12525" t="inlineStr">
        <is>
          <t>1353-01-01</t>
        </is>
      </c>
    </row>
    <row r="12526">
      <c r="A12526" s="1" t="n">
        <v>12525</v>
      </c>
      <c r="B12526">
        <f>TEXT(12525, "[$-170000]yyyy-mm-dd")</f>
        <v/>
      </c>
      <c r="C12526">
        <f>TEXT(12525, "[$-060000]yyyy-mm-dd")</f>
        <v/>
      </c>
      <c r="D12526" t="inlineStr">
        <is>
          <t>1353-01-02</t>
        </is>
      </c>
    </row>
    <row r="12527">
      <c r="A12527" s="1" t="n">
        <v>12526</v>
      </c>
      <c r="B12527">
        <f>TEXT(12526, "[$-170000]yyyy-mm-dd")</f>
        <v/>
      </c>
      <c r="C12527">
        <f>TEXT(12526, "[$-060000]yyyy-mm-dd")</f>
        <v/>
      </c>
      <c r="D12527" t="inlineStr">
        <is>
          <t>1353-01-03</t>
        </is>
      </c>
    </row>
    <row r="12528">
      <c r="A12528" s="1" t="n">
        <v>12527</v>
      </c>
      <c r="B12528">
        <f>TEXT(12527, "[$-170000]yyyy-mm-dd")</f>
        <v/>
      </c>
      <c r="C12528">
        <f>TEXT(12527, "[$-060000]yyyy-mm-dd")</f>
        <v/>
      </c>
      <c r="D12528" t="inlineStr">
        <is>
          <t>1353-01-04</t>
        </is>
      </c>
    </row>
    <row r="12529">
      <c r="A12529" s="1" t="n">
        <v>12528</v>
      </c>
      <c r="B12529">
        <f>TEXT(12528, "[$-170000]yyyy-mm-dd")</f>
        <v/>
      </c>
      <c r="C12529">
        <f>TEXT(12528, "[$-060000]yyyy-mm-dd")</f>
        <v/>
      </c>
      <c r="D12529" t="inlineStr">
        <is>
          <t>1353-01-05</t>
        </is>
      </c>
    </row>
    <row r="12530">
      <c r="A12530" s="1" t="n">
        <v>12529</v>
      </c>
      <c r="B12530">
        <f>TEXT(12529, "[$-170000]yyyy-mm-dd")</f>
        <v/>
      </c>
      <c r="C12530">
        <f>TEXT(12529, "[$-060000]yyyy-mm-dd")</f>
        <v/>
      </c>
      <c r="D12530" t="inlineStr">
        <is>
          <t>1353-01-06</t>
        </is>
      </c>
    </row>
    <row r="12531">
      <c r="A12531" s="1" t="n">
        <v>12530</v>
      </c>
      <c r="B12531">
        <f>TEXT(12530, "[$-170000]yyyy-mm-dd")</f>
        <v/>
      </c>
      <c r="C12531">
        <f>TEXT(12530, "[$-060000]yyyy-mm-dd")</f>
        <v/>
      </c>
      <c r="D12531" t="inlineStr">
        <is>
          <t>1353-01-07</t>
        </is>
      </c>
    </row>
    <row r="12532">
      <c r="A12532" s="1" t="n">
        <v>12531</v>
      </c>
      <c r="B12532">
        <f>TEXT(12531, "[$-170000]yyyy-mm-dd")</f>
        <v/>
      </c>
      <c r="C12532">
        <f>TEXT(12531, "[$-060000]yyyy-mm-dd")</f>
        <v/>
      </c>
      <c r="D12532" t="inlineStr">
        <is>
          <t>1353-01-08</t>
        </is>
      </c>
    </row>
    <row r="12533">
      <c r="A12533" s="1" t="n">
        <v>12532</v>
      </c>
      <c r="B12533">
        <f>TEXT(12532, "[$-170000]yyyy-mm-dd")</f>
        <v/>
      </c>
      <c r="C12533">
        <f>TEXT(12532, "[$-060000]yyyy-mm-dd")</f>
        <v/>
      </c>
      <c r="D12533" t="inlineStr">
        <is>
          <t>1353-01-09</t>
        </is>
      </c>
    </row>
    <row r="12534">
      <c r="A12534" s="1" t="n">
        <v>12533</v>
      </c>
      <c r="B12534">
        <f>TEXT(12533, "[$-170000]yyyy-mm-dd")</f>
        <v/>
      </c>
      <c r="C12534">
        <f>TEXT(12533, "[$-060000]yyyy-mm-dd")</f>
        <v/>
      </c>
      <c r="D12534" t="inlineStr">
        <is>
          <t>1353-01-10</t>
        </is>
      </c>
    </row>
    <row r="12535">
      <c r="A12535" s="1" t="n">
        <v>12534</v>
      </c>
      <c r="B12535">
        <f>TEXT(12534, "[$-170000]yyyy-mm-dd")</f>
        <v/>
      </c>
      <c r="C12535">
        <f>TEXT(12534, "[$-060000]yyyy-mm-dd")</f>
        <v/>
      </c>
      <c r="D12535" t="inlineStr">
        <is>
          <t>1353-01-11</t>
        </is>
      </c>
    </row>
    <row r="12536">
      <c r="A12536" s="1" t="n">
        <v>12535</v>
      </c>
      <c r="B12536">
        <f>TEXT(12535, "[$-170000]yyyy-mm-dd")</f>
        <v/>
      </c>
      <c r="C12536">
        <f>TEXT(12535, "[$-060000]yyyy-mm-dd")</f>
        <v/>
      </c>
      <c r="D12536" t="inlineStr">
        <is>
          <t>1353-01-12</t>
        </is>
      </c>
    </row>
    <row r="12537">
      <c r="A12537" s="1" t="n">
        <v>12536</v>
      </c>
      <c r="B12537">
        <f>TEXT(12536, "[$-170000]yyyy-mm-dd")</f>
        <v/>
      </c>
      <c r="C12537">
        <f>TEXT(12536, "[$-060000]yyyy-mm-dd")</f>
        <v/>
      </c>
      <c r="D12537" t="inlineStr">
        <is>
          <t>1353-01-13</t>
        </is>
      </c>
    </row>
    <row r="12538">
      <c r="A12538" s="1" t="n">
        <v>12537</v>
      </c>
      <c r="B12538">
        <f>TEXT(12537, "[$-170000]yyyy-mm-dd")</f>
        <v/>
      </c>
      <c r="C12538">
        <f>TEXT(12537, "[$-060000]yyyy-mm-dd")</f>
        <v/>
      </c>
      <c r="D12538" t="inlineStr">
        <is>
          <t>1353-01-14</t>
        </is>
      </c>
    </row>
    <row r="12539">
      <c r="A12539" s="1" t="n">
        <v>12538</v>
      </c>
      <c r="B12539">
        <f>TEXT(12538, "[$-170000]yyyy-mm-dd")</f>
        <v/>
      </c>
      <c r="C12539">
        <f>TEXT(12538, "[$-060000]yyyy-mm-dd")</f>
        <v/>
      </c>
      <c r="D12539" t="inlineStr">
        <is>
          <t>1353-01-15</t>
        </is>
      </c>
    </row>
    <row r="12540">
      <c r="A12540" s="1" t="n">
        <v>12539</v>
      </c>
      <c r="B12540">
        <f>TEXT(12539, "[$-170000]yyyy-mm-dd")</f>
        <v/>
      </c>
      <c r="C12540">
        <f>TEXT(12539, "[$-060000]yyyy-mm-dd")</f>
        <v/>
      </c>
      <c r="D12540" t="inlineStr">
        <is>
          <t>1353-01-16</t>
        </is>
      </c>
    </row>
    <row r="12541">
      <c r="A12541" s="1" t="n">
        <v>12540</v>
      </c>
      <c r="B12541">
        <f>TEXT(12540, "[$-170000]yyyy-mm-dd")</f>
        <v/>
      </c>
      <c r="C12541">
        <f>TEXT(12540, "[$-060000]yyyy-mm-dd")</f>
        <v/>
      </c>
      <c r="D12541" t="inlineStr">
        <is>
          <t>1353-01-17</t>
        </is>
      </c>
    </row>
    <row r="12542">
      <c r="A12542" s="1" t="n">
        <v>12541</v>
      </c>
      <c r="B12542">
        <f>TEXT(12541, "[$-170000]yyyy-mm-dd")</f>
        <v/>
      </c>
      <c r="C12542">
        <f>TEXT(12541, "[$-060000]yyyy-mm-dd")</f>
        <v/>
      </c>
      <c r="D12542" t="inlineStr">
        <is>
          <t>1353-01-18</t>
        </is>
      </c>
    </row>
    <row r="12543">
      <c r="A12543" s="1" t="n">
        <v>12542</v>
      </c>
      <c r="B12543">
        <f>TEXT(12542, "[$-170000]yyyy-mm-dd")</f>
        <v/>
      </c>
      <c r="C12543">
        <f>TEXT(12542, "[$-060000]yyyy-mm-dd")</f>
        <v/>
      </c>
      <c r="D12543" t="inlineStr">
        <is>
          <t>1353-01-19</t>
        </is>
      </c>
    </row>
    <row r="12544">
      <c r="A12544" s="1" t="n">
        <v>12543</v>
      </c>
      <c r="B12544">
        <f>TEXT(12543, "[$-170000]yyyy-mm-dd")</f>
        <v/>
      </c>
      <c r="C12544">
        <f>TEXT(12543, "[$-060000]yyyy-mm-dd")</f>
        <v/>
      </c>
      <c r="D12544" t="inlineStr">
        <is>
          <t>1353-01-20</t>
        </is>
      </c>
    </row>
    <row r="12545">
      <c r="A12545" s="1" t="n">
        <v>12544</v>
      </c>
      <c r="B12545">
        <f>TEXT(12544, "[$-170000]yyyy-mm-dd")</f>
        <v/>
      </c>
      <c r="C12545">
        <f>TEXT(12544, "[$-060000]yyyy-mm-dd")</f>
        <v/>
      </c>
      <c r="D12545" t="inlineStr">
        <is>
          <t>1353-01-21</t>
        </is>
      </c>
    </row>
    <row r="12546">
      <c r="A12546" s="1" t="n">
        <v>12545</v>
      </c>
      <c r="B12546">
        <f>TEXT(12545, "[$-170000]yyyy-mm-dd")</f>
        <v/>
      </c>
      <c r="C12546">
        <f>TEXT(12545, "[$-060000]yyyy-mm-dd")</f>
        <v/>
      </c>
      <c r="D12546" t="inlineStr">
        <is>
          <t>1353-01-22</t>
        </is>
      </c>
    </row>
    <row r="12547">
      <c r="A12547" s="1" t="n">
        <v>12546</v>
      </c>
      <c r="B12547">
        <f>TEXT(12546, "[$-170000]yyyy-mm-dd")</f>
        <v/>
      </c>
      <c r="C12547">
        <f>TEXT(12546, "[$-060000]yyyy-mm-dd")</f>
        <v/>
      </c>
      <c r="D12547" t="inlineStr">
        <is>
          <t>1353-01-23</t>
        </is>
      </c>
    </row>
    <row r="12548">
      <c r="A12548" s="1" t="n">
        <v>12547</v>
      </c>
      <c r="B12548">
        <f>TEXT(12547, "[$-170000]yyyy-mm-dd")</f>
        <v/>
      </c>
      <c r="C12548">
        <f>TEXT(12547, "[$-060000]yyyy-mm-dd")</f>
        <v/>
      </c>
      <c r="D12548" t="inlineStr">
        <is>
          <t>1353-01-24</t>
        </is>
      </c>
    </row>
    <row r="12549">
      <c r="A12549" s="1" t="n">
        <v>12548</v>
      </c>
      <c r="B12549">
        <f>TEXT(12548, "[$-170000]yyyy-mm-dd")</f>
        <v/>
      </c>
      <c r="C12549">
        <f>TEXT(12548, "[$-060000]yyyy-mm-dd")</f>
        <v/>
      </c>
      <c r="D12549" t="inlineStr">
        <is>
          <t>1353-01-25</t>
        </is>
      </c>
    </row>
    <row r="12550">
      <c r="A12550" s="1" t="n">
        <v>12549</v>
      </c>
      <c r="B12550">
        <f>TEXT(12549, "[$-170000]yyyy-mm-dd")</f>
        <v/>
      </c>
      <c r="C12550">
        <f>TEXT(12549, "[$-060000]yyyy-mm-dd")</f>
        <v/>
      </c>
      <c r="D12550" t="inlineStr">
        <is>
          <t>1353-01-26</t>
        </is>
      </c>
    </row>
    <row r="12551">
      <c r="A12551" s="1" t="n">
        <v>12550</v>
      </c>
      <c r="B12551">
        <f>TEXT(12550, "[$-170000]yyyy-mm-dd")</f>
        <v/>
      </c>
      <c r="C12551">
        <f>TEXT(12550, "[$-060000]yyyy-mm-dd")</f>
        <v/>
      </c>
      <c r="D12551" t="inlineStr">
        <is>
          <t>1353-01-27</t>
        </is>
      </c>
    </row>
    <row r="12552">
      <c r="A12552" s="1" t="n">
        <v>12551</v>
      </c>
      <c r="B12552">
        <f>TEXT(12551, "[$-170000]yyyy-mm-dd")</f>
        <v/>
      </c>
      <c r="C12552">
        <f>TEXT(12551, "[$-060000]yyyy-mm-dd")</f>
        <v/>
      </c>
      <c r="D12552" t="inlineStr">
        <is>
          <t>1353-01-28</t>
        </is>
      </c>
    </row>
    <row r="12553">
      <c r="A12553" s="1" t="n">
        <v>12552</v>
      </c>
      <c r="B12553">
        <f>TEXT(12552, "[$-170000]yyyy-mm-dd")</f>
        <v/>
      </c>
      <c r="C12553">
        <f>TEXT(12552, "[$-060000]yyyy-mm-dd")</f>
        <v/>
      </c>
      <c r="D12553" t="inlineStr">
        <is>
          <t>1353-01-29</t>
        </is>
      </c>
    </row>
    <row r="12554">
      <c r="A12554" s="1" t="n">
        <v>12553</v>
      </c>
      <c r="B12554">
        <f>TEXT(12553, "[$-170000]yyyy-mm-dd")</f>
        <v/>
      </c>
      <c r="C12554">
        <f>TEXT(12553, "[$-060000]yyyy-mm-dd")</f>
        <v/>
      </c>
      <c r="D12554" t="inlineStr">
        <is>
          <t>1353-01-30</t>
        </is>
      </c>
    </row>
    <row r="12555">
      <c r="A12555" s="1" t="n">
        <v>12554</v>
      </c>
      <c r="B12555">
        <f>TEXT(12554, "[$-170000]yyyy-mm-dd")</f>
        <v/>
      </c>
      <c r="C12555">
        <f>TEXT(12554, "[$-060000]yyyy-mm-dd")</f>
        <v/>
      </c>
      <c r="D12555" t="inlineStr">
        <is>
          <t>1353-02-01</t>
        </is>
      </c>
    </row>
    <row r="12556">
      <c r="A12556" s="1" t="n">
        <v>12555</v>
      </c>
      <c r="B12556">
        <f>TEXT(12555, "[$-170000]yyyy-mm-dd")</f>
        <v/>
      </c>
      <c r="C12556">
        <f>TEXT(12555, "[$-060000]yyyy-mm-dd")</f>
        <v/>
      </c>
      <c r="D12556" t="inlineStr">
        <is>
          <t>1353-02-02</t>
        </is>
      </c>
    </row>
    <row r="12557">
      <c r="A12557" s="1" t="n">
        <v>12556</v>
      </c>
      <c r="B12557">
        <f>TEXT(12556, "[$-170000]yyyy-mm-dd")</f>
        <v/>
      </c>
      <c r="C12557">
        <f>TEXT(12556, "[$-060000]yyyy-mm-dd")</f>
        <v/>
      </c>
      <c r="D12557" t="inlineStr">
        <is>
          <t>1353-02-03</t>
        </is>
      </c>
    </row>
    <row r="12558">
      <c r="A12558" s="1" t="n">
        <v>12557</v>
      </c>
      <c r="B12558">
        <f>TEXT(12557, "[$-170000]yyyy-mm-dd")</f>
        <v/>
      </c>
      <c r="C12558">
        <f>TEXT(12557, "[$-060000]yyyy-mm-dd")</f>
        <v/>
      </c>
      <c r="D12558" t="inlineStr">
        <is>
          <t>1353-02-04</t>
        </is>
      </c>
    </row>
    <row r="12559">
      <c r="A12559" s="1" t="n">
        <v>12558</v>
      </c>
      <c r="B12559">
        <f>TEXT(12558, "[$-170000]yyyy-mm-dd")</f>
        <v/>
      </c>
      <c r="C12559">
        <f>TEXT(12558, "[$-060000]yyyy-mm-dd")</f>
        <v/>
      </c>
      <c r="D12559" t="inlineStr">
        <is>
          <t>1353-02-05</t>
        </is>
      </c>
    </row>
    <row r="12560">
      <c r="A12560" s="1" t="n">
        <v>12559</v>
      </c>
      <c r="B12560">
        <f>TEXT(12559, "[$-170000]yyyy-mm-dd")</f>
        <v/>
      </c>
      <c r="C12560">
        <f>TEXT(12559, "[$-060000]yyyy-mm-dd")</f>
        <v/>
      </c>
      <c r="D12560" t="inlineStr">
        <is>
          <t>1353-02-06</t>
        </is>
      </c>
    </row>
    <row r="12561">
      <c r="A12561" s="1" t="n">
        <v>12560</v>
      </c>
      <c r="B12561">
        <f>TEXT(12560, "[$-170000]yyyy-mm-dd")</f>
        <v/>
      </c>
      <c r="C12561">
        <f>TEXT(12560, "[$-060000]yyyy-mm-dd")</f>
        <v/>
      </c>
      <c r="D12561" t="inlineStr">
        <is>
          <t>1353-02-07</t>
        </is>
      </c>
    </row>
    <row r="12562">
      <c r="A12562" s="1" t="n">
        <v>12561</v>
      </c>
      <c r="B12562">
        <f>TEXT(12561, "[$-170000]yyyy-mm-dd")</f>
        <v/>
      </c>
      <c r="C12562">
        <f>TEXT(12561, "[$-060000]yyyy-mm-dd")</f>
        <v/>
      </c>
      <c r="D12562" t="inlineStr">
        <is>
          <t>1353-02-08</t>
        </is>
      </c>
    </row>
    <row r="12563">
      <c r="A12563" s="1" t="n">
        <v>12562</v>
      </c>
      <c r="B12563">
        <f>TEXT(12562, "[$-170000]yyyy-mm-dd")</f>
        <v/>
      </c>
      <c r="C12563">
        <f>TEXT(12562, "[$-060000]yyyy-mm-dd")</f>
        <v/>
      </c>
      <c r="D12563" t="inlineStr">
        <is>
          <t>1353-02-09</t>
        </is>
      </c>
    </row>
    <row r="12564">
      <c r="A12564" s="1" t="n">
        <v>12563</v>
      </c>
      <c r="B12564">
        <f>TEXT(12563, "[$-170000]yyyy-mm-dd")</f>
        <v/>
      </c>
      <c r="C12564">
        <f>TEXT(12563, "[$-060000]yyyy-mm-dd")</f>
        <v/>
      </c>
      <c r="D12564" t="inlineStr">
        <is>
          <t>1353-02-10</t>
        </is>
      </c>
    </row>
    <row r="12565">
      <c r="A12565" s="1" t="n">
        <v>12564</v>
      </c>
      <c r="B12565">
        <f>TEXT(12564, "[$-170000]yyyy-mm-dd")</f>
        <v/>
      </c>
      <c r="C12565">
        <f>TEXT(12564, "[$-060000]yyyy-mm-dd")</f>
        <v/>
      </c>
      <c r="D12565" t="inlineStr">
        <is>
          <t>1353-02-11</t>
        </is>
      </c>
    </row>
    <row r="12566">
      <c r="A12566" s="1" t="n">
        <v>12565</v>
      </c>
      <c r="B12566">
        <f>TEXT(12565, "[$-170000]yyyy-mm-dd")</f>
        <v/>
      </c>
      <c r="C12566">
        <f>TEXT(12565, "[$-060000]yyyy-mm-dd")</f>
        <v/>
      </c>
      <c r="D12566" t="inlineStr">
        <is>
          <t>1353-02-12</t>
        </is>
      </c>
    </row>
    <row r="12567">
      <c r="A12567" s="1" t="n">
        <v>12566</v>
      </c>
      <c r="B12567">
        <f>TEXT(12566, "[$-170000]yyyy-mm-dd")</f>
        <v/>
      </c>
      <c r="C12567">
        <f>TEXT(12566, "[$-060000]yyyy-mm-dd")</f>
        <v/>
      </c>
      <c r="D12567" t="inlineStr">
        <is>
          <t>1353-02-13</t>
        </is>
      </c>
    </row>
    <row r="12568">
      <c r="A12568" s="1" t="n">
        <v>12567</v>
      </c>
      <c r="B12568">
        <f>TEXT(12567, "[$-170000]yyyy-mm-dd")</f>
        <v/>
      </c>
      <c r="C12568">
        <f>TEXT(12567, "[$-060000]yyyy-mm-dd")</f>
        <v/>
      </c>
      <c r="D12568" t="inlineStr">
        <is>
          <t>1353-02-14</t>
        </is>
      </c>
    </row>
    <row r="12569">
      <c r="A12569" s="1" t="n">
        <v>12568</v>
      </c>
      <c r="B12569">
        <f>TEXT(12568, "[$-170000]yyyy-mm-dd")</f>
        <v/>
      </c>
      <c r="C12569">
        <f>TEXT(12568, "[$-060000]yyyy-mm-dd")</f>
        <v/>
      </c>
      <c r="D12569" t="inlineStr">
        <is>
          <t>1353-02-15</t>
        </is>
      </c>
    </row>
    <row r="12570">
      <c r="A12570" s="1" t="n">
        <v>12569</v>
      </c>
      <c r="B12570">
        <f>TEXT(12569, "[$-170000]yyyy-mm-dd")</f>
        <v/>
      </c>
      <c r="C12570">
        <f>TEXT(12569, "[$-060000]yyyy-mm-dd")</f>
        <v/>
      </c>
      <c r="D12570" t="inlineStr">
        <is>
          <t>1353-02-16</t>
        </is>
      </c>
    </row>
    <row r="12571">
      <c r="A12571" s="1" t="n">
        <v>12570</v>
      </c>
      <c r="B12571">
        <f>TEXT(12570, "[$-170000]yyyy-mm-dd")</f>
        <v/>
      </c>
      <c r="C12571">
        <f>TEXT(12570, "[$-060000]yyyy-mm-dd")</f>
        <v/>
      </c>
      <c r="D12571" t="inlineStr">
        <is>
          <t>1353-02-17</t>
        </is>
      </c>
    </row>
    <row r="12572">
      <c r="A12572" s="1" t="n">
        <v>12571</v>
      </c>
      <c r="B12572">
        <f>TEXT(12571, "[$-170000]yyyy-mm-dd")</f>
        <v/>
      </c>
      <c r="C12572">
        <f>TEXT(12571, "[$-060000]yyyy-mm-dd")</f>
        <v/>
      </c>
      <c r="D12572" t="inlineStr">
        <is>
          <t>1353-02-18</t>
        </is>
      </c>
    </row>
    <row r="12573">
      <c r="A12573" s="1" t="n">
        <v>12572</v>
      </c>
      <c r="B12573">
        <f>TEXT(12572, "[$-170000]yyyy-mm-dd")</f>
        <v/>
      </c>
      <c r="C12573">
        <f>TEXT(12572, "[$-060000]yyyy-mm-dd")</f>
        <v/>
      </c>
      <c r="D12573" t="inlineStr">
        <is>
          <t>1353-02-19</t>
        </is>
      </c>
    </row>
    <row r="12574">
      <c r="A12574" s="1" t="n">
        <v>12573</v>
      </c>
      <c r="B12574">
        <f>TEXT(12573, "[$-170000]yyyy-mm-dd")</f>
        <v/>
      </c>
      <c r="C12574">
        <f>TEXT(12573, "[$-060000]yyyy-mm-dd")</f>
        <v/>
      </c>
      <c r="D12574" t="inlineStr">
        <is>
          <t>1353-02-20</t>
        </is>
      </c>
    </row>
    <row r="12575">
      <c r="A12575" s="1" t="n">
        <v>12574</v>
      </c>
      <c r="B12575">
        <f>TEXT(12574, "[$-170000]yyyy-mm-dd")</f>
        <v/>
      </c>
      <c r="C12575">
        <f>TEXT(12574, "[$-060000]yyyy-mm-dd")</f>
        <v/>
      </c>
      <c r="D12575" t="inlineStr">
        <is>
          <t>1353-02-21</t>
        </is>
      </c>
    </row>
    <row r="12576">
      <c r="A12576" s="1" t="n">
        <v>12575</v>
      </c>
      <c r="B12576">
        <f>TEXT(12575, "[$-170000]yyyy-mm-dd")</f>
        <v/>
      </c>
      <c r="C12576">
        <f>TEXT(12575, "[$-060000]yyyy-mm-dd")</f>
        <v/>
      </c>
      <c r="D12576" t="inlineStr">
        <is>
          <t>1353-02-22</t>
        </is>
      </c>
    </row>
    <row r="12577">
      <c r="A12577" s="1" t="n">
        <v>12576</v>
      </c>
      <c r="B12577">
        <f>TEXT(12576, "[$-170000]yyyy-mm-dd")</f>
        <v/>
      </c>
      <c r="C12577">
        <f>TEXT(12576, "[$-060000]yyyy-mm-dd")</f>
        <v/>
      </c>
      <c r="D12577" t="inlineStr">
        <is>
          <t>1353-02-23</t>
        </is>
      </c>
    </row>
    <row r="12578">
      <c r="A12578" s="1" t="n">
        <v>12577</v>
      </c>
      <c r="B12578">
        <f>TEXT(12577, "[$-170000]yyyy-mm-dd")</f>
        <v/>
      </c>
      <c r="C12578">
        <f>TEXT(12577, "[$-060000]yyyy-mm-dd")</f>
        <v/>
      </c>
      <c r="D12578" t="inlineStr">
        <is>
          <t>1353-02-24</t>
        </is>
      </c>
    </row>
    <row r="12579">
      <c r="A12579" s="1" t="n">
        <v>12578</v>
      </c>
      <c r="B12579">
        <f>TEXT(12578, "[$-170000]yyyy-mm-dd")</f>
        <v/>
      </c>
      <c r="C12579">
        <f>TEXT(12578, "[$-060000]yyyy-mm-dd")</f>
        <v/>
      </c>
      <c r="D12579" t="inlineStr">
        <is>
          <t>1353-02-25</t>
        </is>
      </c>
    </row>
    <row r="12580">
      <c r="A12580" s="1" t="n">
        <v>12579</v>
      </c>
      <c r="B12580">
        <f>TEXT(12579, "[$-170000]yyyy-mm-dd")</f>
        <v/>
      </c>
      <c r="C12580">
        <f>TEXT(12579, "[$-060000]yyyy-mm-dd")</f>
        <v/>
      </c>
      <c r="D12580" t="inlineStr">
        <is>
          <t>1353-02-26</t>
        </is>
      </c>
    </row>
    <row r="12581">
      <c r="A12581" s="1" t="n">
        <v>12580</v>
      </c>
      <c r="B12581">
        <f>TEXT(12580, "[$-170000]yyyy-mm-dd")</f>
        <v/>
      </c>
      <c r="C12581">
        <f>TEXT(12580, "[$-060000]yyyy-mm-dd")</f>
        <v/>
      </c>
      <c r="D12581" t="inlineStr">
        <is>
          <t>1353-02-27</t>
        </is>
      </c>
    </row>
    <row r="12582">
      <c r="A12582" s="1" t="n">
        <v>12581</v>
      </c>
      <c r="B12582">
        <f>TEXT(12581, "[$-170000]yyyy-mm-dd")</f>
        <v/>
      </c>
      <c r="C12582">
        <f>TEXT(12581, "[$-060000]yyyy-mm-dd")</f>
        <v/>
      </c>
      <c r="D12582" t="inlineStr">
        <is>
          <t>1353-02-28</t>
        </is>
      </c>
    </row>
    <row r="12583">
      <c r="A12583" s="1" t="n">
        <v>12582</v>
      </c>
      <c r="B12583">
        <f>TEXT(12582, "[$-170000]yyyy-mm-dd")</f>
        <v/>
      </c>
      <c r="C12583">
        <f>TEXT(12582, "[$-060000]yyyy-mm-dd")</f>
        <v/>
      </c>
      <c r="D12583" t="inlineStr">
        <is>
          <t>1353-02-29</t>
        </is>
      </c>
    </row>
    <row r="12584">
      <c r="A12584" s="1" t="n">
        <v>12583</v>
      </c>
      <c r="B12584">
        <f>TEXT(12583, "[$-170000]yyyy-mm-dd")</f>
        <v/>
      </c>
      <c r="C12584">
        <f>TEXT(12583, "[$-060000]yyyy-mm-dd")</f>
        <v/>
      </c>
      <c r="D12584" t="inlineStr">
        <is>
          <t>1353-03-01</t>
        </is>
      </c>
    </row>
    <row r="12585">
      <c r="A12585" s="1" t="n">
        <v>12584</v>
      </c>
      <c r="B12585">
        <f>TEXT(12584, "[$-170000]yyyy-mm-dd")</f>
        <v/>
      </c>
      <c r="C12585">
        <f>TEXT(12584, "[$-060000]yyyy-mm-dd")</f>
        <v/>
      </c>
      <c r="D12585" t="inlineStr">
        <is>
          <t>1353-03-02</t>
        </is>
      </c>
    </row>
    <row r="12586">
      <c r="A12586" s="1" t="n">
        <v>12585</v>
      </c>
      <c r="B12586">
        <f>TEXT(12585, "[$-170000]yyyy-mm-dd")</f>
        <v/>
      </c>
      <c r="C12586">
        <f>TEXT(12585, "[$-060000]yyyy-mm-dd")</f>
        <v/>
      </c>
      <c r="D12586" t="inlineStr">
        <is>
          <t>1353-03-03</t>
        </is>
      </c>
    </row>
    <row r="12587">
      <c r="A12587" s="1" t="n">
        <v>12586</v>
      </c>
      <c r="B12587">
        <f>TEXT(12586, "[$-170000]yyyy-mm-dd")</f>
        <v/>
      </c>
      <c r="C12587">
        <f>TEXT(12586, "[$-060000]yyyy-mm-dd")</f>
        <v/>
      </c>
      <c r="D12587" t="inlineStr">
        <is>
          <t>1353-03-04</t>
        </is>
      </c>
    </row>
    <row r="12588">
      <c r="A12588" s="1" t="n">
        <v>12587</v>
      </c>
      <c r="B12588">
        <f>TEXT(12587, "[$-170000]yyyy-mm-dd")</f>
        <v/>
      </c>
      <c r="C12588">
        <f>TEXT(12587, "[$-060000]yyyy-mm-dd")</f>
        <v/>
      </c>
      <c r="D12588" t="inlineStr">
        <is>
          <t>1353-03-05</t>
        </is>
      </c>
    </row>
    <row r="12589">
      <c r="A12589" s="1" t="n">
        <v>12588</v>
      </c>
      <c r="B12589">
        <f>TEXT(12588, "[$-170000]yyyy-mm-dd")</f>
        <v/>
      </c>
      <c r="C12589">
        <f>TEXT(12588, "[$-060000]yyyy-mm-dd")</f>
        <v/>
      </c>
      <c r="D12589" t="inlineStr">
        <is>
          <t>1353-03-06</t>
        </is>
      </c>
    </row>
    <row r="12590">
      <c r="A12590" s="1" t="n">
        <v>12589</v>
      </c>
      <c r="B12590">
        <f>TEXT(12589, "[$-170000]yyyy-mm-dd")</f>
        <v/>
      </c>
      <c r="C12590">
        <f>TEXT(12589, "[$-060000]yyyy-mm-dd")</f>
        <v/>
      </c>
      <c r="D12590" t="inlineStr">
        <is>
          <t>1353-03-07</t>
        </is>
      </c>
    </row>
    <row r="12591">
      <c r="A12591" s="1" t="n">
        <v>12590</v>
      </c>
      <c r="B12591">
        <f>TEXT(12590, "[$-170000]yyyy-mm-dd")</f>
        <v/>
      </c>
      <c r="C12591">
        <f>TEXT(12590, "[$-060000]yyyy-mm-dd")</f>
        <v/>
      </c>
      <c r="D12591" t="inlineStr">
        <is>
          <t>1353-03-08</t>
        </is>
      </c>
    </row>
    <row r="12592">
      <c r="A12592" s="1" t="n">
        <v>12591</v>
      </c>
      <c r="B12592">
        <f>TEXT(12591, "[$-170000]yyyy-mm-dd")</f>
        <v/>
      </c>
      <c r="C12592">
        <f>TEXT(12591, "[$-060000]yyyy-mm-dd")</f>
        <v/>
      </c>
      <c r="D12592" t="inlineStr">
        <is>
          <t>1353-03-09</t>
        </is>
      </c>
    </row>
    <row r="12593">
      <c r="A12593" s="1" t="n">
        <v>12592</v>
      </c>
      <c r="B12593">
        <f>TEXT(12592, "[$-170000]yyyy-mm-dd")</f>
        <v/>
      </c>
      <c r="C12593">
        <f>TEXT(12592, "[$-060000]yyyy-mm-dd")</f>
        <v/>
      </c>
      <c r="D12593" t="inlineStr">
        <is>
          <t>1353-03-10</t>
        </is>
      </c>
    </row>
    <row r="12594">
      <c r="A12594" s="1" t="n">
        <v>12593</v>
      </c>
      <c r="B12594">
        <f>TEXT(12593, "[$-170000]yyyy-mm-dd")</f>
        <v/>
      </c>
      <c r="C12594">
        <f>TEXT(12593, "[$-060000]yyyy-mm-dd")</f>
        <v/>
      </c>
      <c r="D12594" t="inlineStr">
        <is>
          <t>1353-03-11</t>
        </is>
      </c>
    </row>
    <row r="12595">
      <c r="A12595" s="1" t="n">
        <v>12594</v>
      </c>
      <c r="B12595">
        <f>TEXT(12594, "[$-170000]yyyy-mm-dd")</f>
        <v/>
      </c>
      <c r="C12595">
        <f>TEXT(12594, "[$-060000]yyyy-mm-dd")</f>
        <v/>
      </c>
      <c r="D12595" t="inlineStr">
        <is>
          <t>1353-03-12</t>
        </is>
      </c>
    </row>
    <row r="12596">
      <c r="A12596" s="1" t="n">
        <v>12595</v>
      </c>
      <c r="B12596">
        <f>TEXT(12595, "[$-170000]yyyy-mm-dd")</f>
        <v/>
      </c>
      <c r="C12596">
        <f>TEXT(12595, "[$-060000]yyyy-mm-dd")</f>
        <v/>
      </c>
      <c r="D12596" t="inlineStr">
        <is>
          <t>1353-03-13</t>
        </is>
      </c>
    </row>
    <row r="12597">
      <c r="A12597" s="1" t="n">
        <v>12596</v>
      </c>
      <c r="B12597">
        <f>TEXT(12596, "[$-170000]yyyy-mm-dd")</f>
        <v/>
      </c>
      <c r="C12597">
        <f>TEXT(12596, "[$-060000]yyyy-mm-dd")</f>
        <v/>
      </c>
      <c r="D12597" t="inlineStr">
        <is>
          <t>1353-03-14</t>
        </is>
      </c>
    </row>
    <row r="12598">
      <c r="A12598" s="1" t="n">
        <v>12597</v>
      </c>
      <c r="B12598">
        <f>TEXT(12597, "[$-170000]yyyy-mm-dd")</f>
        <v/>
      </c>
      <c r="C12598">
        <f>TEXT(12597, "[$-060000]yyyy-mm-dd")</f>
        <v/>
      </c>
      <c r="D12598" t="inlineStr">
        <is>
          <t>1353-03-15</t>
        </is>
      </c>
    </row>
    <row r="12599">
      <c r="A12599" s="1" t="n">
        <v>12598</v>
      </c>
      <c r="B12599">
        <f>TEXT(12598, "[$-170000]yyyy-mm-dd")</f>
        <v/>
      </c>
      <c r="C12599">
        <f>TEXT(12598, "[$-060000]yyyy-mm-dd")</f>
        <v/>
      </c>
      <c r="D12599" t="inlineStr">
        <is>
          <t>1353-03-16</t>
        </is>
      </c>
    </row>
    <row r="12600">
      <c r="A12600" s="1" t="n">
        <v>12599</v>
      </c>
      <c r="B12600">
        <f>TEXT(12599, "[$-170000]yyyy-mm-dd")</f>
        <v/>
      </c>
      <c r="C12600">
        <f>TEXT(12599, "[$-060000]yyyy-mm-dd")</f>
        <v/>
      </c>
      <c r="D12600" t="inlineStr">
        <is>
          <t>1353-03-17</t>
        </is>
      </c>
    </row>
    <row r="12601">
      <c r="A12601" s="1" t="n">
        <v>12600</v>
      </c>
      <c r="B12601">
        <f>TEXT(12600, "[$-170000]yyyy-mm-dd")</f>
        <v/>
      </c>
      <c r="C12601">
        <f>TEXT(12600, "[$-060000]yyyy-mm-dd")</f>
        <v/>
      </c>
      <c r="D12601" t="inlineStr">
        <is>
          <t>1353-03-18</t>
        </is>
      </c>
    </row>
    <row r="12602">
      <c r="A12602" s="1" t="n">
        <v>12601</v>
      </c>
      <c r="B12602">
        <f>TEXT(12601, "[$-170000]yyyy-mm-dd")</f>
        <v/>
      </c>
      <c r="C12602">
        <f>TEXT(12601, "[$-060000]yyyy-mm-dd")</f>
        <v/>
      </c>
      <c r="D12602" t="inlineStr">
        <is>
          <t>1353-03-19</t>
        </is>
      </c>
    </row>
    <row r="12603">
      <c r="A12603" s="1" t="n">
        <v>12602</v>
      </c>
      <c r="B12603">
        <f>TEXT(12602, "[$-170000]yyyy-mm-dd")</f>
        <v/>
      </c>
      <c r="C12603">
        <f>TEXT(12602, "[$-060000]yyyy-mm-dd")</f>
        <v/>
      </c>
      <c r="D12603" t="inlineStr">
        <is>
          <t>1353-03-20</t>
        </is>
      </c>
    </row>
    <row r="12604">
      <c r="A12604" s="1" t="n">
        <v>12603</v>
      </c>
      <c r="B12604">
        <f>TEXT(12603, "[$-170000]yyyy-mm-dd")</f>
        <v/>
      </c>
      <c r="C12604">
        <f>TEXT(12603, "[$-060000]yyyy-mm-dd")</f>
        <v/>
      </c>
      <c r="D12604" t="inlineStr">
        <is>
          <t>1353-03-21</t>
        </is>
      </c>
    </row>
    <row r="12605">
      <c r="A12605" s="1" t="n">
        <v>12604</v>
      </c>
      <c r="B12605">
        <f>TEXT(12604, "[$-170000]yyyy-mm-dd")</f>
        <v/>
      </c>
      <c r="C12605">
        <f>TEXT(12604, "[$-060000]yyyy-mm-dd")</f>
        <v/>
      </c>
      <c r="D12605" t="inlineStr">
        <is>
          <t>1353-03-22</t>
        </is>
      </c>
    </row>
    <row r="12606">
      <c r="A12606" s="1" t="n">
        <v>12605</v>
      </c>
      <c r="B12606">
        <f>TEXT(12605, "[$-170000]yyyy-mm-dd")</f>
        <v/>
      </c>
      <c r="C12606">
        <f>TEXT(12605, "[$-060000]yyyy-mm-dd")</f>
        <v/>
      </c>
      <c r="D12606" t="inlineStr">
        <is>
          <t>1353-03-23</t>
        </is>
      </c>
    </row>
    <row r="12607">
      <c r="A12607" s="1" t="n">
        <v>12606</v>
      </c>
      <c r="B12607">
        <f>TEXT(12606, "[$-170000]yyyy-mm-dd")</f>
        <v/>
      </c>
      <c r="C12607">
        <f>TEXT(12606, "[$-060000]yyyy-mm-dd")</f>
        <v/>
      </c>
      <c r="D12607" t="inlineStr">
        <is>
          <t>1353-03-24</t>
        </is>
      </c>
    </row>
    <row r="12608">
      <c r="A12608" s="1" t="n">
        <v>12607</v>
      </c>
      <c r="B12608">
        <f>TEXT(12607, "[$-170000]yyyy-mm-dd")</f>
        <v/>
      </c>
      <c r="C12608">
        <f>TEXT(12607, "[$-060000]yyyy-mm-dd")</f>
        <v/>
      </c>
      <c r="D12608" t="inlineStr">
        <is>
          <t>1353-03-25</t>
        </is>
      </c>
    </row>
    <row r="12609">
      <c r="A12609" s="1" t="n">
        <v>12608</v>
      </c>
      <c r="B12609">
        <f>TEXT(12608, "[$-170000]yyyy-mm-dd")</f>
        <v/>
      </c>
      <c r="C12609">
        <f>TEXT(12608, "[$-060000]yyyy-mm-dd")</f>
        <v/>
      </c>
      <c r="D12609" t="inlineStr">
        <is>
          <t>1353-03-26</t>
        </is>
      </c>
    </row>
    <row r="12610">
      <c r="A12610" s="1" t="n">
        <v>12609</v>
      </c>
      <c r="B12610">
        <f>TEXT(12609, "[$-170000]yyyy-mm-dd")</f>
        <v/>
      </c>
      <c r="C12610">
        <f>TEXT(12609, "[$-060000]yyyy-mm-dd")</f>
        <v/>
      </c>
      <c r="D12610" t="inlineStr">
        <is>
          <t>1353-03-27</t>
        </is>
      </c>
    </row>
    <row r="12611">
      <c r="A12611" s="1" t="n">
        <v>12610</v>
      </c>
      <c r="B12611">
        <f>TEXT(12610, "[$-170000]yyyy-mm-dd")</f>
        <v/>
      </c>
      <c r="C12611">
        <f>TEXT(12610, "[$-060000]yyyy-mm-dd")</f>
        <v/>
      </c>
      <c r="D12611" t="inlineStr">
        <is>
          <t>1353-03-28</t>
        </is>
      </c>
    </row>
    <row r="12612">
      <c r="A12612" s="1" t="n">
        <v>12611</v>
      </c>
      <c r="B12612">
        <f>TEXT(12611, "[$-170000]yyyy-mm-dd")</f>
        <v/>
      </c>
      <c r="C12612">
        <f>TEXT(12611, "[$-060000]yyyy-mm-dd")</f>
        <v/>
      </c>
      <c r="D12612" t="inlineStr">
        <is>
          <t>1353-03-29</t>
        </is>
      </c>
    </row>
    <row r="12613">
      <c r="A12613" s="1" t="n">
        <v>12612</v>
      </c>
      <c r="B12613">
        <f>TEXT(12612, "[$-170000]yyyy-mm-dd")</f>
        <v/>
      </c>
      <c r="C12613">
        <f>TEXT(12612, "[$-060000]yyyy-mm-dd")</f>
        <v/>
      </c>
      <c r="D12613" t="inlineStr">
        <is>
          <t>1353-03-30</t>
        </is>
      </c>
    </row>
    <row r="12614">
      <c r="A12614" s="1" t="n">
        <v>12613</v>
      </c>
      <c r="B12614">
        <f>TEXT(12613, "[$-170000]yyyy-mm-dd")</f>
        <v/>
      </c>
      <c r="C12614">
        <f>TEXT(12613, "[$-060000]yyyy-mm-dd")</f>
        <v/>
      </c>
      <c r="D12614" t="inlineStr">
        <is>
          <t>1353-04-01</t>
        </is>
      </c>
    </row>
    <row r="12615">
      <c r="A12615" s="1" t="n">
        <v>12614</v>
      </c>
      <c r="B12615">
        <f>TEXT(12614, "[$-170000]yyyy-mm-dd")</f>
        <v/>
      </c>
      <c r="C12615">
        <f>TEXT(12614, "[$-060000]yyyy-mm-dd")</f>
        <v/>
      </c>
      <c r="D12615" t="inlineStr">
        <is>
          <t>1353-04-02</t>
        </is>
      </c>
    </row>
    <row r="12616">
      <c r="A12616" s="1" t="n">
        <v>12615</v>
      </c>
      <c r="B12616">
        <f>TEXT(12615, "[$-170000]yyyy-mm-dd")</f>
        <v/>
      </c>
      <c r="C12616">
        <f>TEXT(12615, "[$-060000]yyyy-mm-dd")</f>
        <v/>
      </c>
      <c r="D12616" t="inlineStr">
        <is>
          <t>1353-04-03</t>
        </is>
      </c>
    </row>
    <row r="12617">
      <c r="A12617" s="1" t="n">
        <v>12616</v>
      </c>
      <c r="B12617">
        <f>TEXT(12616, "[$-170000]yyyy-mm-dd")</f>
        <v/>
      </c>
      <c r="C12617">
        <f>TEXT(12616, "[$-060000]yyyy-mm-dd")</f>
        <v/>
      </c>
      <c r="D12617" t="inlineStr">
        <is>
          <t>1353-04-04</t>
        </is>
      </c>
    </row>
    <row r="12618">
      <c r="A12618" s="1" t="n">
        <v>12617</v>
      </c>
      <c r="B12618">
        <f>TEXT(12617, "[$-170000]yyyy-mm-dd")</f>
        <v/>
      </c>
      <c r="C12618">
        <f>TEXT(12617, "[$-060000]yyyy-mm-dd")</f>
        <v/>
      </c>
      <c r="D12618" t="inlineStr">
        <is>
          <t>1353-04-05</t>
        </is>
      </c>
    </row>
    <row r="12619">
      <c r="A12619" s="1" t="n">
        <v>12618</v>
      </c>
      <c r="B12619">
        <f>TEXT(12618, "[$-170000]yyyy-mm-dd")</f>
        <v/>
      </c>
      <c r="C12619">
        <f>TEXT(12618, "[$-060000]yyyy-mm-dd")</f>
        <v/>
      </c>
      <c r="D12619" t="inlineStr">
        <is>
          <t>1353-04-06</t>
        </is>
      </c>
    </row>
    <row r="12620">
      <c r="A12620" s="1" t="n">
        <v>12619</v>
      </c>
      <c r="B12620">
        <f>TEXT(12619, "[$-170000]yyyy-mm-dd")</f>
        <v/>
      </c>
      <c r="C12620">
        <f>TEXT(12619, "[$-060000]yyyy-mm-dd")</f>
        <v/>
      </c>
      <c r="D12620" t="inlineStr">
        <is>
          <t>1353-04-07</t>
        </is>
      </c>
    </row>
    <row r="12621">
      <c r="A12621" s="1" t="n">
        <v>12620</v>
      </c>
      <c r="B12621">
        <f>TEXT(12620, "[$-170000]yyyy-mm-dd")</f>
        <v/>
      </c>
      <c r="C12621">
        <f>TEXT(12620, "[$-060000]yyyy-mm-dd")</f>
        <v/>
      </c>
      <c r="D12621" t="inlineStr">
        <is>
          <t>1353-04-08</t>
        </is>
      </c>
    </row>
    <row r="12622">
      <c r="A12622" s="1" t="n">
        <v>12621</v>
      </c>
      <c r="B12622">
        <f>TEXT(12621, "[$-170000]yyyy-mm-dd")</f>
        <v/>
      </c>
      <c r="C12622">
        <f>TEXT(12621, "[$-060000]yyyy-mm-dd")</f>
        <v/>
      </c>
      <c r="D12622" t="inlineStr">
        <is>
          <t>1353-04-09</t>
        </is>
      </c>
    </row>
    <row r="12623">
      <c r="A12623" s="1" t="n">
        <v>12622</v>
      </c>
      <c r="B12623">
        <f>TEXT(12622, "[$-170000]yyyy-mm-dd")</f>
        <v/>
      </c>
      <c r="C12623">
        <f>TEXT(12622, "[$-060000]yyyy-mm-dd")</f>
        <v/>
      </c>
      <c r="D12623" t="inlineStr">
        <is>
          <t>1353-04-10</t>
        </is>
      </c>
    </row>
    <row r="12624">
      <c r="A12624" s="1" t="n">
        <v>12623</v>
      </c>
      <c r="B12624">
        <f>TEXT(12623, "[$-170000]yyyy-mm-dd")</f>
        <v/>
      </c>
      <c r="C12624">
        <f>TEXT(12623, "[$-060000]yyyy-mm-dd")</f>
        <v/>
      </c>
      <c r="D12624" t="inlineStr">
        <is>
          <t>1353-04-11</t>
        </is>
      </c>
    </row>
    <row r="12625">
      <c r="A12625" s="1" t="n">
        <v>12624</v>
      </c>
      <c r="B12625">
        <f>TEXT(12624, "[$-170000]yyyy-mm-dd")</f>
        <v/>
      </c>
      <c r="C12625">
        <f>TEXT(12624, "[$-060000]yyyy-mm-dd")</f>
        <v/>
      </c>
      <c r="D12625" t="inlineStr">
        <is>
          <t>1353-04-12</t>
        </is>
      </c>
    </row>
    <row r="12626">
      <c r="A12626" s="1" t="n">
        <v>12625</v>
      </c>
      <c r="B12626">
        <f>TEXT(12625, "[$-170000]yyyy-mm-dd")</f>
        <v/>
      </c>
      <c r="C12626">
        <f>TEXT(12625, "[$-060000]yyyy-mm-dd")</f>
        <v/>
      </c>
      <c r="D12626" t="inlineStr">
        <is>
          <t>1353-04-13</t>
        </is>
      </c>
    </row>
    <row r="12627">
      <c r="A12627" s="1" t="n">
        <v>12626</v>
      </c>
      <c r="B12627">
        <f>TEXT(12626, "[$-170000]yyyy-mm-dd")</f>
        <v/>
      </c>
      <c r="C12627">
        <f>TEXT(12626, "[$-060000]yyyy-mm-dd")</f>
        <v/>
      </c>
      <c r="D12627" t="inlineStr">
        <is>
          <t>1353-04-14</t>
        </is>
      </c>
    </row>
    <row r="12628">
      <c r="A12628" s="1" t="n">
        <v>12627</v>
      </c>
      <c r="B12628">
        <f>TEXT(12627, "[$-170000]yyyy-mm-dd")</f>
        <v/>
      </c>
      <c r="C12628">
        <f>TEXT(12627, "[$-060000]yyyy-mm-dd")</f>
        <v/>
      </c>
      <c r="D12628" t="inlineStr">
        <is>
          <t>1353-04-15</t>
        </is>
      </c>
    </row>
    <row r="12629">
      <c r="A12629" s="1" t="n">
        <v>12628</v>
      </c>
      <c r="B12629">
        <f>TEXT(12628, "[$-170000]yyyy-mm-dd")</f>
        <v/>
      </c>
      <c r="C12629">
        <f>TEXT(12628, "[$-060000]yyyy-mm-dd")</f>
        <v/>
      </c>
      <c r="D12629" t="inlineStr">
        <is>
          <t>1353-04-16</t>
        </is>
      </c>
    </row>
    <row r="12630">
      <c r="A12630" s="1" t="n">
        <v>12629</v>
      </c>
      <c r="B12630">
        <f>TEXT(12629, "[$-170000]yyyy-mm-dd")</f>
        <v/>
      </c>
      <c r="C12630">
        <f>TEXT(12629, "[$-060000]yyyy-mm-dd")</f>
        <v/>
      </c>
      <c r="D12630" t="inlineStr">
        <is>
          <t>1353-04-17</t>
        </is>
      </c>
    </row>
    <row r="12631">
      <c r="A12631" s="1" t="n">
        <v>12630</v>
      </c>
      <c r="B12631">
        <f>TEXT(12630, "[$-170000]yyyy-mm-dd")</f>
        <v/>
      </c>
      <c r="C12631">
        <f>TEXT(12630, "[$-060000]yyyy-mm-dd")</f>
        <v/>
      </c>
      <c r="D12631" t="inlineStr">
        <is>
          <t>1353-04-18</t>
        </is>
      </c>
    </row>
    <row r="12632">
      <c r="A12632" s="1" t="n">
        <v>12631</v>
      </c>
      <c r="B12632">
        <f>TEXT(12631, "[$-170000]yyyy-mm-dd")</f>
        <v/>
      </c>
      <c r="C12632">
        <f>TEXT(12631, "[$-060000]yyyy-mm-dd")</f>
        <v/>
      </c>
      <c r="D12632" t="inlineStr">
        <is>
          <t>1353-04-19</t>
        </is>
      </c>
    </row>
    <row r="12633">
      <c r="A12633" s="1" t="n">
        <v>12632</v>
      </c>
      <c r="B12633">
        <f>TEXT(12632, "[$-170000]yyyy-mm-dd")</f>
        <v/>
      </c>
      <c r="C12633">
        <f>TEXT(12632, "[$-060000]yyyy-mm-dd")</f>
        <v/>
      </c>
      <c r="D12633" t="inlineStr">
        <is>
          <t>1353-04-20</t>
        </is>
      </c>
    </row>
    <row r="12634">
      <c r="A12634" s="1" t="n">
        <v>12633</v>
      </c>
      <c r="B12634">
        <f>TEXT(12633, "[$-170000]yyyy-mm-dd")</f>
        <v/>
      </c>
      <c r="C12634">
        <f>TEXT(12633, "[$-060000]yyyy-mm-dd")</f>
        <v/>
      </c>
      <c r="D12634" t="inlineStr">
        <is>
          <t>1353-04-21</t>
        </is>
      </c>
    </row>
    <row r="12635">
      <c r="A12635" s="1" t="n">
        <v>12634</v>
      </c>
      <c r="B12635">
        <f>TEXT(12634, "[$-170000]yyyy-mm-dd")</f>
        <v/>
      </c>
      <c r="C12635">
        <f>TEXT(12634, "[$-060000]yyyy-mm-dd")</f>
        <v/>
      </c>
      <c r="D12635" t="inlineStr">
        <is>
          <t>1353-04-22</t>
        </is>
      </c>
    </row>
    <row r="12636">
      <c r="A12636" s="1" t="n">
        <v>12635</v>
      </c>
      <c r="B12636">
        <f>TEXT(12635, "[$-170000]yyyy-mm-dd")</f>
        <v/>
      </c>
      <c r="C12636">
        <f>TEXT(12635, "[$-060000]yyyy-mm-dd")</f>
        <v/>
      </c>
      <c r="D12636" t="inlineStr">
        <is>
          <t>1353-04-23</t>
        </is>
      </c>
    </row>
    <row r="12637">
      <c r="A12637" s="1" t="n">
        <v>12636</v>
      </c>
      <c r="B12637">
        <f>TEXT(12636, "[$-170000]yyyy-mm-dd")</f>
        <v/>
      </c>
      <c r="C12637">
        <f>TEXT(12636, "[$-060000]yyyy-mm-dd")</f>
        <v/>
      </c>
      <c r="D12637" t="inlineStr">
        <is>
          <t>1353-04-24</t>
        </is>
      </c>
    </row>
    <row r="12638">
      <c r="A12638" s="1" t="n">
        <v>12637</v>
      </c>
      <c r="B12638">
        <f>TEXT(12637, "[$-170000]yyyy-mm-dd")</f>
        <v/>
      </c>
      <c r="C12638">
        <f>TEXT(12637, "[$-060000]yyyy-mm-dd")</f>
        <v/>
      </c>
      <c r="D12638" t="inlineStr">
        <is>
          <t>1353-04-25</t>
        </is>
      </c>
    </row>
    <row r="12639">
      <c r="A12639" s="1" t="n">
        <v>12638</v>
      </c>
      <c r="B12639">
        <f>TEXT(12638, "[$-170000]yyyy-mm-dd")</f>
        <v/>
      </c>
      <c r="C12639">
        <f>TEXT(12638, "[$-060000]yyyy-mm-dd")</f>
        <v/>
      </c>
      <c r="D12639" t="inlineStr">
        <is>
          <t>1353-04-26</t>
        </is>
      </c>
    </row>
    <row r="12640">
      <c r="A12640" s="1" t="n">
        <v>12639</v>
      </c>
      <c r="B12640">
        <f>TEXT(12639, "[$-170000]yyyy-mm-dd")</f>
        <v/>
      </c>
      <c r="C12640">
        <f>TEXT(12639, "[$-060000]yyyy-mm-dd")</f>
        <v/>
      </c>
      <c r="D12640" t="inlineStr">
        <is>
          <t>1353-04-27</t>
        </is>
      </c>
    </row>
    <row r="12641">
      <c r="A12641" s="1" t="n">
        <v>12640</v>
      </c>
      <c r="B12641">
        <f>TEXT(12640, "[$-170000]yyyy-mm-dd")</f>
        <v/>
      </c>
      <c r="C12641">
        <f>TEXT(12640, "[$-060000]yyyy-mm-dd")</f>
        <v/>
      </c>
      <c r="D12641" t="inlineStr">
        <is>
          <t>1353-04-28</t>
        </is>
      </c>
    </row>
    <row r="12642">
      <c r="A12642" s="1" t="n">
        <v>12641</v>
      </c>
      <c r="B12642">
        <f>TEXT(12641, "[$-170000]yyyy-mm-dd")</f>
        <v/>
      </c>
      <c r="C12642">
        <f>TEXT(12641, "[$-060000]yyyy-mm-dd")</f>
        <v/>
      </c>
      <c r="D12642" t="inlineStr">
        <is>
          <t>1353-04-29</t>
        </is>
      </c>
    </row>
    <row r="12643">
      <c r="A12643" s="1" t="n">
        <v>12642</v>
      </c>
      <c r="B12643">
        <f>TEXT(12642, "[$-170000]yyyy-mm-dd")</f>
        <v/>
      </c>
      <c r="C12643">
        <f>TEXT(12642, "[$-060000]yyyy-mm-dd")</f>
        <v/>
      </c>
      <c r="D12643" t="inlineStr">
        <is>
          <t>1353-05-01</t>
        </is>
      </c>
    </row>
    <row r="12644">
      <c r="A12644" s="1" t="n">
        <v>12643</v>
      </c>
      <c r="B12644">
        <f>TEXT(12643, "[$-170000]yyyy-mm-dd")</f>
        <v/>
      </c>
      <c r="C12644">
        <f>TEXT(12643, "[$-060000]yyyy-mm-dd")</f>
        <v/>
      </c>
      <c r="D12644" t="inlineStr">
        <is>
          <t>1353-05-02</t>
        </is>
      </c>
    </row>
    <row r="12645">
      <c r="A12645" s="1" t="n">
        <v>12644</v>
      </c>
      <c r="B12645">
        <f>TEXT(12644, "[$-170000]yyyy-mm-dd")</f>
        <v/>
      </c>
      <c r="C12645">
        <f>TEXT(12644, "[$-060000]yyyy-mm-dd")</f>
        <v/>
      </c>
      <c r="D12645" t="inlineStr">
        <is>
          <t>1353-05-03</t>
        </is>
      </c>
    </row>
    <row r="12646">
      <c r="A12646" s="1" t="n">
        <v>12645</v>
      </c>
      <c r="B12646">
        <f>TEXT(12645, "[$-170000]yyyy-mm-dd")</f>
        <v/>
      </c>
      <c r="C12646">
        <f>TEXT(12645, "[$-060000]yyyy-mm-dd")</f>
        <v/>
      </c>
      <c r="D12646" t="inlineStr">
        <is>
          <t>1353-05-04</t>
        </is>
      </c>
    </row>
    <row r="12647">
      <c r="A12647" s="1" t="n">
        <v>12646</v>
      </c>
      <c r="B12647">
        <f>TEXT(12646, "[$-170000]yyyy-mm-dd")</f>
        <v/>
      </c>
      <c r="C12647">
        <f>TEXT(12646, "[$-060000]yyyy-mm-dd")</f>
        <v/>
      </c>
      <c r="D12647" t="inlineStr">
        <is>
          <t>1353-05-05</t>
        </is>
      </c>
    </row>
    <row r="12648">
      <c r="A12648" s="1" t="n">
        <v>12647</v>
      </c>
      <c r="B12648">
        <f>TEXT(12647, "[$-170000]yyyy-mm-dd")</f>
        <v/>
      </c>
      <c r="C12648">
        <f>TEXT(12647, "[$-060000]yyyy-mm-dd")</f>
        <v/>
      </c>
      <c r="D12648" t="inlineStr">
        <is>
          <t>1353-05-06</t>
        </is>
      </c>
    </row>
    <row r="12649">
      <c r="A12649" s="1" t="n">
        <v>12648</v>
      </c>
      <c r="B12649">
        <f>TEXT(12648, "[$-170000]yyyy-mm-dd")</f>
        <v/>
      </c>
      <c r="C12649">
        <f>TEXT(12648, "[$-060000]yyyy-mm-dd")</f>
        <v/>
      </c>
      <c r="D12649" t="inlineStr">
        <is>
          <t>1353-05-07</t>
        </is>
      </c>
    </row>
    <row r="12650">
      <c r="A12650" s="1" t="n">
        <v>12649</v>
      </c>
      <c r="B12650">
        <f>TEXT(12649, "[$-170000]yyyy-mm-dd")</f>
        <v/>
      </c>
      <c r="C12650">
        <f>TEXT(12649, "[$-060000]yyyy-mm-dd")</f>
        <v/>
      </c>
      <c r="D12650" t="inlineStr">
        <is>
          <t>1353-05-08</t>
        </is>
      </c>
    </row>
    <row r="12651">
      <c r="A12651" s="1" t="n">
        <v>12650</v>
      </c>
      <c r="B12651">
        <f>TEXT(12650, "[$-170000]yyyy-mm-dd")</f>
        <v/>
      </c>
      <c r="C12651">
        <f>TEXT(12650, "[$-060000]yyyy-mm-dd")</f>
        <v/>
      </c>
      <c r="D12651" t="inlineStr">
        <is>
          <t>1353-05-09</t>
        </is>
      </c>
    </row>
    <row r="12652">
      <c r="A12652" s="1" t="n">
        <v>12651</v>
      </c>
      <c r="B12652">
        <f>TEXT(12651, "[$-170000]yyyy-mm-dd")</f>
        <v/>
      </c>
      <c r="C12652">
        <f>TEXT(12651, "[$-060000]yyyy-mm-dd")</f>
        <v/>
      </c>
      <c r="D12652" t="inlineStr">
        <is>
          <t>1353-05-10</t>
        </is>
      </c>
    </row>
    <row r="12653">
      <c r="A12653" s="1" t="n">
        <v>12652</v>
      </c>
      <c r="B12653">
        <f>TEXT(12652, "[$-170000]yyyy-mm-dd")</f>
        <v/>
      </c>
      <c r="C12653">
        <f>TEXT(12652, "[$-060000]yyyy-mm-dd")</f>
        <v/>
      </c>
      <c r="D12653" t="inlineStr">
        <is>
          <t>1353-05-11</t>
        </is>
      </c>
    </row>
    <row r="12654">
      <c r="A12654" s="1" t="n">
        <v>12653</v>
      </c>
      <c r="B12654">
        <f>TEXT(12653, "[$-170000]yyyy-mm-dd")</f>
        <v/>
      </c>
      <c r="C12654">
        <f>TEXT(12653, "[$-060000]yyyy-mm-dd")</f>
        <v/>
      </c>
      <c r="D12654" t="inlineStr">
        <is>
          <t>1353-05-12</t>
        </is>
      </c>
    </row>
    <row r="12655">
      <c r="A12655" s="1" t="n">
        <v>12654</v>
      </c>
      <c r="B12655">
        <f>TEXT(12654, "[$-170000]yyyy-mm-dd")</f>
        <v/>
      </c>
      <c r="C12655">
        <f>TEXT(12654, "[$-060000]yyyy-mm-dd")</f>
        <v/>
      </c>
      <c r="D12655" t="inlineStr">
        <is>
          <t>1353-05-13</t>
        </is>
      </c>
    </row>
    <row r="12656">
      <c r="A12656" s="1" t="n">
        <v>12655</v>
      </c>
      <c r="B12656">
        <f>TEXT(12655, "[$-170000]yyyy-mm-dd")</f>
        <v/>
      </c>
      <c r="C12656">
        <f>TEXT(12655, "[$-060000]yyyy-mm-dd")</f>
        <v/>
      </c>
      <c r="D12656" t="inlineStr">
        <is>
          <t>1353-05-14</t>
        </is>
      </c>
    </row>
    <row r="12657">
      <c r="A12657" s="1" t="n">
        <v>12656</v>
      </c>
      <c r="B12657">
        <f>TEXT(12656, "[$-170000]yyyy-mm-dd")</f>
        <v/>
      </c>
      <c r="C12657">
        <f>TEXT(12656, "[$-060000]yyyy-mm-dd")</f>
        <v/>
      </c>
      <c r="D12657" t="inlineStr">
        <is>
          <t>1353-05-15</t>
        </is>
      </c>
    </row>
    <row r="12658">
      <c r="A12658" s="1" t="n">
        <v>12657</v>
      </c>
      <c r="B12658">
        <f>TEXT(12657, "[$-170000]yyyy-mm-dd")</f>
        <v/>
      </c>
      <c r="C12658">
        <f>TEXT(12657, "[$-060000]yyyy-mm-dd")</f>
        <v/>
      </c>
      <c r="D12658" t="inlineStr">
        <is>
          <t>1353-05-16</t>
        </is>
      </c>
    </row>
    <row r="12659">
      <c r="A12659" s="1" t="n">
        <v>12658</v>
      </c>
      <c r="B12659">
        <f>TEXT(12658, "[$-170000]yyyy-mm-dd")</f>
        <v/>
      </c>
      <c r="C12659">
        <f>TEXT(12658, "[$-060000]yyyy-mm-dd")</f>
        <v/>
      </c>
      <c r="D12659" t="inlineStr">
        <is>
          <t>1353-05-17</t>
        </is>
      </c>
    </row>
    <row r="12660">
      <c r="A12660" s="1" t="n">
        <v>12659</v>
      </c>
      <c r="B12660">
        <f>TEXT(12659, "[$-170000]yyyy-mm-dd")</f>
        <v/>
      </c>
      <c r="C12660">
        <f>TEXT(12659, "[$-060000]yyyy-mm-dd")</f>
        <v/>
      </c>
      <c r="D12660" t="inlineStr">
        <is>
          <t>1353-05-18</t>
        </is>
      </c>
    </row>
    <row r="12661">
      <c r="A12661" s="1" t="n">
        <v>12660</v>
      </c>
      <c r="B12661">
        <f>TEXT(12660, "[$-170000]yyyy-mm-dd")</f>
        <v/>
      </c>
      <c r="C12661">
        <f>TEXT(12660, "[$-060000]yyyy-mm-dd")</f>
        <v/>
      </c>
      <c r="D12661" t="inlineStr">
        <is>
          <t>1353-05-19</t>
        </is>
      </c>
    </row>
    <row r="12662">
      <c r="A12662" s="1" t="n">
        <v>12661</v>
      </c>
      <c r="B12662">
        <f>TEXT(12661, "[$-170000]yyyy-mm-dd")</f>
        <v/>
      </c>
      <c r="C12662">
        <f>TEXT(12661, "[$-060000]yyyy-mm-dd")</f>
        <v/>
      </c>
      <c r="D12662" t="inlineStr">
        <is>
          <t>1353-05-20</t>
        </is>
      </c>
    </row>
    <row r="12663">
      <c r="A12663" s="1" t="n">
        <v>12662</v>
      </c>
      <c r="B12663">
        <f>TEXT(12662, "[$-170000]yyyy-mm-dd")</f>
        <v/>
      </c>
      <c r="C12663">
        <f>TEXT(12662, "[$-060000]yyyy-mm-dd")</f>
        <v/>
      </c>
      <c r="D12663" t="inlineStr">
        <is>
          <t>1353-05-21</t>
        </is>
      </c>
    </row>
    <row r="12664">
      <c r="A12664" s="1" t="n">
        <v>12663</v>
      </c>
      <c r="B12664">
        <f>TEXT(12663, "[$-170000]yyyy-mm-dd")</f>
        <v/>
      </c>
      <c r="C12664">
        <f>TEXT(12663, "[$-060000]yyyy-mm-dd")</f>
        <v/>
      </c>
      <c r="D12664" t="inlineStr">
        <is>
          <t>1353-05-22</t>
        </is>
      </c>
    </row>
    <row r="12665">
      <c r="A12665" s="1" t="n">
        <v>12664</v>
      </c>
      <c r="B12665">
        <f>TEXT(12664, "[$-170000]yyyy-mm-dd")</f>
        <v/>
      </c>
      <c r="C12665">
        <f>TEXT(12664, "[$-060000]yyyy-mm-dd")</f>
        <v/>
      </c>
      <c r="D12665" t="inlineStr">
        <is>
          <t>1353-05-23</t>
        </is>
      </c>
    </row>
    <row r="12666">
      <c r="A12666" s="1" t="n">
        <v>12665</v>
      </c>
      <c r="B12666">
        <f>TEXT(12665, "[$-170000]yyyy-mm-dd")</f>
        <v/>
      </c>
      <c r="C12666">
        <f>TEXT(12665, "[$-060000]yyyy-mm-dd")</f>
        <v/>
      </c>
      <c r="D12666" t="inlineStr">
        <is>
          <t>1353-05-24</t>
        </is>
      </c>
    </row>
    <row r="12667">
      <c r="A12667" s="1" t="n">
        <v>12666</v>
      </c>
      <c r="B12667">
        <f>TEXT(12666, "[$-170000]yyyy-mm-dd")</f>
        <v/>
      </c>
      <c r="C12667">
        <f>TEXT(12666, "[$-060000]yyyy-mm-dd")</f>
        <v/>
      </c>
      <c r="D12667" t="inlineStr">
        <is>
          <t>1353-05-25</t>
        </is>
      </c>
    </row>
    <row r="12668">
      <c r="A12668" s="1" t="n">
        <v>12667</v>
      </c>
      <c r="B12668">
        <f>TEXT(12667, "[$-170000]yyyy-mm-dd")</f>
        <v/>
      </c>
      <c r="C12668">
        <f>TEXT(12667, "[$-060000]yyyy-mm-dd")</f>
        <v/>
      </c>
      <c r="D12668" t="inlineStr">
        <is>
          <t>1353-05-26</t>
        </is>
      </c>
    </row>
    <row r="12669">
      <c r="A12669" s="1" t="n">
        <v>12668</v>
      </c>
      <c r="B12669">
        <f>TEXT(12668, "[$-170000]yyyy-mm-dd")</f>
        <v/>
      </c>
      <c r="C12669">
        <f>TEXT(12668, "[$-060000]yyyy-mm-dd")</f>
        <v/>
      </c>
      <c r="D12669" t="inlineStr">
        <is>
          <t>1353-05-27</t>
        </is>
      </c>
    </row>
    <row r="12670">
      <c r="A12670" s="1" t="n">
        <v>12669</v>
      </c>
      <c r="B12670">
        <f>TEXT(12669, "[$-170000]yyyy-mm-dd")</f>
        <v/>
      </c>
      <c r="C12670">
        <f>TEXT(12669, "[$-060000]yyyy-mm-dd")</f>
        <v/>
      </c>
      <c r="D12670" t="inlineStr">
        <is>
          <t>1353-05-28</t>
        </is>
      </c>
    </row>
    <row r="12671">
      <c r="A12671" s="1" t="n">
        <v>12670</v>
      </c>
      <c r="B12671">
        <f>TEXT(12670, "[$-170000]yyyy-mm-dd")</f>
        <v/>
      </c>
      <c r="C12671">
        <f>TEXT(12670, "[$-060000]yyyy-mm-dd")</f>
        <v/>
      </c>
      <c r="D12671" t="inlineStr">
        <is>
          <t>1353-05-29</t>
        </is>
      </c>
    </row>
    <row r="12672">
      <c r="A12672" s="1" t="n">
        <v>12671</v>
      </c>
      <c r="B12672">
        <f>TEXT(12671, "[$-170000]yyyy-mm-dd")</f>
        <v/>
      </c>
      <c r="C12672">
        <f>TEXT(12671, "[$-060000]yyyy-mm-dd")</f>
        <v/>
      </c>
      <c r="D12672" t="inlineStr">
        <is>
          <t>1353-05-30</t>
        </is>
      </c>
    </row>
    <row r="12673">
      <c r="A12673" s="1" t="n">
        <v>12672</v>
      </c>
      <c r="B12673">
        <f>TEXT(12672, "[$-170000]yyyy-mm-dd")</f>
        <v/>
      </c>
      <c r="C12673">
        <f>TEXT(12672, "[$-060000]yyyy-mm-dd")</f>
        <v/>
      </c>
      <c r="D12673" t="inlineStr">
        <is>
          <t>1353-06-01</t>
        </is>
      </c>
    </row>
    <row r="12674">
      <c r="A12674" s="1" t="n">
        <v>12673</v>
      </c>
      <c r="B12674">
        <f>TEXT(12673, "[$-170000]yyyy-mm-dd")</f>
        <v/>
      </c>
      <c r="C12674">
        <f>TEXT(12673, "[$-060000]yyyy-mm-dd")</f>
        <v/>
      </c>
      <c r="D12674" t="inlineStr">
        <is>
          <t>1353-06-02</t>
        </is>
      </c>
    </row>
    <row r="12675">
      <c r="A12675" s="1" t="n">
        <v>12674</v>
      </c>
      <c r="B12675">
        <f>TEXT(12674, "[$-170000]yyyy-mm-dd")</f>
        <v/>
      </c>
      <c r="C12675">
        <f>TEXT(12674, "[$-060000]yyyy-mm-dd")</f>
        <v/>
      </c>
      <c r="D12675" t="inlineStr">
        <is>
          <t>1353-06-03</t>
        </is>
      </c>
    </row>
    <row r="12676">
      <c r="A12676" s="1" t="n">
        <v>12675</v>
      </c>
      <c r="B12676">
        <f>TEXT(12675, "[$-170000]yyyy-mm-dd")</f>
        <v/>
      </c>
      <c r="C12676">
        <f>TEXT(12675, "[$-060000]yyyy-mm-dd")</f>
        <v/>
      </c>
      <c r="D12676" t="inlineStr">
        <is>
          <t>1353-06-04</t>
        </is>
      </c>
    </row>
    <row r="12677">
      <c r="A12677" s="1" t="n">
        <v>12676</v>
      </c>
      <c r="B12677">
        <f>TEXT(12676, "[$-170000]yyyy-mm-dd")</f>
        <v/>
      </c>
      <c r="C12677">
        <f>TEXT(12676, "[$-060000]yyyy-mm-dd")</f>
        <v/>
      </c>
      <c r="D12677" t="inlineStr">
        <is>
          <t>1353-06-05</t>
        </is>
      </c>
    </row>
    <row r="12678">
      <c r="A12678" s="1" t="n">
        <v>12677</v>
      </c>
      <c r="B12678">
        <f>TEXT(12677, "[$-170000]yyyy-mm-dd")</f>
        <v/>
      </c>
      <c r="C12678">
        <f>TEXT(12677, "[$-060000]yyyy-mm-dd")</f>
        <v/>
      </c>
      <c r="D12678" t="inlineStr">
        <is>
          <t>1353-06-06</t>
        </is>
      </c>
    </row>
    <row r="12679">
      <c r="A12679" s="1" t="n">
        <v>12678</v>
      </c>
      <c r="B12679">
        <f>TEXT(12678, "[$-170000]yyyy-mm-dd")</f>
        <v/>
      </c>
      <c r="C12679">
        <f>TEXT(12678, "[$-060000]yyyy-mm-dd")</f>
        <v/>
      </c>
      <c r="D12679" t="inlineStr">
        <is>
          <t>1353-06-07</t>
        </is>
      </c>
    </row>
    <row r="12680">
      <c r="A12680" s="1" t="n">
        <v>12679</v>
      </c>
      <c r="B12680">
        <f>TEXT(12679, "[$-170000]yyyy-mm-dd")</f>
        <v/>
      </c>
      <c r="C12680">
        <f>TEXT(12679, "[$-060000]yyyy-mm-dd")</f>
        <v/>
      </c>
      <c r="D12680" t="inlineStr">
        <is>
          <t>1353-06-08</t>
        </is>
      </c>
    </row>
    <row r="12681">
      <c r="A12681" s="1" t="n">
        <v>12680</v>
      </c>
      <c r="B12681">
        <f>TEXT(12680, "[$-170000]yyyy-mm-dd")</f>
        <v/>
      </c>
      <c r="C12681">
        <f>TEXT(12680, "[$-060000]yyyy-mm-dd")</f>
        <v/>
      </c>
      <c r="D12681" t="inlineStr">
        <is>
          <t>1353-06-09</t>
        </is>
      </c>
    </row>
    <row r="12682">
      <c r="A12682" s="1" t="n">
        <v>12681</v>
      </c>
      <c r="B12682">
        <f>TEXT(12681, "[$-170000]yyyy-mm-dd")</f>
        <v/>
      </c>
      <c r="C12682">
        <f>TEXT(12681, "[$-060000]yyyy-mm-dd")</f>
        <v/>
      </c>
      <c r="D12682" t="inlineStr">
        <is>
          <t>1353-06-10</t>
        </is>
      </c>
    </row>
    <row r="12683">
      <c r="A12683" s="1" t="n">
        <v>12682</v>
      </c>
      <c r="B12683">
        <f>TEXT(12682, "[$-170000]yyyy-mm-dd")</f>
        <v/>
      </c>
      <c r="C12683">
        <f>TEXT(12682, "[$-060000]yyyy-mm-dd")</f>
        <v/>
      </c>
      <c r="D12683" t="inlineStr">
        <is>
          <t>1353-06-11</t>
        </is>
      </c>
    </row>
    <row r="12684">
      <c r="A12684" s="1" t="n">
        <v>12683</v>
      </c>
      <c r="B12684">
        <f>TEXT(12683, "[$-170000]yyyy-mm-dd")</f>
        <v/>
      </c>
      <c r="C12684">
        <f>TEXT(12683, "[$-060000]yyyy-mm-dd")</f>
        <v/>
      </c>
      <c r="D12684" t="inlineStr">
        <is>
          <t>1353-06-12</t>
        </is>
      </c>
    </row>
    <row r="12685">
      <c r="A12685" s="1" t="n">
        <v>12684</v>
      </c>
      <c r="B12685">
        <f>TEXT(12684, "[$-170000]yyyy-mm-dd")</f>
        <v/>
      </c>
      <c r="C12685">
        <f>TEXT(12684, "[$-060000]yyyy-mm-dd")</f>
        <v/>
      </c>
      <c r="D12685" t="inlineStr">
        <is>
          <t>1353-06-13</t>
        </is>
      </c>
    </row>
    <row r="12686">
      <c r="A12686" s="1" t="n">
        <v>12685</v>
      </c>
      <c r="B12686">
        <f>TEXT(12685, "[$-170000]yyyy-mm-dd")</f>
        <v/>
      </c>
      <c r="C12686">
        <f>TEXT(12685, "[$-060000]yyyy-mm-dd")</f>
        <v/>
      </c>
      <c r="D12686" t="inlineStr">
        <is>
          <t>1353-06-14</t>
        </is>
      </c>
    </row>
    <row r="12687">
      <c r="A12687" s="1" t="n">
        <v>12686</v>
      </c>
      <c r="B12687">
        <f>TEXT(12686, "[$-170000]yyyy-mm-dd")</f>
        <v/>
      </c>
      <c r="C12687">
        <f>TEXT(12686, "[$-060000]yyyy-mm-dd")</f>
        <v/>
      </c>
      <c r="D12687" t="inlineStr">
        <is>
          <t>1353-06-15</t>
        </is>
      </c>
    </row>
    <row r="12688">
      <c r="A12688" s="1" t="n">
        <v>12687</v>
      </c>
      <c r="B12688">
        <f>TEXT(12687, "[$-170000]yyyy-mm-dd")</f>
        <v/>
      </c>
      <c r="C12688">
        <f>TEXT(12687, "[$-060000]yyyy-mm-dd")</f>
        <v/>
      </c>
      <c r="D12688" t="inlineStr">
        <is>
          <t>1353-06-16</t>
        </is>
      </c>
    </row>
    <row r="12689">
      <c r="A12689" s="1" t="n">
        <v>12688</v>
      </c>
      <c r="B12689">
        <f>TEXT(12688, "[$-170000]yyyy-mm-dd")</f>
        <v/>
      </c>
      <c r="C12689">
        <f>TEXT(12688, "[$-060000]yyyy-mm-dd")</f>
        <v/>
      </c>
      <c r="D12689" t="inlineStr">
        <is>
          <t>1353-06-17</t>
        </is>
      </c>
    </row>
    <row r="12690">
      <c r="A12690" s="1" t="n">
        <v>12689</v>
      </c>
      <c r="B12690">
        <f>TEXT(12689, "[$-170000]yyyy-mm-dd")</f>
        <v/>
      </c>
      <c r="C12690">
        <f>TEXT(12689, "[$-060000]yyyy-mm-dd")</f>
        <v/>
      </c>
      <c r="D12690" t="inlineStr">
        <is>
          <t>1353-06-18</t>
        </is>
      </c>
    </row>
    <row r="12691">
      <c r="A12691" s="1" t="n">
        <v>12690</v>
      </c>
      <c r="B12691">
        <f>TEXT(12690, "[$-170000]yyyy-mm-dd")</f>
        <v/>
      </c>
      <c r="C12691">
        <f>TEXT(12690, "[$-060000]yyyy-mm-dd")</f>
        <v/>
      </c>
      <c r="D12691" t="inlineStr">
        <is>
          <t>1353-06-19</t>
        </is>
      </c>
    </row>
    <row r="12692">
      <c r="A12692" s="1" t="n">
        <v>12691</v>
      </c>
      <c r="B12692">
        <f>TEXT(12691, "[$-170000]yyyy-mm-dd")</f>
        <v/>
      </c>
      <c r="C12692">
        <f>TEXT(12691, "[$-060000]yyyy-mm-dd")</f>
        <v/>
      </c>
      <c r="D12692" t="inlineStr">
        <is>
          <t>1353-06-20</t>
        </is>
      </c>
    </row>
    <row r="12693">
      <c r="A12693" s="1" t="n">
        <v>12692</v>
      </c>
      <c r="B12693">
        <f>TEXT(12692, "[$-170000]yyyy-mm-dd")</f>
        <v/>
      </c>
      <c r="C12693">
        <f>TEXT(12692, "[$-060000]yyyy-mm-dd")</f>
        <v/>
      </c>
      <c r="D12693" t="inlineStr">
        <is>
          <t>1353-06-21</t>
        </is>
      </c>
    </row>
    <row r="12694">
      <c r="A12694" s="1" t="n">
        <v>12693</v>
      </c>
      <c r="B12694">
        <f>TEXT(12693, "[$-170000]yyyy-mm-dd")</f>
        <v/>
      </c>
      <c r="C12694">
        <f>TEXT(12693, "[$-060000]yyyy-mm-dd")</f>
        <v/>
      </c>
      <c r="D12694" t="inlineStr">
        <is>
          <t>1353-06-22</t>
        </is>
      </c>
    </row>
    <row r="12695">
      <c r="A12695" s="1" t="n">
        <v>12694</v>
      </c>
      <c r="B12695">
        <f>TEXT(12694, "[$-170000]yyyy-mm-dd")</f>
        <v/>
      </c>
      <c r="C12695">
        <f>TEXT(12694, "[$-060000]yyyy-mm-dd")</f>
        <v/>
      </c>
      <c r="D12695" t="inlineStr">
        <is>
          <t>1353-06-23</t>
        </is>
      </c>
    </row>
    <row r="12696">
      <c r="A12696" s="1" t="n">
        <v>12695</v>
      </c>
      <c r="B12696">
        <f>TEXT(12695, "[$-170000]yyyy-mm-dd")</f>
        <v/>
      </c>
      <c r="C12696">
        <f>TEXT(12695, "[$-060000]yyyy-mm-dd")</f>
        <v/>
      </c>
      <c r="D12696" t="inlineStr">
        <is>
          <t>1353-06-24</t>
        </is>
      </c>
    </row>
    <row r="12697">
      <c r="A12697" s="1" t="n">
        <v>12696</v>
      </c>
      <c r="B12697">
        <f>TEXT(12696, "[$-170000]yyyy-mm-dd")</f>
        <v/>
      </c>
      <c r="C12697">
        <f>TEXT(12696, "[$-060000]yyyy-mm-dd")</f>
        <v/>
      </c>
      <c r="D12697" t="inlineStr">
        <is>
          <t>1353-06-25</t>
        </is>
      </c>
    </row>
    <row r="12698">
      <c r="A12698" s="1" t="n">
        <v>12697</v>
      </c>
      <c r="B12698">
        <f>TEXT(12697, "[$-170000]yyyy-mm-dd")</f>
        <v/>
      </c>
      <c r="C12698">
        <f>TEXT(12697, "[$-060000]yyyy-mm-dd")</f>
        <v/>
      </c>
      <c r="D12698" t="inlineStr">
        <is>
          <t>1353-06-26</t>
        </is>
      </c>
    </row>
    <row r="12699">
      <c r="A12699" s="1" t="n">
        <v>12698</v>
      </c>
      <c r="B12699">
        <f>TEXT(12698, "[$-170000]yyyy-mm-dd")</f>
        <v/>
      </c>
      <c r="C12699">
        <f>TEXT(12698, "[$-060000]yyyy-mm-dd")</f>
        <v/>
      </c>
      <c r="D12699" t="inlineStr">
        <is>
          <t>1353-06-27</t>
        </is>
      </c>
    </row>
    <row r="12700">
      <c r="A12700" s="1" t="n">
        <v>12699</v>
      </c>
      <c r="B12700">
        <f>TEXT(12699, "[$-170000]yyyy-mm-dd")</f>
        <v/>
      </c>
      <c r="C12700">
        <f>TEXT(12699, "[$-060000]yyyy-mm-dd")</f>
        <v/>
      </c>
      <c r="D12700" t="inlineStr">
        <is>
          <t>1353-06-28</t>
        </is>
      </c>
    </row>
    <row r="12701">
      <c r="A12701" s="1" t="n">
        <v>12700</v>
      </c>
      <c r="B12701">
        <f>TEXT(12700, "[$-170000]yyyy-mm-dd")</f>
        <v/>
      </c>
      <c r="C12701">
        <f>TEXT(12700, "[$-060000]yyyy-mm-dd")</f>
        <v/>
      </c>
      <c r="D12701" t="inlineStr">
        <is>
          <t>1353-06-29</t>
        </is>
      </c>
    </row>
    <row r="12702">
      <c r="A12702" s="1" t="n">
        <v>12701</v>
      </c>
      <c r="B12702">
        <f>TEXT(12701, "[$-170000]yyyy-mm-dd")</f>
        <v/>
      </c>
      <c r="C12702">
        <f>TEXT(12701, "[$-060000]yyyy-mm-dd")</f>
        <v/>
      </c>
      <c r="D12702" t="inlineStr">
        <is>
          <t>1353-07-01</t>
        </is>
      </c>
    </row>
    <row r="12703">
      <c r="A12703" s="1" t="n">
        <v>12702</v>
      </c>
      <c r="B12703">
        <f>TEXT(12702, "[$-170000]yyyy-mm-dd")</f>
        <v/>
      </c>
      <c r="C12703">
        <f>TEXT(12702, "[$-060000]yyyy-mm-dd")</f>
        <v/>
      </c>
      <c r="D12703" t="inlineStr">
        <is>
          <t>1353-07-02</t>
        </is>
      </c>
    </row>
    <row r="12704">
      <c r="A12704" s="1" t="n">
        <v>12703</v>
      </c>
      <c r="B12704">
        <f>TEXT(12703, "[$-170000]yyyy-mm-dd")</f>
        <v/>
      </c>
      <c r="C12704">
        <f>TEXT(12703, "[$-060000]yyyy-mm-dd")</f>
        <v/>
      </c>
      <c r="D12704" t="inlineStr">
        <is>
          <t>1353-07-03</t>
        </is>
      </c>
    </row>
    <row r="12705">
      <c r="A12705" s="1" t="n">
        <v>12704</v>
      </c>
      <c r="B12705">
        <f>TEXT(12704, "[$-170000]yyyy-mm-dd")</f>
        <v/>
      </c>
      <c r="C12705">
        <f>TEXT(12704, "[$-060000]yyyy-mm-dd")</f>
        <v/>
      </c>
      <c r="D12705" t="inlineStr">
        <is>
          <t>1353-07-04</t>
        </is>
      </c>
    </row>
    <row r="12706">
      <c r="A12706" s="1" t="n">
        <v>12705</v>
      </c>
      <c r="B12706">
        <f>TEXT(12705, "[$-170000]yyyy-mm-dd")</f>
        <v/>
      </c>
      <c r="C12706">
        <f>TEXT(12705, "[$-060000]yyyy-mm-dd")</f>
        <v/>
      </c>
      <c r="D12706" t="inlineStr">
        <is>
          <t>1353-07-05</t>
        </is>
      </c>
    </row>
    <row r="12707">
      <c r="A12707" s="1" t="n">
        <v>12706</v>
      </c>
      <c r="B12707">
        <f>TEXT(12706, "[$-170000]yyyy-mm-dd")</f>
        <v/>
      </c>
      <c r="C12707">
        <f>TEXT(12706, "[$-060000]yyyy-mm-dd")</f>
        <v/>
      </c>
      <c r="D12707" t="inlineStr">
        <is>
          <t>1353-07-06</t>
        </is>
      </c>
    </row>
    <row r="12708">
      <c r="A12708" s="1" t="n">
        <v>12707</v>
      </c>
      <c r="B12708">
        <f>TEXT(12707, "[$-170000]yyyy-mm-dd")</f>
        <v/>
      </c>
      <c r="C12708">
        <f>TEXT(12707, "[$-060000]yyyy-mm-dd")</f>
        <v/>
      </c>
      <c r="D12708" t="inlineStr">
        <is>
          <t>1353-07-07</t>
        </is>
      </c>
    </row>
    <row r="12709">
      <c r="A12709" s="1" t="n">
        <v>12708</v>
      </c>
      <c r="B12709">
        <f>TEXT(12708, "[$-170000]yyyy-mm-dd")</f>
        <v/>
      </c>
      <c r="C12709">
        <f>TEXT(12708, "[$-060000]yyyy-mm-dd")</f>
        <v/>
      </c>
      <c r="D12709" t="inlineStr">
        <is>
          <t>1353-07-08</t>
        </is>
      </c>
    </row>
    <row r="12710">
      <c r="A12710" s="1" t="n">
        <v>12709</v>
      </c>
      <c r="B12710">
        <f>TEXT(12709, "[$-170000]yyyy-mm-dd")</f>
        <v/>
      </c>
      <c r="C12710">
        <f>TEXT(12709, "[$-060000]yyyy-mm-dd")</f>
        <v/>
      </c>
      <c r="D12710" t="inlineStr">
        <is>
          <t>1353-07-09</t>
        </is>
      </c>
    </row>
    <row r="12711">
      <c r="A12711" s="1" t="n">
        <v>12710</v>
      </c>
      <c r="B12711">
        <f>TEXT(12710, "[$-170000]yyyy-mm-dd")</f>
        <v/>
      </c>
      <c r="C12711">
        <f>TEXT(12710, "[$-060000]yyyy-mm-dd")</f>
        <v/>
      </c>
      <c r="D12711" t="inlineStr">
        <is>
          <t>1353-07-10</t>
        </is>
      </c>
    </row>
    <row r="12712">
      <c r="A12712" s="1" t="n">
        <v>12711</v>
      </c>
      <c r="B12712">
        <f>TEXT(12711, "[$-170000]yyyy-mm-dd")</f>
        <v/>
      </c>
      <c r="C12712">
        <f>TEXT(12711, "[$-060000]yyyy-mm-dd")</f>
        <v/>
      </c>
      <c r="D12712" t="inlineStr">
        <is>
          <t>1353-07-11</t>
        </is>
      </c>
    </row>
    <row r="12713">
      <c r="A12713" s="1" t="n">
        <v>12712</v>
      </c>
      <c r="B12713">
        <f>TEXT(12712, "[$-170000]yyyy-mm-dd")</f>
        <v/>
      </c>
      <c r="C12713">
        <f>TEXT(12712, "[$-060000]yyyy-mm-dd")</f>
        <v/>
      </c>
      <c r="D12713" t="inlineStr">
        <is>
          <t>1353-07-12</t>
        </is>
      </c>
    </row>
    <row r="12714">
      <c r="A12714" s="1" t="n">
        <v>12713</v>
      </c>
      <c r="B12714">
        <f>TEXT(12713, "[$-170000]yyyy-mm-dd")</f>
        <v/>
      </c>
      <c r="C12714">
        <f>TEXT(12713, "[$-060000]yyyy-mm-dd")</f>
        <v/>
      </c>
      <c r="D12714" t="inlineStr">
        <is>
          <t>1353-07-13</t>
        </is>
      </c>
    </row>
    <row r="12715">
      <c r="A12715" s="1" t="n">
        <v>12714</v>
      </c>
      <c r="B12715">
        <f>TEXT(12714, "[$-170000]yyyy-mm-dd")</f>
        <v/>
      </c>
      <c r="C12715">
        <f>TEXT(12714, "[$-060000]yyyy-mm-dd")</f>
        <v/>
      </c>
      <c r="D12715" t="inlineStr">
        <is>
          <t>1353-07-14</t>
        </is>
      </c>
    </row>
    <row r="12716">
      <c r="A12716" s="1" t="n">
        <v>12715</v>
      </c>
      <c r="B12716">
        <f>TEXT(12715, "[$-170000]yyyy-mm-dd")</f>
        <v/>
      </c>
      <c r="C12716">
        <f>TEXT(12715, "[$-060000]yyyy-mm-dd")</f>
        <v/>
      </c>
      <c r="D12716" t="inlineStr">
        <is>
          <t>1353-07-15</t>
        </is>
      </c>
    </row>
    <row r="12717">
      <c r="A12717" s="1" t="n">
        <v>12716</v>
      </c>
      <c r="B12717">
        <f>TEXT(12716, "[$-170000]yyyy-mm-dd")</f>
        <v/>
      </c>
      <c r="C12717">
        <f>TEXT(12716, "[$-060000]yyyy-mm-dd")</f>
        <v/>
      </c>
      <c r="D12717" t="inlineStr">
        <is>
          <t>1353-07-16</t>
        </is>
      </c>
    </row>
    <row r="12718">
      <c r="A12718" s="1" t="n">
        <v>12717</v>
      </c>
      <c r="B12718">
        <f>TEXT(12717, "[$-170000]yyyy-mm-dd")</f>
        <v/>
      </c>
      <c r="C12718">
        <f>TEXT(12717, "[$-060000]yyyy-mm-dd")</f>
        <v/>
      </c>
      <c r="D12718" t="inlineStr">
        <is>
          <t>1353-07-17</t>
        </is>
      </c>
    </row>
    <row r="12719">
      <c r="A12719" s="1" t="n">
        <v>12718</v>
      </c>
      <c r="B12719">
        <f>TEXT(12718, "[$-170000]yyyy-mm-dd")</f>
        <v/>
      </c>
      <c r="C12719">
        <f>TEXT(12718, "[$-060000]yyyy-mm-dd")</f>
        <v/>
      </c>
      <c r="D12719" t="inlineStr">
        <is>
          <t>1353-07-18</t>
        </is>
      </c>
    </row>
    <row r="12720">
      <c r="A12720" s="1" t="n">
        <v>12719</v>
      </c>
      <c r="B12720">
        <f>TEXT(12719, "[$-170000]yyyy-mm-dd")</f>
        <v/>
      </c>
      <c r="C12720">
        <f>TEXT(12719, "[$-060000]yyyy-mm-dd")</f>
        <v/>
      </c>
      <c r="D12720" t="inlineStr">
        <is>
          <t>1353-07-19</t>
        </is>
      </c>
    </row>
    <row r="12721">
      <c r="A12721" s="1" t="n">
        <v>12720</v>
      </c>
      <c r="B12721">
        <f>TEXT(12720, "[$-170000]yyyy-mm-dd")</f>
        <v/>
      </c>
      <c r="C12721">
        <f>TEXT(12720, "[$-060000]yyyy-mm-dd")</f>
        <v/>
      </c>
      <c r="D12721" t="inlineStr">
        <is>
          <t>1353-07-20</t>
        </is>
      </c>
    </row>
    <row r="12722">
      <c r="A12722" s="1" t="n">
        <v>12721</v>
      </c>
      <c r="B12722">
        <f>TEXT(12721, "[$-170000]yyyy-mm-dd")</f>
        <v/>
      </c>
      <c r="C12722">
        <f>TEXT(12721, "[$-060000]yyyy-mm-dd")</f>
        <v/>
      </c>
      <c r="D12722" t="inlineStr">
        <is>
          <t>1353-07-21</t>
        </is>
      </c>
    </row>
    <row r="12723">
      <c r="A12723" s="1" t="n">
        <v>12722</v>
      </c>
      <c r="B12723">
        <f>TEXT(12722, "[$-170000]yyyy-mm-dd")</f>
        <v/>
      </c>
      <c r="C12723">
        <f>TEXT(12722, "[$-060000]yyyy-mm-dd")</f>
        <v/>
      </c>
      <c r="D12723" t="inlineStr">
        <is>
          <t>1353-07-22</t>
        </is>
      </c>
    </row>
    <row r="12724">
      <c r="A12724" s="1" t="n">
        <v>12723</v>
      </c>
      <c r="B12724">
        <f>TEXT(12723, "[$-170000]yyyy-mm-dd")</f>
        <v/>
      </c>
      <c r="C12724">
        <f>TEXT(12723, "[$-060000]yyyy-mm-dd")</f>
        <v/>
      </c>
      <c r="D12724" t="inlineStr">
        <is>
          <t>1353-07-23</t>
        </is>
      </c>
    </row>
    <row r="12725">
      <c r="A12725" s="1" t="n">
        <v>12724</v>
      </c>
      <c r="B12725">
        <f>TEXT(12724, "[$-170000]yyyy-mm-dd")</f>
        <v/>
      </c>
      <c r="C12725">
        <f>TEXT(12724, "[$-060000]yyyy-mm-dd")</f>
        <v/>
      </c>
      <c r="D12725" t="inlineStr">
        <is>
          <t>1353-07-24</t>
        </is>
      </c>
    </row>
    <row r="12726">
      <c r="A12726" s="1" t="n">
        <v>12725</v>
      </c>
      <c r="B12726">
        <f>TEXT(12725, "[$-170000]yyyy-mm-dd")</f>
        <v/>
      </c>
      <c r="C12726">
        <f>TEXT(12725, "[$-060000]yyyy-mm-dd")</f>
        <v/>
      </c>
      <c r="D12726" t="inlineStr">
        <is>
          <t>1353-07-25</t>
        </is>
      </c>
    </row>
    <row r="12727">
      <c r="A12727" s="1" t="n">
        <v>12726</v>
      </c>
      <c r="B12727">
        <f>TEXT(12726, "[$-170000]yyyy-mm-dd")</f>
        <v/>
      </c>
      <c r="C12727">
        <f>TEXT(12726, "[$-060000]yyyy-mm-dd")</f>
        <v/>
      </c>
      <c r="D12727" t="inlineStr">
        <is>
          <t>1353-07-26</t>
        </is>
      </c>
    </row>
    <row r="12728">
      <c r="A12728" s="1" t="n">
        <v>12727</v>
      </c>
      <c r="B12728">
        <f>TEXT(12727, "[$-170000]yyyy-mm-dd")</f>
        <v/>
      </c>
      <c r="C12728">
        <f>TEXT(12727, "[$-060000]yyyy-mm-dd")</f>
        <v/>
      </c>
      <c r="D12728" t="inlineStr">
        <is>
          <t>1353-07-27</t>
        </is>
      </c>
    </row>
    <row r="12729">
      <c r="A12729" s="1" t="n">
        <v>12728</v>
      </c>
      <c r="B12729">
        <f>TEXT(12728, "[$-170000]yyyy-mm-dd")</f>
        <v/>
      </c>
      <c r="C12729">
        <f>TEXT(12728, "[$-060000]yyyy-mm-dd")</f>
        <v/>
      </c>
      <c r="D12729" t="inlineStr">
        <is>
          <t>1353-07-28</t>
        </is>
      </c>
    </row>
    <row r="12730">
      <c r="A12730" s="1" t="n">
        <v>12729</v>
      </c>
      <c r="B12730">
        <f>TEXT(12729, "[$-170000]yyyy-mm-dd")</f>
        <v/>
      </c>
      <c r="C12730">
        <f>TEXT(12729, "[$-060000]yyyy-mm-dd")</f>
        <v/>
      </c>
      <c r="D12730" t="inlineStr">
        <is>
          <t>1353-07-29</t>
        </is>
      </c>
    </row>
    <row r="12731">
      <c r="A12731" s="1" t="n">
        <v>12730</v>
      </c>
      <c r="B12731">
        <f>TEXT(12730, "[$-170000]yyyy-mm-dd")</f>
        <v/>
      </c>
      <c r="C12731">
        <f>TEXT(12730, "[$-060000]yyyy-mm-dd")</f>
        <v/>
      </c>
      <c r="D12731" t="inlineStr">
        <is>
          <t>1353-07-30</t>
        </is>
      </c>
    </row>
    <row r="12732">
      <c r="A12732" s="1" t="n">
        <v>12731</v>
      </c>
      <c r="B12732">
        <f>TEXT(12731, "[$-170000]yyyy-mm-dd")</f>
        <v/>
      </c>
      <c r="C12732">
        <f>TEXT(12731, "[$-060000]yyyy-mm-dd")</f>
        <v/>
      </c>
      <c r="D12732" t="inlineStr">
        <is>
          <t>1353-08-01</t>
        </is>
      </c>
    </row>
    <row r="12733">
      <c r="A12733" s="1" t="n">
        <v>12732</v>
      </c>
      <c r="B12733">
        <f>TEXT(12732, "[$-170000]yyyy-mm-dd")</f>
        <v/>
      </c>
      <c r="C12733">
        <f>TEXT(12732, "[$-060000]yyyy-mm-dd")</f>
        <v/>
      </c>
      <c r="D12733" t="inlineStr">
        <is>
          <t>1353-08-02</t>
        </is>
      </c>
    </row>
    <row r="12734">
      <c r="A12734" s="1" t="n">
        <v>12733</v>
      </c>
      <c r="B12734">
        <f>TEXT(12733, "[$-170000]yyyy-mm-dd")</f>
        <v/>
      </c>
      <c r="C12734">
        <f>TEXT(12733, "[$-060000]yyyy-mm-dd")</f>
        <v/>
      </c>
      <c r="D12734" t="inlineStr">
        <is>
          <t>1353-08-03</t>
        </is>
      </c>
    </row>
    <row r="12735">
      <c r="A12735" s="1" t="n">
        <v>12734</v>
      </c>
      <c r="B12735">
        <f>TEXT(12734, "[$-170000]yyyy-mm-dd")</f>
        <v/>
      </c>
      <c r="C12735">
        <f>TEXT(12734, "[$-060000]yyyy-mm-dd")</f>
        <v/>
      </c>
      <c r="D12735" t="inlineStr">
        <is>
          <t>1353-08-04</t>
        </is>
      </c>
    </row>
    <row r="12736">
      <c r="A12736" s="1" t="n">
        <v>12735</v>
      </c>
      <c r="B12736">
        <f>TEXT(12735, "[$-170000]yyyy-mm-dd")</f>
        <v/>
      </c>
      <c r="C12736">
        <f>TEXT(12735, "[$-060000]yyyy-mm-dd")</f>
        <v/>
      </c>
      <c r="D12736" t="inlineStr">
        <is>
          <t>1353-08-05</t>
        </is>
      </c>
    </row>
    <row r="12737">
      <c r="A12737" s="1" t="n">
        <v>12736</v>
      </c>
      <c r="B12737">
        <f>TEXT(12736, "[$-170000]yyyy-mm-dd")</f>
        <v/>
      </c>
      <c r="C12737">
        <f>TEXT(12736, "[$-060000]yyyy-mm-dd")</f>
        <v/>
      </c>
      <c r="D12737" t="inlineStr">
        <is>
          <t>1353-08-06</t>
        </is>
      </c>
    </row>
    <row r="12738">
      <c r="A12738" s="1" t="n">
        <v>12737</v>
      </c>
      <c r="B12738">
        <f>TEXT(12737, "[$-170000]yyyy-mm-dd")</f>
        <v/>
      </c>
      <c r="C12738">
        <f>TEXT(12737, "[$-060000]yyyy-mm-dd")</f>
        <v/>
      </c>
      <c r="D12738" t="inlineStr">
        <is>
          <t>1353-08-07</t>
        </is>
      </c>
    </row>
    <row r="12739">
      <c r="A12739" s="1" t="n">
        <v>12738</v>
      </c>
      <c r="B12739">
        <f>TEXT(12738, "[$-170000]yyyy-mm-dd")</f>
        <v/>
      </c>
      <c r="C12739">
        <f>TEXT(12738, "[$-060000]yyyy-mm-dd")</f>
        <v/>
      </c>
      <c r="D12739" t="inlineStr">
        <is>
          <t>1353-08-08</t>
        </is>
      </c>
    </row>
    <row r="12740">
      <c r="A12740" s="1" t="n">
        <v>12739</v>
      </c>
      <c r="B12740">
        <f>TEXT(12739, "[$-170000]yyyy-mm-dd")</f>
        <v/>
      </c>
      <c r="C12740">
        <f>TEXT(12739, "[$-060000]yyyy-mm-dd")</f>
        <v/>
      </c>
      <c r="D12740" t="inlineStr">
        <is>
          <t>1353-08-09</t>
        </is>
      </c>
    </row>
    <row r="12741">
      <c r="A12741" s="1" t="n">
        <v>12740</v>
      </c>
      <c r="B12741">
        <f>TEXT(12740, "[$-170000]yyyy-mm-dd")</f>
        <v/>
      </c>
      <c r="C12741">
        <f>TEXT(12740, "[$-060000]yyyy-mm-dd")</f>
        <v/>
      </c>
      <c r="D12741" t="inlineStr">
        <is>
          <t>1353-08-10</t>
        </is>
      </c>
    </row>
    <row r="12742">
      <c r="A12742" s="1" t="n">
        <v>12741</v>
      </c>
      <c r="B12742">
        <f>TEXT(12741, "[$-170000]yyyy-mm-dd")</f>
        <v/>
      </c>
      <c r="C12742">
        <f>TEXT(12741, "[$-060000]yyyy-mm-dd")</f>
        <v/>
      </c>
      <c r="D12742" t="inlineStr">
        <is>
          <t>1353-08-11</t>
        </is>
      </c>
    </row>
    <row r="12743">
      <c r="A12743" s="1" t="n">
        <v>12742</v>
      </c>
      <c r="B12743">
        <f>TEXT(12742, "[$-170000]yyyy-mm-dd")</f>
        <v/>
      </c>
      <c r="C12743">
        <f>TEXT(12742, "[$-060000]yyyy-mm-dd")</f>
        <v/>
      </c>
      <c r="D12743" t="inlineStr">
        <is>
          <t>1353-08-12</t>
        </is>
      </c>
    </row>
    <row r="12744">
      <c r="A12744" s="1" t="n">
        <v>12743</v>
      </c>
      <c r="B12744">
        <f>TEXT(12743, "[$-170000]yyyy-mm-dd")</f>
        <v/>
      </c>
      <c r="C12744">
        <f>TEXT(12743, "[$-060000]yyyy-mm-dd")</f>
        <v/>
      </c>
      <c r="D12744" t="inlineStr">
        <is>
          <t>1353-08-13</t>
        </is>
      </c>
    </row>
    <row r="12745">
      <c r="A12745" s="1" t="n">
        <v>12744</v>
      </c>
      <c r="B12745">
        <f>TEXT(12744, "[$-170000]yyyy-mm-dd")</f>
        <v/>
      </c>
      <c r="C12745">
        <f>TEXT(12744, "[$-060000]yyyy-mm-dd")</f>
        <v/>
      </c>
      <c r="D12745" t="inlineStr">
        <is>
          <t>1353-08-14</t>
        </is>
      </c>
    </row>
    <row r="12746">
      <c r="A12746" s="1" t="n">
        <v>12745</v>
      </c>
      <c r="B12746">
        <f>TEXT(12745, "[$-170000]yyyy-mm-dd")</f>
        <v/>
      </c>
      <c r="C12746">
        <f>TEXT(12745, "[$-060000]yyyy-mm-dd")</f>
        <v/>
      </c>
      <c r="D12746" t="inlineStr">
        <is>
          <t>1353-08-15</t>
        </is>
      </c>
    </row>
    <row r="12747">
      <c r="A12747" s="1" t="n">
        <v>12746</v>
      </c>
      <c r="B12747">
        <f>TEXT(12746, "[$-170000]yyyy-mm-dd")</f>
        <v/>
      </c>
      <c r="C12747">
        <f>TEXT(12746, "[$-060000]yyyy-mm-dd")</f>
        <v/>
      </c>
      <c r="D12747" t="inlineStr">
        <is>
          <t>1353-08-16</t>
        </is>
      </c>
    </row>
    <row r="12748">
      <c r="A12748" s="1" t="n">
        <v>12747</v>
      </c>
      <c r="B12748">
        <f>TEXT(12747, "[$-170000]yyyy-mm-dd")</f>
        <v/>
      </c>
      <c r="C12748">
        <f>TEXT(12747, "[$-060000]yyyy-mm-dd")</f>
        <v/>
      </c>
      <c r="D12748" t="inlineStr">
        <is>
          <t>1353-08-17</t>
        </is>
      </c>
    </row>
    <row r="12749">
      <c r="A12749" s="1" t="n">
        <v>12748</v>
      </c>
      <c r="B12749">
        <f>TEXT(12748, "[$-170000]yyyy-mm-dd")</f>
        <v/>
      </c>
      <c r="C12749">
        <f>TEXT(12748, "[$-060000]yyyy-mm-dd")</f>
        <v/>
      </c>
      <c r="D12749" t="inlineStr">
        <is>
          <t>1353-08-18</t>
        </is>
      </c>
    </row>
    <row r="12750">
      <c r="A12750" s="1" t="n">
        <v>12749</v>
      </c>
      <c r="B12750">
        <f>TEXT(12749, "[$-170000]yyyy-mm-dd")</f>
        <v/>
      </c>
      <c r="C12750">
        <f>TEXT(12749, "[$-060000]yyyy-mm-dd")</f>
        <v/>
      </c>
      <c r="D12750" t="inlineStr">
        <is>
          <t>1353-08-19</t>
        </is>
      </c>
    </row>
    <row r="12751">
      <c r="A12751" s="1" t="n">
        <v>12750</v>
      </c>
      <c r="B12751">
        <f>TEXT(12750, "[$-170000]yyyy-mm-dd")</f>
        <v/>
      </c>
      <c r="C12751">
        <f>TEXT(12750, "[$-060000]yyyy-mm-dd")</f>
        <v/>
      </c>
      <c r="D12751" t="inlineStr">
        <is>
          <t>1353-08-20</t>
        </is>
      </c>
    </row>
    <row r="12752">
      <c r="A12752" s="1" t="n">
        <v>12751</v>
      </c>
      <c r="B12752">
        <f>TEXT(12751, "[$-170000]yyyy-mm-dd")</f>
        <v/>
      </c>
      <c r="C12752">
        <f>TEXT(12751, "[$-060000]yyyy-mm-dd")</f>
        <v/>
      </c>
      <c r="D12752" t="inlineStr">
        <is>
          <t>1353-08-21</t>
        </is>
      </c>
    </row>
    <row r="12753">
      <c r="A12753" s="1" t="n">
        <v>12752</v>
      </c>
      <c r="B12753">
        <f>TEXT(12752, "[$-170000]yyyy-mm-dd")</f>
        <v/>
      </c>
      <c r="C12753">
        <f>TEXT(12752, "[$-060000]yyyy-mm-dd")</f>
        <v/>
      </c>
      <c r="D12753" t="inlineStr">
        <is>
          <t>1353-08-22</t>
        </is>
      </c>
    </row>
    <row r="12754">
      <c r="A12754" s="1" t="n">
        <v>12753</v>
      </c>
      <c r="B12754">
        <f>TEXT(12753, "[$-170000]yyyy-mm-dd")</f>
        <v/>
      </c>
      <c r="C12754">
        <f>TEXT(12753, "[$-060000]yyyy-mm-dd")</f>
        <v/>
      </c>
      <c r="D12754" t="inlineStr">
        <is>
          <t>1353-08-23</t>
        </is>
      </c>
    </row>
    <row r="12755">
      <c r="A12755" s="1" t="n">
        <v>12754</v>
      </c>
      <c r="B12755">
        <f>TEXT(12754, "[$-170000]yyyy-mm-dd")</f>
        <v/>
      </c>
      <c r="C12755">
        <f>TEXT(12754, "[$-060000]yyyy-mm-dd")</f>
        <v/>
      </c>
      <c r="D12755" t="inlineStr">
        <is>
          <t>1353-08-24</t>
        </is>
      </c>
    </row>
    <row r="12756">
      <c r="A12756" s="1" t="n">
        <v>12755</v>
      </c>
      <c r="B12756">
        <f>TEXT(12755, "[$-170000]yyyy-mm-dd")</f>
        <v/>
      </c>
      <c r="C12756">
        <f>TEXT(12755, "[$-060000]yyyy-mm-dd")</f>
        <v/>
      </c>
      <c r="D12756" t="inlineStr">
        <is>
          <t>1353-08-25</t>
        </is>
      </c>
    </row>
    <row r="12757">
      <c r="A12757" s="1" t="n">
        <v>12756</v>
      </c>
      <c r="B12757">
        <f>TEXT(12756, "[$-170000]yyyy-mm-dd")</f>
        <v/>
      </c>
      <c r="C12757">
        <f>TEXT(12756, "[$-060000]yyyy-mm-dd")</f>
        <v/>
      </c>
      <c r="D12757" t="inlineStr">
        <is>
          <t>1353-08-26</t>
        </is>
      </c>
    </row>
    <row r="12758">
      <c r="A12758" s="1" t="n">
        <v>12757</v>
      </c>
      <c r="B12758">
        <f>TEXT(12757, "[$-170000]yyyy-mm-dd")</f>
        <v/>
      </c>
      <c r="C12758">
        <f>TEXT(12757, "[$-060000]yyyy-mm-dd")</f>
        <v/>
      </c>
      <c r="D12758" t="inlineStr">
        <is>
          <t>1353-08-27</t>
        </is>
      </c>
    </row>
    <row r="12759">
      <c r="A12759" s="1" t="n">
        <v>12758</v>
      </c>
      <c r="B12759">
        <f>TEXT(12758, "[$-170000]yyyy-mm-dd")</f>
        <v/>
      </c>
      <c r="C12759">
        <f>TEXT(12758, "[$-060000]yyyy-mm-dd")</f>
        <v/>
      </c>
      <c r="D12759" t="inlineStr">
        <is>
          <t>1353-08-28</t>
        </is>
      </c>
    </row>
    <row r="12760">
      <c r="A12760" s="1" t="n">
        <v>12759</v>
      </c>
      <c r="B12760">
        <f>TEXT(12759, "[$-170000]yyyy-mm-dd")</f>
        <v/>
      </c>
      <c r="C12760">
        <f>TEXT(12759, "[$-060000]yyyy-mm-dd")</f>
        <v/>
      </c>
      <c r="D12760" t="inlineStr">
        <is>
          <t>1353-08-29</t>
        </is>
      </c>
    </row>
    <row r="12761">
      <c r="A12761" s="1" t="n">
        <v>12760</v>
      </c>
      <c r="B12761">
        <f>TEXT(12760, "[$-170000]yyyy-mm-dd")</f>
        <v/>
      </c>
      <c r="C12761">
        <f>TEXT(12760, "[$-060000]yyyy-mm-dd")</f>
        <v/>
      </c>
      <c r="D12761" t="inlineStr">
        <is>
          <t>1353-09-01</t>
        </is>
      </c>
    </row>
    <row r="12762">
      <c r="A12762" s="1" t="n">
        <v>12761</v>
      </c>
      <c r="B12762">
        <f>TEXT(12761, "[$-170000]yyyy-mm-dd")</f>
        <v/>
      </c>
      <c r="C12762">
        <f>TEXT(12761, "[$-060000]yyyy-mm-dd")</f>
        <v/>
      </c>
      <c r="D12762" t="inlineStr">
        <is>
          <t>1353-09-02</t>
        </is>
      </c>
    </row>
    <row r="12763">
      <c r="A12763" s="1" t="n">
        <v>12762</v>
      </c>
      <c r="B12763">
        <f>TEXT(12762, "[$-170000]yyyy-mm-dd")</f>
        <v/>
      </c>
      <c r="C12763">
        <f>TEXT(12762, "[$-060000]yyyy-mm-dd")</f>
        <v/>
      </c>
      <c r="D12763" t="inlineStr">
        <is>
          <t>1353-09-03</t>
        </is>
      </c>
    </row>
    <row r="12764">
      <c r="A12764" s="1" t="n">
        <v>12763</v>
      </c>
      <c r="B12764">
        <f>TEXT(12763, "[$-170000]yyyy-mm-dd")</f>
        <v/>
      </c>
      <c r="C12764">
        <f>TEXT(12763, "[$-060000]yyyy-mm-dd")</f>
        <v/>
      </c>
      <c r="D12764" t="inlineStr">
        <is>
          <t>1353-09-04</t>
        </is>
      </c>
    </row>
    <row r="12765">
      <c r="A12765" s="1" t="n">
        <v>12764</v>
      </c>
      <c r="B12765">
        <f>TEXT(12764, "[$-170000]yyyy-mm-dd")</f>
        <v/>
      </c>
      <c r="C12765">
        <f>TEXT(12764, "[$-060000]yyyy-mm-dd")</f>
        <v/>
      </c>
      <c r="D12765" t="inlineStr">
        <is>
          <t>1353-09-05</t>
        </is>
      </c>
    </row>
    <row r="12766">
      <c r="A12766" s="1" t="n">
        <v>12765</v>
      </c>
      <c r="B12766">
        <f>TEXT(12765, "[$-170000]yyyy-mm-dd")</f>
        <v/>
      </c>
      <c r="C12766">
        <f>TEXT(12765, "[$-060000]yyyy-mm-dd")</f>
        <v/>
      </c>
      <c r="D12766" t="inlineStr">
        <is>
          <t>1353-09-06</t>
        </is>
      </c>
    </row>
    <row r="12767">
      <c r="A12767" s="1" t="n">
        <v>12766</v>
      </c>
      <c r="B12767">
        <f>TEXT(12766, "[$-170000]yyyy-mm-dd")</f>
        <v/>
      </c>
      <c r="C12767">
        <f>TEXT(12766, "[$-060000]yyyy-mm-dd")</f>
        <v/>
      </c>
      <c r="D12767" t="inlineStr">
        <is>
          <t>1353-09-07</t>
        </is>
      </c>
    </row>
    <row r="12768">
      <c r="A12768" s="1" t="n">
        <v>12767</v>
      </c>
      <c r="B12768">
        <f>TEXT(12767, "[$-170000]yyyy-mm-dd")</f>
        <v/>
      </c>
      <c r="C12768">
        <f>TEXT(12767, "[$-060000]yyyy-mm-dd")</f>
        <v/>
      </c>
      <c r="D12768" t="inlineStr">
        <is>
          <t>1353-09-08</t>
        </is>
      </c>
    </row>
    <row r="12769">
      <c r="A12769" s="1" t="n">
        <v>12768</v>
      </c>
      <c r="B12769">
        <f>TEXT(12768, "[$-170000]yyyy-mm-dd")</f>
        <v/>
      </c>
      <c r="C12769">
        <f>TEXT(12768, "[$-060000]yyyy-mm-dd")</f>
        <v/>
      </c>
      <c r="D12769" t="inlineStr">
        <is>
          <t>1353-09-09</t>
        </is>
      </c>
    </row>
    <row r="12770">
      <c r="A12770" s="1" t="n">
        <v>12769</v>
      </c>
      <c r="B12770">
        <f>TEXT(12769, "[$-170000]yyyy-mm-dd")</f>
        <v/>
      </c>
      <c r="C12770">
        <f>TEXT(12769, "[$-060000]yyyy-mm-dd")</f>
        <v/>
      </c>
      <c r="D12770" t="inlineStr">
        <is>
          <t>1353-09-10</t>
        </is>
      </c>
    </row>
    <row r="12771">
      <c r="A12771" s="1" t="n">
        <v>12770</v>
      </c>
      <c r="B12771">
        <f>TEXT(12770, "[$-170000]yyyy-mm-dd")</f>
        <v/>
      </c>
      <c r="C12771">
        <f>TEXT(12770, "[$-060000]yyyy-mm-dd")</f>
        <v/>
      </c>
      <c r="D12771" t="inlineStr">
        <is>
          <t>1353-09-11</t>
        </is>
      </c>
    </row>
    <row r="12772">
      <c r="A12772" s="1" t="n">
        <v>12771</v>
      </c>
      <c r="B12772">
        <f>TEXT(12771, "[$-170000]yyyy-mm-dd")</f>
        <v/>
      </c>
      <c r="C12772">
        <f>TEXT(12771, "[$-060000]yyyy-mm-dd")</f>
        <v/>
      </c>
      <c r="D12772" t="inlineStr">
        <is>
          <t>1353-09-12</t>
        </is>
      </c>
    </row>
    <row r="12773">
      <c r="A12773" s="1" t="n">
        <v>12772</v>
      </c>
      <c r="B12773">
        <f>TEXT(12772, "[$-170000]yyyy-mm-dd")</f>
        <v/>
      </c>
      <c r="C12773">
        <f>TEXT(12772, "[$-060000]yyyy-mm-dd")</f>
        <v/>
      </c>
      <c r="D12773" t="inlineStr">
        <is>
          <t>1353-09-13</t>
        </is>
      </c>
    </row>
    <row r="12774">
      <c r="A12774" s="1" t="n">
        <v>12773</v>
      </c>
      <c r="B12774">
        <f>TEXT(12773, "[$-170000]yyyy-mm-dd")</f>
        <v/>
      </c>
      <c r="C12774">
        <f>TEXT(12773, "[$-060000]yyyy-mm-dd")</f>
        <v/>
      </c>
      <c r="D12774" t="inlineStr">
        <is>
          <t>1353-09-14</t>
        </is>
      </c>
    </row>
    <row r="12775">
      <c r="A12775" s="1" t="n">
        <v>12774</v>
      </c>
      <c r="B12775">
        <f>TEXT(12774, "[$-170000]yyyy-mm-dd")</f>
        <v/>
      </c>
      <c r="C12775">
        <f>TEXT(12774, "[$-060000]yyyy-mm-dd")</f>
        <v/>
      </c>
      <c r="D12775" t="inlineStr">
        <is>
          <t>1353-09-15</t>
        </is>
      </c>
    </row>
    <row r="12776">
      <c r="A12776" s="1" t="n">
        <v>12775</v>
      </c>
      <c r="B12776">
        <f>TEXT(12775, "[$-170000]yyyy-mm-dd")</f>
        <v/>
      </c>
      <c r="C12776">
        <f>TEXT(12775, "[$-060000]yyyy-mm-dd")</f>
        <v/>
      </c>
      <c r="D12776" t="inlineStr">
        <is>
          <t>1353-09-16</t>
        </is>
      </c>
    </row>
    <row r="12777">
      <c r="A12777" s="1" t="n">
        <v>12776</v>
      </c>
      <c r="B12777">
        <f>TEXT(12776, "[$-170000]yyyy-mm-dd")</f>
        <v/>
      </c>
      <c r="C12777">
        <f>TEXT(12776, "[$-060000]yyyy-mm-dd")</f>
        <v/>
      </c>
      <c r="D12777" t="inlineStr">
        <is>
          <t>1353-09-17</t>
        </is>
      </c>
    </row>
    <row r="12778">
      <c r="A12778" s="1" t="n">
        <v>12777</v>
      </c>
      <c r="B12778">
        <f>TEXT(12777, "[$-170000]yyyy-mm-dd")</f>
        <v/>
      </c>
      <c r="C12778">
        <f>TEXT(12777, "[$-060000]yyyy-mm-dd")</f>
        <v/>
      </c>
      <c r="D12778" t="inlineStr">
        <is>
          <t>1353-09-18</t>
        </is>
      </c>
    </row>
    <row r="12779">
      <c r="A12779" s="1" t="n">
        <v>12778</v>
      </c>
      <c r="B12779">
        <f>TEXT(12778, "[$-170000]yyyy-mm-dd")</f>
        <v/>
      </c>
      <c r="C12779">
        <f>TEXT(12778, "[$-060000]yyyy-mm-dd")</f>
        <v/>
      </c>
      <c r="D12779" t="inlineStr">
        <is>
          <t>1353-09-19</t>
        </is>
      </c>
    </row>
    <row r="12780">
      <c r="A12780" s="1" t="n">
        <v>12779</v>
      </c>
      <c r="B12780">
        <f>TEXT(12779, "[$-170000]yyyy-mm-dd")</f>
        <v/>
      </c>
      <c r="C12780">
        <f>TEXT(12779, "[$-060000]yyyy-mm-dd")</f>
        <v/>
      </c>
      <c r="D12780" t="inlineStr">
        <is>
          <t>1353-09-20</t>
        </is>
      </c>
    </row>
    <row r="12781">
      <c r="A12781" s="1" t="n">
        <v>12780</v>
      </c>
      <c r="B12781">
        <f>TEXT(12780, "[$-170000]yyyy-mm-dd")</f>
        <v/>
      </c>
      <c r="C12781">
        <f>TEXT(12780, "[$-060000]yyyy-mm-dd")</f>
        <v/>
      </c>
      <c r="D12781" t="inlineStr">
        <is>
          <t>1353-09-21</t>
        </is>
      </c>
    </row>
    <row r="12782">
      <c r="A12782" s="1" t="n">
        <v>12781</v>
      </c>
      <c r="B12782">
        <f>TEXT(12781, "[$-170000]yyyy-mm-dd")</f>
        <v/>
      </c>
      <c r="C12782">
        <f>TEXT(12781, "[$-060000]yyyy-mm-dd")</f>
        <v/>
      </c>
      <c r="D12782" t="inlineStr">
        <is>
          <t>1353-09-22</t>
        </is>
      </c>
    </row>
    <row r="12783">
      <c r="A12783" s="1" t="n">
        <v>12782</v>
      </c>
      <c r="B12783">
        <f>TEXT(12782, "[$-170000]yyyy-mm-dd")</f>
        <v/>
      </c>
      <c r="C12783">
        <f>TEXT(12782, "[$-060000]yyyy-mm-dd")</f>
        <v/>
      </c>
      <c r="D12783" t="inlineStr">
        <is>
          <t>1353-09-23</t>
        </is>
      </c>
    </row>
    <row r="12784">
      <c r="A12784" s="1" t="n">
        <v>12783</v>
      </c>
      <c r="B12784">
        <f>TEXT(12783, "[$-170000]yyyy-mm-dd")</f>
        <v/>
      </c>
      <c r="C12784">
        <f>TEXT(12783, "[$-060000]yyyy-mm-dd")</f>
        <v/>
      </c>
      <c r="D12784" t="inlineStr">
        <is>
          <t>1353-09-24</t>
        </is>
      </c>
    </row>
    <row r="12785">
      <c r="A12785" s="1" t="n">
        <v>12784</v>
      </c>
      <c r="B12785">
        <f>TEXT(12784, "[$-170000]yyyy-mm-dd")</f>
        <v/>
      </c>
      <c r="C12785">
        <f>TEXT(12784, "[$-060000]yyyy-mm-dd")</f>
        <v/>
      </c>
      <c r="D12785" t="inlineStr">
        <is>
          <t>1353-09-25</t>
        </is>
      </c>
    </row>
    <row r="12786">
      <c r="A12786" s="1" t="n">
        <v>12785</v>
      </c>
      <c r="B12786">
        <f>TEXT(12785, "[$-170000]yyyy-mm-dd")</f>
        <v/>
      </c>
      <c r="C12786">
        <f>TEXT(12785, "[$-060000]yyyy-mm-dd")</f>
        <v/>
      </c>
      <c r="D12786" t="inlineStr">
        <is>
          <t>1353-09-26</t>
        </is>
      </c>
    </row>
    <row r="12787">
      <c r="A12787" s="1" t="n">
        <v>12786</v>
      </c>
      <c r="B12787">
        <f>TEXT(12786, "[$-170000]yyyy-mm-dd")</f>
        <v/>
      </c>
      <c r="C12787">
        <f>TEXT(12786, "[$-060000]yyyy-mm-dd")</f>
        <v/>
      </c>
      <c r="D12787" t="inlineStr">
        <is>
          <t>1353-09-27</t>
        </is>
      </c>
    </row>
    <row r="12788">
      <c r="A12788" s="1" t="n">
        <v>12787</v>
      </c>
      <c r="B12788">
        <f>TEXT(12787, "[$-170000]yyyy-mm-dd")</f>
        <v/>
      </c>
      <c r="C12788">
        <f>TEXT(12787, "[$-060000]yyyy-mm-dd")</f>
        <v/>
      </c>
      <c r="D12788" t="inlineStr">
        <is>
          <t>1353-09-28</t>
        </is>
      </c>
    </row>
    <row r="12789">
      <c r="A12789" s="1" t="n">
        <v>12788</v>
      </c>
      <c r="B12789">
        <f>TEXT(12788, "[$-170000]yyyy-mm-dd")</f>
        <v/>
      </c>
      <c r="C12789">
        <f>TEXT(12788, "[$-060000]yyyy-mm-dd")</f>
        <v/>
      </c>
      <c r="D12789" t="inlineStr">
        <is>
          <t>1353-09-29</t>
        </is>
      </c>
    </row>
    <row r="12790">
      <c r="A12790" s="1" t="n">
        <v>12789</v>
      </c>
      <c r="B12790">
        <f>TEXT(12789, "[$-170000]yyyy-mm-dd")</f>
        <v/>
      </c>
      <c r="C12790">
        <f>TEXT(12789, "[$-060000]yyyy-mm-dd")</f>
        <v/>
      </c>
      <c r="D12790" t="inlineStr">
        <is>
          <t>1353-09-30</t>
        </is>
      </c>
    </row>
    <row r="12791">
      <c r="A12791" s="1" t="n">
        <v>12790</v>
      </c>
      <c r="B12791">
        <f>TEXT(12790, "[$-170000]yyyy-mm-dd")</f>
        <v/>
      </c>
      <c r="C12791">
        <f>TEXT(12790, "[$-060000]yyyy-mm-dd")</f>
        <v/>
      </c>
      <c r="D12791" t="inlineStr">
        <is>
          <t>1353-10-01</t>
        </is>
      </c>
    </row>
    <row r="12792">
      <c r="A12792" s="1" t="n">
        <v>12791</v>
      </c>
      <c r="B12792">
        <f>TEXT(12791, "[$-170000]yyyy-mm-dd")</f>
        <v/>
      </c>
      <c r="C12792">
        <f>TEXT(12791, "[$-060000]yyyy-mm-dd")</f>
        <v/>
      </c>
      <c r="D12792" t="inlineStr">
        <is>
          <t>1353-10-02</t>
        </is>
      </c>
    </row>
    <row r="12793">
      <c r="A12793" s="1" t="n">
        <v>12792</v>
      </c>
      <c r="B12793">
        <f>TEXT(12792, "[$-170000]yyyy-mm-dd")</f>
        <v/>
      </c>
      <c r="C12793">
        <f>TEXT(12792, "[$-060000]yyyy-mm-dd")</f>
        <v/>
      </c>
      <c r="D12793" t="inlineStr">
        <is>
          <t>1353-10-03</t>
        </is>
      </c>
    </row>
    <row r="12794">
      <c r="A12794" s="1" t="n">
        <v>12793</v>
      </c>
      <c r="B12794">
        <f>TEXT(12793, "[$-170000]yyyy-mm-dd")</f>
        <v/>
      </c>
      <c r="C12794">
        <f>TEXT(12793, "[$-060000]yyyy-mm-dd")</f>
        <v/>
      </c>
      <c r="D12794" t="inlineStr">
        <is>
          <t>1353-10-04</t>
        </is>
      </c>
    </row>
    <row r="12795">
      <c r="A12795" s="1" t="n">
        <v>12794</v>
      </c>
      <c r="B12795">
        <f>TEXT(12794, "[$-170000]yyyy-mm-dd")</f>
        <v/>
      </c>
      <c r="C12795">
        <f>TEXT(12794, "[$-060000]yyyy-mm-dd")</f>
        <v/>
      </c>
      <c r="D12795" t="inlineStr">
        <is>
          <t>1353-10-05</t>
        </is>
      </c>
    </row>
    <row r="12796">
      <c r="A12796" s="1" t="n">
        <v>12795</v>
      </c>
      <c r="B12796">
        <f>TEXT(12795, "[$-170000]yyyy-mm-dd")</f>
        <v/>
      </c>
      <c r="C12796">
        <f>TEXT(12795, "[$-060000]yyyy-mm-dd")</f>
        <v/>
      </c>
      <c r="D12796" t="inlineStr">
        <is>
          <t>1353-10-06</t>
        </is>
      </c>
    </row>
    <row r="12797">
      <c r="A12797" s="1" t="n">
        <v>12796</v>
      </c>
      <c r="B12797">
        <f>TEXT(12796, "[$-170000]yyyy-mm-dd")</f>
        <v/>
      </c>
      <c r="C12797">
        <f>TEXT(12796, "[$-060000]yyyy-mm-dd")</f>
        <v/>
      </c>
      <c r="D12797" t="inlineStr">
        <is>
          <t>1353-10-07</t>
        </is>
      </c>
    </row>
    <row r="12798">
      <c r="A12798" s="1" t="n">
        <v>12797</v>
      </c>
      <c r="B12798">
        <f>TEXT(12797, "[$-170000]yyyy-mm-dd")</f>
        <v/>
      </c>
      <c r="C12798">
        <f>TEXT(12797, "[$-060000]yyyy-mm-dd")</f>
        <v/>
      </c>
      <c r="D12798" t="inlineStr">
        <is>
          <t>1353-10-08</t>
        </is>
      </c>
    </row>
    <row r="12799">
      <c r="A12799" s="1" t="n">
        <v>12798</v>
      </c>
      <c r="B12799">
        <f>TEXT(12798, "[$-170000]yyyy-mm-dd")</f>
        <v/>
      </c>
      <c r="C12799">
        <f>TEXT(12798, "[$-060000]yyyy-mm-dd")</f>
        <v/>
      </c>
      <c r="D12799" t="inlineStr">
        <is>
          <t>1353-10-09</t>
        </is>
      </c>
    </row>
    <row r="12800">
      <c r="A12800" s="1" t="n">
        <v>12799</v>
      </c>
      <c r="B12800">
        <f>TEXT(12799, "[$-170000]yyyy-mm-dd")</f>
        <v/>
      </c>
      <c r="C12800">
        <f>TEXT(12799, "[$-060000]yyyy-mm-dd")</f>
        <v/>
      </c>
      <c r="D12800" t="inlineStr">
        <is>
          <t>1353-10-10</t>
        </is>
      </c>
    </row>
    <row r="12801">
      <c r="A12801" s="1" t="n">
        <v>12800</v>
      </c>
      <c r="B12801">
        <f>TEXT(12800, "[$-170000]yyyy-mm-dd")</f>
        <v/>
      </c>
      <c r="C12801">
        <f>TEXT(12800, "[$-060000]yyyy-mm-dd")</f>
        <v/>
      </c>
      <c r="D12801" t="inlineStr">
        <is>
          <t>1353-10-11</t>
        </is>
      </c>
    </row>
    <row r="12802">
      <c r="A12802" s="1" t="n">
        <v>12801</v>
      </c>
      <c r="B12802">
        <f>TEXT(12801, "[$-170000]yyyy-mm-dd")</f>
        <v/>
      </c>
      <c r="C12802">
        <f>TEXT(12801, "[$-060000]yyyy-mm-dd")</f>
        <v/>
      </c>
      <c r="D12802" t="inlineStr">
        <is>
          <t>1353-10-12</t>
        </is>
      </c>
    </row>
    <row r="12803">
      <c r="A12803" s="1" t="n">
        <v>12802</v>
      </c>
      <c r="B12803">
        <f>TEXT(12802, "[$-170000]yyyy-mm-dd")</f>
        <v/>
      </c>
      <c r="C12803">
        <f>TEXT(12802, "[$-060000]yyyy-mm-dd")</f>
        <v/>
      </c>
      <c r="D12803" t="inlineStr">
        <is>
          <t>1353-10-13</t>
        </is>
      </c>
    </row>
    <row r="12804">
      <c r="A12804" s="1" t="n">
        <v>12803</v>
      </c>
      <c r="B12804">
        <f>TEXT(12803, "[$-170000]yyyy-mm-dd")</f>
        <v/>
      </c>
      <c r="C12804">
        <f>TEXT(12803, "[$-060000]yyyy-mm-dd")</f>
        <v/>
      </c>
      <c r="D12804" t="inlineStr">
        <is>
          <t>1353-10-14</t>
        </is>
      </c>
    </row>
    <row r="12805">
      <c r="A12805" s="1" t="n">
        <v>12804</v>
      </c>
      <c r="B12805">
        <f>TEXT(12804, "[$-170000]yyyy-mm-dd")</f>
        <v/>
      </c>
      <c r="C12805">
        <f>TEXT(12804, "[$-060000]yyyy-mm-dd")</f>
        <v/>
      </c>
      <c r="D12805" t="inlineStr">
        <is>
          <t>1353-10-15</t>
        </is>
      </c>
    </row>
    <row r="12806">
      <c r="A12806" s="1" t="n">
        <v>12805</v>
      </c>
      <c r="B12806">
        <f>TEXT(12805, "[$-170000]yyyy-mm-dd")</f>
        <v/>
      </c>
      <c r="C12806">
        <f>TEXT(12805, "[$-060000]yyyy-mm-dd")</f>
        <v/>
      </c>
      <c r="D12806" t="inlineStr">
        <is>
          <t>1353-10-16</t>
        </is>
      </c>
    </row>
    <row r="12807">
      <c r="A12807" s="1" t="n">
        <v>12806</v>
      </c>
      <c r="B12807">
        <f>TEXT(12806, "[$-170000]yyyy-mm-dd")</f>
        <v/>
      </c>
      <c r="C12807">
        <f>TEXT(12806, "[$-060000]yyyy-mm-dd")</f>
        <v/>
      </c>
      <c r="D12807" t="inlineStr">
        <is>
          <t>1353-10-17</t>
        </is>
      </c>
    </row>
    <row r="12808">
      <c r="A12808" s="1" t="n">
        <v>12807</v>
      </c>
      <c r="B12808">
        <f>TEXT(12807, "[$-170000]yyyy-mm-dd")</f>
        <v/>
      </c>
      <c r="C12808">
        <f>TEXT(12807, "[$-060000]yyyy-mm-dd")</f>
        <v/>
      </c>
      <c r="D12808" t="inlineStr">
        <is>
          <t>1353-10-18</t>
        </is>
      </c>
    </row>
    <row r="12809">
      <c r="A12809" s="1" t="n">
        <v>12808</v>
      </c>
      <c r="B12809">
        <f>TEXT(12808, "[$-170000]yyyy-mm-dd")</f>
        <v/>
      </c>
      <c r="C12809">
        <f>TEXT(12808, "[$-060000]yyyy-mm-dd")</f>
        <v/>
      </c>
      <c r="D12809" t="inlineStr">
        <is>
          <t>1353-10-19</t>
        </is>
      </c>
    </row>
    <row r="12810">
      <c r="A12810" s="1" t="n">
        <v>12809</v>
      </c>
      <c r="B12810">
        <f>TEXT(12809, "[$-170000]yyyy-mm-dd")</f>
        <v/>
      </c>
      <c r="C12810">
        <f>TEXT(12809, "[$-060000]yyyy-mm-dd")</f>
        <v/>
      </c>
      <c r="D12810" t="inlineStr">
        <is>
          <t>1353-10-20</t>
        </is>
      </c>
    </row>
    <row r="12811">
      <c r="A12811" s="1" t="n">
        <v>12810</v>
      </c>
      <c r="B12811">
        <f>TEXT(12810, "[$-170000]yyyy-mm-dd")</f>
        <v/>
      </c>
      <c r="C12811">
        <f>TEXT(12810, "[$-060000]yyyy-mm-dd")</f>
        <v/>
      </c>
      <c r="D12811" t="inlineStr">
        <is>
          <t>1353-10-21</t>
        </is>
      </c>
    </row>
    <row r="12812">
      <c r="A12812" s="1" t="n">
        <v>12811</v>
      </c>
      <c r="B12812">
        <f>TEXT(12811, "[$-170000]yyyy-mm-dd")</f>
        <v/>
      </c>
      <c r="C12812">
        <f>TEXT(12811, "[$-060000]yyyy-mm-dd")</f>
        <v/>
      </c>
      <c r="D12812" t="inlineStr">
        <is>
          <t>1353-10-22</t>
        </is>
      </c>
    </row>
    <row r="12813">
      <c r="A12813" s="1" t="n">
        <v>12812</v>
      </c>
      <c r="B12813">
        <f>TEXT(12812, "[$-170000]yyyy-mm-dd")</f>
        <v/>
      </c>
      <c r="C12813">
        <f>TEXT(12812, "[$-060000]yyyy-mm-dd")</f>
        <v/>
      </c>
      <c r="D12813" t="inlineStr">
        <is>
          <t>1353-10-23</t>
        </is>
      </c>
    </row>
    <row r="12814">
      <c r="A12814" s="1" t="n">
        <v>12813</v>
      </c>
      <c r="B12814">
        <f>TEXT(12813, "[$-170000]yyyy-mm-dd")</f>
        <v/>
      </c>
      <c r="C12814">
        <f>TEXT(12813, "[$-060000]yyyy-mm-dd")</f>
        <v/>
      </c>
      <c r="D12814" t="inlineStr">
        <is>
          <t>1353-10-24</t>
        </is>
      </c>
    </row>
    <row r="12815">
      <c r="A12815" s="1" t="n">
        <v>12814</v>
      </c>
      <c r="B12815">
        <f>TEXT(12814, "[$-170000]yyyy-mm-dd")</f>
        <v/>
      </c>
      <c r="C12815">
        <f>TEXT(12814, "[$-060000]yyyy-mm-dd")</f>
        <v/>
      </c>
      <c r="D12815" t="inlineStr">
        <is>
          <t>1353-10-25</t>
        </is>
      </c>
    </row>
    <row r="12816">
      <c r="A12816" s="1" t="n">
        <v>12815</v>
      </c>
      <c r="B12816">
        <f>TEXT(12815, "[$-170000]yyyy-mm-dd")</f>
        <v/>
      </c>
      <c r="C12816">
        <f>TEXT(12815, "[$-060000]yyyy-mm-dd")</f>
        <v/>
      </c>
      <c r="D12816" t="inlineStr">
        <is>
          <t>1353-10-26</t>
        </is>
      </c>
    </row>
    <row r="12817">
      <c r="A12817" s="1" t="n">
        <v>12816</v>
      </c>
      <c r="B12817">
        <f>TEXT(12816, "[$-170000]yyyy-mm-dd")</f>
        <v/>
      </c>
      <c r="C12817">
        <f>TEXT(12816, "[$-060000]yyyy-mm-dd")</f>
        <v/>
      </c>
      <c r="D12817" t="inlineStr">
        <is>
          <t>1353-10-27</t>
        </is>
      </c>
    </row>
    <row r="12818">
      <c r="A12818" s="1" t="n">
        <v>12817</v>
      </c>
      <c r="B12818">
        <f>TEXT(12817, "[$-170000]yyyy-mm-dd")</f>
        <v/>
      </c>
      <c r="C12818">
        <f>TEXT(12817, "[$-060000]yyyy-mm-dd")</f>
        <v/>
      </c>
      <c r="D12818" t="inlineStr">
        <is>
          <t>1353-10-28</t>
        </is>
      </c>
    </row>
    <row r="12819">
      <c r="A12819" s="1" t="n">
        <v>12818</v>
      </c>
      <c r="B12819">
        <f>TEXT(12818, "[$-170000]yyyy-mm-dd")</f>
        <v/>
      </c>
      <c r="C12819">
        <f>TEXT(12818, "[$-060000]yyyy-mm-dd")</f>
        <v/>
      </c>
      <c r="D12819" t="inlineStr">
        <is>
          <t>1353-10-29</t>
        </is>
      </c>
    </row>
    <row r="12820">
      <c r="A12820" s="1" t="n">
        <v>12819</v>
      </c>
      <c r="B12820">
        <f>TEXT(12819, "[$-170000]yyyy-mm-dd")</f>
        <v/>
      </c>
      <c r="C12820">
        <f>TEXT(12819, "[$-060000]yyyy-mm-dd")</f>
        <v/>
      </c>
      <c r="D12820" t="inlineStr">
        <is>
          <t>1353-11-01</t>
        </is>
      </c>
    </row>
    <row r="12821">
      <c r="A12821" s="1" t="n">
        <v>12820</v>
      </c>
      <c r="B12821">
        <f>TEXT(12820, "[$-170000]yyyy-mm-dd")</f>
        <v/>
      </c>
      <c r="C12821">
        <f>TEXT(12820, "[$-060000]yyyy-mm-dd")</f>
        <v/>
      </c>
      <c r="D12821" t="inlineStr">
        <is>
          <t>1353-11-02</t>
        </is>
      </c>
    </row>
    <row r="12822">
      <c r="A12822" s="1" t="n">
        <v>12821</v>
      </c>
      <c r="B12822">
        <f>TEXT(12821, "[$-170000]yyyy-mm-dd")</f>
        <v/>
      </c>
      <c r="C12822">
        <f>TEXT(12821, "[$-060000]yyyy-mm-dd")</f>
        <v/>
      </c>
      <c r="D12822" t="inlineStr">
        <is>
          <t>1353-11-03</t>
        </is>
      </c>
    </row>
    <row r="12823">
      <c r="A12823" s="1" t="n">
        <v>12822</v>
      </c>
      <c r="B12823">
        <f>TEXT(12822, "[$-170000]yyyy-mm-dd")</f>
        <v/>
      </c>
      <c r="C12823">
        <f>TEXT(12822, "[$-060000]yyyy-mm-dd")</f>
        <v/>
      </c>
      <c r="D12823" t="inlineStr">
        <is>
          <t>1353-11-04</t>
        </is>
      </c>
    </row>
    <row r="12824">
      <c r="A12824" s="1" t="n">
        <v>12823</v>
      </c>
      <c r="B12824">
        <f>TEXT(12823, "[$-170000]yyyy-mm-dd")</f>
        <v/>
      </c>
      <c r="C12824">
        <f>TEXT(12823, "[$-060000]yyyy-mm-dd")</f>
        <v/>
      </c>
      <c r="D12824" t="inlineStr">
        <is>
          <t>1353-11-05</t>
        </is>
      </c>
    </row>
    <row r="12825">
      <c r="A12825" s="1" t="n">
        <v>12824</v>
      </c>
      <c r="B12825">
        <f>TEXT(12824, "[$-170000]yyyy-mm-dd")</f>
        <v/>
      </c>
      <c r="C12825">
        <f>TEXT(12824, "[$-060000]yyyy-mm-dd")</f>
        <v/>
      </c>
      <c r="D12825" t="inlineStr">
        <is>
          <t>1353-11-06</t>
        </is>
      </c>
    </row>
    <row r="12826">
      <c r="A12826" s="1" t="n">
        <v>12825</v>
      </c>
      <c r="B12826">
        <f>TEXT(12825, "[$-170000]yyyy-mm-dd")</f>
        <v/>
      </c>
      <c r="C12826">
        <f>TEXT(12825, "[$-060000]yyyy-mm-dd")</f>
        <v/>
      </c>
      <c r="D12826" t="inlineStr">
        <is>
          <t>1353-11-07</t>
        </is>
      </c>
    </row>
    <row r="12827">
      <c r="A12827" s="1" t="n">
        <v>12826</v>
      </c>
      <c r="B12827">
        <f>TEXT(12826, "[$-170000]yyyy-mm-dd")</f>
        <v/>
      </c>
      <c r="C12827">
        <f>TEXT(12826, "[$-060000]yyyy-mm-dd")</f>
        <v/>
      </c>
      <c r="D12827" t="inlineStr">
        <is>
          <t>1353-11-08</t>
        </is>
      </c>
    </row>
    <row r="12828">
      <c r="A12828" s="1" t="n">
        <v>12827</v>
      </c>
      <c r="B12828">
        <f>TEXT(12827, "[$-170000]yyyy-mm-dd")</f>
        <v/>
      </c>
      <c r="C12828">
        <f>TEXT(12827, "[$-060000]yyyy-mm-dd")</f>
        <v/>
      </c>
      <c r="D12828" t="inlineStr">
        <is>
          <t>1353-11-09</t>
        </is>
      </c>
    </row>
    <row r="12829">
      <c r="A12829" s="1" t="n">
        <v>12828</v>
      </c>
      <c r="B12829">
        <f>TEXT(12828, "[$-170000]yyyy-mm-dd")</f>
        <v/>
      </c>
      <c r="C12829">
        <f>TEXT(12828, "[$-060000]yyyy-mm-dd")</f>
        <v/>
      </c>
      <c r="D12829" t="inlineStr">
        <is>
          <t>1353-11-10</t>
        </is>
      </c>
    </row>
    <row r="12830">
      <c r="A12830" s="1" t="n">
        <v>12829</v>
      </c>
      <c r="B12830">
        <f>TEXT(12829, "[$-170000]yyyy-mm-dd")</f>
        <v/>
      </c>
      <c r="C12830">
        <f>TEXT(12829, "[$-060000]yyyy-mm-dd")</f>
        <v/>
      </c>
      <c r="D12830" t="inlineStr">
        <is>
          <t>1353-11-11</t>
        </is>
      </c>
    </row>
    <row r="12831">
      <c r="A12831" s="1" t="n">
        <v>12830</v>
      </c>
      <c r="B12831">
        <f>TEXT(12830, "[$-170000]yyyy-mm-dd")</f>
        <v/>
      </c>
      <c r="C12831">
        <f>TEXT(12830, "[$-060000]yyyy-mm-dd")</f>
        <v/>
      </c>
      <c r="D12831" t="inlineStr">
        <is>
          <t>1353-11-12</t>
        </is>
      </c>
    </row>
    <row r="12832">
      <c r="A12832" s="1" t="n">
        <v>12831</v>
      </c>
      <c r="B12832">
        <f>TEXT(12831, "[$-170000]yyyy-mm-dd")</f>
        <v/>
      </c>
      <c r="C12832">
        <f>TEXT(12831, "[$-060000]yyyy-mm-dd")</f>
        <v/>
      </c>
      <c r="D12832" t="inlineStr">
        <is>
          <t>1353-11-13</t>
        </is>
      </c>
    </row>
    <row r="12833">
      <c r="A12833" s="1" t="n">
        <v>12832</v>
      </c>
      <c r="B12833">
        <f>TEXT(12832, "[$-170000]yyyy-mm-dd")</f>
        <v/>
      </c>
      <c r="C12833">
        <f>TEXT(12832, "[$-060000]yyyy-mm-dd")</f>
        <v/>
      </c>
      <c r="D12833" t="inlineStr">
        <is>
          <t>1353-11-14</t>
        </is>
      </c>
    </row>
    <row r="12834">
      <c r="A12834" s="1" t="n">
        <v>12833</v>
      </c>
      <c r="B12834">
        <f>TEXT(12833, "[$-170000]yyyy-mm-dd")</f>
        <v/>
      </c>
      <c r="C12834">
        <f>TEXT(12833, "[$-060000]yyyy-mm-dd")</f>
        <v/>
      </c>
      <c r="D12834" t="inlineStr">
        <is>
          <t>1353-11-15</t>
        </is>
      </c>
    </row>
    <row r="12835">
      <c r="A12835" s="1" t="n">
        <v>12834</v>
      </c>
      <c r="B12835">
        <f>TEXT(12834, "[$-170000]yyyy-mm-dd")</f>
        <v/>
      </c>
      <c r="C12835">
        <f>TEXT(12834, "[$-060000]yyyy-mm-dd")</f>
        <v/>
      </c>
      <c r="D12835" t="inlineStr">
        <is>
          <t>1353-11-16</t>
        </is>
      </c>
    </row>
    <row r="12836">
      <c r="A12836" s="1" t="n">
        <v>12835</v>
      </c>
      <c r="B12836">
        <f>TEXT(12835, "[$-170000]yyyy-mm-dd")</f>
        <v/>
      </c>
      <c r="C12836">
        <f>TEXT(12835, "[$-060000]yyyy-mm-dd")</f>
        <v/>
      </c>
      <c r="D12836" t="inlineStr">
        <is>
          <t>1353-11-17</t>
        </is>
      </c>
    </row>
    <row r="12837">
      <c r="A12837" s="1" t="n">
        <v>12836</v>
      </c>
      <c r="B12837">
        <f>TEXT(12836, "[$-170000]yyyy-mm-dd")</f>
        <v/>
      </c>
      <c r="C12837">
        <f>TEXT(12836, "[$-060000]yyyy-mm-dd")</f>
        <v/>
      </c>
      <c r="D12837" t="inlineStr">
        <is>
          <t>1353-11-18</t>
        </is>
      </c>
    </row>
    <row r="12838">
      <c r="A12838" s="1" t="n">
        <v>12837</v>
      </c>
      <c r="B12838">
        <f>TEXT(12837, "[$-170000]yyyy-mm-dd")</f>
        <v/>
      </c>
      <c r="C12838">
        <f>TEXT(12837, "[$-060000]yyyy-mm-dd")</f>
        <v/>
      </c>
      <c r="D12838" t="inlineStr">
        <is>
          <t>1353-11-19</t>
        </is>
      </c>
    </row>
    <row r="12839">
      <c r="A12839" s="1" t="n">
        <v>12838</v>
      </c>
      <c r="B12839">
        <f>TEXT(12838, "[$-170000]yyyy-mm-dd")</f>
        <v/>
      </c>
      <c r="C12839">
        <f>TEXT(12838, "[$-060000]yyyy-mm-dd")</f>
        <v/>
      </c>
      <c r="D12839" t="inlineStr">
        <is>
          <t>1353-11-20</t>
        </is>
      </c>
    </row>
    <row r="12840">
      <c r="A12840" s="1" t="n">
        <v>12839</v>
      </c>
      <c r="B12840">
        <f>TEXT(12839, "[$-170000]yyyy-mm-dd")</f>
        <v/>
      </c>
      <c r="C12840">
        <f>TEXT(12839, "[$-060000]yyyy-mm-dd")</f>
        <v/>
      </c>
      <c r="D12840" t="inlineStr">
        <is>
          <t>1353-11-21</t>
        </is>
      </c>
    </row>
    <row r="12841">
      <c r="A12841" s="1" t="n">
        <v>12840</v>
      </c>
      <c r="B12841">
        <f>TEXT(12840, "[$-170000]yyyy-mm-dd")</f>
        <v/>
      </c>
      <c r="C12841">
        <f>TEXT(12840, "[$-060000]yyyy-mm-dd")</f>
        <v/>
      </c>
      <c r="D12841" t="inlineStr">
        <is>
          <t>1353-11-22</t>
        </is>
      </c>
    </row>
    <row r="12842">
      <c r="A12842" s="1" t="n">
        <v>12841</v>
      </c>
      <c r="B12842">
        <f>TEXT(12841, "[$-170000]yyyy-mm-dd")</f>
        <v/>
      </c>
      <c r="C12842">
        <f>TEXT(12841, "[$-060000]yyyy-mm-dd")</f>
        <v/>
      </c>
      <c r="D12842" t="inlineStr">
        <is>
          <t>1353-11-23</t>
        </is>
      </c>
    </row>
    <row r="12843">
      <c r="A12843" s="1" t="n">
        <v>12842</v>
      </c>
      <c r="B12843">
        <f>TEXT(12842, "[$-170000]yyyy-mm-dd")</f>
        <v/>
      </c>
      <c r="C12843">
        <f>TEXT(12842, "[$-060000]yyyy-mm-dd")</f>
        <v/>
      </c>
      <c r="D12843" t="inlineStr">
        <is>
          <t>1353-11-24</t>
        </is>
      </c>
    </row>
    <row r="12844">
      <c r="A12844" s="1" t="n">
        <v>12843</v>
      </c>
      <c r="B12844">
        <f>TEXT(12843, "[$-170000]yyyy-mm-dd")</f>
        <v/>
      </c>
      <c r="C12844">
        <f>TEXT(12843, "[$-060000]yyyy-mm-dd")</f>
        <v/>
      </c>
      <c r="D12844" t="inlineStr">
        <is>
          <t>1353-11-25</t>
        </is>
      </c>
    </row>
    <row r="12845">
      <c r="A12845" s="1" t="n">
        <v>12844</v>
      </c>
      <c r="B12845">
        <f>TEXT(12844, "[$-170000]yyyy-mm-dd")</f>
        <v/>
      </c>
      <c r="C12845">
        <f>TEXT(12844, "[$-060000]yyyy-mm-dd")</f>
        <v/>
      </c>
      <c r="D12845" t="inlineStr">
        <is>
          <t>1353-11-26</t>
        </is>
      </c>
    </row>
    <row r="12846">
      <c r="A12846" s="1" t="n">
        <v>12845</v>
      </c>
      <c r="B12846">
        <f>TEXT(12845, "[$-170000]yyyy-mm-dd")</f>
        <v/>
      </c>
      <c r="C12846">
        <f>TEXT(12845, "[$-060000]yyyy-mm-dd")</f>
        <v/>
      </c>
      <c r="D12846" t="inlineStr">
        <is>
          <t>1353-11-27</t>
        </is>
      </c>
    </row>
    <row r="12847">
      <c r="A12847" s="1" t="n">
        <v>12846</v>
      </c>
      <c r="B12847">
        <f>TEXT(12846, "[$-170000]yyyy-mm-dd")</f>
        <v/>
      </c>
      <c r="C12847">
        <f>TEXT(12846, "[$-060000]yyyy-mm-dd")</f>
        <v/>
      </c>
      <c r="D12847" t="inlineStr">
        <is>
          <t>1353-11-28</t>
        </is>
      </c>
    </row>
    <row r="12848">
      <c r="A12848" s="1" t="n">
        <v>12847</v>
      </c>
      <c r="B12848">
        <f>TEXT(12847, "[$-170000]yyyy-mm-dd")</f>
        <v/>
      </c>
      <c r="C12848">
        <f>TEXT(12847, "[$-060000]yyyy-mm-dd")</f>
        <v/>
      </c>
      <c r="D12848" t="inlineStr">
        <is>
          <t>1353-11-29</t>
        </is>
      </c>
    </row>
    <row r="12849">
      <c r="A12849" s="1" t="n">
        <v>12848</v>
      </c>
      <c r="B12849">
        <f>TEXT(12848, "[$-170000]yyyy-mm-dd")</f>
        <v/>
      </c>
      <c r="C12849">
        <f>TEXT(12848, "[$-060000]yyyy-mm-dd")</f>
        <v/>
      </c>
      <c r="D12849" t="inlineStr">
        <is>
          <t>1353-11-30</t>
        </is>
      </c>
    </row>
    <row r="12850">
      <c r="A12850" s="1" t="n">
        <v>12849</v>
      </c>
      <c r="B12850">
        <f>TEXT(12849, "[$-170000]yyyy-mm-dd")</f>
        <v/>
      </c>
      <c r="C12850">
        <f>TEXT(12849, "[$-060000]yyyy-mm-dd")</f>
        <v/>
      </c>
      <c r="D12850" t="inlineStr">
        <is>
          <t>1353-12-01</t>
        </is>
      </c>
    </row>
    <row r="12851">
      <c r="A12851" s="1" t="n">
        <v>12850</v>
      </c>
      <c r="B12851">
        <f>TEXT(12850, "[$-170000]yyyy-mm-dd")</f>
        <v/>
      </c>
      <c r="C12851">
        <f>TEXT(12850, "[$-060000]yyyy-mm-dd")</f>
        <v/>
      </c>
      <c r="D12851" t="inlineStr">
        <is>
          <t>1353-12-02</t>
        </is>
      </c>
    </row>
    <row r="12852">
      <c r="A12852" s="1" t="n">
        <v>12851</v>
      </c>
      <c r="B12852">
        <f>TEXT(12851, "[$-170000]yyyy-mm-dd")</f>
        <v/>
      </c>
      <c r="C12852">
        <f>TEXT(12851, "[$-060000]yyyy-mm-dd")</f>
        <v/>
      </c>
      <c r="D12852" t="inlineStr">
        <is>
          <t>1353-12-03</t>
        </is>
      </c>
    </row>
    <row r="12853">
      <c r="A12853" s="1" t="n">
        <v>12852</v>
      </c>
      <c r="B12853">
        <f>TEXT(12852, "[$-170000]yyyy-mm-dd")</f>
        <v/>
      </c>
      <c r="C12853">
        <f>TEXT(12852, "[$-060000]yyyy-mm-dd")</f>
        <v/>
      </c>
      <c r="D12853" t="inlineStr">
        <is>
          <t>1353-12-04</t>
        </is>
      </c>
    </row>
    <row r="12854">
      <c r="A12854" s="1" t="n">
        <v>12853</v>
      </c>
      <c r="B12854">
        <f>TEXT(12853, "[$-170000]yyyy-mm-dd")</f>
        <v/>
      </c>
      <c r="C12854">
        <f>TEXT(12853, "[$-060000]yyyy-mm-dd")</f>
        <v/>
      </c>
      <c r="D12854" t="inlineStr">
        <is>
          <t>1353-12-05</t>
        </is>
      </c>
    </row>
    <row r="12855">
      <c r="A12855" s="1" t="n">
        <v>12854</v>
      </c>
      <c r="B12855">
        <f>TEXT(12854, "[$-170000]yyyy-mm-dd")</f>
        <v/>
      </c>
      <c r="C12855">
        <f>TEXT(12854, "[$-060000]yyyy-mm-dd")</f>
        <v/>
      </c>
      <c r="D12855" t="inlineStr">
        <is>
          <t>1353-12-06</t>
        </is>
      </c>
    </row>
    <row r="12856">
      <c r="A12856" s="1" t="n">
        <v>12855</v>
      </c>
      <c r="B12856">
        <f>TEXT(12855, "[$-170000]yyyy-mm-dd")</f>
        <v/>
      </c>
      <c r="C12856">
        <f>TEXT(12855, "[$-060000]yyyy-mm-dd")</f>
        <v/>
      </c>
      <c r="D12856" t="inlineStr">
        <is>
          <t>1353-12-07</t>
        </is>
      </c>
    </row>
    <row r="12857">
      <c r="A12857" s="1" t="n">
        <v>12856</v>
      </c>
      <c r="B12857">
        <f>TEXT(12856, "[$-170000]yyyy-mm-dd")</f>
        <v/>
      </c>
      <c r="C12857">
        <f>TEXT(12856, "[$-060000]yyyy-mm-dd")</f>
        <v/>
      </c>
      <c r="D12857" t="inlineStr">
        <is>
          <t>1353-12-08</t>
        </is>
      </c>
    </row>
    <row r="12858">
      <c r="A12858" s="1" t="n">
        <v>12857</v>
      </c>
      <c r="B12858">
        <f>TEXT(12857, "[$-170000]yyyy-mm-dd")</f>
        <v/>
      </c>
      <c r="C12858">
        <f>TEXT(12857, "[$-060000]yyyy-mm-dd")</f>
        <v/>
      </c>
      <c r="D12858" t="inlineStr">
        <is>
          <t>1353-12-09</t>
        </is>
      </c>
    </row>
    <row r="12859">
      <c r="A12859" s="1" t="n">
        <v>12858</v>
      </c>
      <c r="B12859">
        <f>TEXT(12858, "[$-170000]yyyy-mm-dd")</f>
        <v/>
      </c>
      <c r="C12859">
        <f>TEXT(12858, "[$-060000]yyyy-mm-dd")</f>
        <v/>
      </c>
      <c r="D12859" t="inlineStr">
        <is>
          <t>1353-12-10</t>
        </is>
      </c>
    </row>
    <row r="12860">
      <c r="A12860" s="1" t="n">
        <v>12859</v>
      </c>
      <c r="B12860">
        <f>TEXT(12859, "[$-170000]yyyy-mm-dd")</f>
        <v/>
      </c>
      <c r="C12860">
        <f>TEXT(12859, "[$-060000]yyyy-mm-dd")</f>
        <v/>
      </c>
      <c r="D12860" t="inlineStr">
        <is>
          <t>1353-12-11</t>
        </is>
      </c>
    </row>
    <row r="12861">
      <c r="A12861" s="1" t="n">
        <v>12860</v>
      </c>
      <c r="B12861">
        <f>TEXT(12860, "[$-170000]yyyy-mm-dd")</f>
        <v/>
      </c>
      <c r="C12861">
        <f>TEXT(12860, "[$-060000]yyyy-mm-dd")</f>
        <v/>
      </c>
      <c r="D12861" t="inlineStr">
        <is>
          <t>1353-12-12</t>
        </is>
      </c>
    </row>
    <row r="12862">
      <c r="A12862" s="1" t="n">
        <v>12861</v>
      </c>
      <c r="B12862">
        <f>TEXT(12861, "[$-170000]yyyy-mm-dd")</f>
        <v/>
      </c>
      <c r="C12862">
        <f>TEXT(12861, "[$-060000]yyyy-mm-dd")</f>
        <v/>
      </c>
      <c r="D12862" t="inlineStr">
        <is>
          <t>1353-12-13</t>
        </is>
      </c>
    </row>
    <row r="12863">
      <c r="A12863" s="1" t="n">
        <v>12862</v>
      </c>
      <c r="B12863">
        <f>TEXT(12862, "[$-170000]yyyy-mm-dd")</f>
        <v/>
      </c>
      <c r="C12863">
        <f>TEXT(12862, "[$-060000]yyyy-mm-dd")</f>
        <v/>
      </c>
      <c r="D12863" t="inlineStr">
        <is>
          <t>1353-12-14</t>
        </is>
      </c>
    </row>
    <row r="12864">
      <c r="A12864" s="1" t="n">
        <v>12863</v>
      </c>
      <c r="B12864">
        <f>TEXT(12863, "[$-170000]yyyy-mm-dd")</f>
        <v/>
      </c>
      <c r="C12864">
        <f>TEXT(12863, "[$-060000]yyyy-mm-dd")</f>
        <v/>
      </c>
      <c r="D12864" t="inlineStr">
        <is>
          <t>1353-12-15</t>
        </is>
      </c>
    </row>
    <row r="12865">
      <c r="A12865" s="1" t="n">
        <v>12864</v>
      </c>
      <c r="B12865">
        <f>TEXT(12864, "[$-170000]yyyy-mm-dd")</f>
        <v/>
      </c>
      <c r="C12865">
        <f>TEXT(12864, "[$-060000]yyyy-mm-dd")</f>
        <v/>
      </c>
      <c r="D12865" t="inlineStr">
        <is>
          <t>1353-12-16</t>
        </is>
      </c>
    </row>
    <row r="12866">
      <c r="A12866" s="1" t="n">
        <v>12865</v>
      </c>
      <c r="B12866">
        <f>TEXT(12865, "[$-170000]yyyy-mm-dd")</f>
        <v/>
      </c>
      <c r="C12866">
        <f>TEXT(12865, "[$-060000]yyyy-mm-dd")</f>
        <v/>
      </c>
      <c r="D12866" t="inlineStr">
        <is>
          <t>1353-12-17</t>
        </is>
      </c>
    </row>
    <row r="12867">
      <c r="A12867" s="1" t="n">
        <v>12866</v>
      </c>
      <c r="B12867">
        <f>TEXT(12866, "[$-170000]yyyy-mm-dd")</f>
        <v/>
      </c>
      <c r="C12867">
        <f>TEXT(12866, "[$-060000]yyyy-mm-dd")</f>
        <v/>
      </c>
      <c r="D12867" t="inlineStr">
        <is>
          <t>1353-12-18</t>
        </is>
      </c>
    </row>
    <row r="12868">
      <c r="A12868" s="1" t="n">
        <v>12867</v>
      </c>
      <c r="B12868">
        <f>TEXT(12867, "[$-170000]yyyy-mm-dd")</f>
        <v/>
      </c>
      <c r="C12868">
        <f>TEXT(12867, "[$-060000]yyyy-mm-dd")</f>
        <v/>
      </c>
      <c r="D12868" t="inlineStr">
        <is>
          <t>1353-12-19</t>
        </is>
      </c>
    </row>
    <row r="12869">
      <c r="A12869" s="1" t="n">
        <v>12868</v>
      </c>
      <c r="B12869">
        <f>TEXT(12868, "[$-170000]yyyy-mm-dd")</f>
        <v/>
      </c>
      <c r="C12869">
        <f>TEXT(12868, "[$-060000]yyyy-mm-dd")</f>
        <v/>
      </c>
      <c r="D12869" t="inlineStr">
        <is>
          <t>1353-12-20</t>
        </is>
      </c>
    </row>
    <row r="12870">
      <c r="A12870" s="1" t="n">
        <v>12869</v>
      </c>
      <c r="B12870">
        <f>TEXT(12869, "[$-170000]yyyy-mm-dd")</f>
        <v/>
      </c>
      <c r="C12870">
        <f>TEXT(12869, "[$-060000]yyyy-mm-dd")</f>
        <v/>
      </c>
      <c r="D12870" t="inlineStr">
        <is>
          <t>1353-12-21</t>
        </is>
      </c>
    </row>
    <row r="12871">
      <c r="A12871" s="1" t="n">
        <v>12870</v>
      </c>
      <c r="B12871">
        <f>TEXT(12870, "[$-170000]yyyy-mm-dd")</f>
        <v/>
      </c>
      <c r="C12871">
        <f>TEXT(12870, "[$-060000]yyyy-mm-dd")</f>
        <v/>
      </c>
      <c r="D12871" t="inlineStr">
        <is>
          <t>1353-12-22</t>
        </is>
      </c>
    </row>
    <row r="12872">
      <c r="A12872" s="1" t="n">
        <v>12871</v>
      </c>
      <c r="B12872">
        <f>TEXT(12871, "[$-170000]yyyy-mm-dd")</f>
        <v/>
      </c>
      <c r="C12872">
        <f>TEXT(12871, "[$-060000]yyyy-mm-dd")</f>
        <v/>
      </c>
      <c r="D12872" t="inlineStr">
        <is>
          <t>1353-12-23</t>
        </is>
      </c>
    </row>
    <row r="12873">
      <c r="A12873" s="1" t="n">
        <v>12872</v>
      </c>
      <c r="B12873">
        <f>TEXT(12872, "[$-170000]yyyy-mm-dd")</f>
        <v/>
      </c>
      <c r="C12873">
        <f>TEXT(12872, "[$-060000]yyyy-mm-dd")</f>
        <v/>
      </c>
      <c r="D12873" t="inlineStr">
        <is>
          <t>1353-12-24</t>
        </is>
      </c>
    </row>
    <row r="12874">
      <c r="A12874" s="1" t="n">
        <v>12873</v>
      </c>
      <c r="B12874">
        <f>TEXT(12873, "[$-170000]yyyy-mm-dd")</f>
        <v/>
      </c>
      <c r="C12874">
        <f>TEXT(12873, "[$-060000]yyyy-mm-dd")</f>
        <v/>
      </c>
      <c r="D12874" t="inlineStr">
        <is>
          <t>1353-12-25</t>
        </is>
      </c>
    </row>
    <row r="12875">
      <c r="A12875" s="1" t="n">
        <v>12874</v>
      </c>
      <c r="B12875">
        <f>TEXT(12874, "[$-170000]yyyy-mm-dd")</f>
        <v/>
      </c>
      <c r="C12875">
        <f>TEXT(12874, "[$-060000]yyyy-mm-dd")</f>
        <v/>
      </c>
      <c r="D12875" t="inlineStr">
        <is>
          <t>1353-12-26</t>
        </is>
      </c>
    </row>
    <row r="12876">
      <c r="A12876" s="1" t="n">
        <v>12875</v>
      </c>
      <c r="B12876">
        <f>TEXT(12875, "[$-170000]yyyy-mm-dd")</f>
        <v/>
      </c>
      <c r="C12876">
        <f>TEXT(12875, "[$-060000]yyyy-mm-dd")</f>
        <v/>
      </c>
      <c r="D12876" t="inlineStr">
        <is>
          <t>1353-12-27</t>
        </is>
      </c>
    </row>
    <row r="12877">
      <c r="A12877" s="1" t="n">
        <v>12876</v>
      </c>
      <c r="B12877">
        <f>TEXT(12876, "[$-170000]yyyy-mm-dd")</f>
        <v/>
      </c>
      <c r="C12877">
        <f>TEXT(12876, "[$-060000]yyyy-mm-dd")</f>
        <v/>
      </c>
      <c r="D12877" t="inlineStr">
        <is>
          <t>1353-12-28</t>
        </is>
      </c>
    </row>
    <row r="12878">
      <c r="A12878" s="1" t="n">
        <v>12877</v>
      </c>
      <c r="B12878">
        <f>TEXT(12877, "[$-170000]yyyy-mm-dd")</f>
        <v/>
      </c>
      <c r="C12878">
        <f>TEXT(12877, "[$-060000]yyyy-mm-dd")</f>
        <v/>
      </c>
      <c r="D12878" t="inlineStr">
        <is>
          <t>1353-12-29</t>
        </is>
      </c>
    </row>
    <row r="12879">
      <c r="A12879" s="1" t="n">
        <v>12878</v>
      </c>
      <c r="B12879">
        <f>TEXT(12878, "[$-170000]yyyy-mm-dd")</f>
        <v/>
      </c>
      <c r="C12879">
        <f>TEXT(12878, "[$-060000]yyyy-mm-dd")</f>
        <v/>
      </c>
      <c r="D12879" t="inlineStr">
        <is>
          <t>1354-01-01</t>
        </is>
      </c>
    </row>
    <row r="12880">
      <c r="A12880" s="1" t="n">
        <v>12879</v>
      </c>
      <c r="B12880">
        <f>TEXT(12879, "[$-170000]yyyy-mm-dd")</f>
        <v/>
      </c>
      <c r="C12880">
        <f>TEXT(12879, "[$-060000]yyyy-mm-dd")</f>
        <v/>
      </c>
      <c r="D12880" t="inlineStr">
        <is>
          <t>1354-01-02</t>
        </is>
      </c>
    </row>
    <row r="12881">
      <c r="A12881" s="1" t="n">
        <v>12880</v>
      </c>
      <c r="B12881">
        <f>TEXT(12880, "[$-170000]yyyy-mm-dd")</f>
        <v/>
      </c>
      <c r="C12881">
        <f>TEXT(12880, "[$-060000]yyyy-mm-dd")</f>
        <v/>
      </c>
      <c r="D12881" t="inlineStr">
        <is>
          <t>1354-01-03</t>
        </is>
      </c>
    </row>
    <row r="12882">
      <c r="A12882" s="1" t="n">
        <v>12881</v>
      </c>
      <c r="B12882">
        <f>TEXT(12881, "[$-170000]yyyy-mm-dd")</f>
        <v/>
      </c>
      <c r="C12882">
        <f>TEXT(12881, "[$-060000]yyyy-mm-dd")</f>
        <v/>
      </c>
      <c r="D12882" t="inlineStr">
        <is>
          <t>1354-01-04</t>
        </is>
      </c>
    </row>
    <row r="12883">
      <c r="A12883" s="1" t="n">
        <v>12882</v>
      </c>
      <c r="B12883">
        <f>TEXT(12882, "[$-170000]yyyy-mm-dd")</f>
        <v/>
      </c>
      <c r="C12883">
        <f>TEXT(12882, "[$-060000]yyyy-mm-dd")</f>
        <v/>
      </c>
      <c r="D12883" t="inlineStr">
        <is>
          <t>1354-01-05</t>
        </is>
      </c>
    </row>
    <row r="12884">
      <c r="A12884" s="1" t="n">
        <v>12883</v>
      </c>
      <c r="B12884">
        <f>TEXT(12883, "[$-170000]yyyy-mm-dd")</f>
        <v/>
      </c>
      <c r="C12884">
        <f>TEXT(12883, "[$-060000]yyyy-mm-dd")</f>
        <v/>
      </c>
      <c r="D12884" t="inlineStr">
        <is>
          <t>1354-01-06</t>
        </is>
      </c>
    </row>
    <row r="12885">
      <c r="A12885" s="1" t="n">
        <v>12884</v>
      </c>
      <c r="B12885">
        <f>TEXT(12884, "[$-170000]yyyy-mm-dd")</f>
        <v/>
      </c>
      <c r="C12885">
        <f>TEXT(12884, "[$-060000]yyyy-mm-dd")</f>
        <v/>
      </c>
      <c r="D12885" t="inlineStr">
        <is>
          <t>1354-01-07</t>
        </is>
      </c>
    </row>
    <row r="12886">
      <c r="A12886" s="1" t="n">
        <v>12885</v>
      </c>
      <c r="B12886">
        <f>TEXT(12885, "[$-170000]yyyy-mm-dd")</f>
        <v/>
      </c>
      <c r="C12886">
        <f>TEXT(12885, "[$-060000]yyyy-mm-dd")</f>
        <v/>
      </c>
      <c r="D12886" t="inlineStr">
        <is>
          <t>1354-01-08</t>
        </is>
      </c>
    </row>
    <row r="12887">
      <c r="A12887" s="1" t="n">
        <v>12886</v>
      </c>
      <c r="B12887">
        <f>TEXT(12886, "[$-170000]yyyy-mm-dd")</f>
        <v/>
      </c>
      <c r="C12887">
        <f>TEXT(12886, "[$-060000]yyyy-mm-dd")</f>
        <v/>
      </c>
      <c r="D12887" t="inlineStr">
        <is>
          <t>1354-01-09</t>
        </is>
      </c>
    </row>
    <row r="12888">
      <c r="A12888" s="1" t="n">
        <v>12887</v>
      </c>
      <c r="B12888">
        <f>TEXT(12887, "[$-170000]yyyy-mm-dd")</f>
        <v/>
      </c>
      <c r="C12888">
        <f>TEXT(12887, "[$-060000]yyyy-mm-dd")</f>
        <v/>
      </c>
      <c r="D12888" t="inlineStr">
        <is>
          <t>1354-01-10</t>
        </is>
      </c>
    </row>
    <row r="12889">
      <c r="A12889" s="1" t="n">
        <v>12888</v>
      </c>
      <c r="B12889">
        <f>TEXT(12888, "[$-170000]yyyy-mm-dd")</f>
        <v/>
      </c>
      <c r="C12889">
        <f>TEXT(12888, "[$-060000]yyyy-mm-dd")</f>
        <v/>
      </c>
      <c r="D12889" t="inlineStr">
        <is>
          <t>1354-01-11</t>
        </is>
      </c>
    </row>
    <row r="12890">
      <c r="A12890" s="1" t="n">
        <v>12889</v>
      </c>
      <c r="B12890">
        <f>TEXT(12889, "[$-170000]yyyy-mm-dd")</f>
        <v/>
      </c>
      <c r="C12890">
        <f>TEXT(12889, "[$-060000]yyyy-mm-dd")</f>
        <v/>
      </c>
      <c r="D12890" t="inlineStr">
        <is>
          <t>1354-01-12</t>
        </is>
      </c>
    </row>
    <row r="12891">
      <c r="A12891" s="1" t="n">
        <v>12890</v>
      </c>
      <c r="B12891">
        <f>TEXT(12890, "[$-170000]yyyy-mm-dd")</f>
        <v/>
      </c>
      <c r="C12891">
        <f>TEXT(12890, "[$-060000]yyyy-mm-dd")</f>
        <v/>
      </c>
      <c r="D12891" t="inlineStr">
        <is>
          <t>1354-01-13</t>
        </is>
      </c>
    </row>
    <row r="12892">
      <c r="A12892" s="1" t="n">
        <v>12891</v>
      </c>
      <c r="B12892">
        <f>TEXT(12891, "[$-170000]yyyy-mm-dd")</f>
        <v/>
      </c>
      <c r="C12892">
        <f>TEXT(12891, "[$-060000]yyyy-mm-dd")</f>
        <v/>
      </c>
      <c r="D12892" t="inlineStr">
        <is>
          <t>1354-01-14</t>
        </is>
      </c>
    </row>
    <row r="12893">
      <c r="A12893" s="1" t="n">
        <v>12892</v>
      </c>
      <c r="B12893">
        <f>TEXT(12892, "[$-170000]yyyy-mm-dd")</f>
        <v/>
      </c>
      <c r="C12893">
        <f>TEXT(12892, "[$-060000]yyyy-mm-dd")</f>
        <v/>
      </c>
      <c r="D12893" t="inlineStr">
        <is>
          <t>1354-01-15</t>
        </is>
      </c>
    </row>
    <row r="12894">
      <c r="A12894" s="1" t="n">
        <v>12893</v>
      </c>
      <c r="B12894">
        <f>TEXT(12893, "[$-170000]yyyy-mm-dd")</f>
        <v/>
      </c>
      <c r="C12894">
        <f>TEXT(12893, "[$-060000]yyyy-mm-dd")</f>
        <v/>
      </c>
      <c r="D12894" t="inlineStr">
        <is>
          <t>1354-01-16</t>
        </is>
      </c>
    </row>
    <row r="12895">
      <c r="A12895" s="1" t="n">
        <v>12894</v>
      </c>
      <c r="B12895">
        <f>TEXT(12894, "[$-170000]yyyy-mm-dd")</f>
        <v/>
      </c>
      <c r="C12895">
        <f>TEXT(12894, "[$-060000]yyyy-mm-dd")</f>
        <v/>
      </c>
      <c r="D12895" t="inlineStr">
        <is>
          <t>1354-01-17</t>
        </is>
      </c>
    </row>
    <row r="12896">
      <c r="A12896" s="1" t="n">
        <v>12895</v>
      </c>
      <c r="B12896">
        <f>TEXT(12895, "[$-170000]yyyy-mm-dd")</f>
        <v/>
      </c>
      <c r="C12896">
        <f>TEXT(12895, "[$-060000]yyyy-mm-dd")</f>
        <v/>
      </c>
      <c r="D12896" t="inlineStr">
        <is>
          <t>1354-01-18</t>
        </is>
      </c>
    </row>
    <row r="12897">
      <c r="A12897" s="1" t="n">
        <v>12896</v>
      </c>
      <c r="B12897">
        <f>TEXT(12896, "[$-170000]yyyy-mm-dd")</f>
        <v/>
      </c>
      <c r="C12897">
        <f>TEXT(12896, "[$-060000]yyyy-mm-dd")</f>
        <v/>
      </c>
      <c r="D12897" t="inlineStr">
        <is>
          <t>1354-01-19</t>
        </is>
      </c>
    </row>
    <row r="12898">
      <c r="A12898" s="1" t="n">
        <v>12897</v>
      </c>
      <c r="B12898">
        <f>TEXT(12897, "[$-170000]yyyy-mm-dd")</f>
        <v/>
      </c>
      <c r="C12898">
        <f>TEXT(12897, "[$-060000]yyyy-mm-dd")</f>
        <v/>
      </c>
      <c r="D12898" t="inlineStr">
        <is>
          <t>1354-01-20</t>
        </is>
      </c>
    </row>
    <row r="12899">
      <c r="A12899" s="1" t="n">
        <v>12898</v>
      </c>
      <c r="B12899">
        <f>TEXT(12898, "[$-170000]yyyy-mm-dd")</f>
        <v/>
      </c>
      <c r="C12899">
        <f>TEXT(12898, "[$-060000]yyyy-mm-dd")</f>
        <v/>
      </c>
      <c r="D12899" t="inlineStr">
        <is>
          <t>1354-01-21</t>
        </is>
      </c>
    </row>
    <row r="12900">
      <c r="A12900" s="1" t="n">
        <v>12899</v>
      </c>
      <c r="B12900">
        <f>TEXT(12899, "[$-170000]yyyy-mm-dd")</f>
        <v/>
      </c>
      <c r="C12900">
        <f>TEXT(12899, "[$-060000]yyyy-mm-dd")</f>
        <v/>
      </c>
      <c r="D12900" t="inlineStr">
        <is>
          <t>1354-01-22</t>
        </is>
      </c>
    </row>
    <row r="12901">
      <c r="A12901" s="1" t="n">
        <v>12900</v>
      </c>
      <c r="B12901">
        <f>TEXT(12900, "[$-170000]yyyy-mm-dd")</f>
        <v/>
      </c>
      <c r="C12901">
        <f>TEXT(12900, "[$-060000]yyyy-mm-dd")</f>
        <v/>
      </c>
      <c r="D12901" t="inlineStr">
        <is>
          <t>1354-01-23</t>
        </is>
      </c>
    </row>
    <row r="12902">
      <c r="A12902" s="1" t="n">
        <v>12901</v>
      </c>
      <c r="B12902">
        <f>TEXT(12901, "[$-170000]yyyy-mm-dd")</f>
        <v/>
      </c>
      <c r="C12902">
        <f>TEXT(12901, "[$-060000]yyyy-mm-dd")</f>
        <v/>
      </c>
      <c r="D12902" t="inlineStr">
        <is>
          <t>1354-01-24</t>
        </is>
      </c>
    </row>
    <row r="12903">
      <c r="A12903" s="1" t="n">
        <v>12902</v>
      </c>
      <c r="B12903">
        <f>TEXT(12902, "[$-170000]yyyy-mm-dd")</f>
        <v/>
      </c>
      <c r="C12903">
        <f>TEXT(12902, "[$-060000]yyyy-mm-dd")</f>
        <v/>
      </c>
      <c r="D12903" t="inlineStr">
        <is>
          <t>1354-01-25</t>
        </is>
      </c>
    </row>
    <row r="12904">
      <c r="A12904" s="1" t="n">
        <v>12903</v>
      </c>
      <c r="B12904">
        <f>TEXT(12903, "[$-170000]yyyy-mm-dd")</f>
        <v/>
      </c>
      <c r="C12904">
        <f>TEXT(12903, "[$-060000]yyyy-mm-dd")</f>
        <v/>
      </c>
      <c r="D12904" t="inlineStr">
        <is>
          <t>1354-01-26</t>
        </is>
      </c>
    </row>
    <row r="12905">
      <c r="A12905" s="1" t="n">
        <v>12904</v>
      </c>
      <c r="B12905">
        <f>TEXT(12904, "[$-170000]yyyy-mm-dd")</f>
        <v/>
      </c>
      <c r="C12905">
        <f>TEXT(12904, "[$-060000]yyyy-mm-dd")</f>
        <v/>
      </c>
      <c r="D12905" t="inlineStr">
        <is>
          <t>1354-01-27</t>
        </is>
      </c>
    </row>
    <row r="12906">
      <c r="A12906" s="1" t="n">
        <v>12905</v>
      </c>
      <c r="B12906">
        <f>TEXT(12905, "[$-170000]yyyy-mm-dd")</f>
        <v/>
      </c>
      <c r="C12906">
        <f>TEXT(12905, "[$-060000]yyyy-mm-dd")</f>
        <v/>
      </c>
      <c r="D12906" t="inlineStr">
        <is>
          <t>1354-01-28</t>
        </is>
      </c>
    </row>
    <row r="12907">
      <c r="A12907" s="1" t="n">
        <v>12906</v>
      </c>
      <c r="B12907">
        <f>TEXT(12906, "[$-170000]yyyy-mm-dd")</f>
        <v/>
      </c>
      <c r="C12907">
        <f>TEXT(12906, "[$-060000]yyyy-mm-dd")</f>
        <v/>
      </c>
      <c r="D12907" t="inlineStr">
        <is>
          <t>1354-01-29</t>
        </is>
      </c>
    </row>
    <row r="12908">
      <c r="A12908" s="1" t="n">
        <v>12907</v>
      </c>
      <c r="B12908">
        <f>TEXT(12907, "[$-170000]yyyy-mm-dd")</f>
        <v/>
      </c>
      <c r="C12908">
        <f>TEXT(12907, "[$-060000]yyyy-mm-dd")</f>
        <v/>
      </c>
      <c r="D12908" t="inlineStr">
        <is>
          <t>1354-01-30</t>
        </is>
      </c>
    </row>
    <row r="12909">
      <c r="A12909" s="1" t="n">
        <v>12908</v>
      </c>
      <c r="B12909">
        <f>TEXT(12908, "[$-170000]yyyy-mm-dd")</f>
        <v/>
      </c>
      <c r="C12909">
        <f>TEXT(12908, "[$-060000]yyyy-mm-dd")</f>
        <v/>
      </c>
      <c r="D12909" t="inlineStr">
        <is>
          <t>1354-02-01</t>
        </is>
      </c>
    </row>
    <row r="12910">
      <c r="A12910" s="1" t="n">
        <v>12909</v>
      </c>
      <c r="B12910">
        <f>TEXT(12909, "[$-170000]yyyy-mm-dd")</f>
        <v/>
      </c>
      <c r="C12910">
        <f>TEXT(12909, "[$-060000]yyyy-mm-dd")</f>
        <v/>
      </c>
      <c r="D12910" t="inlineStr">
        <is>
          <t>1354-02-02</t>
        </is>
      </c>
    </row>
    <row r="12911">
      <c r="A12911" s="1" t="n">
        <v>12910</v>
      </c>
      <c r="B12911">
        <f>TEXT(12910, "[$-170000]yyyy-mm-dd")</f>
        <v/>
      </c>
      <c r="C12911">
        <f>TEXT(12910, "[$-060000]yyyy-mm-dd")</f>
        <v/>
      </c>
      <c r="D12911" t="inlineStr">
        <is>
          <t>1354-02-03</t>
        </is>
      </c>
    </row>
    <row r="12912">
      <c r="A12912" s="1" t="n">
        <v>12911</v>
      </c>
      <c r="B12912">
        <f>TEXT(12911, "[$-170000]yyyy-mm-dd")</f>
        <v/>
      </c>
      <c r="C12912">
        <f>TEXT(12911, "[$-060000]yyyy-mm-dd")</f>
        <v/>
      </c>
      <c r="D12912" t="inlineStr">
        <is>
          <t>1354-02-04</t>
        </is>
      </c>
    </row>
    <row r="12913">
      <c r="A12913" s="1" t="n">
        <v>12912</v>
      </c>
      <c r="B12913">
        <f>TEXT(12912, "[$-170000]yyyy-mm-dd")</f>
        <v/>
      </c>
      <c r="C12913">
        <f>TEXT(12912, "[$-060000]yyyy-mm-dd")</f>
        <v/>
      </c>
      <c r="D12913" t="inlineStr">
        <is>
          <t>1354-02-05</t>
        </is>
      </c>
    </row>
    <row r="12914">
      <c r="A12914" s="1" t="n">
        <v>12913</v>
      </c>
      <c r="B12914">
        <f>TEXT(12913, "[$-170000]yyyy-mm-dd")</f>
        <v/>
      </c>
      <c r="C12914">
        <f>TEXT(12913, "[$-060000]yyyy-mm-dd")</f>
        <v/>
      </c>
      <c r="D12914" t="inlineStr">
        <is>
          <t>1354-02-06</t>
        </is>
      </c>
    </row>
    <row r="12915">
      <c r="A12915" s="1" t="n">
        <v>12914</v>
      </c>
      <c r="B12915">
        <f>TEXT(12914, "[$-170000]yyyy-mm-dd")</f>
        <v/>
      </c>
      <c r="C12915">
        <f>TEXT(12914, "[$-060000]yyyy-mm-dd")</f>
        <v/>
      </c>
      <c r="D12915" t="inlineStr">
        <is>
          <t>1354-02-07</t>
        </is>
      </c>
    </row>
    <row r="12916">
      <c r="A12916" s="1" t="n">
        <v>12915</v>
      </c>
      <c r="B12916">
        <f>TEXT(12915, "[$-170000]yyyy-mm-dd")</f>
        <v/>
      </c>
      <c r="C12916">
        <f>TEXT(12915, "[$-060000]yyyy-mm-dd")</f>
        <v/>
      </c>
      <c r="D12916" t="inlineStr">
        <is>
          <t>1354-02-08</t>
        </is>
      </c>
    </row>
    <row r="12917">
      <c r="A12917" s="1" t="n">
        <v>12916</v>
      </c>
      <c r="B12917">
        <f>TEXT(12916, "[$-170000]yyyy-mm-dd")</f>
        <v/>
      </c>
      <c r="C12917">
        <f>TEXT(12916, "[$-060000]yyyy-mm-dd")</f>
        <v/>
      </c>
      <c r="D12917" t="inlineStr">
        <is>
          <t>1354-02-09</t>
        </is>
      </c>
    </row>
    <row r="12918">
      <c r="A12918" s="1" t="n">
        <v>12917</v>
      </c>
      <c r="B12918">
        <f>TEXT(12917, "[$-170000]yyyy-mm-dd")</f>
        <v/>
      </c>
      <c r="C12918">
        <f>TEXT(12917, "[$-060000]yyyy-mm-dd")</f>
        <v/>
      </c>
      <c r="D12918" t="inlineStr">
        <is>
          <t>1354-02-10</t>
        </is>
      </c>
    </row>
    <row r="12919">
      <c r="A12919" s="1" t="n">
        <v>12918</v>
      </c>
      <c r="B12919">
        <f>TEXT(12918, "[$-170000]yyyy-mm-dd")</f>
        <v/>
      </c>
      <c r="C12919">
        <f>TEXT(12918, "[$-060000]yyyy-mm-dd")</f>
        <v/>
      </c>
      <c r="D12919" t="inlineStr">
        <is>
          <t>1354-02-11</t>
        </is>
      </c>
    </row>
    <row r="12920">
      <c r="A12920" s="1" t="n">
        <v>12919</v>
      </c>
      <c r="B12920">
        <f>TEXT(12919, "[$-170000]yyyy-mm-dd")</f>
        <v/>
      </c>
      <c r="C12920">
        <f>TEXT(12919, "[$-060000]yyyy-mm-dd")</f>
        <v/>
      </c>
      <c r="D12920" t="inlineStr">
        <is>
          <t>1354-02-12</t>
        </is>
      </c>
    </row>
    <row r="12921">
      <c r="A12921" s="1" t="n">
        <v>12920</v>
      </c>
      <c r="B12921">
        <f>TEXT(12920, "[$-170000]yyyy-mm-dd")</f>
        <v/>
      </c>
      <c r="C12921">
        <f>TEXT(12920, "[$-060000]yyyy-mm-dd")</f>
        <v/>
      </c>
      <c r="D12921" t="inlineStr">
        <is>
          <t>1354-02-13</t>
        </is>
      </c>
    </row>
    <row r="12922">
      <c r="A12922" s="1" t="n">
        <v>12921</v>
      </c>
      <c r="B12922">
        <f>TEXT(12921, "[$-170000]yyyy-mm-dd")</f>
        <v/>
      </c>
      <c r="C12922">
        <f>TEXT(12921, "[$-060000]yyyy-mm-dd")</f>
        <v/>
      </c>
      <c r="D12922" t="inlineStr">
        <is>
          <t>1354-02-14</t>
        </is>
      </c>
    </row>
    <row r="12923">
      <c r="A12923" s="1" t="n">
        <v>12922</v>
      </c>
      <c r="B12923">
        <f>TEXT(12922, "[$-170000]yyyy-mm-dd")</f>
        <v/>
      </c>
      <c r="C12923">
        <f>TEXT(12922, "[$-060000]yyyy-mm-dd")</f>
        <v/>
      </c>
      <c r="D12923" t="inlineStr">
        <is>
          <t>1354-02-15</t>
        </is>
      </c>
    </row>
    <row r="12924">
      <c r="A12924" s="1" t="n">
        <v>12923</v>
      </c>
      <c r="B12924">
        <f>TEXT(12923, "[$-170000]yyyy-mm-dd")</f>
        <v/>
      </c>
      <c r="C12924">
        <f>TEXT(12923, "[$-060000]yyyy-mm-dd")</f>
        <v/>
      </c>
      <c r="D12924" t="inlineStr">
        <is>
          <t>1354-02-16</t>
        </is>
      </c>
    </row>
    <row r="12925">
      <c r="A12925" s="1" t="n">
        <v>12924</v>
      </c>
      <c r="B12925">
        <f>TEXT(12924, "[$-170000]yyyy-mm-dd")</f>
        <v/>
      </c>
      <c r="C12925">
        <f>TEXT(12924, "[$-060000]yyyy-mm-dd")</f>
        <v/>
      </c>
      <c r="D12925" t="inlineStr">
        <is>
          <t>1354-02-17</t>
        </is>
      </c>
    </row>
    <row r="12926">
      <c r="A12926" s="1" t="n">
        <v>12925</v>
      </c>
      <c r="B12926">
        <f>TEXT(12925, "[$-170000]yyyy-mm-dd")</f>
        <v/>
      </c>
      <c r="C12926">
        <f>TEXT(12925, "[$-060000]yyyy-mm-dd")</f>
        <v/>
      </c>
      <c r="D12926" t="inlineStr">
        <is>
          <t>1354-02-18</t>
        </is>
      </c>
    </row>
    <row r="12927">
      <c r="A12927" s="1" t="n">
        <v>12926</v>
      </c>
      <c r="B12927">
        <f>TEXT(12926, "[$-170000]yyyy-mm-dd")</f>
        <v/>
      </c>
      <c r="C12927">
        <f>TEXT(12926, "[$-060000]yyyy-mm-dd")</f>
        <v/>
      </c>
      <c r="D12927" t="inlineStr">
        <is>
          <t>1354-02-19</t>
        </is>
      </c>
    </row>
    <row r="12928">
      <c r="A12928" s="1" t="n">
        <v>12927</v>
      </c>
      <c r="B12928">
        <f>TEXT(12927, "[$-170000]yyyy-mm-dd")</f>
        <v/>
      </c>
      <c r="C12928">
        <f>TEXT(12927, "[$-060000]yyyy-mm-dd")</f>
        <v/>
      </c>
      <c r="D12928" t="inlineStr">
        <is>
          <t>1354-02-20</t>
        </is>
      </c>
    </row>
    <row r="12929">
      <c r="A12929" s="1" t="n">
        <v>12928</v>
      </c>
      <c r="B12929">
        <f>TEXT(12928, "[$-170000]yyyy-mm-dd")</f>
        <v/>
      </c>
      <c r="C12929">
        <f>TEXT(12928, "[$-060000]yyyy-mm-dd")</f>
        <v/>
      </c>
      <c r="D12929" t="inlineStr">
        <is>
          <t>1354-02-21</t>
        </is>
      </c>
    </row>
    <row r="12930">
      <c r="A12930" s="1" t="n">
        <v>12929</v>
      </c>
      <c r="B12930">
        <f>TEXT(12929, "[$-170000]yyyy-mm-dd")</f>
        <v/>
      </c>
      <c r="C12930">
        <f>TEXT(12929, "[$-060000]yyyy-mm-dd")</f>
        <v/>
      </c>
      <c r="D12930" t="inlineStr">
        <is>
          <t>1354-02-22</t>
        </is>
      </c>
    </row>
    <row r="12931">
      <c r="A12931" s="1" t="n">
        <v>12930</v>
      </c>
      <c r="B12931">
        <f>TEXT(12930, "[$-170000]yyyy-mm-dd")</f>
        <v/>
      </c>
      <c r="C12931">
        <f>TEXT(12930, "[$-060000]yyyy-mm-dd")</f>
        <v/>
      </c>
      <c r="D12931" t="inlineStr">
        <is>
          <t>1354-02-23</t>
        </is>
      </c>
    </row>
    <row r="12932">
      <c r="A12932" s="1" t="n">
        <v>12931</v>
      </c>
      <c r="B12932">
        <f>TEXT(12931, "[$-170000]yyyy-mm-dd")</f>
        <v/>
      </c>
      <c r="C12932">
        <f>TEXT(12931, "[$-060000]yyyy-mm-dd")</f>
        <v/>
      </c>
      <c r="D12932" t="inlineStr">
        <is>
          <t>1354-02-24</t>
        </is>
      </c>
    </row>
    <row r="12933">
      <c r="A12933" s="1" t="n">
        <v>12932</v>
      </c>
      <c r="B12933">
        <f>TEXT(12932, "[$-170000]yyyy-mm-dd")</f>
        <v/>
      </c>
      <c r="C12933">
        <f>TEXT(12932, "[$-060000]yyyy-mm-dd")</f>
        <v/>
      </c>
      <c r="D12933" t="inlineStr">
        <is>
          <t>1354-02-25</t>
        </is>
      </c>
    </row>
    <row r="12934">
      <c r="A12934" s="1" t="n">
        <v>12933</v>
      </c>
      <c r="B12934">
        <f>TEXT(12933, "[$-170000]yyyy-mm-dd")</f>
        <v/>
      </c>
      <c r="C12934">
        <f>TEXT(12933, "[$-060000]yyyy-mm-dd")</f>
        <v/>
      </c>
      <c r="D12934" t="inlineStr">
        <is>
          <t>1354-02-26</t>
        </is>
      </c>
    </row>
    <row r="12935">
      <c r="A12935" s="1" t="n">
        <v>12934</v>
      </c>
      <c r="B12935">
        <f>TEXT(12934, "[$-170000]yyyy-mm-dd")</f>
        <v/>
      </c>
      <c r="C12935">
        <f>TEXT(12934, "[$-060000]yyyy-mm-dd")</f>
        <v/>
      </c>
      <c r="D12935" t="inlineStr">
        <is>
          <t>1354-02-27</t>
        </is>
      </c>
    </row>
    <row r="12936">
      <c r="A12936" s="1" t="n">
        <v>12935</v>
      </c>
      <c r="B12936">
        <f>TEXT(12935, "[$-170000]yyyy-mm-dd")</f>
        <v/>
      </c>
      <c r="C12936">
        <f>TEXT(12935, "[$-060000]yyyy-mm-dd")</f>
        <v/>
      </c>
      <c r="D12936" t="inlineStr">
        <is>
          <t>1354-02-28</t>
        </is>
      </c>
    </row>
    <row r="12937">
      <c r="A12937" s="1" t="n">
        <v>12936</v>
      </c>
      <c r="B12937">
        <f>TEXT(12936, "[$-170000]yyyy-mm-dd")</f>
        <v/>
      </c>
      <c r="C12937">
        <f>TEXT(12936, "[$-060000]yyyy-mm-dd")</f>
        <v/>
      </c>
      <c r="D12937" t="inlineStr">
        <is>
          <t>1354-02-29</t>
        </is>
      </c>
    </row>
    <row r="12938">
      <c r="A12938" s="1" t="n">
        <v>12937</v>
      </c>
      <c r="B12938">
        <f>TEXT(12937, "[$-170000]yyyy-mm-dd")</f>
        <v/>
      </c>
      <c r="C12938">
        <f>TEXT(12937, "[$-060000]yyyy-mm-dd")</f>
        <v/>
      </c>
      <c r="D12938" t="inlineStr">
        <is>
          <t>1354-03-01</t>
        </is>
      </c>
    </row>
    <row r="12939">
      <c r="A12939" s="1" t="n">
        <v>12938</v>
      </c>
      <c r="B12939">
        <f>TEXT(12938, "[$-170000]yyyy-mm-dd")</f>
        <v/>
      </c>
      <c r="C12939">
        <f>TEXT(12938, "[$-060000]yyyy-mm-dd")</f>
        <v/>
      </c>
      <c r="D12939" t="inlineStr">
        <is>
          <t>1354-03-02</t>
        </is>
      </c>
    </row>
    <row r="12940">
      <c r="A12940" s="1" t="n">
        <v>12939</v>
      </c>
      <c r="B12940">
        <f>TEXT(12939, "[$-170000]yyyy-mm-dd")</f>
        <v/>
      </c>
      <c r="C12940">
        <f>TEXT(12939, "[$-060000]yyyy-mm-dd")</f>
        <v/>
      </c>
      <c r="D12940" t="inlineStr">
        <is>
          <t>1354-03-03</t>
        </is>
      </c>
    </row>
    <row r="12941">
      <c r="A12941" s="1" t="n">
        <v>12940</v>
      </c>
      <c r="B12941">
        <f>TEXT(12940, "[$-170000]yyyy-mm-dd")</f>
        <v/>
      </c>
      <c r="C12941">
        <f>TEXT(12940, "[$-060000]yyyy-mm-dd")</f>
        <v/>
      </c>
      <c r="D12941" t="inlineStr">
        <is>
          <t>1354-03-04</t>
        </is>
      </c>
    </row>
    <row r="12942">
      <c r="A12942" s="1" t="n">
        <v>12941</v>
      </c>
      <c r="B12942">
        <f>TEXT(12941, "[$-170000]yyyy-mm-dd")</f>
        <v/>
      </c>
      <c r="C12942">
        <f>TEXT(12941, "[$-060000]yyyy-mm-dd")</f>
        <v/>
      </c>
      <c r="D12942" t="inlineStr">
        <is>
          <t>1354-03-05</t>
        </is>
      </c>
    </row>
    <row r="12943">
      <c r="A12943" s="1" t="n">
        <v>12942</v>
      </c>
      <c r="B12943">
        <f>TEXT(12942, "[$-170000]yyyy-mm-dd")</f>
        <v/>
      </c>
      <c r="C12943">
        <f>TEXT(12942, "[$-060000]yyyy-mm-dd")</f>
        <v/>
      </c>
      <c r="D12943" t="inlineStr">
        <is>
          <t>1354-03-06</t>
        </is>
      </c>
    </row>
    <row r="12944">
      <c r="A12944" s="1" t="n">
        <v>12943</v>
      </c>
      <c r="B12944">
        <f>TEXT(12943, "[$-170000]yyyy-mm-dd")</f>
        <v/>
      </c>
      <c r="C12944">
        <f>TEXT(12943, "[$-060000]yyyy-mm-dd")</f>
        <v/>
      </c>
      <c r="D12944" t="inlineStr">
        <is>
          <t>1354-03-07</t>
        </is>
      </c>
    </row>
    <row r="12945">
      <c r="A12945" s="1" t="n">
        <v>12944</v>
      </c>
      <c r="B12945">
        <f>TEXT(12944, "[$-170000]yyyy-mm-dd")</f>
        <v/>
      </c>
      <c r="C12945">
        <f>TEXT(12944, "[$-060000]yyyy-mm-dd")</f>
        <v/>
      </c>
      <c r="D12945" t="inlineStr">
        <is>
          <t>1354-03-08</t>
        </is>
      </c>
    </row>
    <row r="12946">
      <c r="A12946" s="1" t="n">
        <v>12945</v>
      </c>
      <c r="B12946">
        <f>TEXT(12945, "[$-170000]yyyy-mm-dd")</f>
        <v/>
      </c>
      <c r="C12946">
        <f>TEXT(12945, "[$-060000]yyyy-mm-dd")</f>
        <v/>
      </c>
      <c r="D12946" t="inlineStr">
        <is>
          <t>1354-03-09</t>
        </is>
      </c>
    </row>
    <row r="12947">
      <c r="A12947" s="1" t="n">
        <v>12946</v>
      </c>
      <c r="B12947">
        <f>TEXT(12946, "[$-170000]yyyy-mm-dd")</f>
        <v/>
      </c>
      <c r="C12947">
        <f>TEXT(12946, "[$-060000]yyyy-mm-dd")</f>
        <v/>
      </c>
      <c r="D12947" t="inlineStr">
        <is>
          <t>1354-03-10</t>
        </is>
      </c>
    </row>
    <row r="12948">
      <c r="A12948" s="1" t="n">
        <v>12947</v>
      </c>
      <c r="B12948">
        <f>TEXT(12947, "[$-170000]yyyy-mm-dd")</f>
        <v/>
      </c>
      <c r="C12948">
        <f>TEXT(12947, "[$-060000]yyyy-mm-dd")</f>
        <v/>
      </c>
      <c r="D12948" t="inlineStr">
        <is>
          <t>1354-03-11</t>
        </is>
      </c>
    </row>
    <row r="12949">
      <c r="A12949" s="1" t="n">
        <v>12948</v>
      </c>
      <c r="B12949">
        <f>TEXT(12948, "[$-170000]yyyy-mm-dd")</f>
        <v/>
      </c>
      <c r="C12949">
        <f>TEXT(12948, "[$-060000]yyyy-mm-dd")</f>
        <v/>
      </c>
      <c r="D12949" t="inlineStr">
        <is>
          <t>1354-03-12</t>
        </is>
      </c>
    </row>
    <row r="12950">
      <c r="A12950" s="1" t="n">
        <v>12949</v>
      </c>
      <c r="B12950">
        <f>TEXT(12949, "[$-170000]yyyy-mm-dd")</f>
        <v/>
      </c>
      <c r="C12950">
        <f>TEXT(12949, "[$-060000]yyyy-mm-dd")</f>
        <v/>
      </c>
      <c r="D12950" t="inlineStr">
        <is>
          <t>1354-03-13</t>
        </is>
      </c>
    </row>
    <row r="12951">
      <c r="A12951" s="1" t="n">
        <v>12950</v>
      </c>
      <c r="B12951">
        <f>TEXT(12950, "[$-170000]yyyy-mm-dd")</f>
        <v/>
      </c>
      <c r="C12951">
        <f>TEXT(12950, "[$-060000]yyyy-mm-dd")</f>
        <v/>
      </c>
      <c r="D12951" t="inlineStr">
        <is>
          <t>1354-03-14</t>
        </is>
      </c>
    </row>
    <row r="12952">
      <c r="A12952" s="1" t="n">
        <v>12951</v>
      </c>
      <c r="B12952">
        <f>TEXT(12951, "[$-170000]yyyy-mm-dd")</f>
        <v/>
      </c>
      <c r="C12952">
        <f>TEXT(12951, "[$-060000]yyyy-mm-dd")</f>
        <v/>
      </c>
      <c r="D12952" t="inlineStr">
        <is>
          <t>1354-03-15</t>
        </is>
      </c>
    </row>
    <row r="12953">
      <c r="A12953" s="1" t="n">
        <v>12952</v>
      </c>
      <c r="B12953">
        <f>TEXT(12952, "[$-170000]yyyy-mm-dd")</f>
        <v/>
      </c>
      <c r="C12953">
        <f>TEXT(12952, "[$-060000]yyyy-mm-dd")</f>
        <v/>
      </c>
      <c r="D12953" t="inlineStr">
        <is>
          <t>1354-03-16</t>
        </is>
      </c>
    </row>
    <row r="12954">
      <c r="A12954" s="1" t="n">
        <v>12953</v>
      </c>
      <c r="B12954">
        <f>TEXT(12953, "[$-170000]yyyy-mm-dd")</f>
        <v/>
      </c>
      <c r="C12954">
        <f>TEXT(12953, "[$-060000]yyyy-mm-dd")</f>
        <v/>
      </c>
      <c r="D12954" t="inlineStr">
        <is>
          <t>1354-03-17</t>
        </is>
      </c>
    </row>
    <row r="12955">
      <c r="A12955" s="1" t="n">
        <v>12954</v>
      </c>
      <c r="B12955">
        <f>TEXT(12954, "[$-170000]yyyy-mm-dd")</f>
        <v/>
      </c>
      <c r="C12955">
        <f>TEXT(12954, "[$-060000]yyyy-mm-dd")</f>
        <v/>
      </c>
      <c r="D12955" t="inlineStr">
        <is>
          <t>1354-03-18</t>
        </is>
      </c>
    </row>
    <row r="12956">
      <c r="A12956" s="1" t="n">
        <v>12955</v>
      </c>
      <c r="B12956">
        <f>TEXT(12955, "[$-170000]yyyy-mm-dd")</f>
        <v/>
      </c>
      <c r="C12956">
        <f>TEXT(12955, "[$-060000]yyyy-mm-dd")</f>
        <v/>
      </c>
      <c r="D12956" t="inlineStr">
        <is>
          <t>1354-03-19</t>
        </is>
      </c>
    </row>
    <row r="12957">
      <c r="A12957" s="1" t="n">
        <v>12956</v>
      </c>
      <c r="B12957">
        <f>TEXT(12956, "[$-170000]yyyy-mm-dd")</f>
        <v/>
      </c>
      <c r="C12957">
        <f>TEXT(12956, "[$-060000]yyyy-mm-dd")</f>
        <v/>
      </c>
      <c r="D12957" t="inlineStr">
        <is>
          <t>1354-03-20</t>
        </is>
      </c>
    </row>
    <row r="12958">
      <c r="A12958" s="1" t="n">
        <v>12957</v>
      </c>
      <c r="B12958">
        <f>TEXT(12957, "[$-170000]yyyy-mm-dd")</f>
        <v/>
      </c>
      <c r="C12958">
        <f>TEXT(12957, "[$-060000]yyyy-mm-dd")</f>
        <v/>
      </c>
      <c r="D12958" t="inlineStr">
        <is>
          <t>1354-03-21</t>
        </is>
      </c>
    </row>
    <row r="12959">
      <c r="A12959" s="1" t="n">
        <v>12958</v>
      </c>
      <c r="B12959">
        <f>TEXT(12958, "[$-170000]yyyy-mm-dd")</f>
        <v/>
      </c>
      <c r="C12959">
        <f>TEXT(12958, "[$-060000]yyyy-mm-dd")</f>
        <v/>
      </c>
      <c r="D12959" t="inlineStr">
        <is>
          <t>1354-03-22</t>
        </is>
      </c>
    </row>
    <row r="12960">
      <c r="A12960" s="1" t="n">
        <v>12959</v>
      </c>
      <c r="B12960">
        <f>TEXT(12959, "[$-170000]yyyy-mm-dd")</f>
        <v/>
      </c>
      <c r="C12960">
        <f>TEXT(12959, "[$-060000]yyyy-mm-dd")</f>
        <v/>
      </c>
      <c r="D12960" t="inlineStr">
        <is>
          <t>1354-03-23</t>
        </is>
      </c>
    </row>
    <row r="12961">
      <c r="A12961" s="1" t="n">
        <v>12960</v>
      </c>
      <c r="B12961">
        <f>TEXT(12960, "[$-170000]yyyy-mm-dd")</f>
        <v/>
      </c>
      <c r="C12961">
        <f>TEXT(12960, "[$-060000]yyyy-mm-dd")</f>
        <v/>
      </c>
      <c r="D12961" t="inlineStr">
        <is>
          <t>1354-03-24</t>
        </is>
      </c>
    </row>
    <row r="12962">
      <c r="A12962" s="1" t="n">
        <v>12961</v>
      </c>
      <c r="B12962">
        <f>TEXT(12961, "[$-170000]yyyy-mm-dd")</f>
        <v/>
      </c>
      <c r="C12962">
        <f>TEXT(12961, "[$-060000]yyyy-mm-dd")</f>
        <v/>
      </c>
      <c r="D12962" t="inlineStr">
        <is>
          <t>1354-03-25</t>
        </is>
      </c>
    </row>
    <row r="12963">
      <c r="A12963" s="1" t="n">
        <v>12962</v>
      </c>
      <c r="B12963">
        <f>TEXT(12962, "[$-170000]yyyy-mm-dd")</f>
        <v/>
      </c>
      <c r="C12963">
        <f>TEXT(12962, "[$-060000]yyyy-mm-dd")</f>
        <v/>
      </c>
      <c r="D12963" t="inlineStr">
        <is>
          <t>1354-03-26</t>
        </is>
      </c>
    </row>
    <row r="12964">
      <c r="A12964" s="1" t="n">
        <v>12963</v>
      </c>
      <c r="B12964">
        <f>TEXT(12963, "[$-170000]yyyy-mm-dd")</f>
        <v/>
      </c>
      <c r="C12964">
        <f>TEXT(12963, "[$-060000]yyyy-mm-dd")</f>
        <v/>
      </c>
      <c r="D12964" t="inlineStr">
        <is>
          <t>1354-03-27</t>
        </is>
      </c>
    </row>
    <row r="12965">
      <c r="A12965" s="1" t="n">
        <v>12964</v>
      </c>
      <c r="B12965">
        <f>TEXT(12964, "[$-170000]yyyy-mm-dd")</f>
        <v/>
      </c>
      <c r="C12965">
        <f>TEXT(12964, "[$-060000]yyyy-mm-dd")</f>
        <v/>
      </c>
      <c r="D12965" t="inlineStr">
        <is>
          <t>1354-03-28</t>
        </is>
      </c>
    </row>
    <row r="12966">
      <c r="A12966" s="1" t="n">
        <v>12965</v>
      </c>
      <c r="B12966">
        <f>TEXT(12965, "[$-170000]yyyy-mm-dd")</f>
        <v/>
      </c>
      <c r="C12966">
        <f>TEXT(12965, "[$-060000]yyyy-mm-dd")</f>
        <v/>
      </c>
      <c r="D12966" t="inlineStr">
        <is>
          <t>1354-03-29</t>
        </is>
      </c>
    </row>
    <row r="12967">
      <c r="A12967" s="1" t="n">
        <v>12966</v>
      </c>
      <c r="B12967">
        <f>TEXT(12966, "[$-170000]yyyy-mm-dd")</f>
        <v/>
      </c>
      <c r="C12967">
        <f>TEXT(12966, "[$-060000]yyyy-mm-dd")</f>
        <v/>
      </c>
      <c r="D12967" t="inlineStr">
        <is>
          <t>1354-03-30</t>
        </is>
      </c>
    </row>
    <row r="12968">
      <c r="A12968" s="1" t="n">
        <v>12967</v>
      </c>
      <c r="B12968">
        <f>TEXT(12967, "[$-170000]yyyy-mm-dd")</f>
        <v/>
      </c>
      <c r="C12968">
        <f>TEXT(12967, "[$-060000]yyyy-mm-dd")</f>
        <v/>
      </c>
      <c r="D12968" t="inlineStr">
        <is>
          <t>1354-04-01</t>
        </is>
      </c>
    </row>
    <row r="12969">
      <c r="A12969" s="1" t="n">
        <v>12968</v>
      </c>
      <c r="B12969">
        <f>TEXT(12968, "[$-170000]yyyy-mm-dd")</f>
        <v/>
      </c>
      <c r="C12969">
        <f>TEXT(12968, "[$-060000]yyyy-mm-dd")</f>
        <v/>
      </c>
      <c r="D12969" t="inlineStr">
        <is>
          <t>1354-04-02</t>
        </is>
      </c>
    </row>
    <row r="12970">
      <c r="A12970" s="1" t="n">
        <v>12969</v>
      </c>
      <c r="B12970">
        <f>TEXT(12969, "[$-170000]yyyy-mm-dd")</f>
        <v/>
      </c>
      <c r="C12970">
        <f>TEXT(12969, "[$-060000]yyyy-mm-dd")</f>
        <v/>
      </c>
      <c r="D12970" t="inlineStr">
        <is>
          <t>1354-04-03</t>
        </is>
      </c>
    </row>
    <row r="12971">
      <c r="A12971" s="1" t="n">
        <v>12970</v>
      </c>
      <c r="B12971">
        <f>TEXT(12970, "[$-170000]yyyy-mm-dd")</f>
        <v/>
      </c>
      <c r="C12971">
        <f>TEXT(12970, "[$-060000]yyyy-mm-dd")</f>
        <v/>
      </c>
      <c r="D12971" t="inlineStr">
        <is>
          <t>1354-04-04</t>
        </is>
      </c>
    </row>
    <row r="12972">
      <c r="A12972" s="1" t="n">
        <v>12971</v>
      </c>
      <c r="B12972">
        <f>TEXT(12971, "[$-170000]yyyy-mm-dd")</f>
        <v/>
      </c>
      <c r="C12972">
        <f>TEXT(12971, "[$-060000]yyyy-mm-dd")</f>
        <v/>
      </c>
      <c r="D12972" t="inlineStr">
        <is>
          <t>1354-04-05</t>
        </is>
      </c>
    </row>
    <row r="12973">
      <c r="A12973" s="1" t="n">
        <v>12972</v>
      </c>
      <c r="B12973">
        <f>TEXT(12972, "[$-170000]yyyy-mm-dd")</f>
        <v/>
      </c>
      <c r="C12973">
        <f>TEXT(12972, "[$-060000]yyyy-mm-dd")</f>
        <v/>
      </c>
      <c r="D12973" t="inlineStr">
        <is>
          <t>1354-04-06</t>
        </is>
      </c>
    </row>
    <row r="12974">
      <c r="A12974" s="1" t="n">
        <v>12973</v>
      </c>
      <c r="B12974">
        <f>TEXT(12973, "[$-170000]yyyy-mm-dd")</f>
        <v/>
      </c>
      <c r="C12974">
        <f>TEXT(12973, "[$-060000]yyyy-mm-dd")</f>
        <v/>
      </c>
      <c r="D12974" t="inlineStr">
        <is>
          <t>1354-04-07</t>
        </is>
      </c>
    </row>
    <row r="12975">
      <c r="A12975" s="1" t="n">
        <v>12974</v>
      </c>
      <c r="B12975">
        <f>TEXT(12974, "[$-170000]yyyy-mm-dd")</f>
        <v/>
      </c>
      <c r="C12975">
        <f>TEXT(12974, "[$-060000]yyyy-mm-dd")</f>
        <v/>
      </c>
      <c r="D12975" t="inlineStr">
        <is>
          <t>1354-04-08</t>
        </is>
      </c>
    </row>
    <row r="12976">
      <c r="A12976" s="1" t="n">
        <v>12975</v>
      </c>
      <c r="B12976">
        <f>TEXT(12975, "[$-170000]yyyy-mm-dd")</f>
        <v/>
      </c>
      <c r="C12976">
        <f>TEXT(12975, "[$-060000]yyyy-mm-dd")</f>
        <v/>
      </c>
      <c r="D12976" t="inlineStr">
        <is>
          <t>1354-04-09</t>
        </is>
      </c>
    </row>
    <row r="12977">
      <c r="A12977" s="1" t="n">
        <v>12976</v>
      </c>
      <c r="B12977">
        <f>TEXT(12976, "[$-170000]yyyy-mm-dd")</f>
        <v/>
      </c>
      <c r="C12977">
        <f>TEXT(12976, "[$-060000]yyyy-mm-dd")</f>
        <v/>
      </c>
      <c r="D12977" t="inlineStr">
        <is>
          <t>1354-04-10</t>
        </is>
      </c>
    </row>
    <row r="12978">
      <c r="A12978" s="1" t="n">
        <v>12977</v>
      </c>
      <c r="B12978">
        <f>TEXT(12977, "[$-170000]yyyy-mm-dd")</f>
        <v/>
      </c>
      <c r="C12978">
        <f>TEXT(12977, "[$-060000]yyyy-mm-dd")</f>
        <v/>
      </c>
      <c r="D12978" t="inlineStr">
        <is>
          <t>1354-04-11</t>
        </is>
      </c>
    </row>
    <row r="12979">
      <c r="A12979" s="1" t="n">
        <v>12978</v>
      </c>
      <c r="B12979">
        <f>TEXT(12978, "[$-170000]yyyy-mm-dd")</f>
        <v/>
      </c>
      <c r="C12979">
        <f>TEXT(12978, "[$-060000]yyyy-mm-dd")</f>
        <v/>
      </c>
      <c r="D12979" t="inlineStr">
        <is>
          <t>1354-04-12</t>
        </is>
      </c>
    </row>
    <row r="12980">
      <c r="A12980" s="1" t="n">
        <v>12979</v>
      </c>
      <c r="B12980">
        <f>TEXT(12979, "[$-170000]yyyy-mm-dd")</f>
        <v/>
      </c>
      <c r="C12980">
        <f>TEXT(12979, "[$-060000]yyyy-mm-dd")</f>
        <v/>
      </c>
      <c r="D12980" t="inlineStr">
        <is>
          <t>1354-04-13</t>
        </is>
      </c>
    </row>
    <row r="12981">
      <c r="A12981" s="1" t="n">
        <v>12980</v>
      </c>
      <c r="B12981">
        <f>TEXT(12980, "[$-170000]yyyy-mm-dd")</f>
        <v/>
      </c>
      <c r="C12981">
        <f>TEXT(12980, "[$-060000]yyyy-mm-dd")</f>
        <v/>
      </c>
      <c r="D12981" t="inlineStr">
        <is>
          <t>1354-04-14</t>
        </is>
      </c>
    </row>
    <row r="12982">
      <c r="A12982" s="1" t="n">
        <v>12981</v>
      </c>
      <c r="B12982">
        <f>TEXT(12981, "[$-170000]yyyy-mm-dd")</f>
        <v/>
      </c>
      <c r="C12982">
        <f>TEXT(12981, "[$-060000]yyyy-mm-dd")</f>
        <v/>
      </c>
      <c r="D12982" t="inlineStr">
        <is>
          <t>1354-04-15</t>
        </is>
      </c>
    </row>
    <row r="12983">
      <c r="A12983" s="1" t="n">
        <v>12982</v>
      </c>
      <c r="B12983">
        <f>TEXT(12982, "[$-170000]yyyy-mm-dd")</f>
        <v/>
      </c>
      <c r="C12983">
        <f>TEXT(12982, "[$-060000]yyyy-mm-dd")</f>
        <v/>
      </c>
      <c r="D12983" t="inlineStr">
        <is>
          <t>1354-04-16</t>
        </is>
      </c>
    </row>
    <row r="12984">
      <c r="A12984" s="1" t="n">
        <v>12983</v>
      </c>
      <c r="B12984">
        <f>TEXT(12983, "[$-170000]yyyy-mm-dd")</f>
        <v/>
      </c>
      <c r="C12984">
        <f>TEXT(12983, "[$-060000]yyyy-mm-dd")</f>
        <v/>
      </c>
      <c r="D12984" t="inlineStr">
        <is>
          <t>1354-04-17</t>
        </is>
      </c>
    </row>
    <row r="12985">
      <c r="A12985" s="1" t="n">
        <v>12984</v>
      </c>
      <c r="B12985">
        <f>TEXT(12984, "[$-170000]yyyy-mm-dd")</f>
        <v/>
      </c>
      <c r="C12985">
        <f>TEXT(12984, "[$-060000]yyyy-mm-dd")</f>
        <v/>
      </c>
      <c r="D12985" t="inlineStr">
        <is>
          <t>1354-04-18</t>
        </is>
      </c>
    </row>
    <row r="12986">
      <c r="A12986" s="1" t="n">
        <v>12985</v>
      </c>
      <c r="B12986">
        <f>TEXT(12985, "[$-170000]yyyy-mm-dd")</f>
        <v/>
      </c>
      <c r="C12986">
        <f>TEXT(12985, "[$-060000]yyyy-mm-dd")</f>
        <v/>
      </c>
      <c r="D12986" t="inlineStr">
        <is>
          <t>1354-04-19</t>
        </is>
      </c>
    </row>
    <row r="12987">
      <c r="A12987" s="1" t="n">
        <v>12986</v>
      </c>
      <c r="B12987">
        <f>TEXT(12986, "[$-170000]yyyy-mm-dd")</f>
        <v/>
      </c>
      <c r="C12987">
        <f>TEXT(12986, "[$-060000]yyyy-mm-dd")</f>
        <v/>
      </c>
      <c r="D12987" t="inlineStr">
        <is>
          <t>1354-04-20</t>
        </is>
      </c>
    </row>
    <row r="12988">
      <c r="A12988" s="1" t="n">
        <v>12987</v>
      </c>
      <c r="B12988">
        <f>TEXT(12987, "[$-170000]yyyy-mm-dd")</f>
        <v/>
      </c>
      <c r="C12988">
        <f>TEXT(12987, "[$-060000]yyyy-mm-dd")</f>
        <v/>
      </c>
      <c r="D12988" t="inlineStr">
        <is>
          <t>1354-04-21</t>
        </is>
      </c>
    </row>
    <row r="12989">
      <c r="A12989" s="1" t="n">
        <v>12988</v>
      </c>
      <c r="B12989">
        <f>TEXT(12988, "[$-170000]yyyy-mm-dd")</f>
        <v/>
      </c>
      <c r="C12989">
        <f>TEXT(12988, "[$-060000]yyyy-mm-dd")</f>
        <v/>
      </c>
      <c r="D12989" t="inlineStr">
        <is>
          <t>1354-04-22</t>
        </is>
      </c>
    </row>
    <row r="12990">
      <c r="A12990" s="1" t="n">
        <v>12989</v>
      </c>
      <c r="B12990">
        <f>TEXT(12989, "[$-170000]yyyy-mm-dd")</f>
        <v/>
      </c>
      <c r="C12990">
        <f>TEXT(12989, "[$-060000]yyyy-mm-dd")</f>
        <v/>
      </c>
      <c r="D12990" t="inlineStr">
        <is>
          <t>1354-04-23</t>
        </is>
      </c>
    </row>
    <row r="12991">
      <c r="A12991" s="1" t="n">
        <v>12990</v>
      </c>
      <c r="B12991">
        <f>TEXT(12990, "[$-170000]yyyy-mm-dd")</f>
        <v/>
      </c>
      <c r="C12991">
        <f>TEXT(12990, "[$-060000]yyyy-mm-dd")</f>
        <v/>
      </c>
      <c r="D12991" t="inlineStr">
        <is>
          <t>1354-04-24</t>
        </is>
      </c>
    </row>
    <row r="12992">
      <c r="A12992" s="1" t="n">
        <v>12991</v>
      </c>
      <c r="B12992">
        <f>TEXT(12991, "[$-170000]yyyy-mm-dd")</f>
        <v/>
      </c>
      <c r="C12992">
        <f>TEXT(12991, "[$-060000]yyyy-mm-dd")</f>
        <v/>
      </c>
      <c r="D12992" t="inlineStr">
        <is>
          <t>1354-04-25</t>
        </is>
      </c>
    </row>
    <row r="12993">
      <c r="A12993" s="1" t="n">
        <v>12992</v>
      </c>
      <c r="B12993">
        <f>TEXT(12992, "[$-170000]yyyy-mm-dd")</f>
        <v/>
      </c>
      <c r="C12993">
        <f>TEXT(12992, "[$-060000]yyyy-mm-dd")</f>
        <v/>
      </c>
      <c r="D12993" t="inlineStr">
        <is>
          <t>1354-04-26</t>
        </is>
      </c>
    </row>
    <row r="12994">
      <c r="A12994" s="1" t="n">
        <v>12993</v>
      </c>
      <c r="B12994">
        <f>TEXT(12993, "[$-170000]yyyy-mm-dd")</f>
        <v/>
      </c>
      <c r="C12994">
        <f>TEXT(12993, "[$-060000]yyyy-mm-dd")</f>
        <v/>
      </c>
      <c r="D12994" t="inlineStr">
        <is>
          <t>1354-04-27</t>
        </is>
      </c>
    </row>
    <row r="12995">
      <c r="A12995" s="1" t="n">
        <v>12994</v>
      </c>
      <c r="B12995">
        <f>TEXT(12994, "[$-170000]yyyy-mm-dd")</f>
        <v/>
      </c>
      <c r="C12995">
        <f>TEXT(12994, "[$-060000]yyyy-mm-dd")</f>
        <v/>
      </c>
      <c r="D12995" t="inlineStr">
        <is>
          <t>1354-04-28</t>
        </is>
      </c>
    </row>
    <row r="12996">
      <c r="A12996" s="1" t="n">
        <v>12995</v>
      </c>
      <c r="B12996">
        <f>TEXT(12995, "[$-170000]yyyy-mm-dd")</f>
        <v/>
      </c>
      <c r="C12996">
        <f>TEXT(12995, "[$-060000]yyyy-mm-dd")</f>
        <v/>
      </c>
      <c r="D12996" t="inlineStr">
        <is>
          <t>1354-04-29</t>
        </is>
      </c>
    </row>
    <row r="12997">
      <c r="A12997" s="1" t="n">
        <v>12996</v>
      </c>
      <c r="B12997">
        <f>TEXT(12996, "[$-170000]yyyy-mm-dd")</f>
        <v/>
      </c>
      <c r="C12997">
        <f>TEXT(12996, "[$-060000]yyyy-mm-dd")</f>
        <v/>
      </c>
      <c r="D12997" t="inlineStr">
        <is>
          <t>1354-05-01</t>
        </is>
      </c>
    </row>
    <row r="12998">
      <c r="A12998" s="1" t="n">
        <v>12997</v>
      </c>
      <c r="B12998">
        <f>TEXT(12997, "[$-170000]yyyy-mm-dd")</f>
        <v/>
      </c>
      <c r="C12998">
        <f>TEXT(12997, "[$-060000]yyyy-mm-dd")</f>
        <v/>
      </c>
      <c r="D12998" t="inlineStr">
        <is>
          <t>1354-05-02</t>
        </is>
      </c>
    </row>
    <row r="12999">
      <c r="A12999" s="1" t="n">
        <v>12998</v>
      </c>
      <c r="B12999">
        <f>TEXT(12998, "[$-170000]yyyy-mm-dd")</f>
        <v/>
      </c>
      <c r="C12999">
        <f>TEXT(12998, "[$-060000]yyyy-mm-dd")</f>
        <v/>
      </c>
      <c r="D12999" t="inlineStr">
        <is>
          <t>1354-05-03</t>
        </is>
      </c>
    </row>
    <row r="13000">
      <c r="A13000" s="1" t="n">
        <v>12999</v>
      </c>
      <c r="B13000">
        <f>TEXT(12999, "[$-170000]yyyy-mm-dd")</f>
        <v/>
      </c>
      <c r="C13000">
        <f>TEXT(12999, "[$-060000]yyyy-mm-dd")</f>
        <v/>
      </c>
      <c r="D13000" t="inlineStr">
        <is>
          <t>1354-05-04</t>
        </is>
      </c>
    </row>
    <row r="13001">
      <c r="A13001" s="1" t="n">
        <v>13000</v>
      </c>
      <c r="B13001">
        <f>TEXT(13000, "[$-170000]yyyy-mm-dd")</f>
        <v/>
      </c>
      <c r="C13001">
        <f>TEXT(13000, "[$-060000]yyyy-mm-dd")</f>
        <v/>
      </c>
      <c r="D13001" t="inlineStr">
        <is>
          <t>1354-05-05</t>
        </is>
      </c>
    </row>
    <row r="13002">
      <c r="A13002" s="1" t="n">
        <v>13001</v>
      </c>
      <c r="B13002">
        <f>TEXT(13001, "[$-170000]yyyy-mm-dd")</f>
        <v/>
      </c>
      <c r="C13002">
        <f>TEXT(13001, "[$-060000]yyyy-mm-dd")</f>
        <v/>
      </c>
      <c r="D13002" t="inlineStr">
        <is>
          <t>1354-05-06</t>
        </is>
      </c>
    </row>
    <row r="13003">
      <c r="A13003" s="1" t="n">
        <v>13002</v>
      </c>
      <c r="B13003">
        <f>TEXT(13002, "[$-170000]yyyy-mm-dd")</f>
        <v/>
      </c>
      <c r="C13003">
        <f>TEXT(13002, "[$-060000]yyyy-mm-dd")</f>
        <v/>
      </c>
      <c r="D13003" t="inlineStr">
        <is>
          <t>1354-05-07</t>
        </is>
      </c>
    </row>
    <row r="13004">
      <c r="A13004" s="1" t="n">
        <v>13003</v>
      </c>
      <c r="B13004">
        <f>TEXT(13003, "[$-170000]yyyy-mm-dd")</f>
        <v/>
      </c>
      <c r="C13004">
        <f>TEXT(13003, "[$-060000]yyyy-mm-dd")</f>
        <v/>
      </c>
      <c r="D13004" t="inlineStr">
        <is>
          <t>1354-05-08</t>
        </is>
      </c>
    </row>
    <row r="13005">
      <c r="A13005" s="1" t="n">
        <v>13004</v>
      </c>
      <c r="B13005">
        <f>TEXT(13004, "[$-170000]yyyy-mm-dd")</f>
        <v/>
      </c>
      <c r="C13005">
        <f>TEXT(13004, "[$-060000]yyyy-mm-dd")</f>
        <v/>
      </c>
      <c r="D13005" t="inlineStr">
        <is>
          <t>1354-05-09</t>
        </is>
      </c>
    </row>
    <row r="13006">
      <c r="A13006" s="1" t="n">
        <v>13005</v>
      </c>
      <c r="B13006">
        <f>TEXT(13005, "[$-170000]yyyy-mm-dd")</f>
        <v/>
      </c>
      <c r="C13006">
        <f>TEXT(13005, "[$-060000]yyyy-mm-dd")</f>
        <v/>
      </c>
      <c r="D13006" t="inlineStr">
        <is>
          <t>1354-05-10</t>
        </is>
      </c>
    </row>
    <row r="13007">
      <c r="A13007" s="1" t="n">
        <v>13006</v>
      </c>
      <c r="B13007">
        <f>TEXT(13006, "[$-170000]yyyy-mm-dd")</f>
        <v/>
      </c>
      <c r="C13007">
        <f>TEXT(13006, "[$-060000]yyyy-mm-dd")</f>
        <v/>
      </c>
      <c r="D13007" t="inlineStr">
        <is>
          <t>1354-05-11</t>
        </is>
      </c>
    </row>
    <row r="13008">
      <c r="A13008" s="1" t="n">
        <v>13007</v>
      </c>
      <c r="B13008">
        <f>TEXT(13007, "[$-170000]yyyy-mm-dd")</f>
        <v/>
      </c>
      <c r="C13008">
        <f>TEXT(13007, "[$-060000]yyyy-mm-dd")</f>
        <v/>
      </c>
      <c r="D13008" t="inlineStr">
        <is>
          <t>1354-05-12</t>
        </is>
      </c>
    </row>
    <row r="13009">
      <c r="A13009" s="1" t="n">
        <v>13008</v>
      </c>
      <c r="B13009">
        <f>TEXT(13008, "[$-170000]yyyy-mm-dd")</f>
        <v/>
      </c>
      <c r="C13009">
        <f>TEXT(13008, "[$-060000]yyyy-mm-dd")</f>
        <v/>
      </c>
      <c r="D13009" t="inlineStr">
        <is>
          <t>1354-05-13</t>
        </is>
      </c>
    </row>
    <row r="13010">
      <c r="A13010" s="1" t="n">
        <v>13009</v>
      </c>
      <c r="B13010">
        <f>TEXT(13009, "[$-170000]yyyy-mm-dd")</f>
        <v/>
      </c>
      <c r="C13010">
        <f>TEXT(13009, "[$-060000]yyyy-mm-dd")</f>
        <v/>
      </c>
      <c r="D13010" t="inlineStr">
        <is>
          <t>1354-05-14</t>
        </is>
      </c>
    </row>
    <row r="13011">
      <c r="A13011" s="1" t="n">
        <v>13010</v>
      </c>
      <c r="B13011">
        <f>TEXT(13010, "[$-170000]yyyy-mm-dd")</f>
        <v/>
      </c>
      <c r="C13011">
        <f>TEXT(13010, "[$-060000]yyyy-mm-dd")</f>
        <v/>
      </c>
      <c r="D13011" t="inlineStr">
        <is>
          <t>1354-05-15</t>
        </is>
      </c>
    </row>
    <row r="13012">
      <c r="A13012" s="1" t="n">
        <v>13011</v>
      </c>
      <c r="B13012">
        <f>TEXT(13011, "[$-170000]yyyy-mm-dd")</f>
        <v/>
      </c>
      <c r="C13012">
        <f>TEXT(13011, "[$-060000]yyyy-mm-dd")</f>
        <v/>
      </c>
      <c r="D13012" t="inlineStr">
        <is>
          <t>1354-05-16</t>
        </is>
      </c>
    </row>
    <row r="13013">
      <c r="A13013" s="1" t="n">
        <v>13012</v>
      </c>
      <c r="B13013">
        <f>TEXT(13012, "[$-170000]yyyy-mm-dd")</f>
        <v/>
      </c>
      <c r="C13013">
        <f>TEXT(13012, "[$-060000]yyyy-mm-dd")</f>
        <v/>
      </c>
      <c r="D13013" t="inlineStr">
        <is>
          <t>1354-05-17</t>
        </is>
      </c>
    </row>
    <row r="13014">
      <c r="A13014" s="1" t="n">
        <v>13013</v>
      </c>
      <c r="B13014">
        <f>TEXT(13013, "[$-170000]yyyy-mm-dd")</f>
        <v/>
      </c>
      <c r="C13014">
        <f>TEXT(13013, "[$-060000]yyyy-mm-dd")</f>
        <v/>
      </c>
      <c r="D13014" t="inlineStr">
        <is>
          <t>1354-05-18</t>
        </is>
      </c>
    </row>
    <row r="13015">
      <c r="A13015" s="1" t="n">
        <v>13014</v>
      </c>
      <c r="B13015">
        <f>TEXT(13014, "[$-170000]yyyy-mm-dd")</f>
        <v/>
      </c>
      <c r="C13015">
        <f>TEXT(13014, "[$-060000]yyyy-mm-dd")</f>
        <v/>
      </c>
      <c r="D13015" t="inlineStr">
        <is>
          <t>1354-05-19</t>
        </is>
      </c>
    </row>
    <row r="13016">
      <c r="A13016" s="1" t="n">
        <v>13015</v>
      </c>
      <c r="B13016">
        <f>TEXT(13015, "[$-170000]yyyy-mm-dd")</f>
        <v/>
      </c>
      <c r="C13016">
        <f>TEXT(13015, "[$-060000]yyyy-mm-dd")</f>
        <v/>
      </c>
      <c r="D13016" t="inlineStr">
        <is>
          <t>1354-05-20</t>
        </is>
      </c>
    </row>
    <row r="13017">
      <c r="A13017" s="1" t="n">
        <v>13016</v>
      </c>
      <c r="B13017">
        <f>TEXT(13016, "[$-170000]yyyy-mm-dd")</f>
        <v/>
      </c>
      <c r="C13017">
        <f>TEXT(13016, "[$-060000]yyyy-mm-dd")</f>
        <v/>
      </c>
      <c r="D13017" t="inlineStr">
        <is>
          <t>1354-05-21</t>
        </is>
      </c>
    </row>
    <row r="13018">
      <c r="A13018" s="1" t="n">
        <v>13017</v>
      </c>
      <c r="B13018">
        <f>TEXT(13017, "[$-170000]yyyy-mm-dd")</f>
        <v/>
      </c>
      <c r="C13018">
        <f>TEXT(13017, "[$-060000]yyyy-mm-dd")</f>
        <v/>
      </c>
      <c r="D13018" t="inlineStr">
        <is>
          <t>1354-05-22</t>
        </is>
      </c>
    </row>
    <row r="13019">
      <c r="A13019" s="1" t="n">
        <v>13018</v>
      </c>
      <c r="B13019">
        <f>TEXT(13018, "[$-170000]yyyy-mm-dd")</f>
        <v/>
      </c>
      <c r="C13019">
        <f>TEXT(13018, "[$-060000]yyyy-mm-dd")</f>
        <v/>
      </c>
      <c r="D13019" t="inlineStr">
        <is>
          <t>1354-05-23</t>
        </is>
      </c>
    </row>
    <row r="13020">
      <c r="A13020" s="1" t="n">
        <v>13019</v>
      </c>
      <c r="B13020">
        <f>TEXT(13019, "[$-170000]yyyy-mm-dd")</f>
        <v/>
      </c>
      <c r="C13020">
        <f>TEXT(13019, "[$-060000]yyyy-mm-dd")</f>
        <v/>
      </c>
      <c r="D13020" t="inlineStr">
        <is>
          <t>1354-05-24</t>
        </is>
      </c>
    </row>
    <row r="13021">
      <c r="A13021" s="1" t="n">
        <v>13020</v>
      </c>
      <c r="B13021">
        <f>TEXT(13020, "[$-170000]yyyy-mm-dd")</f>
        <v/>
      </c>
      <c r="C13021">
        <f>TEXT(13020, "[$-060000]yyyy-mm-dd")</f>
        <v/>
      </c>
      <c r="D13021" t="inlineStr">
        <is>
          <t>1354-05-25</t>
        </is>
      </c>
    </row>
    <row r="13022">
      <c r="A13022" s="1" t="n">
        <v>13021</v>
      </c>
      <c r="B13022">
        <f>TEXT(13021, "[$-170000]yyyy-mm-dd")</f>
        <v/>
      </c>
      <c r="C13022">
        <f>TEXT(13021, "[$-060000]yyyy-mm-dd")</f>
        <v/>
      </c>
      <c r="D13022" t="inlineStr">
        <is>
          <t>1354-05-26</t>
        </is>
      </c>
    </row>
    <row r="13023">
      <c r="A13023" s="1" t="n">
        <v>13022</v>
      </c>
      <c r="B13023">
        <f>TEXT(13022, "[$-170000]yyyy-mm-dd")</f>
        <v/>
      </c>
      <c r="C13023">
        <f>TEXT(13022, "[$-060000]yyyy-mm-dd")</f>
        <v/>
      </c>
      <c r="D13023" t="inlineStr">
        <is>
          <t>1354-05-27</t>
        </is>
      </c>
    </row>
    <row r="13024">
      <c r="A13024" s="1" t="n">
        <v>13023</v>
      </c>
      <c r="B13024">
        <f>TEXT(13023, "[$-170000]yyyy-mm-dd")</f>
        <v/>
      </c>
      <c r="C13024">
        <f>TEXT(13023, "[$-060000]yyyy-mm-dd")</f>
        <v/>
      </c>
      <c r="D13024" t="inlineStr">
        <is>
          <t>1354-05-28</t>
        </is>
      </c>
    </row>
    <row r="13025">
      <c r="A13025" s="1" t="n">
        <v>13024</v>
      </c>
      <c r="B13025">
        <f>TEXT(13024, "[$-170000]yyyy-mm-dd")</f>
        <v/>
      </c>
      <c r="C13025">
        <f>TEXT(13024, "[$-060000]yyyy-mm-dd")</f>
        <v/>
      </c>
      <c r="D13025" t="inlineStr">
        <is>
          <t>1354-05-29</t>
        </is>
      </c>
    </row>
    <row r="13026">
      <c r="A13026" s="1" t="n">
        <v>13025</v>
      </c>
      <c r="B13026">
        <f>TEXT(13025, "[$-170000]yyyy-mm-dd")</f>
        <v/>
      </c>
      <c r="C13026">
        <f>TEXT(13025, "[$-060000]yyyy-mm-dd")</f>
        <v/>
      </c>
      <c r="D13026" t="inlineStr">
        <is>
          <t>1354-05-30</t>
        </is>
      </c>
    </row>
    <row r="13027">
      <c r="A13027" s="1" t="n">
        <v>13026</v>
      </c>
      <c r="B13027">
        <f>TEXT(13026, "[$-170000]yyyy-mm-dd")</f>
        <v/>
      </c>
      <c r="C13027">
        <f>TEXT(13026, "[$-060000]yyyy-mm-dd")</f>
        <v/>
      </c>
      <c r="D13027" t="inlineStr">
        <is>
          <t>1354-06-01</t>
        </is>
      </c>
    </row>
    <row r="13028">
      <c r="A13028" s="1" t="n">
        <v>13027</v>
      </c>
      <c r="B13028">
        <f>TEXT(13027, "[$-170000]yyyy-mm-dd")</f>
        <v/>
      </c>
      <c r="C13028">
        <f>TEXT(13027, "[$-060000]yyyy-mm-dd")</f>
        <v/>
      </c>
      <c r="D13028" t="inlineStr">
        <is>
          <t>1354-06-02</t>
        </is>
      </c>
    </row>
    <row r="13029">
      <c r="A13029" s="1" t="n">
        <v>13028</v>
      </c>
      <c r="B13029">
        <f>TEXT(13028, "[$-170000]yyyy-mm-dd")</f>
        <v/>
      </c>
      <c r="C13029">
        <f>TEXT(13028, "[$-060000]yyyy-mm-dd")</f>
        <v/>
      </c>
      <c r="D13029" t="inlineStr">
        <is>
          <t>1354-06-03</t>
        </is>
      </c>
    </row>
    <row r="13030">
      <c r="A13030" s="1" t="n">
        <v>13029</v>
      </c>
      <c r="B13030">
        <f>TEXT(13029, "[$-170000]yyyy-mm-dd")</f>
        <v/>
      </c>
      <c r="C13030">
        <f>TEXT(13029, "[$-060000]yyyy-mm-dd")</f>
        <v/>
      </c>
      <c r="D13030" t="inlineStr">
        <is>
          <t>1354-06-04</t>
        </is>
      </c>
    </row>
    <row r="13031">
      <c r="A13031" s="1" t="n">
        <v>13030</v>
      </c>
      <c r="B13031">
        <f>TEXT(13030, "[$-170000]yyyy-mm-dd")</f>
        <v/>
      </c>
      <c r="C13031">
        <f>TEXT(13030, "[$-060000]yyyy-mm-dd")</f>
        <v/>
      </c>
      <c r="D13031" t="inlineStr">
        <is>
          <t>1354-06-05</t>
        </is>
      </c>
    </row>
    <row r="13032">
      <c r="A13032" s="1" t="n">
        <v>13031</v>
      </c>
      <c r="B13032">
        <f>TEXT(13031, "[$-170000]yyyy-mm-dd")</f>
        <v/>
      </c>
      <c r="C13032">
        <f>TEXT(13031, "[$-060000]yyyy-mm-dd")</f>
        <v/>
      </c>
      <c r="D13032" t="inlineStr">
        <is>
          <t>1354-06-06</t>
        </is>
      </c>
    </row>
    <row r="13033">
      <c r="A13033" s="1" t="n">
        <v>13032</v>
      </c>
      <c r="B13033">
        <f>TEXT(13032, "[$-170000]yyyy-mm-dd")</f>
        <v/>
      </c>
      <c r="C13033">
        <f>TEXT(13032, "[$-060000]yyyy-mm-dd")</f>
        <v/>
      </c>
      <c r="D13033" t="inlineStr">
        <is>
          <t>1354-06-07</t>
        </is>
      </c>
    </row>
    <row r="13034">
      <c r="A13034" s="1" t="n">
        <v>13033</v>
      </c>
      <c r="B13034">
        <f>TEXT(13033, "[$-170000]yyyy-mm-dd")</f>
        <v/>
      </c>
      <c r="C13034">
        <f>TEXT(13033, "[$-060000]yyyy-mm-dd")</f>
        <v/>
      </c>
      <c r="D13034" t="inlineStr">
        <is>
          <t>1354-06-08</t>
        </is>
      </c>
    </row>
    <row r="13035">
      <c r="A13035" s="1" t="n">
        <v>13034</v>
      </c>
      <c r="B13035">
        <f>TEXT(13034, "[$-170000]yyyy-mm-dd")</f>
        <v/>
      </c>
      <c r="C13035">
        <f>TEXT(13034, "[$-060000]yyyy-mm-dd")</f>
        <v/>
      </c>
      <c r="D13035" t="inlineStr">
        <is>
          <t>1354-06-09</t>
        </is>
      </c>
    </row>
    <row r="13036">
      <c r="A13036" s="1" t="n">
        <v>13035</v>
      </c>
      <c r="B13036">
        <f>TEXT(13035, "[$-170000]yyyy-mm-dd")</f>
        <v/>
      </c>
      <c r="C13036">
        <f>TEXT(13035, "[$-060000]yyyy-mm-dd")</f>
        <v/>
      </c>
      <c r="D13036" t="inlineStr">
        <is>
          <t>1354-06-10</t>
        </is>
      </c>
    </row>
    <row r="13037">
      <c r="A13037" s="1" t="n">
        <v>13036</v>
      </c>
      <c r="B13037">
        <f>TEXT(13036, "[$-170000]yyyy-mm-dd")</f>
        <v/>
      </c>
      <c r="C13037">
        <f>TEXT(13036, "[$-060000]yyyy-mm-dd")</f>
        <v/>
      </c>
      <c r="D13037" t="inlineStr">
        <is>
          <t>1354-06-11</t>
        </is>
      </c>
    </row>
    <row r="13038">
      <c r="A13038" s="1" t="n">
        <v>13037</v>
      </c>
      <c r="B13038">
        <f>TEXT(13037, "[$-170000]yyyy-mm-dd")</f>
        <v/>
      </c>
      <c r="C13038">
        <f>TEXT(13037, "[$-060000]yyyy-mm-dd")</f>
        <v/>
      </c>
      <c r="D13038" t="inlineStr">
        <is>
          <t>1354-06-12</t>
        </is>
      </c>
    </row>
    <row r="13039">
      <c r="A13039" s="1" t="n">
        <v>13038</v>
      </c>
      <c r="B13039">
        <f>TEXT(13038, "[$-170000]yyyy-mm-dd")</f>
        <v/>
      </c>
      <c r="C13039">
        <f>TEXT(13038, "[$-060000]yyyy-mm-dd")</f>
        <v/>
      </c>
      <c r="D13039" t="inlineStr">
        <is>
          <t>1354-06-13</t>
        </is>
      </c>
    </row>
    <row r="13040">
      <c r="A13040" s="1" t="n">
        <v>13039</v>
      </c>
      <c r="B13040">
        <f>TEXT(13039, "[$-170000]yyyy-mm-dd")</f>
        <v/>
      </c>
      <c r="C13040">
        <f>TEXT(13039, "[$-060000]yyyy-mm-dd")</f>
        <v/>
      </c>
      <c r="D13040" t="inlineStr">
        <is>
          <t>1354-06-14</t>
        </is>
      </c>
    </row>
    <row r="13041">
      <c r="A13041" s="1" t="n">
        <v>13040</v>
      </c>
      <c r="B13041">
        <f>TEXT(13040, "[$-170000]yyyy-mm-dd")</f>
        <v/>
      </c>
      <c r="C13041">
        <f>TEXT(13040, "[$-060000]yyyy-mm-dd")</f>
        <v/>
      </c>
      <c r="D13041" t="inlineStr">
        <is>
          <t>1354-06-15</t>
        </is>
      </c>
    </row>
    <row r="13042">
      <c r="A13042" s="1" t="n">
        <v>13041</v>
      </c>
      <c r="B13042">
        <f>TEXT(13041, "[$-170000]yyyy-mm-dd")</f>
        <v/>
      </c>
      <c r="C13042">
        <f>TEXT(13041, "[$-060000]yyyy-mm-dd")</f>
        <v/>
      </c>
      <c r="D13042" t="inlineStr">
        <is>
          <t>1354-06-16</t>
        </is>
      </c>
    </row>
    <row r="13043">
      <c r="A13043" s="1" t="n">
        <v>13042</v>
      </c>
      <c r="B13043">
        <f>TEXT(13042, "[$-170000]yyyy-mm-dd")</f>
        <v/>
      </c>
      <c r="C13043">
        <f>TEXT(13042, "[$-060000]yyyy-mm-dd")</f>
        <v/>
      </c>
      <c r="D13043" t="inlineStr">
        <is>
          <t>1354-06-17</t>
        </is>
      </c>
    </row>
    <row r="13044">
      <c r="A13044" s="1" t="n">
        <v>13043</v>
      </c>
      <c r="B13044">
        <f>TEXT(13043, "[$-170000]yyyy-mm-dd")</f>
        <v/>
      </c>
      <c r="C13044">
        <f>TEXT(13043, "[$-060000]yyyy-mm-dd")</f>
        <v/>
      </c>
      <c r="D13044" t="inlineStr">
        <is>
          <t>1354-06-18</t>
        </is>
      </c>
    </row>
    <row r="13045">
      <c r="A13045" s="1" t="n">
        <v>13044</v>
      </c>
      <c r="B13045">
        <f>TEXT(13044, "[$-170000]yyyy-mm-dd")</f>
        <v/>
      </c>
      <c r="C13045">
        <f>TEXT(13044, "[$-060000]yyyy-mm-dd")</f>
        <v/>
      </c>
      <c r="D13045" t="inlineStr">
        <is>
          <t>1354-06-19</t>
        </is>
      </c>
    </row>
    <row r="13046">
      <c r="A13046" s="1" t="n">
        <v>13045</v>
      </c>
      <c r="B13046">
        <f>TEXT(13045, "[$-170000]yyyy-mm-dd")</f>
        <v/>
      </c>
      <c r="C13046">
        <f>TEXT(13045, "[$-060000]yyyy-mm-dd")</f>
        <v/>
      </c>
      <c r="D13046" t="inlineStr">
        <is>
          <t>1354-06-20</t>
        </is>
      </c>
    </row>
    <row r="13047">
      <c r="A13047" s="1" t="n">
        <v>13046</v>
      </c>
      <c r="B13047">
        <f>TEXT(13046, "[$-170000]yyyy-mm-dd")</f>
        <v/>
      </c>
      <c r="C13047">
        <f>TEXT(13046, "[$-060000]yyyy-mm-dd")</f>
        <v/>
      </c>
      <c r="D13047" t="inlineStr">
        <is>
          <t>1354-06-21</t>
        </is>
      </c>
    </row>
    <row r="13048">
      <c r="A13048" s="1" t="n">
        <v>13047</v>
      </c>
      <c r="B13048">
        <f>TEXT(13047, "[$-170000]yyyy-mm-dd")</f>
        <v/>
      </c>
      <c r="C13048">
        <f>TEXT(13047, "[$-060000]yyyy-mm-dd")</f>
        <v/>
      </c>
      <c r="D13048" t="inlineStr">
        <is>
          <t>1354-06-22</t>
        </is>
      </c>
    </row>
    <row r="13049">
      <c r="A13049" s="1" t="n">
        <v>13048</v>
      </c>
      <c r="B13049">
        <f>TEXT(13048, "[$-170000]yyyy-mm-dd")</f>
        <v/>
      </c>
      <c r="C13049">
        <f>TEXT(13048, "[$-060000]yyyy-mm-dd")</f>
        <v/>
      </c>
      <c r="D13049" t="inlineStr">
        <is>
          <t>1354-06-23</t>
        </is>
      </c>
    </row>
    <row r="13050">
      <c r="A13050" s="1" t="n">
        <v>13049</v>
      </c>
      <c r="B13050">
        <f>TEXT(13049, "[$-170000]yyyy-mm-dd")</f>
        <v/>
      </c>
      <c r="C13050">
        <f>TEXT(13049, "[$-060000]yyyy-mm-dd")</f>
        <v/>
      </c>
      <c r="D13050" t="inlineStr">
        <is>
          <t>1354-06-24</t>
        </is>
      </c>
    </row>
    <row r="13051">
      <c r="A13051" s="1" t="n">
        <v>13050</v>
      </c>
      <c r="B13051">
        <f>TEXT(13050, "[$-170000]yyyy-mm-dd")</f>
        <v/>
      </c>
      <c r="C13051">
        <f>TEXT(13050, "[$-060000]yyyy-mm-dd")</f>
        <v/>
      </c>
      <c r="D13051" t="inlineStr">
        <is>
          <t>1354-06-25</t>
        </is>
      </c>
    </row>
    <row r="13052">
      <c r="A13052" s="1" t="n">
        <v>13051</v>
      </c>
      <c r="B13052">
        <f>TEXT(13051, "[$-170000]yyyy-mm-dd")</f>
        <v/>
      </c>
      <c r="C13052">
        <f>TEXT(13051, "[$-060000]yyyy-mm-dd")</f>
        <v/>
      </c>
      <c r="D13052" t="inlineStr">
        <is>
          <t>1354-06-26</t>
        </is>
      </c>
    </row>
    <row r="13053">
      <c r="A13053" s="1" t="n">
        <v>13052</v>
      </c>
      <c r="B13053">
        <f>TEXT(13052, "[$-170000]yyyy-mm-dd")</f>
        <v/>
      </c>
      <c r="C13053">
        <f>TEXT(13052, "[$-060000]yyyy-mm-dd")</f>
        <v/>
      </c>
      <c r="D13053" t="inlineStr">
        <is>
          <t>1354-06-27</t>
        </is>
      </c>
    </row>
    <row r="13054">
      <c r="A13054" s="1" t="n">
        <v>13053</v>
      </c>
      <c r="B13054">
        <f>TEXT(13053, "[$-170000]yyyy-mm-dd")</f>
        <v/>
      </c>
      <c r="C13054">
        <f>TEXT(13053, "[$-060000]yyyy-mm-dd")</f>
        <v/>
      </c>
      <c r="D13054" t="inlineStr">
        <is>
          <t>1354-06-28</t>
        </is>
      </c>
    </row>
    <row r="13055">
      <c r="A13055" s="1" t="n">
        <v>13054</v>
      </c>
      <c r="B13055">
        <f>TEXT(13054, "[$-170000]yyyy-mm-dd")</f>
        <v/>
      </c>
      <c r="C13055">
        <f>TEXT(13054, "[$-060000]yyyy-mm-dd")</f>
        <v/>
      </c>
      <c r="D13055" t="inlineStr">
        <is>
          <t>1354-06-29</t>
        </is>
      </c>
    </row>
    <row r="13056">
      <c r="A13056" s="1" t="n">
        <v>13055</v>
      </c>
      <c r="B13056">
        <f>TEXT(13055, "[$-170000]yyyy-mm-dd")</f>
        <v/>
      </c>
      <c r="C13056">
        <f>TEXT(13055, "[$-060000]yyyy-mm-dd")</f>
        <v/>
      </c>
      <c r="D13056" t="inlineStr">
        <is>
          <t>1354-07-01</t>
        </is>
      </c>
    </row>
    <row r="13057">
      <c r="A13057" s="1" t="n">
        <v>13056</v>
      </c>
      <c r="B13057">
        <f>TEXT(13056, "[$-170000]yyyy-mm-dd")</f>
        <v/>
      </c>
      <c r="C13057">
        <f>TEXT(13056, "[$-060000]yyyy-mm-dd")</f>
        <v/>
      </c>
      <c r="D13057" t="inlineStr">
        <is>
          <t>1354-07-02</t>
        </is>
      </c>
    </row>
    <row r="13058">
      <c r="A13058" s="1" t="n">
        <v>13057</v>
      </c>
      <c r="B13058">
        <f>TEXT(13057, "[$-170000]yyyy-mm-dd")</f>
        <v/>
      </c>
      <c r="C13058">
        <f>TEXT(13057, "[$-060000]yyyy-mm-dd")</f>
        <v/>
      </c>
      <c r="D13058" t="inlineStr">
        <is>
          <t>1354-07-03</t>
        </is>
      </c>
    </row>
    <row r="13059">
      <c r="A13059" s="1" t="n">
        <v>13058</v>
      </c>
      <c r="B13059">
        <f>TEXT(13058, "[$-170000]yyyy-mm-dd")</f>
        <v/>
      </c>
      <c r="C13059">
        <f>TEXT(13058, "[$-060000]yyyy-mm-dd")</f>
        <v/>
      </c>
      <c r="D13059" t="inlineStr">
        <is>
          <t>1354-07-04</t>
        </is>
      </c>
    </row>
    <row r="13060">
      <c r="A13060" s="1" t="n">
        <v>13059</v>
      </c>
      <c r="B13060">
        <f>TEXT(13059, "[$-170000]yyyy-mm-dd")</f>
        <v/>
      </c>
      <c r="C13060">
        <f>TEXT(13059, "[$-060000]yyyy-mm-dd")</f>
        <v/>
      </c>
      <c r="D13060" t="inlineStr">
        <is>
          <t>1354-07-05</t>
        </is>
      </c>
    </row>
    <row r="13061">
      <c r="A13061" s="1" t="n">
        <v>13060</v>
      </c>
      <c r="B13061">
        <f>TEXT(13060, "[$-170000]yyyy-mm-dd")</f>
        <v/>
      </c>
      <c r="C13061">
        <f>TEXT(13060, "[$-060000]yyyy-mm-dd")</f>
        <v/>
      </c>
      <c r="D13061" t="inlineStr">
        <is>
          <t>1354-07-06</t>
        </is>
      </c>
    </row>
    <row r="13062">
      <c r="A13062" s="1" t="n">
        <v>13061</v>
      </c>
      <c r="B13062">
        <f>TEXT(13061, "[$-170000]yyyy-mm-dd")</f>
        <v/>
      </c>
      <c r="C13062">
        <f>TEXT(13061, "[$-060000]yyyy-mm-dd")</f>
        <v/>
      </c>
      <c r="D13062" t="inlineStr">
        <is>
          <t>1354-07-07</t>
        </is>
      </c>
    </row>
    <row r="13063">
      <c r="A13063" s="1" t="n">
        <v>13062</v>
      </c>
      <c r="B13063">
        <f>TEXT(13062, "[$-170000]yyyy-mm-dd")</f>
        <v/>
      </c>
      <c r="C13063">
        <f>TEXT(13062, "[$-060000]yyyy-mm-dd")</f>
        <v/>
      </c>
      <c r="D13063" t="inlineStr">
        <is>
          <t>1354-07-08</t>
        </is>
      </c>
    </row>
    <row r="13064">
      <c r="A13064" s="1" t="n">
        <v>13063</v>
      </c>
      <c r="B13064">
        <f>TEXT(13063, "[$-170000]yyyy-mm-dd")</f>
        <v/>
      </c>
      <c r="C13064">
        <f>TEXT(13063, "[$-060000]yyyy-mm-dd")</f>
        <v/>
      </c>
      <c r="D13064" t="inlineStr">
        <is>
          <t>1354-07-09</t>
        </is>
      </c>
    </row>
    <row r="13065">
      <c r="A13065" s="1" t="n">
        <v>13064</v>
      </c>
      <c r="B13065">
        <f>TEXT(13064, "[$-170000]yyyy-mm-dd")</f>
        <v/>
      </c>
      <c r="C13065">
        <f>TEXT(13064, "[$-060000]yyyy-mm-dd")</f>
        <v/>
      </c>
      <c r="D13065" t="inlineStr">
        <is>
          <t>1354-07-10</t>
        </is>
      </c>
    </row>
    <row r="13066">
      <c r="A13066" s="1" t="n">
        <v>13065</v>
      </c>
      <c r="B13066">
        <f>TEXT(13065, "[$-170000]yyyy-mm-dd")</f>
        <v/>
      </c>
      <c r="C13066">
        <f>TEXT(13065, "[$-060000]yyyy-mm-dd")</f>
        <v/>
      </c>
      <c r="D13066" t="inlineStr">
        <is>
          <t>1354-07-11</t>
        </is>
      </c>
    </row>
    <row r="13067">
      <c r="A13067" s="1" t="n">
        <v>13066</v>
      </c>
      <c r="B13067">
        <f>TEXT(13066, "[$-170000]yyyy-mm-dd")</f>
        <v/>
      </c>
      <c r="C13067">
        <f>TEXT(13066, "[$-060000]yyyy-mm-dd")</f>
        <v/>
      </c>
      <c r="D13067" t="inlineStr">
        <is>
          <t>1354-07-12</t>
        </is>
      </c>
    </row>
    <row r="13068">
      <c r="A13068" s="1" t="n">
        <v>13067</v>
      </c>
      <c r="B13068">
        <f>TEXT(13067, "[$-170000]yyyy-mm-dd")</f>
        <v/>
      </c>
      <c r="C13068">
        <f>TEXT(13067, "[$-060000]yyyy-mm-dd")</f>
        <v/>
      </c>
      <c r="D13068" t="inlineStr">
        <is>
          <t>1354-07-13</t>
        </is>
      </c>
    </row>
    <row r="13069">
      <c r="A13069" s="1" t="n">
        <v>13068</v>
      </c>
      <c r="B13069">
        <f>TEXT(13068, "[$-170000]yyyy-mm-dd")</f>
        <v/>
      </c>
      <c r="C13069">
        <f>TEXT(13068, "[$-060000]yyyy-mm-dd")</f>
        <v/>
      </c>
      <c r="D13069" t="inlineStr">
        <is>
          <t>1354-07-14</t>
        </is>
      </c>
    </row>
    <row r="13070">
      <c r="A13070" s="1" t="n">
        <v>13069</v>
      </c>
      <c r="B13070">
        <f>TEXT(13069, "[$-170000]yyyy-mm-dd")</f>
        <v/>
      </c>
      <c r="C13070">
        <f>TEXT(13069, "[$-060000]yyyy-mm-dd")</f>
        <v/>
      </c>
      <c r="D13070" t="inlineStr">
        <is>
          <t>1354-07-15</t>
        </is>
      </c>
    </row>
    <row r="13071">
      <c r="A13071" s="1" t="n">
        <v>13070</v>
      </c>
      <c r="B13071">
        <f>TEXT(13070, "[$-170000]yyyy-mm-dd")</f>
        <v/>
      </c>
      <c r="C13071">
        <f>TEXT(13070, "[$-060000]yyyy-mm-dd")</f>
        <v/>
      </c>
      <c r="D13071" t="inlineStr">
        <is>
          <t>1354-07-16</t>
        </is>
      </c>
    </row>
    <row r="13072">
      <c r="A13072" s="1" t="n">
        <v>13071</v>
      </c>
      <c r="B13072">
        <f>TEXT(13071, "[$-170000]yyyy-mm-dd")</f>
        <v/>
      </c>
      <c r="C13072">
        <f>TEXT(13071, "[$-060000]yyyy-mm-dd")</f>
        <v/>
      </c>
      <c r="D13072" t="inlineStr">
        <is>
          <t>1354-07-17</t>
        </is>
      </c>
    </row>
    <row r="13073">
      <c r="A13073" s="1" t="n">
        <v>13072</v>
      </c>
      <c r="B13073">
        <f>TEXT(13072, "[$-170000]yyyy-mm-dd")</f>
        <v/>
      </c>
      <c r="C13073">
        <f>TEXT(13072, "[$-060000]yyyy-mm-dd")</f>
        <v/>
      </c>
      <c r="D13073" t="inlineStr">
        <is>
          <t>1354-07-18</t>
        </is>
      </c>
    </row>
    <row r="13074">
      <c r="A13074" s="1" t="n">
        <v>13073</v>
      </c>
      <c r="B13074">
        <f>TEXT(13073, "[$-170000]yyyy-mm-dd")</f>
        <v/>
      </c>
      <c r="C13074">
        <f>TEXT(13073, "[$-060000]yyyy-mm-dd")</f>
        <v/>
      </c>
      <c r="D13074" t="inlineStr">
        <is>
          <t>1354-07-19</t>
        </is>
      </c>
    </row>
    <row r="13075">
      <c r="A13075" s="1" t="n">
        <v>13074</v>
      </c>
      <c r="B13075">
        <f>TEXT(13074, "[$-170000]yyyy-mm-dd")</f>
        <v/>
      </c>
      <c r="C13075">
        <f>TEXT(13074, "[$-060000]yyyy-mm-dd")</f>
        <v/>
      </c>
      <c r="D13075" t="inlineStr">
        <is>
          <t>1354-07-20</t>
        </is>
      </c>
    </row>
    <row r="13076">
      <c r="A13076" s="1" t="n">
        <v>13075</v>
      </c>
      <c r="B13076">
        <f>TEXT(13075, "[$-170000]yyyy-mm-dd")</f>
        <v/>
      </c>
      <c r="C13076">
        <f>TEXT(13075, "[$-060000]yyyy-mm-dd")</f>
        <v/>
      </c>
      <c r="D13076" t="inlineStr">
        <is>
          <t>1354-07-21</t>
        </is>
      </c>
    </row>
    <row r="13077">
      <c r="A13077" s="1" t="n">
        <v>13076</v>
      </c>
      <c r="B13077">
        <f>TEXT(13076, "[$-170000]yyyy-mm-dd")</f>
        <v/>
      </c>
      <c r="C13077">
        <f>TEXT(13076, "[$-060000]yyyy-mm-dd")</f>
        <v/>
      </c>
      <c r="D13077" t="inlineStr">
        <is>
          <t>1354-07-22</t>
        </is>
      </c>
    </row>
    <row r="13078">
      <c r="A13078" s="1" t="n">
        <v>13077</v>
      </c>
      <c r="B13078">
        <f>TEXT(13077, "[$-170000]yyyy-mm-dd")</f>
        <v/>
      </c>
      <c r="C13078">
        <f>TEXT(13077, "[$-060000]yyyy-mm-dd")</f>
        <v/>
      </c>
      <c r="D13078" t="inlineStr">
        <is>
          <t>1354-07-23</t>
        </is>
      </c>
    </row>
    <row r="13079">
      <c r="A13079" s="1" t="n">
        <v>13078</v>
      </c>
      <c r="B13079">
        <f>TEXT(13078, "[$-170000]yyyy-mm-dd")</f>
        <v/>
      </c>
      <c r="C13079">
        <f>TEXT(13078, "[$-060000]yyyy-mm-dd")</f>
        <v/>
      </c>
      <c r="D13079" t="inlineStr">
        <is>
          <t>1354-07-24</t>
        </is>
      </c>
    </row>
    <row r="13080">
      <c r="A13080" s="1" t="n">
        <v>13079</v>
      </c>
      <c r="B13080">
        <f>TEXT(13079, "[$-170000]yyyy-mm-dd")</f>
        <v/>
      </c>
      <c r="C13080">
        <f>TEXT(13079, "[$-060000]yyyy-mm-dd")</f>
        <v/>
      </c>
      <c r="D13080" t="inlineStr">
        <is>
          <t>1354-07-25</t>
        </is>
      </c>
    </row>
    <row r="13081">
      <c r="A13081" s="1" t="n">
        <v>13080</v>
      </c>
      <c r="B13081">
        <f>TEXT(13080, "[$-170000]yyyy-mm-dd")</f>
        <v/>
      </c>
      <c r="C13081">
        <f>TEXT(13080, "[$-060000]yyyy-mm-dd")</f>
        <v/>
      </c>
      <c r="D13081" t="inlineStr">
        <is>
          <t>1354-07-26</t>
        </is>
      </c>
    </row>
    <row r="13082">
      <c r="A13082" s="1" t="n">
        <v>13081</v>
      </c>
      <c r="B13082">
        <f>TEXT(13081, "[$-170000]yyyy-mm-dd")</f>
        <v/>
      </c>
      <c r="C13082">
        <f>TEXT(13081, "[$-060000]yyyy-mm-dd")</f>
        <v/>
      </c>
      <c r="D13082" t="inlineStr">
        <is>
          <t>1354-07-27</t>
        </is>
      </c>
    </row>
    <row r="13083">
      <c r="A13083" s="1" t="n">
        <v>13082</v>
      </c>
      <c r="B13083">
        <f>TEXT(13082, "[$-170000]yyyy-mm-dd")</f>
        <v/>
      </c>
      <c r="C13083">
        <f>TEXT(13082, "[$-060000]yyyy-mm-dd")</f>
        <v/>
      </c>
      <c r="D13083" t="inlineStr">
        <is>
          <t>1354-07-28</t>
        </is>
      </c>
    </row>
    <row r="13084">
      <c r="A13084" s="1" t="n">
        <v>13083</v>
      </c>
      <c r="B13084">
        <f>TEXT(13083, "[$-170000]yyyy-mm-dd")</f>
        <v/>
      </c>
      <c r="C13084">
        <f>TEXT(13083, "[$-060000]yyyy-mm-dd")</f>
        <v/>
      </c>
      <c r="D13084" t="inlineStr">
        <is>
          <t>1354-07-29</t>
        </is>
      </c>
    </row>
    <row r="13085">
      <c r="A13085" s="1" t="n">
        <v>13084</v>
      </c>
      <c r="B13085">
        <f>TEXT(13084, "[$-170000]yyyy-mm-dd")</f>
        <v/>
      </c>
      <c r="C13085">
        <f>TEXT(13084, "[$-060000]yyyy-mm-dd")</f>
        <v/>
      </c>
      <c r="D13085" t="inlineStr">
        <is>
          <t>1354-07-30</t>
        </is>
      </c>
    </row>
    <row r="13086">
      <c r="A13086" s="1" t="n">
        <v>13085</v>
      </c>
      <c r="B13086">
        <f>TEXT(13085, "[$-170000]yyyy-mm-dd")</f>
        <v/>
      </c>
      <c r="C13086">
        <f>TEXT(13085, "[$-060000]yyyy-mm-dd")</f>
        <v/>
      </c>
      <c r="D13086" t="inlineStr">
        <is>
          <t>1354-08-01</t>
        </is>
      </c>
    </row>
    <row r="13087">
      <c r="A13087" s="1" t="n">
        <v>13086</v>
      </c>
      <c r="B13087">
        <f>TEXT(13086, "[$-170000]yyyy-mm-dd")</f>
        <v/>
      </c>
      <c r="C13087">
        <f>TEXT(13086, "[$-060000]yyyy-mm-dd")</f>
        <v/>
      </c>
      <c r="D13087" t="inlineStr">
        <is>
          <t>1354-08-02</t>
        </is>
      </c>
    </row>
    <row r="13088">
      <c r="A13088" s="1" t="n">
        <v>13087</v>
      </c>
      <c r="B13088">
        <f>TEXT(13087, "[$-170000]yyyy-mm-dd")</f>
        <v/>
      </c>
      <c r="C13088">
        <f>TEXT(13087, "[$-060000]yyyy-mm-dd")</f>
        <v/>
      </c>
      <c r="D13088" t="inlineStr">
        <is>
          <t>1354-08-03</t>
        </is>
      </c>
    </row>
    <row r="13089">
      <c r="A13089" s="1" t="n">
        <v>13088</v>
      </c>
      <c r="B13089">
        <f>TEXT(13088, "[$-170000]yyyy-mm-dd")</f>
        <v/>
      </c>
      <c r="C13089">
        <f>TEXT(13088, "[$-060000]yyyy-mm-dd")</f>
        <v/>
      </c>
      <c r="D13089" t="inlineStr">
        <is>
          <t>1354-08-04</t>
        </is>
      </c>
    </row>
    <row r="13090">
      <c r="A13090" s="1" t="n">
        <v>13089</v>
      </c>
      <c r="B13090">
        <f>TEXT(13089, "[$-170000]yyyy-mm-dd")</f>
        <v/>
      </c>
      <c r="C13090">
        <f>TEXT(13089, "[$-060000]yyyy-mm-dd")</f>
        <v/>
      </c>
      <c r="D13090" t="inlineStr">
        <is>
          <t>1354-08-05</t>
        </is>
      </c>
    </row>
    <row r="13091">
      <c r="A13091" s="1" t="n">
        <v>13090</v>
      </c>
      <c r="B13091">
        <f>TEXT(13090, "[$-170000]yyyy-mm-dd")</f>
        <v/>
      </c>
      <c r="C13091">
        <f>TEXT(13090, "[$-060000]yyyy-mm-dd")</f>
        <v/>
      </c>
      <c r="D13091" t="inlineStr">
        <is>
          <t>1354-08-06</t>
        </is>
      </c>
    </row>
    <row r="13092">
      <c r="A13092" s="1" t="n">
        <v>13091</v>
      </c>
      <c r="B13092">
        <f>TEXT(13091, "[$-170000]yyyy-mm-dd")</f>
        <v/>
      </c>
      <c r="C13092">
        <f>TEXT(13091, "[$-060000]yyyy-mm-dd")</f>
        <v/>
      </c>
      <c r="D13092" t="inlineStr">
        <is>
          <t>1354-08-07</t>
        </is>
      </c>
    </row>
    <row r="13093">
      <c r="A13093" s="1" t="n">
        <v>13092</v>
      </c>
      <c r="B13093">
        <f>TEXT(13092, "[$-170000]yyyy-mm-dd")</f>
        <v/>
      </c>
      <c r="C13093">
        <f>TEXT(13092, "[$-060000]yyyy-mm-dd")</f>
        <v/>
      </c>
      <c r="D13093" t="inlineStr">
        <is>
          <t>1354-08-08</t>
        </is>
      </c>
    </row>
    <row r="13094">
      <c r="A13094" s="1" t="n">
        <v>13093</v>
      </c>
      <c r="B13094">
        <f>TEXT(13093, "[$-170000]yyyy-mm-dd")</f>
        <v/>
      </c>
      <c r="C13094">
        <f>TEXT(13093, "[$-060000]yyyy-mm-dd")</f>
        <v/>
      </c>
      <c r="D13094" t="inlineStr">
        <is>
          <t>1354-08-09</t>
        </is>
      </c>
    </row>
    <row r="13095">
      <c r="A13095" s="1" t="n">
        <v>13094</v>
      </c>
      <c r="B13095">
        <f>TEXT(13094, "[$-170000]yyyy-mm-dd")</f>
        <v/>
      </c>
      <c r="C13095">
        <f>TEXT(13094, "[$-060000]yyyy-mm-dd")</f>
        <v/>
      </c>
      <c r="D13095" t="inlineStr">
        <is>
          <t>1354-08-10</t>
        </is>
      </c>
    </row>
    <row r="13096">
      <c r="A13096" s="1" t="n">
        <v>13095</v>
      </c>
      <c r="B13096">
        <f>TEXT(13095, "[$-170000]yyyy-mm-dd")</f>
        <v/>
      </c>
      <c r="C13096">
        <f>TEXT(13095, "[$-060000]yyyy-mm-dd")</f>
        <v/>
      </c>
      <c r="D13096" t="inlineStr">
        <is>
          <t>1354-08-11</t>
        </is>
      </c>
    </row>
    <row r="13097">
      <c r="A13097" s="1" t="n">
        <v>13096</v>
      </c>
      <c r="B13097">
        <f>TEXT(13096, "[$-170000]yyyy-mm-dd")</f>
        <v/>
      </c>
      <c r="C13097">
        <f>TEXT(13096, "[$-060000]yyyy-mm-dd")</f>
        <v/>
      </c>
      <c r="D13097" t="inlineStr">
        <is>
          <t>1354-08-12</t>
        </is>
      </c>
    </row>
    <row r="13098">
      <c r="A13098" s="1" t="n">
        <v>13097</v>
      </c>
      <c r="B13098">
        <f>TEXT(13097, "[$-170000]yyyy-mm-dd")</f>
        <v/>
      </c>
      <c r="C13098">
        <f>TEXT(13097, "[$-060000]yyyy-mm-dd")</f>
        <v/>
      </c>
      <c r="D13098" t="inlineStr">
        <is>
          <t>1354-08-13</t>
        </is>
      </c>
    </row>
    <row r="13099">
      <c r="A13099" s="1" t="n">
        <v>13098</v>
      </c>
      <c r="B13099">
        <f>TEXT(13098, "[$-170000]yyyy-mm-dd")</f>
        <v/>
      </c>
      <c r="C13099">
        <f>TEXT(13098, "[$-060000]yyyy-mm-dd")</f>
        <v/>
      </c>
      <c r="D13099" t="inlineStr">
        <is>
          <t>1354-08-14</t>
        </is>
      </c>
    </row>
    <row r="13100">
      <c r="A13100" s="1" t="n">
        <v>13099</v>
      </c>
      <c r="B13100">
        <f>TEXT(13099, "[$-170000]yyyy-mm-dd")</f>
        <v/>
      </c>
      <c r="C13100">
        <f>TEXT(13099, "[$-060000]yyyy-mm-dd")</f>
        <v/>
      </c>
      <c r="D13100" t="inlineStr">
        <is>
          <t>1354-08-15</t>
        </is>
      </c>
    </row>
    <row r="13101">
      <c r="A13101" s="1" t="n">
        <v>13100</v>
      </c>
      <c r="B13101">
        <f>TEXT(13100, "[$-170000]yyyy-mm-dd")</f>
        <v/>
      </c>
      <c r="C13101">
        <f>TEXT(13100, "[$-060000]yyyy-mm-dd")</f>
        <v/>
      </c>
      <c r="D13101" t="inlineStr">
        <is>
          <t>1354-08-16</t>
        </is>
      </c>
    </row>
    <row r="13102">
      <c r="A13102" s="1" t="n">
        <v>13101</v>
      </c>
      <c r="B13102">
        <f>TEXT(13101, "[$-170000]yyyy-mm-dd")</f>
        <v/>
      </c>
      <c r="C13102">
        <f>TEXT(13101, "[$-060000]yyyy-mm-dd")</f>
        <v/>
      </c>
      <c r="D13102" t="inlineStr">
        <is>
          <t>1354-08-17</t>
        </is>
      </c>
    </row>
    <row r="13103">
      <c r="A13103" s="1" t="n">
        <v>13102</v>
      </c>
      <c r="B13103">
        <f>TEXT(13102, "[$-170000]yyyy-mm-dd")</f>
        <v/>
      </c>
      <c r="C13103">
        <f>TEXT(13102, "[$-060000]yyyy-mm-dd")</f>
        <v/>
      </c>
      <c r="D13103" t="inlineStr">
        <is>
          <t>1354-08-18</t>
        </is>
      </c>
    </row>
    <row r="13104">
      <c r="A13104" s="1" t="n">
        <v>13103</v>
      </c>
      <c r="B13104">
        <f>TEXT(13103, "[$-170000]yyyy-mm-dd")</f>
        <v/>
      </c>
      <c r="C13104">
        <f>TEXT(13103, "[$-060000]yyyy-mm-dd")</f>
        <v/>
      </c>
      <c r="D13104" t="inlineStr">
        <is>
          <t>1354-08-19</t>
        </is>
      </c>
    </row>
    <row r="13105">
      <c r="A13105" s="1" t="n">
        <v>13104</v>
      </c>
      <c r="B13105">
        <f>TEXT(13104, "[$-170000]yyyy-mm-dd")</f>
        <v/>
      </c>
      <c r="C13105">
        <f>TEXT(13104, "[$-060000]yyyy-mm-dd")</f>
        <v/>
      </c>
      <c r="D13105" t="inlineStr">
        <is>
          <t>1354-08-20</t>
        </is>
      </c>
    </row>
    <row r="13106">
      <c r="A13106" s="1" t="n">
        <v>13105</v>
      </c>
      <c r="B13106">
        <f>TEXT(13105, "[$-170000]yyyy-mm-dd")</f>
        <v/>
      </c>
      <c r="C13106">
        <f>TEXT(13105, "[$-060000]yyyy-mm-dd")</f>
        <v/>
      </c>
      <c r="D13106" t="inlineStr">
        <is>
          <t>1354-08-21</t>
        </is>
      </c>
    </row>
    <row r="13107">
      <c r="A13107" s="1" t="n">
        <v>13106</v>
      </c>
      <c r="B13107">
        <f>TEXT(13106, "[$-170000]yyyy-mm-dd")</f>
        <v/>
      </c>
      <c r="C13107">
        <f>TEXT(13106, "[$-060000]yyyy-mm-dd")</f>
        <v/>
      </c>
      <c r="D13107" t="inlineStr">
        <is>
          <t>1354-08-22</t>
        </is>
      </c>
    </row>
    <row r="13108">
      <c r="A13108" s="1" t="n">
        <v>13107</v>
      </c>
      <c r="B13108">
        <f>TEXT(13107, "[$-170000]yyyy-mm-dd")</f>
        <v/>
      </c>
      <c r="C13108">
        <f>TEXT(13107, "[$-060000]yyyy-mm-dd")</f>
        <v/>
      </c>
      <c r="D13108" t="inlineStr">
        <is>
          <t>1354-08-23</t>
        </is>
      </c>
    </row>
    <row r="13109">
      <c r="A13109" s="1" t="n">
        <v>13108</v>
      </c>
      <c r="B13109">
        <f>TEXT(13108, "[$-170000]yyyy-mm-dd")</f>
        <v/>
      </c>
      <c r="C13109">
        <f>TEXT(13108, "[$-060000]yyyy-mm-dd")</f>
        <v/>
      </c>
      <c r="D13109" t="inlineStr">
        <is>
          <t>1354-08-24</t>
        </is>
      </c>
    </row>
    <row r="13110">
      <c r="A13110" s="1" t="n">
        <v>13109</v>
      </c>
      <c r="B13110">
        <f>TEXT(13109, "[$-170000]yyyy-mm-dd")</f>
        <v/>
      </c>
      <c r="C13110">
        <f>TEXT(13109, "[$-060000]yyyy-mm-dd")</f>
        <v/>
      </c>
      <c r="D13110" t="inlineStr">
        <is>
          <t>1354-08-25</t>
        </is>
      </c>
    </row>
    <row r="13111">
      <c r="A13111" s="1" t="n">
        <v>13110</v>
      </c>
      <c r="B13111">
        <f>TEXT(13110, "[$-170000]yyyy-mm-dd")</f>
        <v/>
      </c>
      <c r="C13111">
        <f>TEXT(13110, "[$-060000]yyyy-mm-dd")</f>
        <v/>
      </c>
      <c r="D13111" t="inlineStr">
        <is>
          <t>1354-08-26</t>
        </is>
      </c>
    </row>
    <row r="13112">
      <c r="A13112" s="1" t="n">
        <v>13111</v>
      </c>
      <c r="B13112">
        <f>TEXT(13111, "[$-170000]yyyy-mm-dd")</f>
        <v/>
      </c>
      <c r="C13112">
        <f>TEXT(13111, "[$-060000]yyyy-mm-dd")</f>
        <v/>
      </c>
      <c r="D13112" t="inlineStr">
        <is>
          <t>1354-08-27</t>
        </is>
      </c>
    </row>
    <row r="13113">
      <c r="A13113" s="1" t="n">
        <v>13112</v>
      </c>
      <c r="B13113">
        <f>TEXT(13112, "[$-170000]yyyy-mm-dd")</f>
        <v/>
      </c>
      <c r="C13113">
        <f>TEXT(13112, "[$-060000]yyyy-mm-dd")</f>
        <v/>
      </c>
      <c r="D13113" t="inlineStr">
        <is>
          <t>1354-08-28</t>
        </is>
      </c>
    </row>
    <row r="13114">
      <c r="A13114" s="1" t="n">
        <v>13113</v>
      </c>
      <c r="B13114">
        <f>TEXT(13113, "[$-170000]yyyy-mm-dd")</f>
        <v/>
      </c>
      <c r="C13114">
        <f>TEXT(13113, "[$-060000]yyyy-mm-dd")</f>
        <v/>
      </c>
      <c r="D13114" t="inlineStr">
        <is>
          <t>1354-08-29</t>
        </is>
      </c>
    </row>
    <row r="13115">
      <c r="A13115" s="1" t="n">
        <v>13114</v>
      </c>
      <c r="B13115">
        <f>TEXT(13114, "[$-170000]yyyy-mm-dd")</f>
        <v/>
      </c>
      <c r="C13115">
        <f>TEXT(13114, "[$-060000]yyyy-mm-dd")</f>
        <v/>
      </c>
      <c r="D13115" t="inlineStr">
        <is>
          <t>1354-09-01</t>
        </is>
      </c>
    </row>
    <row r="13116">
      <c r="A13116" s="1" t="n">
        <v>13115</v>
      </c>
      <c r="B13116">
        <f>TEXT(13115, "[$-170000]yyyy-mm-dd")</f>
        <v/>
      </c>
      <c r="C13116">
        <f>TEXT(13115, "[$-060000]yyyy-mm-dd")</f>
        <v/>
      </c>
      <c r="D13116" t="inlineStr">
        <is>
          <t>1354-09-02</t>
        </is>
      </c>
    </row>
    <row r="13117">
      <c r="A13117" s="1" t="n">
        <v>13116</v>
      </c>
      <c r="B13117">
        <f>TEXT(13116, "[$-170000]yyyy-mm-dd")</f>
        <v/>
      </c>
      <c r="C13117">
        <f>TEXT(13116, "[$-060000]yyyy-mm-dd")</f>
        <v/>
      </c>
      <c r="D13117" t="inlineStr">
        <is>
          <t>1354-09-03</t>
        </is>
      </c>
    </row>
    <row r="13118">
      <c r="A13118" s="1" t="n">
        <v>13117</v>
      </c>
      <c r="B13118">
        <f>TEXT(13117, "[$-170000]yyyy-mm-dd")</f>
        <v/>
      </c>
      <c r="C13118">
        <f>TEXT(13117, "[$-060000]yyyy-mm-dd")</f>
        <v/>
      </c>
      <c r="D13118" t="inlineStr">
        <is>
          <t>1354-09-04</t>
        </is>
      </c>
    </row>
    <row r="13119">
      <c r="A13119" s="1" t="n">
        <v>13118</v>
      </c>
      <c r="B13119">
        <f>TEXT(13118, "[$-170000]yyyy-mm-dd")</f>
        <v/>
      </c>
      <c r="C13119">
        <f>TEXT(13118, "[$-060000]yyyy-mm-dd")</f>
        <v/>
      </c>
      <c r="D13119" t="inlineStr">
        <is>
          <t>1354-09-05</t>
        </is>
      </c>
    </row>
    <row r="13120">
      <c r="A13120" s="1" t="n">
        <v>13119</v>
      </c>
      <c r="B13120">
        <f>TEXT(13119, "[$-170000]yyyy-mm-dd")</f>
        <v/>
      </c>
      <c r="C13120">
        <f>TEXT(13119, "[$-060000]yyyy-mm-dd")</f>
        <v/>
      </c>
      <c r="D13120" t="inlineStr">
        <is>
          <t>1354-09-06</t>
        </is>
      </c>
    </row>
    <row r="13121">
      <c r="A13121" s="1" t="n">
        <v>13120</v>
      </c>
      <c r="B13121">
        <f>TEXT(13120, "[$-170000]yyyy-mm-dd")</f>
        <v/>
      </c>
      <c r="C13121">
        <f>TEXT(13120, "[$-060000]yyyy-mm-dd")</f>
        <v/>
      </c>
      <c r="D13121" t="inlineStr">
        <is>
          <t>1354-09-07</t>
        </is>
      </c>
    </row>
    <row r="13122">
      <c r="A13122" s="1" t="n">
        <v>13121</v>
      </c>
      <c r="B13122">
        <f>TEXT(13121, "[$-170000]yyyy-mm-dd")</f>
        <v/>
      </c>
      <c r="C13122">
        <f>TEXT(13121, "[$-060000]yyyy-mm-dd")</f>
        <v/>
      </c>
      <c r="D13122" t="inlineStr">
        <is>
          <t>1354-09-08</t>
        </is>
      </c>
    </row>
    <row r="13123">
      <c r="A13123" s="1" t="n">
        <v>13122</v>
      </c>
      <c r="B13123">
        <f>TEXT(13122, "[$-170000]yyyy-mm-dd")</f>
        <v/>
      </c>
      <c r="C13123">
        <f>TEXT(13122, "[$-060000]yyyy-mm-dd")</f>
        <v/>
      </c>
      <c r="D13123" t="inlineStr">
        <is>
          <t>1354-09-09</t>
        </is>
      </c>
    </row>
    <row r="13124">
      <c r="A13124" s="1" t="n">
        <v>13123</v>
      </c>
      <c r="B13124">
        <f>TEXT(13123, "[$-170000]yyyy-mm-dd")</f>
        <v/>
      </c>
      <c r="C13124">
        <f>TEXT(13123, "[$-060000]yyyy-mm-dd")</f>
        <v/>
      </c>
      <c r="D13124" t="inlineStr">
        <is>
          <t>1354-09-10</t>
        </is>
      </c>
    </row>
    <row r="13125">
      <c r="A13125" s="1" t="n">
        <v>13124</v>
      </c>
      <c r="B13125">
        <f>TEXT(13124, "[$-170000]yyyy-mm-dd")</f>
        <v/>
      </c>
      <c r="C13125">
        <f>TEXT(13124, "[$-060000]yyyy-mm-dd")</f>
        <v/>
      </c>
      <c r="D13125" t="inlineStr">
        <is>
          <t>1354-09-11</t>
        </is>
      </c>
    </row>
    <row r="13126">
      <c r="A13126" s="1" t="n">
        <v>13125</v>
      </c>
      <c r="B13126">
        <f>TEXT(13125, "[$-170000]yyyy-mm-dd")</f>
        <v/>
      </c>
      <c r="C13126">
        <f>TEXT(13125, "[$-060000]yyyy-mm-dd")</f>
        <v/>
      </c>
      <c r="D13126" t="inlineStr">
        <is>
          <t>1354-09-12</t>
        </is>
      </c>
    </row>
    <row r="13127">
      <c r="A13127" s="1" t="n">
        <v>13126</v>
      </c>
      <c r="B13127">
        <f>TEXT(13126, "[$-170000]yyyy-mm-dd")</f>
        <v/>
      </c>
      <c r="C13127">
        <f>TEXT(13126, "[$-060000]yyyy-mm-dd")</f>
        <v/>
      </c>
      <c r="D13127" t="inlineStr">
        <is>
          <t>1354-09-13</t>
        </is>
      </c>
    </row>
    <row r="13128">
      <c r="A13128" s="1" t="n">
        <v>13127</v>
      </c>
      <c r="B13128">
        <f>TEXT(13127, "[$-170000]yyyy-mm-dd")</f>
        <v/>
      </c>
      <c r="C13128">
        <f>TEXT(13127, "[$-060000]yyyy-mm-dd")</f>
        <v/>
      </c>
      <c r="D13128" t="inlineStr">
        <is>
          <t>1354-09-14</t>
        </is>
      </c>
    </row>
    <row r="13129">
      <c r="A13129" s="1" t="n">
        <v>13128</v>
      </c>
      <c r="B13129">
        <f>TEXT(13128, "[$-170000]yyyy-mm-dd")</f>
        <v/>
      </c>
      <c r="C13129">
        <f>TEXT(13128, "[$-060000]yyyy-mm-dd")</f>
        <v/>
      </c>
      <c r="D13129" t="inlineStr">
        <is>
          <t>1354-09-15</t>
        </is>
      </c>
    </row>
    <row r="13130">
      <c r="A13130" s="1" t="n">
        <v>13129</v>
      </c>
      <c r="B13130">
        <f>TEXT(13129, "[$-170000]yyyy-mm-dd")</f>
        <v/>
      </c>
      <c r="C13130">
        <f>TEXT(13129, "[$-060000]yyyy-mm-dd")</f>
        <v/>
      </c>
      <c r="D13130" t="inlineStr">
        <is>
          <t>1354-09-16</t>
        </is>
      </c>
    </row>
    <row r="13131">
      <c r="A13131" s="1" t="n">
        <v>13130</v>
      </c>
      <c r="B13131">
        <f>TEXT(13130, "[$-170000]yyyy-mm-dd")</f>
        <v/>
      </c>
      <c r="C13131">
        <f>TEXT(13130, "[$-060000]yyyy-mm-dd")</f>
        <v/>
      </c>
      <c r="D13131" t="inlineStr">
        <is>
          <t>1354-09-17</t>
        </is>
      </c>
    </row>
    <row r="13132">
      <c r="A13132" s="1" t="n">
        <v>13131</v>
      </c>
      <c r="B13132">
        <f>TEXT(13131, "[$-170000]yyyy-mm-dd")</f>
        <v/>
      </c>
      <c r="C13132">
        <f>TEXT(13131, "[$-060000]yyyy-mm-dd")</f>
        <v/>
      </c>
      <c r="D13132" t="inlineStr">
        <is>
          <t>1354-09-18</t>
        </is>
      </c>
    </row>
    <row r="13133">
      <c r="A13133" s="1" t="n">
        <v>13132</v>
      </c>
      <c r="B13133">
        <f>TEXT(13132, "[$-170000]yyyy-mm-dd")</f>
        <v/>
      </c>
      <c r="C13133">
        <f>TEXT(13132, "[$-060000]yyyy-mm-dd")</f>
        <v/>
      </c>
      <c r="D13133" t="inlineStr">
        <is>
          <t>1354-09-19</t>
        </is>
      </c>
    </row>
    <row r="13134">
      <c r="A13134" s="1" t="n">
        <v>13133</v>
      </c>
      <c r="B13134">
        <f>TEXT(13133, "[$-170000]yyyy-mm-dd")</f>
        <v/>
      </c>
      <c r="C13134">
        <f>TEXT(13133, "[$-060000]yyyy-mm-dd")</f>
        <v/>
      </c>
      <c r="D13134" t="inlineStr">
        <is>
          <t>1354-09-20</t>
        </is>
      </c>
    </row>
    <row r="13135">
      <c r="A13135" s="1" t="n">
        <v>13134</v>
      </c>
      <c r="B13135">
        <f>TEXT(13134, "[$-170000]yyyy-mm-dd")</f>
        <v/>
      </c>
      <c r="C13135">
        <f>TEXT(13134, "[$-060000]yyyy-mm-dd")</f>
        <v/>
      </c>
      <c r="D13135" t="inlineStr">
        <is>
          <t>1354-09-21</t>
        </is>
      </c>
    </row>
    <row r="13136">
      <c r="A13136" s="1" t="n">
        <v>13135</v>
      </c>
      <c r="B13136">
        <f>TEXT(13135, "[$-170000]yyyy-mm-dd")</f>
        <v/>
      </c>
      <c r="C13136">
        <f>TEXT(13135, "[$-060000]yyyy-mm-dd")</f>
        <v/>
      </c>
      <c r="D13136" t="inlineStr">
        <is>
          <t>1354-09-22</t>
        </is>
      </c>
    </row>
    <row r="13137">
      <c r="A13137" s="1" t="n">
        <v>13136</v>
      </c>
      <c r="B13137">
        <f>TEXT(13136, "[$-170000]yyyy-mm-dd")</f>
        <v/>
      </c>
      <c r="C13137">
        <f>TEXT(13136, "[$-060000]yyyy-mm-dd")</f>
        <v/>
      </c>
      <c r="D13137" t="inlineStr">
        <is>
          <t>1354-09-23</t>
        </is>
      </c>
    </row>
    <row r="13138">
      <c r="A13138" s="1" t="n">
        <v>13137</v>
      </c>
      <c r="B13138">
        <f>TEXT(13137, "[$-170000]yyyy-mm-dd")</f>
        <v/>
      </c>
      <c r="C13138">
        <f>TEXT(13137, "[$-060000]yyyy-mm-dd")</f>
        <v/>
      </c>
      <c r="D13138" t="inlineStr">
        <is>
          <t>1354-09-24</t>
        </is>
      </c>
    </row>
    <row r="13139">
      <c r="A13139" s="1" t="n">
        <v>13138</v>
      </c>
      <c r="B13139">
        <f>TEXT(13138, "[$-170000]yyyy-mm-dd")</f>
        <v/>
      </c>
      <c r="C13139">
        <f>TEXT(13138, "[$-060000]yyyy-mm-dd")</f>
        <v/>
      </c>
      <c r="D13139" t="inlineStr">
        <is>
          <t>1354-09-25</t>
        </is>
      </c>
    </row>
    <row r="13140">
      <c r="A13140" s="1" t="n">
        <v>13139</v>
      </c>
      <c r="B13140">
        <f>TEXT(13139, "[$-170000]yyyy-mm-dd")</f>
        <v/>
      </c>
      <c r="C13140">
        <f>TEXT(13139, "[$-060000]yyyy-mm-dd")</f>
        <v/>
      </c>
      <c r="D13140" t="inlineStr">
        <is>
          <t>1354-09-26</t>
        </is>
      </c>
    </row>
    <row r="13141">
      <c r="A13141" s="1" t="n">
        <v>13140</v>
      </c>
      <c r="B13141">
        <f>TEXT(13140, "[$-170000]yyyy-mm-dd")</f>
        <v/>
      </c>
      <c r="C13141">
        <f>TEXT(13140, "[$-060000]yyyy-mm-dd")</f>
        <v/>
      </c>
      <c r="D13141" t="inlineStr">
        <is>
          <t>1354-09-27</t>
        </is>
      </c>
    </row>
    <row r="13142">
      <c r="A13142" s="1" t="n">
        <v>13141</v>
      </c>
      <c r="B13142">
        <f>TEXT(13141, "[$-170000]yyyy-mm-dd")</f>
        <v/>
      </c>
      <c r="C13142">
        <f>TEXT(13141, "[$-060000]yyyy-mm-dd")</f>
        <v/>
      </c>
      <c r="D13142" t="inlineStr">
        <is>
          <t>1354-09-28</t>
        </is>
      </c>
    </row>
    <row r="13143">
      <c r="A13143" s="1" t="n">
        <v>13142</v>
      </c>
      <c r="B13143">
        <f>TEXT(13142, "[$-170000]yyyy-mm-dd")</f>
        <v/>
      </c>
      <c r="C13143">
        <f>TEXT(13142, "[$-060000]yyyy-mm-dd")</f>
        <v/>
      </c>
      <c r="D13143" t="inlineStr">
        <is>
          <t>1354-09-29</t>
        </is>
      </c>
    </row>
    <row r="13144">
      <c r="A13144" s="1" t="n">
        <v>13143</v>
      </c>
      <c r="B13144">
        <f>TEXT(13143, "[$-170000]yyyy-mm-dd")</f>
        <v/>
      </c>
      <c r="C13144">
        <f>TEXT(13143, "[$-060000]yyyy-mm-dd")</f>
        <v/>
      </c>
      <c r="D13144" t="inlineStr">
        <is>
          <t>1354-09-30</t>
        </is>
      </c>
    </row>
    <row r="13145">
      <c r="A13145" s="1" t="n">
        <v>13144</v>
      </c>
      <c r="B13145">
        <f>TEXT(13144, "[$-170000]yyyy-mm-dd")</f>
        <v/>
      </c>
      <c r="C13145">
        <f>TEXT(13144, "[$-060000]yyyy-mm-dd")</f>
        <v/>
      </c>
      <c r="D13145" t="inlineStr">
        <is>
          <t>1354-10-01</t>
        </is>
      </c>
    </row>
    <row r="13146">
      <c r="A13146" s="1" t="n">
        <v>13145</v>
      </c>
      <c r="B13146">
        <f>TEXT(13145, "[$-170000]yyyy-mm-dd")</f>
        <v/>
      </c>
      <c r="C13146">
        <f>TEXT(13145, "[$-060000]yyyy-mm-dd")</f>
        <v/>
      </c>
      <c r="D13146" t="inlineStr">
        <is>
          <t>1354-10-02</t>
        </is>
      </c>
    </row>
    <row r="13147">
      <c r="A13147" s="1" t="n">
        <v>13146</v>
      </c>
      <c r="B13147">
        <f>TEXT(13146, "[$-170000]yyyy-mm-dd")</f>
        <v/>
      </c>
      <c r="C13147">
        <f>TEXT(13146, "[$-060000]yyyy-mm-dd")</f>
        <v/>
      </c>
      <c r="D13147" t="inlineStr">
        <is>
          <t>1354-10-03</t>
        </is>
      </c>
    </row>
    <row r="13148">
      <c r="A13148" s="1" t="n">
        <v>13147</v>
      </c>
      <c r="B13148">
        <f>TEXT(13147, "[$-170000]yyyy-mm-dd")</f>
        <v/>
      </c>
      <c r="C13148">
        <f>TEXT(13147, "[$-060000]yyyy-mm-dd")</f>
        <v/>
      </c>
      <c r="D13148" t="inlineStr">
        <is>
          <t>1354-10-04</t>
        </is>
      </c>
    </row>
    <row r="13149">
      <c r="A13149" s="1" t="n">
        <v>13148</v>
      </c>
      <c r="B13149">
        <f>TEXT(13148, "[$-170000]yyyy-mm-dd")</f>
        <v/>
      </c>
      <c r="C13149">
        <f>TEXT(13148, "[$-060000]yyyy-mm-dd")</f>
        <v/>
      </c>
      <c r="D13149" t="inlineStr">
        <is>
          <t>1354-10-05</t>
        </is>
      </c>
    </row>
    <row r="13150">
      <c r="A13150" s="1" t="n">
        <v>13149</v>
      </c>
      <c r="B13150">
        <f>TEXT(13149, "[$-170000]yyyy-mm-dd")</f>
        <v/>
      </c>
      <c r="C13150">
        <f>TEXT(13149, "[$-060000]yyyy-mm-dd")</f>
        <v/>
      </c>
      <c r="D13150" t="inlineStr">
        <is>
          <t>1354-10-06</t>
        </is>
      </c>
    </row>
    <row r="13151">
      <c r="A13151" s="1" t="n">
        <v>13150</v>
      </c>
      <c r="B13151">
        <f>TEXT(13150, "[$-170000]yyyy-mm-dd")</f>
        <v/>
      </c>
      <c r="C13151">
        <f>TEXT(13150, "[$-060000]yyyy-mm-dd")</f>
        <v/>
      </c>
      <c r="D13151" t="inlineStr">
        <is>
          <t>1354-10-07</t>
        </is>
      </c>
    </row>
    <row r="13152">
      <c r="A13152" s="1" t="n">
        <v>13151</v>
      </c>
      <c r="B13152">
        <f>TEXT(13151, "[$-170000]yyyy-mm-dd")</f>
        <v/>
      </c>
      <c r="C13152">
        <f>TEXT(13151, "[$-060000]yyyy-mm-dd")</f>
        <v/>
      </c>
      <c r="D13152" t="inlineStr">
        <is>
          <t>1354-10-08</t>
        </is>
      </c>
    </row>
    <row r="13153">
      <c r="A13153" s="1" t="n">
        <v>13152</v>
      </c>
      <c r="B13153">
        <f>TEXT(13152, "[$-170000]yyyy-mm-dd")</f>
        <v/>
      </c>
      <c r="C13153">
        <f>TEXT(13152, "[$-060000]yyyy-mm-dd")</f>
        <v/>
      </c>
      <c r="D13153" t="inlineStr">
        <is>
          <t>1354-10-09</t>
        </is>
      </c>
    </row>
    <row r="13154">
      <c r="A13154" s="1" t="n">
        <v>13153</v>
      </c>
      <c r="B13154">
        <f>TEXT(13153, "[$-170000]yyyy-mm-dd")</f>
        <v/>
      </c>
      <c r="C13154">
        <f>TEXT(13153, "[$-060000]yyyy-mm-dd")</f>
        <v/>
      </c>
      <c r="D13154" t="inlineStr">
        <is>
          <t>1354-10-10</t>
        </is>
      </c>
    </row>
    <row r="13155">
      <c r="A13155" s="1" t="n">
        <v>13154</v>
      </c>
      <c r="B13155">
        <f>TEXT(13154, "[$-170000]yyyy-mm-dd")</f>
        <v/>
      </c>
      <c r="C13155">
        <f>TEXT(13154, "[$-060000]yyyy-mm-dd")</f>
        <v/>
      </c>
      <c r="D13155" t="inlineStr">
        <is>
          <t>1354-10-11</t>
        </is>
      </c>
    </row>
    <row r="13156">
      <c r="A13156" s="1" t="n">
        <v>13155</v>
      </c>
      <c r="B13156">
        <f>TEXT(13155, "[$-170000]yyyy-mm-dd")</f>
        <v/>
      </c>
      <c r="C13156">
        <f>TEXT(13155, "[$-060000]yyyy-mm-dd")</f>
        <v/>
      </c>
      <c r="D13156" t="inlineStr">
        <is>
          <t>1354-10-12</t>
        </is>
      </c>
    </row>
    <row r="13157">
      <c r="A13157" s="1" t="n">
        <v>13156</v>
      </c>
      <c r="B13157">
        <f>TEXT(13156, "[$-170000]yyyy-mm-dd")</f>
        <v/>
      </c>
      <c r="C13157">
        <f>TEXT(13156, "[$-060000]yyyy-mm-dd")</f>
        <v/>
      </c>
      <c r="D13157" t="inlineStr">
        <is>
          <t>1354-10-13</t>
        </is>
      </c>
    </row>
    <row r="13158">
      <c r="A13158" s="1" t="n">
        <v>13157</v>
      </c>
      <c r="B13158">
        <f>TEXT(13157, "[$-170000]yyyy-mm-dd")</f>
        <v/>
      </c>
      <c r="C13158">
        <f>TEXT(13157, "[$-060000]yyyy-mm-dd")</f>
        <v/>
      </c>
      <c r="D13158" t="inlineStr">
        <is>
          <t>1354-10-14</t>
        </is>
      </c>
    </row>
    <row r="13159">
      <c r="A13159" s="1" t="n">
        <v>13158</v>
      </c>
      <c r="B13159">
        <f>TEXT(13158, "[$-170000]yyyy-mm-dd")</f>
        <v/>
      </c>
      <c r="C13159">
        <f>TEXT(13158, "[$-060000]yyyy-mm-dd")</f>
        <v/>
      </c>
      <c r="D13159" t="inlineStr">
        <is>
          <t>1354-10-15</t>
        </is>
      </c>
    </row>
    <row r="13160">
      <c r="A13160" s="1" t="n">
        <v>13159</v>
      </c>
      <c r="B13160">
        <f>TEXT(13159, "[$-170000]yyyy-mm-dd")</f>
        <v/>
      </c>
      <c r="C13160">
        <f>TEXT(13159, "[$-060000]yyyy-mm-dd")</f>
        <v/>
      </c>
      <c r="D13160" t="inlineStr">
        <is>
          <t>1354-10-16</t>
        </is>
      </c>
    </row>
    <row r="13161">
      <c r="A13161" s="1" t="n">
        <v>13160</v>
      </c>
      <c r="B13161">
        <f>TEXT(13160, "[$-170000]yyyy-mm-dd")</f>
        <v/>
      </c>
      <c r="C13161">
        <f>TEXT(13160, "[$-060000]yyyy-mm-dd")</f>
        <v/>
      </c>
      <c r="D13161" t="inlineStr">
        <is>
          <t>1354-10-17</t>
        </is>
      </c>
    </row>
    <row r="13162">
      <c r="A13162" s="1" t="n">
        <v>13161</v>
      </c>
      <c r="B13162">
        <f>TEXT(13161, "[$-170000]yyyy-mm-dd")</f>
        <v/>
      </c>
      <c r="C13162">
        <f>TEXT(13161, "[$-060000]yyyy-mm-dd")</f>
        <v/>
      </c>
      <c r="D13162" t="inlineStr">
        <is>
          <t>1354-10-18</t>
        </is>
      </c>
    </row>
    <row r="13163">
      <c r="A13163" s="1" t="n">
        <v>13162</v>
      </c>
      <c r="B13163">
        <f>TEXT(13162, "[$-170000]yyyy-mm-dd")</f>
        <v/>
      </c>
      <c r="C13163">
        <f>TEXT(13162, "[$-060000]yyyy-mm-dd")</f>
        <v/>
      </c>
      <c r="D13163" t="inlineStr">
        <is>
          <t>1354-10-19</t>
        </is>
      </c>
    </row>
    <row r="13164">
      <c r="A13164" s="1" t="n">
        <v>13163</v>
      </c>
      <c r="B13164">
        <f>TEXT(13163, "[$-170000]yyyy-mm-dd")</f>
        <v/>
      </c>
      <c r="C13164">
        <f>TEXT(13163, "[$-060000]yyyy-mm-dd")</f>
        <v/>
      </c>
      <c r="D13164" t="inlineStr">
        <is>
          <t>1354-10-20</t>
        </is>
      </c>
    </row>
    <row r="13165">
      <c r="A13165" s="1" t="n">
        <v>13164</v>
      </c>
      <c r="B13165">
        <f>TEXT(13164, "[$-170000]yyyy-mm-dd")</f>
        <v/>
      </c>
      <c r="C13165">
        <f>TEXT(13164, "[$-060000]yyyy-mm-dd")</f>
        <v/>
      </c>
      <c r="D13165" t="inlineStr">
        <is>
          <t>1354-10-21</t>
        </is>
      </c>
    </row>
    <row r="13166">
      <c r="A13166" s="1" t="n">
        <v>13165</v>
      </c>
      <c r="B13166">
        <f>TEXT(13165, "[$-170000]yyyy-mm-dd")</f>
        <v/>
      </c>
      <c r="C13166">
        <f>TEXT(13165, "[$-060000]yyyy-mm-dd")</f>
        <v/>
      </c>
      <c r="D13166" t="inlineStr">
        <is>
          <t>1354-10-22</t>
        </is>
      </c>
    </row>
    <row r="13167">
      <c r="A13167" s="1" t="n">
        <v>13166</v>
      </c>
      <c r="B13167">
        <f>TEXT(13166, "[$-170000]yyyy-mm-dd")</f>
        <v/>
      </c>
      <c r="C13167">
        <f>TEXT(13166, "[$-060000]yyyy-mm-dd")</f>
        <v/>
      </c>
      <c r="D13167" t="inlineStr">
        <is>
          <t>1354-10-23</t>
        </is>
      </c>
    </row>
    <row r="13168">
      <c r="A13168" s="1" t="n">
        <v>13167</v>
      </c>
      <c r="B13168">
        <f>TEXT(13167, "[$-170000]yyyy-mm-dd")</f>
        <v/>
      </c>
      <c r="C13168">
        <f>TEXT(13167, "[$-060000]yyyy-mm-dd")</f>
        <v/>
      </c>
      <c r="D13168" t="inlineStr">
        <is>
          <t>1354-10-24</t>
        </is>
      </c>
    </row>
    <row r="13169">
      <c r="A13169" s="1" t="n">
        <v>13168</v>
      </c>
      <c r="B13169">
        <f>TEXT(13168, "[$-170000]yyyy-mm-dd")</f>
        <v/>
      </c>
      <c r="C13169">
        <f>TEXT(13168, "[$-060000]yyyy-mm-dd")</f>
        <v/>
      </c>
      <c r="D13169" t="inlineStr">
        <is>
          <t>1354-10-25</t>
        </is>
      </c>
    </row>
    <row r="13170">
      <c r="A13170" s="1" t="n">
        <v>13169</v>
      </c>
      <c r="B13170">
        <f>TEXT(13169, "[$-170000]yyyy-mm-dd")</f>
        <v/>
      </c>
      <c r="C13170">
        <f>TEXT(13169, "[$-060000]yyyy-mm-dd")</f>
        <v/>
      </c>
      <c r="D13170" t="inlineStr">
        <is>
          <t>1354-10-26</t>
        </is>
      </c>
    </row>
    <row r="13171">
      <c r="A13171" s="1" t="n">
        <v>13170</v>
      </c>
      <c r="B13171">
        <f>TEXT(13170, "[$-170000]yyyy-mm-dd")</f>
        <v/>
      </c>
      <c r="C13171">
        <f>TEXT(13170, "[$-060000]yyyy-mm-dd")</f>
        <v/>
      </c>
      <c r="D13171" t="inlineStr">
        <is>
          <t>1354-10-27</t>
        </is>
      </c>
    </row>
    <row r="13172">
      <c r="A13172" s="1" t="n">
        <v>13171</v>
      </c>
      <c r="B13172">
        <f>TEXT(13171, "[$-170000]yyyy-mm-dd")</f>
        <v/>
      </c>
      <c r="C13172">
        <f>TEXT(13171, "[$-060000]yyyy-mm-dd")</f>
        <v/>
      </c>
      <c r="D13172" t="inlineStr">
        <is>
          <t>1354-10-28</t>
        </is>
      </c>
    </row>
    <row r="13173">
      <c r="A13173" s="1" t="n">
        <v>13172</v>
      </c>
      <c r="B13173">
        <f>TEXT(13172, "[$-170000]yyyy-mm-dd")</f>
        <v/>
      </c>
      <c r="C13173">
        <f>TEXT(13172, "[$-060000]yyyy-mm-dd")</f>
        <v/>
      </c>
      <c r="D13173" t="inlineStr">
        <is>
          <t>1354-10-29</t>
        </is>
      </c>
    </row>
    <row r="13174">
      <c r="A13174" s="1" t="n">
        <v>13173</v>
      </c>
      <c r="B13174">
        <f>TEXT(13173, "[$-170000]yyyy-mm-dd")</f>
        <v/>
      </c>
      <c r="C13174">
        <f>TEXT(13173, "[$-060000]yyyy-mm-dd")</f>
        <v/>
      </c>
      <c r="D13174" t="inlineStr">
        <is>
          <t>1354-11-01</t>
        </is>
      </c>
    </row>
    <row r="13175">
      <c r="A13175" s="1" t="n">
        <v>13174</v>
      </c>
      <c r="B13175">
        <f>TEXT(13174, "[$-170000]yyyy-mm-dd")</f>
        <v/>
      </c>
      <c r="C13175">
        <f>TEXT(13174, "[$-060000]yyyy-mm-dd")</f>
        <v/>
      </c>
      <c r="D13175" t="inlineStr">
        <is>
          <t>1354-11-02</t>
        </is>
      </c>
    </row>
    <row r="13176">
      <c r="A13176" s="1" t="n">
        <v>13175</v>
      </c>
      <c r="B13176">
        <f>TEXT(13175, "[$-170000]yyyy-mm-dd")</f>
        <v/>
      </c>
      <c r="C13176">
        <f>TEXT(13175, "[$-060000]yyyy-mm-dd")</f>
        <v/>
      </c>
      <c r="D13176" t="inlineStr">
        <is>
          <t>1354-11-03</t>
        </is>
      </c>
    </row>
    <row r="13177">
      <c r="A13177" s="1" t="n">
        <v>13176</v>
      </c>
      <c r="B13177">
        <f>TEXT(13176, "[$-170000]yyyy-mm-dd")</f>
        <v/>
      </c>
      <c r="C13177">
        <f>TEXT(13176, "[$-060000]yyyy-mm-dd")</f>
        <v/>
      </c>
      <c r="D13177" t="inlineStr">
        <is>
          <t>1354-11-04</t>
        </is>
      </c>
    </row>
    <row r="13178">
      <c r="A13178" s="1" t="n">
        <v>13177</v>
      </c>
      <c r="B13178">
        <f>TEXT(13177, "[$-170000]yyyy-mm-dd")</f>
        <v/>
      </c>
      <c r="C13178">
        <f>TEXT(13177, "[$-060000]yyyy-mm-dd")</f>
        <v/>
      </c>
      <c r="D13178" t="inlineStr">
        <is>
          <t>1354-11-05</t>
        </is>
      </c>
    </row>
    <row r="13179">
      <c r="A13179" s="1" t="n">
        <v>13178</v>
      </c>
      <c r="B13179">
        <f>TEXT(13178, "[$-170000]yyyy-mm-dd")</f>
        <v/>
      </c>
      <c r="C13179">
        <f>TEXT(13178, "[$-060000]yyyy-mm-dd")</f>
        <v/>
      </c>
      <c r="D13179" t="inlineStr">
        <is>
          <t>1354-11-06</t>
        </is>
      </c>
    </row>
    <row r="13180">
      <c r="A13180" s="1" t="n">
        <v>13179</v>
      </c>
      <c r="B13180">
        <f>TEXT(13179, "[$-170000]yyyy-mm-dd")</f>
        <v/>
      </c>
      <c r="C13180">
        <f>TEXT(13179, "[$-060000]yyyy-mm-dd")</f>
        <v/>
      </c>
      <c r="D13180" t="inlineStr">
        <is>
          <t>1354-11-07</t>
        </is>
      </c>
    </row>
    <row r="13181">
      <c r="A13181" s="1" t="n">
        <v>13180</v>
      </c>
      <c r="B13181">
        <f>TEXT(13180, "[$-170000]yyyy-mm-dd")</f>
        <v/>
      </c>
      <c r="C13181">
        <f>TEXT(13180, "[$-060000]yyyy-mm-dd")</f>
        <v/>
      </c>
      <c r="D13181" t="inlineStr">
        <is>
          <t>1354-11-08</t>
        </is>
      </c>
    </row>
    <row r="13182">
      <c r="A13182" s="1" t="n">
        <v>13181</v>
      </c>
      <c r="B13182">
        <f>TEXT(13181, "[$-170000]yyyy-mm-dd")</f>
        <v/>
      </c>
      <c r="C13182">
        <f>TEXT(13181, "[$-060000]yyyy-mm-dd")</f>
        <v/>
      </c>
      <c r="D13182" t="inlineStr">
        <is>
          <t>1354-11-09</t>
        </is>
      </c>
    </row>
    <row r="13183">
      <c r="A13183" s="1" t="n">
        <v>13182</v>
      </c>
      <c r="B13183">
        <f>TEXT(13182, "[$-170000]yyyy-mm-dd")</f>
        <v/>
      </c>
      <c r="C13183">
        <f>TEXT(13182, "[$-060000]yyyy-mm-dd")</f>
        <v/>
      </c>
      <c r="D13183" t="inlineStr">
        <is>
          <t>1354-11-10</t>
        </is>
      </c>
    </row>
    <row r="13184">
      <c r="A13184" s="1" t="n">
        <v>13183</v>
      </c>
      <c r="B13184">
        <f>TEXT(13183, "[$-170000]yyyy-mm-dd")</f>
        <v/>
      </c>
      <c r="C13184">
        <f>TEXT(13183, "[$-060000]yyyy-mm-dd")</f>
        <v/>
      </c>
      <c r="D13184" t="inlineStr">
        <is>
          <t>1354-11-11</t>
        </is>
      </c>
    </row>
    <row r="13185">
      <c r="A13185" s="1" t="n">
        <v>13184</v>
      </c>
      <c r="B13185">
        <f>TEXT(13184, "[$-170000]yyyy-mm-dd")</f>
        <v/>
      </c>
      <c r="C13185">
        <f>TEXT(13184, "[$-060000]yyyy-mm-dd")</f>
        <v/>
      </c>
      <c r="D13185" t="inlineStr">
        <is>
          <t>1354-11-12</t>
        </is>
      </c>
    </row>
    <row r="13186">
      <c r="A13186" s="1" t="n">
        <v>13185</v>
      </c>
      <c r="B13186">
        <f>TEXT(13185, "[$-170000]yyyy-mm-dd")</f>
        <v/>
      </c>
      <c r="C13186">
        <f>TEXT(13185, "[$-060000]yyyy-mm-dd")</f>
        <v/>
      </c>
      <c r="D13186" t="inlineStr">
        <is>
          <t>1354-11-13</t>
        </is>
      </c>
    </row>
    <row r="13187">
      <c r="A13187" s="1" t="n">
        <v>13186</v>
      </c>
      <c r="B13187">
        <f>TEXT(13186, "[$-170000]yyyy-mm-dd")</f>
        <v/>
      </c>
      <c r="C13187">
        <f>TEXT(13186, "[$-060000]yyyy-mm-dd")</f>
        <v/>
      </c>
      <c r="D13187" t="inlineStr">
        <is>
          <t>1354-11-14</t>
        </is>
      </c>
    </row>
    <row r="13188">
      <c r="A13188" s="1" t="n">
        <v>13187</v>
      </c>
      <c r="B13188">
        <f>TEXT(13187, "[$-170000]yyyy-mm-dd")</f>
        <v/>
      </c>
      <c r="C13188">
        <f>TEXT(13187, "[$-060000]yyyy-mm-dd")</f>
        <v/>
      </c>
      <c r="D13188" t="inlineStr">
        <is>
          <t>1354-11-15</t>
        </is>
      </c>
    </row>
    <row r="13189">
      <c r="A13189" s="1" t="n">
        <v>13188</v>
      </c>
      <c r="B13189">
        <f>TEXT(13188, "[$-170000]yyyy-mm-dd")</f>
        <v/>
      </c>
      <c r="C13189">
        <f>TEXT(13188, "[$-060000]yyyy-mm-dd")</f>
        <v/>
      </c>
      <c r="D13189" t="inlineStr">
        <is>
          <t>1354-11-16</t>
        </is>
      </c>
    </row>
    <row r="13190">
      <c r="A13190" s="1" t="n">
        <v>13189</v>
      </c>
      <c r="B13190">
        <f>TEXT(13189, "[$-170000]yyyy-mm-dd")</f>
        <v/>
      </c>
      <c r="C13190">
        <f>TEXT(13189, "[$-060000]yyyy-mm-dd")</f>
        <v/>
      </c>
      <c r="D13190" t="inlineStr">
        <is>
          <t>1354-11-17</t>
        </is>
      </c>
    </row>
    <row r="13191">
      <c r="A13191" s="1" t="n">
        <v>13190</v>
      </c>
      <c r="B13191">
        <f>TEXT(13190, "[$-170000]yyyy-mm-dd")</f>
        <v/>
      </c>
      <c r="C13191">
        <f>TEXT(13190, "[$-060000]yyyy-mm-dd")</f>
        <v/>
      </c>
      <c r="D13191" t="inlineStr">
        <is>
          <t>1354-11-18</t>
        </is>
      </c>
    </row>
    <row r="13192">
      <c r="A13192" s="1" t="n">
        <v>13191</v>
      </c>
      <c r="B13192">
        <f>TEXT(13191, "[$-170000]yyyy-mm-dd")</f>
        <v/>
      </c>
      <c r="C13192">
        <f>TEXT(13191, "[$-060000]yyyy-mm-dd")</f>
        <v/>
      </c>
      <c r="D13192" t="inlineStr">
        <is>
          <t>1354-11-19</t>
        </is>
      </c>
    </row>
    <row r="13193">
      <c r="A13193" s="1" t="n">
        <v>13192</v>
      </c>
      <c r="B13193">
        <f>TEXT(13192, "[$-170000]yyyy-mm-dd")</f>
        <v/>
      </c>
      <c r="C13193">
        <f>TEXT(13192, "[$-060000]yyyy-mm-dd")</f>
        <v/>
      </c>
      <c r="D13193" t="inlineStr">
        <is>
          <t>1354-11-20</t>
        </is>
      </c>
    </row>
    <row r="13194">
      <c r="A13194" s="1" t="n">
        <v>13193</v>
      </c>
      <c r="B13194">
        <f>TEXT(13193, "[$-170000]yyyy-mm-dd")</f>
        <v/>
      </c>
      <c r="C13194">
        <f>TEXT(13193, "[$-060000]yyyy-mm-dd")</f>
        <v/>
      </c>
      <c r="D13194" t="inlineStr">
        <is>
          <t>1354-11-21</t>
        </is>
      </c>
    </row>
    <row r="13195">
      <c r="A13195" s="1" t="n">
        <v>13194</v>
      </c>
      <c r="B13195">
        <f>TEXT(13194, "[$-170000]yyyy-mm-dd")</f>
        <v/>
      </c>
      <c r="C13195">
        <f>TEXT(13194, "[$-060000]yyyy-mm-dd")</f>
        <v/>
      </c>
      <c r="D13195" t="inlineStr">
        <is>
          <t>1354-11-22</t>
        </is>
      </c>
    </row>
    <row r="13196">
      <c r="A13196" s="1" t="n">
        <v>13195</v>
      </c>
      <c r="B13196">
        <f>TEXT(13195, "[$-170000]yyyy-mm-dd")</f>
        <v/>
      </c>
      <c r="C13196">
        <f>TEXT(13195, "[$-060000]yyyy-mm-dd")</f>
        <v/>
      </c>
      <c r="D13196" t="inlineStr">
        <is>
          <t>1354-11-23</t>
        </is>
      </c>
    </row>
    <row r="13197">
      <c r="A13197" s="1" t="n">
        <v>13196</v>
      </c>
      <c r="B13197">
        <f>TEXT(13196, "[$-170000]yyyy-mm-dd")</f>
        <v/>
      </c>
      <c r="C13197">
        <f>TEXT(13196, "[$-060000]yyyy-mm-dd")</f>
        <v/>
      </c>
      <c r="D13197" t="inlineStr">
        <is>
          <t>1354-11-24</t>
        </is>
      </c>
    </row>
    <row r="13198">
      <c r="A13198" s="1" t="n">
        <v>13197</v>
      </c>
      <c r="B13198">
        <f>TEXT(13197, "[$-170000]yyyy-mm-dd")</f>
        <v/>
      </c>
      <c r="C13198">
        <f>TEXT(13197, "[$-060000]yyyy-mm-dd")</f>
        <v/>
      </c>
      <c r="D13198" t="inlineStr">
        <is>
          <t>1354-11-25</t>
        </is>
      </c>
    </row>
    <row r="13199">
      <c r="A13199" s="1" t="n">
        <v>13198</v>
      </c>
      <c r="B13199">
        <f>TEXT(13198, "[$-170000]yyyy-mm-dd")</f>
        <v/>
      </c>
      <c r="C13199">
        <f>TEXT(13198, "[$-060000]yyyy-mm-dd")</f>
        <v/>
      </c>
      <c r="D13199" t="inlineStr">
        <is>
          <t>1354-11-26</t>
        </is>
      </c>
    </row>
    <row r="13200">
      <c r="A13200" s="1" t="n">
        <v>13199</v>
      </c>
      <c r="B13200">
        <f>TEXT(13199, "[$-170000]yyyy-mm-dd")</f>
        <v/>
      </c>
      <c r="C13200">
        <f>TEXT(13199, "[$-060000]yyyy-mm-dd")</f>
        <v/>
      </c>
      <c r="D13200" t="inlineStr">
        <is>
          <t>1354-11-27</t>
        </is>
      </c>
    </row>
    <row r="13201">
      <c r="A13201" s="1" t="n">
        <v>13200</v>
      </c>
      <c r="B13201">
        <f>TEXT(13200, "[$-170000]yyyy-mm-dd")</f>
        <v/>
      </c>
      <c r="C13201">
        <f>TEXT(13200, "[$-060000]yyyy-mm-dd")</f>
        <v/>
      </c>
      <c r="D13201" t="inlineStr">
        <is>
          <t>1354-11-28</t>
        </is>
      </c>
    </row>
    <row r="13202">
      <c r="A13202" s="1" t="n">
        <v>13201</v>
      </c>
      <c r="B13202">
        <f>TEXT(13201, "[$-170000]yyyy-mm-dd")</f>
        <v/>
      </c>
      <c r="C13202">
        <f>TEXT(13201, "[$-060000]yyyy-mm-dd")</f>
        <v/>
      </c>
      <c r="D13202" t="inlineStr">
        <is>
          <t>1354-11-29</t>
        </is>
      </c>
    </row>
    <row r="13203">
      <c r="A13203" s="1" t="n">
        <v>13202</v>
      </c>
      <c r="B13203">
        <f>TEXT(13202, "[$-170000]yyyy-mm-dd")</f>
        <v/>
      </c>
      <c r="C13203">
        <f>TEXT(13202, "[$-060000]yyyy-mm-dd")</f>
        <v/>
      </c>
      <c r="D13203" t="inlineStr">
        <is>
          <t>1354-11-30</t>
        </is>
      </c>
    </row>
    <row r="13204">
      <c r="A13204" s="1" t="n">
        <v>13203</v>
      </c>
      <c r="B13204">
        <f>TEXT(13203, "[$-170000]yyyy-mm-dd")</f>
        <v/>
      </c>
      <c r="C13204">
        <f>TEXT(13203, "[$-060000]yyyy-mm-dd")</f>
        <v/>
      </c>
      <c r="D13204" t="inlineStr">
        <is>
          <t>1354-12-01</t>
        </is>
      </c>
    </row>
    <row r="13205">
      <c r="A13205" s="1" t="n">
        <v>13204</v>
      </c>
      <c r="B13205">
        <f>TEXT(13204, "[$-170000]yyyy-mm-dd")</f>
        <v/>
      </c>
      <c r="C13205">
        <f>TEXT(13204, "[$-060000]yyyy-mm-dd")</f>
        <v/>
      </c>
      <c r="D13205" t="inlineStr">
        <is>
          <t>1354-12-02</t>
        </is>
      </c>
    </row>
    <row r="13206">
      <c r="A13206" s="1" t="n">
        <v>13205</v>
      </c>
      <c r="B13206">
        <f>TEXT(13205, "[$-170000]yyyy-mm-dd")</f>
        <v/>
      </c>
      <c r="C13206">
        <f>TEXT(13205, "[$-060000]yyyy-mm-dd")</f>
        <v/>
      </c>
      <c r="D13206" t="inlineStr">
        <is>
          <t>1354-12-03</t>
        </is>
      </c>
    </row>
    <row r="13207">
      <c r="A13207" s="1" t="n">
        <v>13206</v>
      </c>
      <c r="B13207">
        <f>TEXT(13206, "[$-170000]yyyy-mm-dd")</f>
        <v/>
      </c>
      <c r="C13207">
        <f>TEXT(13206, "[$-060000]yyyy-mm-dd")</f>
        <v/>
      </c>
      <c r="D13207" t="inlineStr">
        <is>
          <t>1354-12-04</t>
        </is>
      </c>
    </row>
    <row r="13208">
      <c r="A13208" s="1" t="n">
        <v>13207</v>
      </c>
      <c r="B13208">
        <f>TEXT(13207, "[$-170000]yyyy-mm-dd")</f>
        <v/>
      </c>
      <c r="C13208">
        <f>TEXT(13207, "[$-060000]yyyy-mm-dd")</f>
        <v/>
      </c>
      <c r="D13208" t="inlineStr">
        <is>
          <t>1354-12-05</t>
        </is>
      </c>
    </row>
    <row r="13209">
      <c r="A13209" s="1" t="n">
        <v>13208</v>
      </c>
      <c r="B13209">
        <f>TEXT(13208, "[$-170000]yyyy-mm-dd")</f>
        <v/>
      </c>
      <c r="C13209">
        <f>TEXT(13208, "[$-060000]yyyy-mm-dd")</f>
        <v/>
      </c>
      <c r="D13209" t="inlineStr">
        <is>
          <t>1354-12-06</t>
        </is>
      </c>
    </row>
    <row r="13210">
      <c r="A13210" s="1" t="n">
        <v>13209</v>
      </c>
      <c r="B13210">
        <f>TEXT(13209, "[$-170000]yyyy-mm-dd")</f>
        <v/>
      </c>
      <c r="C13210">
        <f>TEXT(13209, "[$-060000]yyyy-mm-dd")</f>
        <v/>
      </c>
      <c r="D13210" t="inlineStr">
        <is>
          <t>1354-12-07</t>
        </is>
      </c>
    </row>
    <row r="13211">
      <c r="A13211" s="1" t="n">
        <v>13210</v>
      </c>
      <c r="B13211">
        <f>TEXT(13210, "[$-170000]yyyy-mm-dd")</f>
        <v/>
      </c>
      <c r="C13211">
        <f>TEXT(13210, "[$-060000]yyyy-mm-dd")</f>
        <v/>
      </c>
      <c r="D13211" t="inlineStr">
        <is>
          <t>1354-12-08</t>
        </is>
      </c>
    </row>
    <row r="13212">
      <c r="A13212" s="1" t="n">
        <v>13211</v>
      </c>
      <c r="B13212">
        <f>TEXT(13211, "[$-170000]yyyy-mm-dd")</f>
        <v/>
      </c>
      <c r="C13212">
        <f>TEXT(13211, "[$-060000]yyyy-mm-dd")</f>
        <v/>
      </c>
      <c r="D13212" t="inlineStr">
        <is>
          <t>1354-12-09</t>
        </is>
      </c>
    </row>
    <row r="13213">
      <c r="A13213" s="1" t="n">
        <v>13212</v>
      </c>
      <c r="B13213">
        <f>TEXT(13212, "[$-170000]yyyy-mm-dd")</f>
        <v/>
      </c>
      <c r="C13213">
        <f>TEXT(13212, "[$-060000]yyyy-mm-dd")</f>
        <v/>
      </c>
      <c r="D13213" t="inlineStr">
        <is>
          <t>1354-12-10</t>
        </is>
      </c>
    </row>
    <row r="13214">
      <c r="A13214" s="1" t="n">
        <v>13213</v>
      </c>
      <c r="B13214">
        <f>TEXT(13213, "[$-170000]yyyy-mm-dd")</f>
        <v/>
      </c>
      <c r="C13214">
        <f>TEXT(13213, "[$-060000]yyyy-mm-dd")</f>
        <v/>
      </c>
      <c r="D13214" t="inlineStr">
        <is>
          <t>1354-12-11</t>
        </is>
      </c>
    </row>
    <row r="13215">
      <c r="A13215" s="1" t="n">
        <v>13214</v>
      </c>
      <c r="B13215">
        <f>TEXT(13214, "[$-170000]yyyy-mm-dd")</f>
        <v/>
      </c>
      <c r="C13215">
        <f>TEXT(13214, "[$-060000]yyyy-mm-dd")</f>
        <v/>
      </c>
      <c r="D13215" t="inlineStr">
        <is>
          <t>1354-12-12</t>
        </is>
      </c>
    </row>
    <row r="13216">
      <c r="A13216" s="1" t="n">
        <v>13215</v>
      </c>
      <c r="B13216">
        <f>TEXT(13215, "[$-170000]yyyy-mm-dd")</f>
        <v/>
      </c>
      <c r="C13216">
        <f>TEXT(13215, "[$-060000]yyyy-mm-dd")</f>
        <v/>
      </c>
      <c r="D13216" t="inlineStr">
        <is>
          <t>1354-12-13</t>
        </is>
      </c>
    </row>
    <row r="13217">
      <c r="A13217" s="1" t="n">
        <v>13216</v>
      </c>
      <c r="B13217">
        <f>TEXT(13216, "[$-170000]yyyy-mm-dd")</f>
        <v/>
      </c>
      <c r="C13217">
        <f>TEXT(13216, "[$-060000]yyyy-mm-dd")</f>
        <v/>
      </c>
      <c r="D13217" t="inlineStr">
        <is>
          <t>1354-12-14</t>
        </is>
      </c>
    </row>
    <row r="13218">
      <c r="A13218" s="1" t="n">
        <v>13217</v>
      </c>
      <c r="B13218">
        <f>TEXT(13217, "[$-170000]yyyy-mm-dd")</f>
        <v/>
      </c>
      <c r="C13218">
        <f>TEXT(13217, "[$-060000]yyyy-mm-dd")</f>
        <v/>
      </c>
      <c r="D13218" t="inlineStr">
        <is>
          <t>1354-12-15</t>
        </is>
      </c>
    </row>
    <row r="13219">
      <c r="A13219" s="1" t="n">
        <v>13218</v>
      </c>
      <c r="B13219">
        <f>TEXT(13218, "[$-170000]yyyy-mm-dd")</f>
        <v/>
      </c>
      <c r="C13219">
        <f>TEXT(13218, "[$-060000]yyyy-mm-dd")</f>
        <v/>
      </c>
      <c r="D13219" t="inlineStr">
        <is>
          <t>1354-12-16</t>
        </is>
      </c>
    </row>
    <row r="13220">
      <c r="A13220" s="1" t="n">
        <v>13219</v>
      </c>
      <c r="B13220">
        <f>TEXT(13219, "[$-170000]yyyy-mm-dd")</f>
        <v/>
      </c>
      <c r="C13220">
        <f>TEXT(13219, "[$-060000]yyyy-mm-dd")</f>
        <v/>
      </c>
      <c r="D13220" t="inlineStr">
        <is>
          <t>1354-12-17</t>
        </is>
      </c>
    </row>
    <row r="13221">
      <c r="A13221" s="1" t="n">
        <v>13220</v>
      </c>
      <c r="B13221">
        <f>TEXT(13220, "[$-170000]yyyy-mm-dd")</f>
        <v/>
      </c>
      <c r="C13221">
        <f>TEXT(13220, "[$-060000]yyyy-mm-dd")</f>
        <v/>
      </c>
      <c r="D13221" t="inlineStr">
        <is>
          <t>1354-12-18</t>
        </is>
      </c>
    </row>
    <row r="13222">
      <c r="A13222" s="1" t="n">
        <v>13221</v>
      </c>
      <c r="B13222">
        <f>TEXT(13221, "[$-170000]yyyy-mm-dd")</f>
        <v/>
      </c>
      <c r="C13222">
        <f>TEXT(13221, "[$-060000]yyyy-mm-dd")</f>
        <v/>
      </c>
      <c r="D13222" t="inlineStr">
        <is>
          <t>1354-12-19</t>
        </is>
      </c>
    </row>
    <row r="13223">
      <c r="A13223" s="1" t="n">
        <v>13222</v>
      </c>
      <c r="B13223">
        <f>TEXT(13222, "[$-170000]yyyy-mm-dd")</f>
        <v/>
      </c>
      <c r="C13223">
        <f>TEXT(13222, "[$-060000]yyyy-mm-dd")</f>
        <v/>
      </c>
      <c r="D13223" t="inlineStr">
        <is>
          <t>1354-12-20</t>
        </is>
      </c>
    </row>
    <row r="13224">
      <c r="A13224" s="1" t="n">
        <v>13223</v>
      </c>
      <c r="B13224">
        <f>TEXT(13223, "[$-170000]yyyy-mm-dd")</f>
        <v/>
      </c>
      <c r="C13224">
        <f>TEXT(13223, "[$-060000]yyyy-mm-dd")</f>
        <v/>
      </c>
      <c r="D13224" t="inlineStr">
        <is>
          <t>1354-12-21</t>
        </is>
      </c>
    </row>
    <row r="13225">
      <c r="A13225" s="1" t="n">
        <v>13224</v>
      </c>
      <c r="B13225">
        <f>TEXT(13224, "[$-170000]yyyy-mm-dd")</f>
        <v/>
      </c>
      <c r="C13225">
        <f>TEXT(13224, "[$-060000]yyyy-mm-dd")</f>
        <v/>
      </c>
      <c r="D13225" t="inlineStr">
        <is>
          <t>1354-12-22</t>
        </is>
      </c>
    </row>
    <row r="13226">
      <c r="A13226" s="1" t="n">
        <v>13225</v>
      </c>
      <c r="B13226">
        <f>TEXT(13225, "[$-170000]yyyy-mm-dd")</f>
        <v/>
      </c>
      <c r="C13226">
        <f>TEXT(13225, "[$-060000]yyyy-mm-dd")</f>
        <v/>
      </c>
      <c r="D13226" t="inlineStr">
        <is>
          <t>1354-12-23</t>
        </is>
      </c>
    </row>
    <row r="13227">
      <c r="A13227" s="1" t="n">
        <v>13226</v>
      </c>
      <c r="B13227">
        <f>TEXT(13226, "[$-170000]yyyy-mm-dd")</f>
        <v/>
      </c>
      <c r="C13227">
        <f>TEXT(13226, "[$-060000]yyyy-mm-dd")</f>
        <v/>
      </c>
      <c r="D13227" t="inlineStr">
        <is>
          <t>1354-12-24</t>
        </is>
      </c>
    </row>
    <row r="13228">
      <c r="A13228" s="1" t="n">
        <v>13227</v>
      </c>
      <c r="B13228">
        <f>TEXT(13227, "[$-170000]yyyy-mm-dd")</f>
        <v/>
      </c>
      <c r="C13228">
        <f>TEXT(13227, "[$-060000]yyyy-mm-dd")</f>
        <v/>
      </c>
      <c r="D13228" t="inlineStr">
        <is>
          <t>1354-12-25</t>
        </is>
      </c>
    </row>
    <row r="13229">
      <c r="A13229" s="1" t="n">
        <v>13228</v>
      </c>
      <c r="B13229">
        <f>TEXT(13228, "[$-170000]yyyy-mm-dd")</f>
        <v/>
      </c>
      <c r="C13229">
        <f>TEXT(13228, "[$-060000]yyyy-mm-dd")</f>
        <v/>
      </c>
      <c r="D13229" t="inlineStr">
        <is>
          <t>1354-12-26</t>
        </is>
      </c>
    </row>
    <row r="13230">
      <c r="A13230" s="1" t="n">
        <v>13229</v>
      </c>
      <c r="B13230">
        <f>TEXT(13229, "[$-170000]yyyy-mm-dd")</f>
        <v/>
      </c>
      <c r="C13230">
        <f>TEXT(13229, "[$-060000]yyyy-mm-dd")</f>
        <v/>
      </c>
      <c r="D13230" t="inlineStr">
        <is>
          <t>1354-12-27</t>
        </is>
      </c>
    </row>
    <row r="13231">
      <c r="A13231" s="1" t="n">
        <v>13230</v>
      </c>
      <c r="B13231">
        <f>TEXT(13230, "[$-170000]yyyy-mm-dd")</f>
        <v/>
      </c>
      <c r="C13231">
        <f>TEXT(13230, "[$-060000]yyyy-mm-dd")</f>
        <v/>
      </c>
      <c r="D13231" t="inlineStr">
        <is>
          <t>1354-12-28</t>
        </is>
      </c>
    </row>
    <row r="13232">
      <c r="A13232" s="1" t="n">
        <v>13231</v>
      </c>
      <c r="B13232">
        <f>TEXT(13231, "[$-170000]yyyy-mm-dd")</f>
        <v/>
      </c>
      <c r="C13232">
        <f>TEXT(13231, "[$-060000]yyyy-mm-dd")</f>
        <v/>
      </c>
      <c r="D13232" t="inlineStr">
        <is>
          <t>1354-12-29</t>
        </is>
      </c>
    </row>
    <row r="13233">
      <c r="A13233" s="1" t="n">
        <v>13232</v>
      </c>
      <c r="B13233">
        <f>TEXT(13232, "[$-170000]yyyy-mm-dd")</f>
        <v/>
      </c>
      <c r="C13233">
        <f>TEXT(13232, "[$-060000]yyyy-mm-dd")</f>
        <v/>
      </c>
      <c r="D13233" t="inlineStr">
        <is>
          <t>1355-01-01</t>
        </is>
      </c>
    </row>
    <row r="13234">
      <c r="A13234" s="1" t="n">
        <v>13233</v>
      </c>
      <c r="B13234">
        <f>TEXT(13233, "[$-170000]yyyy-mm-dd")</f>
        <v/>
      </c>
      <c r="C13234">
        <f>TEXT(13233, "[$-060000]yyyy-mm-dd")</f>
        <v/>
      </c>
      <c r="D13234" t="inlineStr">
        <is>
          <t>1355-01-02</t>
        </is>
      </c>
    </row>
    <row r="13235">
      <c r="A13235" s="1" t="n">
        <v>13234</v>
      </c>
      <c r="B13235">
        <f>TEXT(13234, "[$-170000]yyyy-mm-dd")</f>
        <v/>
      </c>
      <c r="C13235">
        <f>TEXT(13234, "[$-060000]yyyy-mm-dd")</f>
        <v/>
      </c>
      <c r="D13235" t="inlineStr">
        <is>
          <t>1355-01-03</t>
        </is>
      </c>
    </row>
    <row r="13236">
      <c r="A13236" s="1" t="n">
        <v>13235</v>
      </c>
      <c r="B13236">
        <f>TEXT(13235, "[$-170000]yyyy-mm-dd")</f>
        <v/>
      </c>
      <c r="C13236">
        <f>TEXT(13235, "[$-060000]yyyy-mm-dd")</f>
        <v/>
      </c>
      <c r="D13236" t="inlineStr">
        <is>
          <t>1355-01-04</t>
        </is>
      </c>
    </row>
    <row r="13237">
      <c r="A13237" s="1" t="n">
        <v>13236</v>
      </c>
      <c r="B13237">
        <f>TEXT(13236, "[$-170000]yyyy-mm-dd")</f>
        <v/>
      </c>
      <c r="C13237">
        <f>TEXT(13236, "[$-060000]yyyy-mm-dd")</f>
        <v/>
      </c>
      <c r="D13237" t="inlineStr">
        <is>
          <t>1355-01-05</t>
        </is>
      </c>
    </row>
    <row r="13238">
      <c r="A13238" s="1" t="n">
        <v>13237</v>
      </c>
      <c r="B13238">
        <f>TEXT(13237, "[$-170000]yyyy-mm-dd")</f>
        <v/>
      </c>
      <c r="C13238">
        <f>TEXT(13237, "[$-060000]yyyy-mm-dd")</f>
        <v/>
      </c>
      <c r="D13238" t="inlineStr">
        <is>
          <t>1355-01-06</t>
        </is>
      </c>
    </row>
    <row r="13239">
      <c r="A13239" s="1" t="n">
        <v>13238</v>
      </c>
      <c r="B13239">
        <f>TEXT(13238, "[$-170000]yyyy-mm-dd")</f>
        <v/>
      </c>
      <c r="C13239">
        <f>TEXT(13238, "[$-060000]yyyy-mm-dd")</f>
        <v/>
      </c>
      <c r="D13239" t="inlineStr">
        <is>
          <t>1355-01-07</t>
        </is>
      </c>
    </row>
    <row r="13240">
      <c r="A13240" s="1" t="n">
        <v>13239</v>
      </c>
      <c r="B13240">
        <f>TEXT(13239, "[$-170000]yyyy-mm-dd")</f>
        <v/>
      </c>
      <c r="C13240">
        <f>TEXT(13239, "[$-060000]yyyy-mm-dd")</f>
        <v/>
      </c>
      <c r="D13240" t="inlineStr">
        <is>
          <t>1355-01-08</t>
        </is>
      </c>
    </row>
    <row r="13241">
      <c r="A13241" s="1" t="n">
        <v>13240</v>
      </c>
      <c r="B13241">
        <f>TEXT(13240, "[$-170000]yyyy-mm-dd")</f>
        <v/>
      </c>
      <c r="C13241">
        <f>TEXT(13240, "[$-060000]yyyy-mm-dd")</f>
        <v/>
      </c>
      <c r="D13241" t="inlineStr">
        <is>
          <t>1355-01-09</t>
        </is>
      </c>
    </row>
    <row r="13242">
      <c r="A13242" s="1" t="n">
        <v>13241</v>
      </c>
      <c r="B13242">
        <f>TEXT(13241, "[$-170000]yyyy-mm-dd")</f>
        <v/>
      </c>
      <c r="C13242">
        <f>TEXT(13241, "[$-060000]yyyy-mm-dd")</f>
        <v/>
      </c>
      <c r="D13242" t="inlineStr">
        <is>
          <t>1355-01-10</t>
        </is>
      </c>
    </row>
    <row r="13243">
      <c r="A13243" s="1" t="n">
        <v>13242</v>
      </c>
      <c r="B13243">
        <f>TEXT(13242, "[$-170000]yyyy-mm-dd")</f>
        <v/>
      </c>
      <c r="C13243">
        <f>TEXT(13242, "[$-060000]yyyy-mm-dd")</f>
        <v/>
      </c>
      <c r="D13243" t="inlineStr">
        <is>
          <t>1355-01-11</t>
        </is>
      </c>
    </row>
    <row r="13244">
      <c r="A13244" s="1" t="n">
        <v>13243</v>
      </c>
      <c r="B13244">
        <f>TEXT(13243, "[$-170000]yyyy-mm-dd")</f>
        <v/>
      </c>
      <c r="C13244">
        <f>TEXT(13243, "[$-060000]yyyy-mm-dd")</f>
        <v/>
      </c>
      <c r="D13244" t="inlineStr">
        <is>
          <t>1355-01-12</t>
        </is>
      </c>
    </row>
    <row r="13245">
      <c r="A13245" s="1" t="n">
        <v>13244</v>
      </c>
      <c r="B13245">
        <f>TEXT(13244, "[$-170000]yyyy-mm-dd")</f>
        <v/>
      </c>
      <c r="C13245">
        <f>TEXT(13244, "[$-060000]yyyy-mm-dd")</f>
        <v/>
      </c>
      <c r="D13245" t="inlineStr">
        <is>
          <t>1355-01-13</t>
        </is>
      </c>
    </row>
    <row r="13246">
      <c r="A13246" s="1" t="n">
        <v>13245</v>
      </c>
      <c r="B13246">
        <f>TEXT(13245, "[$-170000]yyyy-mm-dd")</f>
        <v/>
      </c>
      <c r="C13246">
        <f>TEXT(13245, "[$-060000]yyyy-mm-dd")</f>
        <v/>
      </c>
      <c r="D13246" t="inlineStr">
        <is>
          <t>1355-01-14</t>
        </is>
      </c>
    </row>
    <row r="13247">
      <c r="A13247" s="1" t="n">
        <v>13246</v>
      </c>
      <c r="B13247">
        <f>TEXT(13246, "[$-170000]yyyy-mm-dd")</f>
        <v/>
      </c>
      <c r="C13247">
        <f>TEXT(13246, "[$-060000]yyyy-mm-dd")</f>
        <v/>
      </c>
      <c r="D13247" t="inlineStr">
        <is>
          <t>1355-01-15</t>
        </is>
      </c>
    </row>
    <row r="13248">
      <c r="A13248" s="1" t="n">
        <v>13247</v>
      </c>
      <c r="B13248">
        <f>TEXT(13247, "[$-170000]yyyy-mm-dd")</f>
        <v/>
      </c>
      <c r="C13248">
        <f>TEXT(13247, "[$-060000]yyyy-mm-dd")</f>
        <v/>
      </c>
      <c r="D13248" t="inlineStr">
        <is>
          <t>1355-01-16</t>
        </is>
      </c>
    </row>
    <row r="13249">
      <c r="A13249" s="1" t="n">
        <v>13248</v>
      </c>
      <c r="B13249">
        <f>TEXT(13248, "[$-170000]yyyy-mm-dd")</f>
        <v/>
      </c>
      <c r="C13249">
        <f>TEXT(13248, "[$-060000]yyyy-mm-dd")</f>
        <v/>
      </c>
      <c r="D13249" t="inlineStr">
        <is>
          <t>1355-01-17</t>
        </is>
      </c>
    </row>
    <row r="13250">
      <c r="A13250" s="1" t="n">
        <v>13249</v>
      </c>
      <c r="B13250">
        <f>TEXT(13249, "[$-170000]yyyy-mm-dd")</f>
        <v/>
      </c>
      <c r="C13250">
        <f>TEXT(13249, "[$-060000]yyyy-mm-dd")</f>
        <v/>
      </c>
      <c r="D13250" t="inlineStr">
        <is>
          <t>1355-01-18</t>
        </is>
      </c>
    </row>
    <row r="13251">
      <c r="A13251" s="1" t="n">
        <v>13250</v>
      </c>
      <c r="B13251">
        <f>TEXT(13250, "[$-170000]yyyy-mm-dd")</f>
        <v/>
      </c>
      <c r="C13251">
        <f>TEXT(13250, "[$-060000]yyyy-mm-dd")</f>
        <v/>
      </c>
      <c r="D13251" t="inlineStr">
        <is>
          <t>1355-01-19</t>
        </is>
      </c>
    </row>
    <row r="13252">
      <c r="A13252" s="1" t="n">
        <v>13251</v>
      </c>
      <c r="B13252">
        <f>TEXT(13251, "[$-170000]yyyy-mm-dd")</f>
        <v/>
      </c>
      <c r="C13252">
        <f>TEXT(13251, "[$-060000]yyyy-mm-dd")</f>
        <v/>
      </c>
      <c r="D13252" t="inlineStr">
        <is>
          <t>1355-01-20</t>
        </is>
      </c>
    </row>
    <row r="13253">
      <c r="A13253" s="1" t="n">
        <v>13252</v>
      </c>
      <c r="B13253">
        <f>TEXT(13252, "[$-170000]yyyy-mm-dd")</f>
        <v/>
      </c>
      <c r="C13253">
        <f>TEXT(13252, "[$-060000]yyyy-mm-dd")</f>
        <v/>
      </c>
      <c r="D13253" t="inlineStr">
        <is>
          <t>1355-01-21</t>
        </is>
      </c>
    </row>
    <row r="13254">
      <c r="A13254" s="1" t="n">
        <v>13253</v>
      </c>
      <c r="B13254">
        <f>TEXT(13253, "[$-170000]yyyy-mm-dd")</f>
        <v/>
      </c>
      <c r="C13254">
        <f>TEXT(13253, "[$-060000]yyyy-mm-dd")</f>
        <v/>
      </c>
      <c r="D13254" t="inlineStr">
        <is>
          <t>1355-01-22</t>
        </is>
      </c>
    </row>
    <row r="13255">
      <c r="A13255" s="1" t="n">
        <v>13254</v>
      </c>
      <c r="B13255">
        <f>TEXT(13254, "[$-170000]yyyy-mm-dd")</f>
        <v/>
      </c>
      <c r="C13255">
        <f>TEXT(13254, "[$-060000]yyyy-mm-dd")</f>
        <v/>
      </c>
      <c r="D13255" t="inlineStr">
        <is>
          <t>1355-01-23</t>
        </is>
      </c>
    </row>
    <row r="13256">
      <c r="A13256" s="1" t="n">
        <v>13255</v>
      </c>
      <c r="B13256">
        <f>TEXT(13255, "[$-170000]yyyy-mm-dd")</f>
        <v/>
      </c>
      <c r="C13256">
        <f>TEXT(13255, "[$-060000]yyyy-mm-dd")</f>
        <v/>
      </c>
      <c r="D13256" t="inlineStr">
        <is>
          <t>1355-01-24</t>
        </is>
      </c>
    </row>
    <row r="13257">
      <c r="A13257" s="1" t="n">
        <v>13256</v>
      </c>
      <c r="B13257">
        <f>TEXT(13256, "[$-170000]yyyy-mm-dd")</f>
        <v/>
      </c>
      <c r="C13257">
        <f>TEXT(13256, "[$-060000]yyyy-mm-dd")</f>
        <v/>
      </c>
      <c r="D13257" t="inlineStr">
        <is>
          <t>1355-01-25</t>
        </is>
      </c>
    </row>
    <row r="13258">
      <c r="A13258" s="1" t="n">
        <v>13257</v>
      </c>
      <c r="B13258">
        <f>TEXT(13257, "[$-170000]yyyy-mm-dd")</f>
        <v/>
      </c>
      <c r="C13258">
        <f>TEXT(13257, "[$-060000]yyyy-mm-dd")</f>
        <v/>
      </c>
      <c r="D13258" t="inlineStr">
        <is>
          <t>1355-01-26</t>
        </is>
      </c>
    </row>
    <row r="13259">
      <c r="A13259" s="1" t="n">
        <v>13258</v>
      </c>
      <c r="B13259">
        <f>TEXT(13258, "[$-170000]yyyy-mm-dd")</f>
        <v/>
      </c>
      <c r="C13259">
        <f>TEXT(13258, "[$-060000]yyyy-mm-dd")</f>
        <v/>
      </c>
      <c r="D13259" t="inlineStr">
        <is>
          <t>1355-01-27</t>
        </is>
      </c>
    </row>
    <row r="13260">
      <c r="A13260" s="1" t="n">
        <v>13259</v>
      </c>
      <c r="B13260">
        <f>TEXT(13259, "[$-170000]yyyy-mm-dd")</f>
        <v/>
      </c>
      <c r="C13260">
        <f>TEXT(13259, "[$-060000]yyyy-mm-dd")</f>
        <v/>
      </c>
      <c r="D13260" t="inlineStr">
        <is>
          <t>1355-01-28</t>
        </is>
      </c>
    </row>
    <row r="13261">
      <c r="A13261" s="1" t="n">
        <v>13260</v>
      </c>
      <c r="B13261">
        <f>TEXT(13260, "[$-170000]yyyy-mm-dd")</f>
        <v/>
      </c>
      <c r="C13261">
        <f>TEXT(13260, "[$-060000]yyyy-mm-dd")</f>
        <v/>
      </c>
      <c r="D13261" t="inlineStr">
        <is>
          <t>1355-01-29</t>
        </is>
      </c>
    </row>
    <row r="13262">
      <c r="A13262" s="1" t="n">
        <v>13261</v>
      </c>
      <c r="B13262">
        <f>TEXT(13261, "[$-170000]yyyy-mm-dd")</f>
        <v/>
      </c>
      <c r="C13262">
        <f>TEXT(13261, "[$-060000]yyyy-mm-dd")</f>
        <v/>
      </c>
      <c r="D13262" t="inlineStr">
        <is>
          <t>1355-01-30</t>
        </is>
      </c>
    </row>
    <row r="13263">
      <c r="A13263" s="1" t="n">
        <v>13262</v>
      </c>
      <c r="B13263">
        <f>TEXT(13262, "[$-170000]yyyy-mm-dd")</f>
        <v/>
      </c>
      <c r="C13263">
        <f>TEXT(13262, "[$-060000]yyyy-mm-dd")</f>
        <v/>
      </c>
      <c r="D13263" t="inlineStr">
        <is>
          <t>1355-02-01</t>
        </is>
      </c>
    </row>
    <row r="13264">
      <c r="A13264" s="1" t="n">
        <v>13263</v>
      </c>
      <c r="B13264">
        <f>TEXT(13263, "[$-170000]yyyy-mm-dd")</f>
        <v/>
      </c>
      <c r="C13264">
        <f>TEXT(13263, "[$-060000]yyyy-mm-dd")</f>
        <v/>
      </c>
      <c r="D13264" t="inlineStr">
        <is>
          <t>1355-02-02</t>
        </is>
      </c>
    </row>
    <row r="13265">
      <c r="A13265" s="1" t="n">
        <v>13264</v>
      </c>
      <c r="B13265">
        <f>TEXT(13264, "[$-170000]yyyy-mm-dd")</f>
        <v/>
      </c>
      <c r="C13265">
        <f>TEXT(13264, "[$-060000]yyyy-mm-dd")</f>
        <v/>
      </c>
      <c r="D13265" t="inlineStr">
        <is>
          <t>1355-02-03</t>
        </is>
      </c>
    </row>
    <row r="13266">
      <c r="A13266" s="1" t="n">
        <v>13265</v>
      </c>
      <c r="B13266">
        <f>TEXT(13265, "[$-170000]yyyy-mm-dd")</f>
        <v/>
      </c>
      <c r="C13266">
        <f>TEXT(13265, "[$-060000]yyyy-mm-dd")</f>
        <v/>
      </c>
      <c r="D13266" t="inlineStr">
        <is>
          <t>1355-02-04</t>
        </is>
      </c>
    </row>
    <row r="13267">
      <c r="A13267" s="1" t="n">
        <v>13266</v>
      </c>
      <c r="B13267">
        <f>TEXT(13266, "[$-170000]yyyy-mm-dd")</f>
        <v/>
      </c>
      <c r="C13267">
        <f>TEXT(13266, "[$-060000]yyyy-mm-dd")</f>
        <v/>
      </c>
      <c r="D13267" t="inlineStr">
        <is>
          <t>1355-02-05</t>
        </is>
      </c>
    </row>
    <row r="13268">
      <c r="A13268" s="1" t="n">
        <v>13267</v>
      </c>
      <c r="B13268">
        <f>TEXT(13267, "[$-170000]yyyy-mm-dd")</f>
        <v/>
      </c>
      <c r="C13268">
        <f>TEXT(13267, "[$-060000]yyyy-mm-dd")</f>
        <v/>
      </c>
      <c r="D13268" t="inlineStr">
        <is>
          <t>1355-02-06</t>
        </is>
      </c>
    </row>
    <row r="13269">
      <c r="A13269" s="1" t="n">
        <v>13268</v>
      </c>
      <c r="B13269">
        <f>TEXT(13268, "[$-170000]yyyy-mm-dd")</f>
        <v/>
      </c>
      <c r="C13269">
        <f>TEXT(13268, "[$-060000]yyyy-mm-dd")</f>
        <v/>
      </c>
      <c r="D13269" t="inlineStr">
        <is>
          <t>1355-02-07</t>
        </is>
      </c>
    </row>
    <row r="13270">
      <c r="A13270" s="1" t="n">
        <v>13269</v>
      </c>
      <c r="B13270">
        <f>TEXT(13269, "[$-170000]yyyy-mm-dd")</f>
        <v/>
      </c>
      <c r="C13270">
        <f>TEXT(13269, "[$-060000]yyyy-mm-dd")</f>
        <v/>
      </c>
      <c r="D13270" t="inlineStr">
        <is>
          <t>1355-02-08</t>
        </is>
      </c>
    </row>
    <row r="13271">
      <c r="A13271" s="1" t="n">
        <v>13270</v>
      </c>
      <c r="B13271">
        <f>TEXT(13270, "[$-170000]yyyy-mm-dd")</f>
        <v/>
      </c>
      <c r="C13271">
        <f>TEXT(13270, "[$-060000]yyyy-mm-dd")</f>
        <v/>
      </c>
      <c r="D13271" t="inlineStr">
        <is>
          <t>1355-02-09</t>
        </is>
      </c>
    </row>
    <row r="13272">
      <c r="A13272" s="1" t="n">
        <v>13271</v>
      </c>
      <c r="B13272">
        <f>TEXT(13271, "[$-170000]yyyy-mm-dd")</f>
        <v/>
      </c>
      <c r="C13272">
        <f>TEXT(13271, "[$-060000]yyyy-mm-dd")</f>
        <v/>
      </c>
      <c r="D13272" t="inlineStr">
        <is>
          <t>1355-02-10</t>
        </is>
      </c>
    </row>
    <row r="13273">
      <c r="A13273" s="1" t="n">
        <v>13272</v>
      </c>
      <c r="B13273">
        <f>TEXT(13272, "[$-170000]yyyy-mm-dd")</f>
        <v/>
      </c>
      <c r="C13273">
        <f>TEXT(13272, "[$-060000]yyyy-mm-dd")</f>
        <v/>
      </c>
      <c r="D13273" t="inlineStr">
        <is>
          <t>1355-02-11</t>
        </is>
      </c>
    </row>
    <row r="13274">
      <c r="A13274" s="1" t="n">
        <v>13273</v>
      </c>
      <c r="B13274">
        <f>TEXT(13273, "[$-170000]yyyy-mm-dd")</f>
        <v/>
      </c>
      <c r="C13274">
        <f>TEXT(13273, "[$-060000]yyyy-mm-dd")</f>
        <v/>
      </c>
      <c r="D13274" t="inlineStr">
        <is>
          <t>1355-02-12</t>
        </is>
      </c>
    </row>
    <row r="13275">
      <c r="A13275" s="1" t="n">
        <v>13274</v>
      </c>
      <c r="B13275">
        <f>TEXT(13274, "[$-170000]yyyy-mm-dd")</f>
        <v/>
      </c>
      <c r="C13275">
        <f>TEXT(13274, "[$-060000]yyyy-mm-dd")</f>
        <v/>
      </c>
      <c r="D13275" t="inlineStr">
        <is>
          <t>1355-02-13</t>
        </is>
      </c>
    </row>
    <row r="13276">
      <c r="A13276" s="1" t="n">
        <v>13275</v>
      </c>
      <c r="B13276">
        <f>TEXT(13275, "[$-170000]yyyy-mm-dd")</f>
        <v/>
      </c>
      <c r="C13276">
        <f>TEXT(13275, "[$-060000]yyyy-mm-dd")</f>
        <v/>
      </c>
      <c r="D13276" t="inlineStr">
        <is>
          <t>1355-02-14</t>
        </is>
      </c>
    </row>
    <row r="13277">
      <c r="A13277" s="1" t="n">
        <v>13276</v>
      </c>
      <c r="B13277">
        <f>TEXT(13276, "[$-170000]yyyy-mm-dd")</f>
        <v/>
      </c>
      <c r="C13277">
        <f>TEXT(13276, "[$-060000]yyyy-mm-dd")</f>
        <v/>
      </c>
      <c r="D13277" t="inlineStr">
        <is>
          <t>1355-02-15</t>
        </is>
      </c>
    </row>
    <row r="13278">
      <c r="A13278" s="1" t="n">
        <v>13277</v>
      </c>
      <c r="B13278">
        <f>TEXT(13277, "[$-170000]yyyy-mm-dd")</f>
        <v/>
      </c>
      <c r="C13278">
        <f>TEXT(13277, "[$-060000]yyyy-mm-dd")</f>
        <v/>
      </c>
      <c r="D13278" t="inlineStr">
        <is>
          <t>1355-02-16</t>
        </is>
      </c>
    </row>
    <row r="13279">
      <c r="A13279" s="1" t="n">
        <v>13278</v>
      </c>
      <c r="B13279">
        <f>TEXT(13278, "[$-170000]yyyy-mm-dd")</f>
        <v/>
      </c>
      <c r="C13279">
        <f>TEXT(13278, "[$-060000]yyyy-mm-dd")</f>
        <v/>
      </c>
      <c r="D13279" t="inlineStr">
        <is>
          <t>1355-02-17</t>
        </is>
      </c>
    </row>
    <row r="13280">
      <c r="A13280" s="1" t="n">
        <v>13279</v>
      </c>
      <c r="B13280">
        <f>TEXT(13279, "[$-170000]yyyy-mm-dd")</f>
        <v/>
      </c>
      <c r="C13280">
        <f>TEXT(13279, "[$-060000]yyyy-mm-dd")</f>
        <v/>
      </c>
      <c r="D13280" t="inlineStr">
        <is>
          <t>1355-02-18</t>
        </is>
      </c>
    </row>
    <row r="13281">
      <c r="A13281" s="1" t="n">
        <v>13280</v>
      </c>
      <c r="B13281">
        <f>TEXT(13280, "[$-170000]yyyy-mm-dd")</f>
        <v/>
      </c>
      <c r="C13281">
        <f>TEXT(13280, "[$-060000]yyyy-mm-dd")</f>
        <v/>
      </c>
      <c r="D13281" t="inlineStr">
        <is>
          <t>1355-02-19</t>
        </is>
      </c>
    </row>
    <row r="13282">
      <c r="A13282" s="1" t="n">
        <v>13281</v>
      </c>
      <c r="B13282">
        <f>TEXT(13281, "[$-170000]yyyy-mm-dd")</f>
        <v/>
      </c>
      <c r="C13282">
        <f>TEXT(13281, "[$-060000]yyyy-mm-dd")</f>
        <v/>
      </c>
      <c r="D13282" t="inlineStr">
        <is>
          <t>1355-02-20</t>
        </is>
      </c>
    </row>
    <row r="13283">
      <c r="A13283" s="1" t="n">
        <v>13282</v>
      </c>
      <c r="B13283">
        <f>TEXT(13282, "[$-170000]yyyy-mm-dd")</f>
        <v/>
      </c>
      <c r="C13283">
        <f>TEXT(13282, "[$-060000]yyyy-mm-dd")</f>
        <v/>
      </c>
      <c r="D13283" t="inlineStr">
        <is>
          <t>1355-02-21</t>
        </is>
      </c>
    </row>
    <row r="13284">
      <c r="A13284" s="1" t="n">
        <v>13283</v>
      </c>
      <c r="B13284">
        <f>TEXT(13283, "[$-170000]yyyy-mm-dd")</f>
        <v/>
      </c>
      <c r="C13284">
        <f>TEXT(13283, "[$-060000]yyyy-mm-dd")</f>
        <v/>
      </c>
      <c r="D13284" t="inlineStr">
        <is>
          <t>1355-02-22</t>
        </is>
      </c>
    </row>
    <row r="13285">
      <c r="A13285" s="1" t="n">
        <v>13284</v>
      </c>
      <c r="B13285">
        <f>TEXT(13284, "[$-170000]yyyy-mm-dd")</f>
        <v/>
      </c>
      <c r="C13285">
        <f>TEXT(13284, "[$-060000]yyyy-mm-dd")</f>
        <v/>
      </c>
      <c r="D13285" t="inlineStr">
        <is>
          <t>1355-02-23</t>
        </is>
      </c>
    </row>
    <row r="13286">
      <c r="A13286" s="1" t="n">
        <v>13285</v>
      </c>
      <c r="B13286">
        <f>TEXT(13285, "[$-170000]yyyy-mm-dd")</f>
        <v/>
      </c>
      <c r="C13286">
        <f>TEXT(13285, "[$-060000]yyyy-mm-dd")</f>
        <v/>
      </c>
      <c r="D13286" t="inlineStr">
        <is>
          <t>1355-02-24</t>
        </is>
      </c>
    </row>
    <row r="13287">
      <c r="A13287" s="1" t="n">
        <v>13286</v>
      </c>
      <c r="B13287">
        <f>TEXT(13286, "[$-170000]yyyy-mm-dd")</f>
        <v/>
      </c>
      <c r="C13287">
        <f>TEXT(13286, "[$-060000]yyyy-mm-dd")</f>
        <v/>
      </c>
      <c r="D13287" t="inlineStr">
        <is>
          <t>1355-02-25</t>
        </is>
      </c>
    </row>
    <row r="13288">
      <c r="A13288" s="1" t="n">
        <v>13287</v>
      </c>
      <c r="B13288">
        <f>TEXT(13287, "[$-170000]yyyy-mm-dd")</f>
        <v/>
      </c>
      <c r="C13288">
        <f>TEXT(13287, "[$-060000]yyyy-mm-dd")</f>
        <v/>
      </c>
      <c r="D13288" t="inlineStr">
        <is>
          <t>1355-02-26</t>
        </is>
      </c>
    </row>
    <row r="13289">
      <c r="A13289" s="1" t="n">
        <v>13288</v>
      </c>
      <c r="B13289">
        <f>TEXT(13288, "[$-170000]yyyy-mm-dd")</f>
        <v/>
      </c>
      <c r="C13289">
        <f>TEXT(13288, "[$-060000]yyyy-mm-dd")</f>
        <v/>
      </c>
      <c r="D13289" t="inlineStr">
        <is>
          <t>1355-02-27</t>
        </is>
      </c>
    </row>
    <row r="13290">
      <c r="A13290" s="1" t="n">
        <v>13289</v>
      </c>
      <c r="B13290">
        <f>TEXT(13289, "[$-170000]yyyy-mm-dd")</f>
        <v/>
      </c>
      <c r="C13290">
        <f>TEXT(13289, "[$-060000]yyyy-mm-dd")</f>
        <v/>
      </c>
      <c r="D13290" t="inlineStr">
        <is>
          <t>1355-02-28</t>
        </is>
      </c>
    </row>
    <row r="13291">
      <c r="A13291" s="1" t="n">
        <v>13290</v>
      </c>
      <c r="B13291">
        <f>TEXT(13290, "[$-170000]yyyy-mm-dd")</f>
        <v/>
      </c>
      <c r="C13291">
        <f>TEXT(13290, "[$-060000]yyyy-mm-dd")</f>
        <v/>
      </c>
      <c r="D13291" t="inlineStr">
        <is>
          <t>1355-02-29</t>
        </is>
      </c>
    </row>
    <row r="13292">
      <c r="A13292" s="1" t="n">
        <v>13291</v>
      </c>
      <c r="B13292">
        <f>TEXT(13291, "[$-170000]yyyy-mm-dd")</f>
        <v/>
      </c>
      <c r="C13292">
        <f>TEXT(13291, "[$-060000]yyyy-mm-dd")</f>
        <v/>
      </c>
      <c r="D13292" t="inlineStr">
        <is>
          <t>1355-03-01</t>
        </is>
      </c>
    </row>
    <row r="13293">
      <c r="A13293" s="1" t="n">
        <v>13292</v>
      </c>
      <c r="B13293">
        <f>TEXT(13292, "[$-170000]yyyy-mm-dd")</f>
        <v/>
      </c>
      <c r="C13293">
        <f>TEXT(13292, "[$-060000]yyyy-mm-dd")</f>
        <v/>
      </c>
      <c r="D13293" t="inlineStr">
        <is>
          <t>1355-03-02</t>
        </is>
      </c>
    </row>
    <row r="13294">
      <c r="A13294" s="1" t="n">
        <v>13293</v>
      </c>
      <c r="B13294">
        <f>TEXT(13293, "[$-170000]yyyy-mm-dd")</f>
        <v/>
      </c>
      <c r="C13294">
        <f>TEXT(13293, "[$-060000]yyyy-mm-dd")</f>
        <v/>
      </c>
      <c r="D13294" t="inlineStr">
        <is>
          <t>1355-03-03</t>
        </is>
      </c>
    </row>
    <row r="13295">
      <c r="A13295" s="1" t="n">
        <v>13294</v>
      </c>
      <c r="B13295">
        <f>TEXT(13294, "[$-170000]yyyy-mm-dd")</f>
        <v/>
      </c>
      <c r="C13295">
        <f>TEXT(13294, "[$-060000]yyyy-mm-dd")</f>
        <v/>
      </c>
      <c r="D13295" t="inlineStr">
        <is>
          <t>1355-03-04</t>
        </is>
      </c>
    </row>
    <row r="13296">
      <c r="A13296" s="1" t="n">
        <v>13295</v>
      </c>
      <c r="B13296">
        <f>TEXT(13295, "[$-170000]yyyy-mm-dd")</f>
        <v/>
      </c>
      <c r="C13296">
        <f>TEXT(13295, "[$-060000]yyyy-mm-dd")</f>
        <v/>
      </c>
      <c r="D13296" t="inlineStr">
        <is>
          <t>1355-03-05</t>
        </is>
      </c>
    </row>
    <row r="13297">
      <c r="A13297" s="1" t="n">
        <v>13296</v>
      </c>
      <c r="B13297">
        <f>TEXT(13296, "[$-170000]yyyy-mm-dd")</f>
        <v/>
      </c>
      <c r="C13297">
        <f>TEXT(13296, "[$-060000]yyyy-mm-dd")</f>
        <v/>
      </c>
      <c r="D13297" t="inlineStr">
        <is>
          <t>1355-03-06</t>
        </is>
      </c>
    </row>
    <row r="13298">
      <c r="A13298" s="1" t="n">
        <v>13297</v>
      </c>
      <c r="B13298">
        <f>TEXT(13297, "[$-170000]yyyy-mm-dd")</f>
        <v/>
      </c>
      <c r="C13298">
        <f>TEXT(13297, "[$-060000]yyyy-mm-dd")</f>
        <v/>
      </c>
      <c r="D13298" t="inlineStr">
        <is>
          <t>1355-03-07</t>
        </is>
      </c>
    </row>
    <row r="13299">
      <c r="A13299" s="1" t="n">
        <v>13298</v>
      </c>
      <c r="B13299">
        <f>TEXT(13298, "[$-170000]yyyy-mm-dd")</f>
        <v/>
      </c>
      <c r="C13299">
        <f>TEXT(13298, "[$-060000]yyyy-mm-dd")</f>
        <v/>
      </c>
      <c r="D13299" t="inlineStr">
        <is>
          <t>1355-03-08</t>
        </is>
      </c>
    </row>
    <row r="13300">
      <c r="A13300" s="1" t="n">
        <v>13299</v>
      </c>
      <c r="B13300">
        <f>TEXT(13299, "[$-170000]yyyy-mm-dd")</f>
        <v/>
      </c>
      <c r="C13300">
        <f>TEXT(13299, "[$-060000]yyyy-mm-dd")</f>
        <v/>
      </c>
      <c r="D13300" t="inlineStr">
        <is>
          <t>1355-03-09</t>
        </is>
      </c>
    </row>
    <row r="13301">
      <c r="A13301" s="1" t="n">
        <v>13300</v>
      </c>
      <c r="B13301">
        <f>TEXT(13300, "[$-170000]yyyy-mm-dd")</f>
        <v/>
      </c>
      <c r="C13301">
        <f>TEXT(13300, "[$-060000]yyyy-mm-dd")</f>
        <v/>
      </c>
      <c r="D13301" t="inlineStr">
        <is>
          <t>1355-03-10</t>
        </is>
      </c>
    </row>
    <row r="13302">
      <c r="A13302" s="1" t="n">
        <v>13301</v>
      </c>
      <c r="B13302">
        <f>TEXT(13301, "[$-170000]yyyy-mm-dd")</f>
        <v/>
      </c>
      <c r="C13302">
        <f>TEXT(13301, "[$-060000]yyyy-mm-dd")</f>
        <v/>
      </c>
      <c r="D13302" t="inlineStr">
        <is>
          <t>1355-03-11</t>
        </is>
      </c>
    </row>
    <row r="13303">
      <c r="A13303" s="1" t="n">
        <v>13302</v>
      </c>
      <c r="B13303">
        <f>TEXT(13302, "[$-170000]yyyy-mm-dd")</f>
        <v/>
      </c>
      <c r="C13303">
        <f>TEXT(13302, "[$-060000]yyyy-mm-dd")</f>
        <v/>
      </c>
      <c r="D13303" t="inlineStr">
        <is>
          <t>1355-03-12</t>
        </is>
      </c>
    </row>
    <row r="13304">
      <c r="A13304" s="1" t="n">
        <v>13303</v>
      </c>
      <c r="B13304">
        <f>TEXT(13303, "[$-170000]yyyy-mm-dd")</f>
        <v/>
      </c>
      <c r="C13304">
        <f>TEXT(13303, "[$-060000]yyyy-mm-dd")</f>
        <v/>
      </c>
      <c r="D13304" t="inlineStr">
        <is>
          <t>1355-03-13</t>
        </is>
      </c>
    </row>
    <row r="13305">
      <c r="A13305" s="1" t="n">
        <v>13304</v>
      </c>
      <c r="B13305">
        <f>TEXT(13304, "[$-170000]yyyy-mm-dd")</f>
        <v/>
      </c>
      <c r="C13305">
        <f>TEXT(13304, "[$-060000]yyyy-mm-dd")</f>
        <v/>
      </c>
      <c r="D13305" t="inlineStr">
        <is>
          <t>1355-03-14</t>
        </is>
      </c>
    </row>
    <row r="13306">
      <c r="A13306" s="1" t="n">
        <v>13305</v>
      </c>
      <c r="B13306">
        <f>TEXT(13305, "[$-170000]yyyy-mm-dd")</f>
        <v/>
      </c>
      <c r="C13306">
        <f>TEXT(13305, "[$-060000]yyyy-mm-dd")</f>
        <v/>
      </c>
      <c r="D13306" t="inlineStr">
        <is>
          <t>1355-03-15</t>
        </is>
      </c>
    </row>
    <row r="13307">
      <c r="A13307" s="1" t="n">
        <v>13306</v>
      </c>
      <c r="B13307">
        <f>TEXT(13306, "[$-170000]yyyy-mm-dd")</f>
        <v/>
      </c>
      <c r="C13307">
        <f>TEXT(13306, "[$-060000]yyyy-mm-dd")</f>
        <v/>
      </c>
      <c r="D13307" t="inlineStr">
        <is>
          <t>1355-03-16</t>
        </is>
      </c>
    </row>
    <row r="13308">
      <c r="A13308" s="1" t="n">
        <v>13307</v>
      </c>
      <c r="B13308">
        <f>TEXT(13307, "[$-170000]yyyy-mm-dd")</f>
        <v/>
      </c>
      <c r="C13308">
        <f>TEXT(13307, "[$-060000]yyyy-mm-dd")</f>
        <v/>
      </c>
      <c r="D13308" t="inlineStr">
        <is>
          <t>1355-03-17</t>
        </is>
      </c>
    </row>
    <row r="13309">
      <c r="A13309" s="1" t="n">
        <v>13308</v>
      </c>
      <c r="B13309">
        <f>TEXT(13308, "[$-170000]yyyy-mm-dd")</f>
        <v/>
      </c>
      <c r="C13309">
        <f>TEXT(13308, "[$-060000]yyyy-mm-dd")</f>
        <v/>
      </c>
      <c r="D13309" t="inlineStr">
        <is>
          <t>1355-03-18</t>
        </is>
      </c>
    </row>
    <row r="13310">
      <c r="A13310" s="1" t="n">
        <v>13309</v>
      </c>
      <c r="B13310">
        <f>TEXT(13309, "[$-170000]yyyy-mm-dd")</f>
        <v/>
      </c>
      <c r="C13310">
        <f>TEXT(13309, "[$-060000]yyyy-mm-dd")</f>
        <v/>
      </c>
      <c r="D13310" t="inlineStr">
        <is>
          <t>1355-03-19</t>
        </is>
      </c>
    </row>
    <row r="13311">
      <c r="A13311" s="1" t="n">
        <v>13310</v>
      </c>
      <c r="B13311">
        <f>TEXT(13310, "[$-170000]yyyy-mm-dd")</f>
        <v/>
      </c>
      <c r="C13311">
        <f>TEXT(13310, "[$-060000]yyyy-mm-dd")</f>
        <v/>
      </c>
      <c r="D13311" t="inlineStr">
        <is>
          <t>1355-03-20</t>
        </is>
      </c>
    </row>
    <row r="13312">
      <c r="A13312" s="1" t="n">
        <v>13311</v>
      </c>
      <c r="B13312">
        <f>TEXT(13311, "[$-170000]yyyy-mm-dd")</f>
        <v/>
      </c>
      <c r="C13312">
        <f>TEXT(13311, "[$-060000]yyyy-mm-dd")</f>
        <v/>
      </c>
      <c r="D13312" t="inlineStr">
        <is>
          <t>1355-03-21</t>
        </is>
      </c>
    </row>
    <row r="13313">
      <c r="A13313" s="1" t="n">
        <v>13312</v>
      </c>
      <c r="B13313">
        <f>TEXT(13312, "[$-170000]yyyy-mm-dd")</f>
        <v/>
      </c>
      <c r="C13313">
        <f>TEXT(13312, "[$-060000]yyyy-mm-dd")</f>
        <v/>
      </c>
      <c r="D13313" t="inlineStr">
        <is>
          <t>1355-03-22</t>
        </is>
      </c>
    </row>
    <row r="13314">
      <c r="A13314" s="1" t="n">
        <v>13313</v>
      </c>
      <c r="B13314">
        <f>TEXT(13313, "[$-170000]yyyy-mm-dd")</f>
        <v/>
      </c>
      <c r="C13314">
        <f>TEXT(13313, "[$-060000]yyyy-mm-dd")</f>
        <v/>
      </c>
      <c r="D13314" t="inlineStr">
        <is>
          <t>1355-03-23</t>
        </is>
      </c>
    </row>
    <row r="13315">
      <c r="A13315" s="1" t="n">
        <v>13314</v>
      </c>
      <c r="B13315">
        <f>TEXT(13314, "[$-170000]yyyy-mm-dd")</f>
        <v/>
      </c>
      <c r="C13315">
        <f>TEXT(13314, "[$-060000]yyyy-mm-dd")</f>
        <v/>
      </c>
      <c r="D13315" t="inlineStr">
        <is>
          <t>1355-03-24</t>
        </is>
      </c>
    </row>
    <row r="13316">
      <c r="A13316" s="1" t="n">
        <v>13315</v>
      </c>
      <c r="B13316">
        <f>TEXT(13315, "[$-170000]yyyy-mm-dd")</f>
        <v/>
      </c>
      <c r="C13316">
        <f>TEXT(13315, "[$-060000]yyyy-mm-dd")</f>
        <v/>
      </c>
      <c r="D13316" t="inlineStr">
        <is>
          <t>1355-03-25</t>
        </is>
      </c>
    </row>
    <row r="13317">
      <c r="A13317" s="1" t="n">
        <v>13316</v>
      </c>
      <c r="B13317">
        <f>TEXT(13316, "[$-170000]yyyy-mm-dd")</f>
        <v/>
      </c>
      <c r="C13317">
        <f>TEXT(13316, "[$-060000]yyyy-mm-dd")</f>
        <v/>
      </c>
      <c r="D13317" t="inlineStr">
        <is>
          <t>1355-03-26</t>
        </is>
      </c>
    </row>
    <row r="13318">
      <c r="A13318" s="1" t="n">
        <v>13317</v>
      </c>
      <c r="B13318">
        <f>TEXT(13317, "[$-170000]yyyy-mm-dd")</f>
        <v/>
      </c>
      <c r="C13318">
        <f>TEXT(13317, "[$-060000]yyyy-mm-dd")</f>
        <v/>
      </c>
      <c r="D13318" t="inlineStr">
        <is>
          <t>1355-03-27</t>
        </is>
      </c>
    </row>
    <row r="13319">
      <c r="A13319" s="1" t="n">
        <v>13318</v>
      </c>
      <c r="B13319">
        <f>TEXT(13318, "[$-170000]yyyy-mm-dd")</f>
        <v/>
      </c>
      <c r="C13319">
        <f>TEXT(13318, "[$-060000]yyyy-mm-dd")</f>
        <v/>
      </c>
      <c r="D13319" t="inlineStr">
        <is>
          <t>1355-03-28</t>
        </is>
      </c>
    </row>
    <row r="13320">
      <c r="A13320" s="1" t="n">
        <v>13319</v>
      </c>
      <c r="B13320">
        <f>TEXT(13319, "[$-170000]yyyy-mm-dd")</f>
        <v/>
      </c>
      <c r="C13320">
        <f>TEXT(13319, "[$-060000]yyyy-mm-dd")</f>
        <v/>
      </c>
      <c r="D13320" t="inlineStr">
        <is>
          <t>1355-03-29</t>
        </is>
      </c>
    </row>
    <row r="13321">
      <c r="A13321" s="1" t="n">
        <v>13320</v>
      </c>
      <c r="B13321">
        <f>TEXT(13320, "[$-170000]yyyy-mm-dd")</f>
        <v/>
      </c>
      <c r="C13321">
        <f>TEXT(13320, "[$-060000]yyyy-mm-dd")</f>
        <v/>
      </c>
      <c r="D13321" t="inlineStr">
        <is>
          <t>1355-03-30</t>
        </is>
      </c>
    </row>
    <row r="13322">
      <c r="A13322" s="1" t="n">
        <v>13321</v>
      </c>
      <c r="B13322">
        <f>TEXT(13321, "[$-170000]yyyy-mm-dd")</f>
        <v/>
      </c>
      <c r="C13322">
        <f>TEXT(13321, "[$-060000]yyyy-mm-dd")</f>
        <v/>
      </c>
      <c r="D13322" t="inlineStr">
        <is>
          <t>1355-04-01</t>
        </is>
      </c>
    </row>
    <row r="13323">
      <c r="A13323" s="1" t="n">
        <v>13322</v>
      </c>
      <c r="B13323">
        <f>TEXT(13322, "[$-170000]yyyy-mm-dd")</f>
        <v/>
      </c>
      <c r="C13323">
        <f>TEXT(13322, "[$-060000]yyyy-mm-dd")</f>
        <v/>
      </c>
      <c r="D13323" t="inlineStr">
        <is>
          <t>1355-04-02</t>
        </is>
      </c>
    </row>
    <row r="13324">
      <c r="A13324" s="1" t="n">
        <v>13323</v>
      </c>
      <c r="B13324">
        <f>TEXT(13323, "[$-170000]yyyy-mm-dd")</f>
        <v/>
      </c>
      <c r="C13324">
        <f>TEXT(13323, "[$-060000]yyyy-mm-dd")</f>
        <v/>
      </c>
      <c r="D13324" t="inlineStr">
        <is>
          <t>1355-04-03</t>
        </is>
      </c>
    </row>
    <row r="13325">
      <c r="A13325" s="1" t="n">
        <v>13324</v>
      </c>
      <c r="B13325">
        <f>TEXT(13324, "[$-170000]yyyy-mm-dd")</f>
        <v/>
      </c>
      <c r="C13325">
        <f>TEXT(13324, "[$-060000]yyyy-mm-dd")</f>
        <v/>
      </c>
      <c r="D13325" t="inlineStr">
        <is>
          <t>1355-04-04</t>
        </is>
      </c>
    </row>
    <row r="13326">
      <c r="A13326" s="1" t="n">
        <v>13325</v>
      </c>
      <c r="B13326">
        <f>TEXT(13325, "[$-170000]yyyy-mm-dd")</f>
        <v/>
      </c>
      <c r="C13326">
        <f>TEXT(13325, "[$-060000]yyyy-mm-dd")</f>
        <v/>
      </c>
      <c r="D13326" t="inlineStr">
        <is>
          <t>1355-04-05</t>
        </is>
      </c>
    </row>
    <row r="13327">
      <c r="A13327" s="1" t="n">
        <v>13326</v>
      </c>
      <c r="B13327">
        <f>TEXT(13326, "[$-170000]yyyy-mm-dd")</f>
        <v/>
      </c>
      <c r="C13327">
        <f>TEXT(13326, "[$-060000]yyyy-mm-dd")</f>
        <v/>
      </c>
      <c r="D13327" t="inlineStr">
        <is>
          <t>1355-04-06</t>
        </is>
      </c>
    </row>
    <row r="13328">
      <c r="A13328" s="1" t="n">
        <v>13327</v>
      </c>
      <c r="B13328">
        <f>TEXT(13327, "[$-170000]yyyy-mm-dd")</f>
        <v/>
      </c>
      <c r="C13328">
        <f>TEXT(13327, "[$-060000]yyyy-mm-dd")</f>
        <v/>
      </c>
      <c r="D13328" t="inlineStr">
        <is>
          <t>1355-04-07</t>
        </is>
      </c>
    </row>
    <row r="13329">
      <c r="A13329" s="1" t="n">
        <v>13328</v>
      </c>
      <c r="B13329">
        <f>TEXT(13328, "[$-170000]yyyy-mm-dd")</f>
        <v/>
      </c>
      <c r="C13329">
        <f>TEXT(13328, "[$-060000]yyyy-mm-dd")</f>
        <v/>
      </c>
      <c r="D13329" t="inlineStr">
        <is>
          <t>1355-04-08</t>
        </is>
      </c>
    </row>
    <row r="13330">
      <c r="A13330" s="1" t="n">
        <v>13329</v>
      </c>
      <c r="B13330">
        <f>TEXT(13329, "[$-170000]yyyy-mm-dd")</f>
        <v/>
      </c>
      <c r="C13330">
        <f>TEXT(13329, "[$-060000]yyyy-mm-dd")</f>
        <v/>
      </c>
      <c r="D13330" t="inlineStr">
        <is>
          <t>1355-04-09</t>
        </is>
      </c>
    </row>
    <row r="13331">
      <c r="A13331" s="1" t="n">
        <v>13330</v>
      </c>
      <c r="B13331">
        <f>TEXT(13330, "[$-170000]yyyy-mm-dd")</f>
        <v/>
      </c>
      <c r="C13331">
        <f>TEXT(13330, "[$-060000]yyyy-mm-dd")</f>
        <v/>
      </c>
      <c r="D13331" t="inlineStr">
        <is>
          <t>1355-04-10</t>
        </is>
      </c>
    </row>
    <row r="13332">
      <c r="A13332" s="1" t="n">
        <v>13331</v>
      </c>
      <c r="B13332">
        <f>TEXT(13331, "[$-170000]yyyy-mm-dd")</f>
        <v/>
      </c>
      <c r="C13332">
        <f>TEXT(13331, "[$-060000]yyyy-mm-dd")</f>
        <v/>
      </c>
      <c r="D13332" t="inlineStr">
        <is>
          <t>1355-04-11</t>
        </is>
      </c>
    </row>
    <row r="13333">
      <c r="A13333" s="1" t="n">
        <v>13332</v>
      </c>
      <c r="B13333">
        <f>TEXT(13332, "[$-170000]yyyy-mm-dd")</f>
        <v/>
      </c>
      <c r="C13333">
        <f>TEXT(13332, "[$-060000]yyyy-mm-dd")</f>
        <v/>
      </c>
      <c r="D13333" t="inlineStr">
        <is>
          <t>1355-04-12</t>
        </is>
      </c>
    </row>
    <row r="13334">
      <c r="A13334" s="1" t="n">
        <v>13333</v>
      </c>
      <c r="B13334">
        <f>TEXT(13333, "[$-170000]yyyy-mm-dd")</f>
        <v/>
      </c>
      <c r="C13334">
        <f>TEXT(13333, "[$-060000]yyyy-mm-dd")</f>
        <v/>
      </c>
      <c r="D13334" t="inlineStr">
        <is>
          <t>1355-04-13</t>
        </is>
      </c>
    </row>
    <row r="13335">
      <c r="A13335" s="1" t="n">
        <v>13334</v>
      </c>
      <c r="B13335">
        <f>TEXT(13334, "[$-170000]yyyy-mm-dd")</f>
        <v/>
      </c>
      <c r="C13335">
        <f>TEXT(13334, "[$-060000]yyyy-mm-dd")</f>
        <v/>
      </c>
      <c r="D13335" t="inlineStr">
        <is>
          <t>1355-04-14</t>
        </is>
      </c>
    </row>
    <row r="13336">
      <c r="A13336" s="1" t="n">
        <v>13335</v>
      </c>
      <c r="B13336">
        <f>TEXT(13335, "[$-170000]yyyy-mm-dd")</f>
        <v/>
      </c>
      <c r="C13336">
        <f>TEXT(13335, "[$-060000]yyyy-mm-dd")</f>
        <v/>
      </c>
      <c r="D13336" t="inlineStr">
        <is>
          <t>1355-04-15</t>
        </is>
      </c>
    </row>
    <row r="13337">
      <c r="A13337" s="1" t="n">
        <v>13336</v>
      </c>
      <c r="B13337">
        <f>TEXT(13336, "[$-170000]yyyy-mm-dd")</f>
        <v/>
      </c>
      <c r="C13337">
        <f>TEXT(13336, "[$-060000]yyyy-mm-dd")</f>
        <v/>
      </c>
      <c r="D13337" t="inlineStr">
        <is>
          <t>1355-04-16</t>
        </is>
      </c>
    </row>
    <row r="13338">
      <c r="A13338" s="1" t="n">
        <v>13337</v>
      </c>
      <c r="B13338">
        <f>TEXT(13337, "[$-170000]yyyy-mm-dd")</f>
        <v/>
      </c>
      <c r="C13338">
        <f>TEXT(13337, "[$-060000]yyyy-mm-dd")</f>
        <v/>
      </c>
      <c r="D13338" t="inlineStr">
        <is>
          <t>1355-04-17</t>
        </is>
      </c>
    </row>
    <row r="13339">
      <c r="A13339" s="1" t="n">
        <v>13338</v>
      </c>
      <c r="B13339">
        <f>TEXT(13338, "[$-170000]yyyy-mm-dd")</f>
        <v/>
      </c>
      <c r="C13339">
        <f>TEXT(13338, "[$-060000]yyyy-mm-dd")</f>
        <v/>
      </c>
      <c r="D13339" t="inlineStr">
        <is>
          <t>1355-04-18</t>
        </is>
      </c>
    </row>
    <row r="13340">
      <c r="A13340" s="1" t="n">
        <v>13339</v>
      </c>
      <c r="B13340">
        <f>TEXT(13339, "[$-170000]yyyy-mm-dd")</f>
        <v/>
      </c>
      <c r="C13340">
        <f>TEXT(13339, "[$-060000]yyyy-mm-dd")</f>
        <v/>
      </c>
      <c r="D13340" t="inlineStr">
        <is>
          <t>1355-04-19</t>
        </is>
      </c>
    </row>
    <row r="13341">
      <c r="A13341" s="1" t="n">
        <v>13340</v>
      </c>
      <c r="B13341">
        <f>TEXT(13340, "[$-170000]yyyy-mm-dd")</f>
        <v/>
      </c>
      <c r="C13341">
        <f>TEXT(13340, "[$-060000]yyyy-mm-dd")</f>
        <v/>
      </c>
      <c r="D13341" t="inlineStr">
        <is>
          <t>1355-04-20</t>
        </is>
      </c>
    </row>
    <row r="13342">
      <c r="A13342" s="1" t="n">
        <v>13341</v>
      </c>
      <c r="B13342">
        <f>TEXT(13341, "[$-170000]yyyy-mm-dd")</f>
        <v/>
      </c>
      <c r="C13342">
        <f>TEXT(13341, "[$-060000]yyyy-mm-dd")</f>
        <v/>
      </c>
      <c r="D13342" t="inlineStr">
        <is>
          <t>1355-04-21</t>
        </is>
      </c>
    </row>
    <row r="13343">
      <c r="A13343" s="1" t="n">
        <v>13342</v>
      </c>
      <c r="B13343">
        <f>TEXT(13342, "[$-170000]yyyy-mm-dd")</f>
        <v/>
      </c>
      <c r="C13343">
        <f>TEXT(13342, "[$-060000]yyyy-mm-dd")</f>
        <v/>
      </c>
      <c r="D13343" t="inlineStr">
        <is>
          <t>1355-04-22</t>
        </is>
      </c>
    </row>
    <row r="13344">
      <c r="A13344" s="1" t="n">
        <v>13343</v>
      </c>
      <c r="B13344">
        <f>TEXT(13343, "[$-170000]yyyy-mm-dd")</f>
        <v/>
      </c>
      <c r="C13344">
        <f>TEXT(13343, "[$-060000]yyyy-mm-dd")</f>
        <v/>
      </c>
      <c r="D13344" t="inlineStr">
        <is>
          <t>1355-04-23</t>
        </is>
      </c>
    </row>
    <row r="13345">
      <c r="A13345" s="1" t="n">
        <v>13344</v>
      </c>
      <c r="B13345">
        <f>TEXT(13344, "[$-170000]yyyy-mm-dd")</f>
        <v/>
      </c>
      <c r="C13345">
        <f>TEXT(13344, "[$-060000]yyyy-mm-dd")</f>
        <v/>
      </c>
      <c r="D13345" t="inlineStr">
        <is>
          <t>1355-04-24</t>
        </is>
      </c>
    </row>
    <row r="13346">
      <c r="A13346" s="1" t="n">
        <v>13345</v>
      </c>
      <c r="B13346">
        <f>TEXT(13345, "[$-170000]yyyy-mm-dd")</f>
        <v/>
      </c>
      <c r="C13346">
        <f>TEXT(13345, "[$-060000]yyyy-mm-dd")</f>
        <v/>
      </c>
      <c r="D13346" t="inlineStr">
        <is>
          <t>1355-04-25</t>
        </is>
      </c>
    </row>
    <row r="13347">
      <c r="A13347" s="1" t="n">
        <v>13346</v>
      </c>
      <c r="B13347">
        <f>TEXT(13346, "[$-170000]yyyy-mm-dd")</f>
        <v/>
      </c>
      <c r="C13347">
        <f>TEXT(13346, "[$-060000]yyyy-mm-dd")</f>
        <v/>
      </c>
      <c r="D13347" t="inlineStr">
        <is>
          <t>1355-04-26</t>
        </is>
      </c>
    </row>
    <row r="13348">
      <c r="A13348" s="1" t="n">
        <v>13347</v>
      </c>
      <c r="B13348">
        <f>TEXT(13347, "[$-170000]yyyy-mm-dd")</f>
        <v/>
      </c>
      <c r="C13348">
        <f>TEXT(13347, "[$-060000]yyyy-mm-dd")</f>
        <v/>
      </c>
      <c r="D13348" t="inlineStr">
        <is>
          <t>1355-04-27</t>
        </is>
      </c>
    </row>
    <row r="13349">
      <c r="A13349" s="1" t="n">
        <v>13348</v>
      </c>
      <c r="B13349">
        <f>TEXT(13348, "[$-170000]yyyy-mm-dd")</f>
        <v/>
      </c>
      <c r="C13349">
        <f>TEXT(13348, "[$-060000]yyyy-mm-dd")</f>
        <v/>
      </c>
      <c r="D13349" t="inlineStr">
        <is>
          <t>1355-04-28</t>
        </is>
      </c>
    </row>
    <row r="13350">
      <c r="A13350" s="1" t="n">
        <v>13349</v>
      </c>
      <c r="B13350">
        <f>TEXT(13349, "[$-170000]yyyy-mm-dd")</f>
        <v/>
      </c>
      <c r="C13350">
        <f>TEXT(13349, "[$-060000]yyyy-mm-dd")</f>
        <v/>
      </c>
      <c r="D13350" t="inlineStr">
        <is>
          <t>1355-04-29</t>
        </is>
      </c>
    </row>
    <row r="13351">
      <c r="A13351" s="1" t="n">
        <v>13350</v>
      </c>
      <c r="B13351">
        <f>TEXT(13350, "[$-170000]yyyy-mm-dd")</f>
        <v/>
      </c>
      <c r="C13351">
        <f>TEXT(13350, "[$-060000]yyyy-mm-dd")</f>
        <v/>
      </c>
      <c r="D13351" t="inlineStr">
        <is>
          <t>1355-05-01</t>
        </is>
      </c>
    </row>
    <row r="13352">
      <c r="A13352" s="1" t="n">
        <v>13351</v>
      </c>
      <c r="B13352">
        <f>TEXT(13351, "[$-170000]yyyy-mm-dd")</f>
        <v/>
      </c>
      <c r="C13352">
        <f>TEXT(13351, "[$-060000]yyyy-mm-dd")</f>
        <v/>
      </c>
      <c r="D13352" t="inlineStr">
        <is>
          <t>1355-05-02</t>
        </is>
      </c>
    </row>
    <row r="13353">
      <c r="A13353" s="1" t="n">
        <v>13352</v>
      </c>
      <c r="B13353">
        <f>TEXT(13352, "[$-170000]yyyy-mm-dd")</f>
        <v/>
      </c>
      <c r="C13353">
        <f>TEXT(13352, "[$-060000]yyyy-mm-dd")</f>
        <v/>
      </c>
      <c r="D13353" t="inlineStr">
        <is>
          <t>1355-05-03</t>
        </is>
      </c>
    </row>
    <row r="13354">
      <c r="A13354" s="1" t="n">
        <v>13353</v>
      </c>
      <c r="B13354">
        <f>TEXT(13353, "[$-170000]yyyy-mm-dd")</f>
        <v/>
      </c>
      <c r="C13354">
        <f>TEXT(13353, "[$-060000]yyyy-mm-dd")</f>
        <v/>
      </c>
      <c r="D13354" t="inlineStr">
        <is>
          <t>1355-05-04</t>
        </is>
      </c>
    </row>
    <row r="13355">
      <c r="A13355" s="1" t="n">
        <v>13354</v>
      </c>
      <c r="B13355">
        <f>TEXT(13354, "[$-170000]yyyy-mm-dd")</f>
        <v/>
      </c>
      <c r="C13355">
        <f>TEXT(13354, "[$-060000]yyyy-mm-dd")</f>
        <v/>
      </c>
      <c r="D13355" t="inlineStr">
        <is>
          <t>1355-05-05</t>
        </is>
      </c>
    </row>
    <row r="13356">
      <c r="A13356" s="1" t="n">
        <v>13355</v>
      </c>
      <c r="B13356">
        <f>TEXT(13355, "[$-170000]yyyy-mm-dd")</f>
        <v/>
      </c>
      <c r="C13356">
        <f>TEXT(13355, "[$-060000]yyyy-mm-dd")</f>
        <v/>
      </c>
      <c r="D13356" t="inlineStr">
        <is>
          <t>1355-05-06</t>
        </is>
      </c>
    </row>
    <row r="13357">
      <c r="A13357" s="1" t="n">
        <v>13356</v>
      </c>
      <c r="B13357">
        <f>TEXT(13356, "[$-170000]yyyy-mm-dd")</f>
        <v/>
      </c>
      <c r="C13357">
        <f>TEXT(13356, "[$-060000]yyyy-mm-dd")</f>
        <v/>
      </c>
      <c r="D13357" t="inlineStr">
        <is>
          <t>1355-05-07</t>
        </is>
      </c>
    </row>
    <row r="13358">
      <c r="A13358" s="1" t="n">
        <v>13357</v>
      </c>
      <c r="B13358">
        <f>TEXT(13357, "[$-170000]yyyy-mm-dd")</f>
        <v/>
      </c>
      <c r="C13358">
        <f>TEXT(13357, "[$-060000]yyyy-mm-dd")</f>
        <v/>
      </c>
      <c r="D13358" t="inlineStr">
        <is>
          <t>1355-05-08</t>
        </is>
      </c>
    </row>
    <row r="13359">
      <c r="A13359" s="1" t="n">
        <v>13358</v>
      </c>
      <c r="B13359">
        <f>TEXT(13358, "[$-170000]yyyy-mm-dd")</f>
        <v/>
      </c>
      <c r="C13359">
        <f>TEXT(13358, "[$-060000]yyyy-mm-dd")</f>
        <v/>
      </c>
      <c r="D13359" t="inlineStr">
        <is>
          <t>1355-05-09</t>
        </is>
      </c>
    </row>
    <row r="13360">
      <c r="A13360" s="1" t="n">
        <v>13359</v>
      </c>
      <c r="B13360">
        <f>TEXT(13359, "[$-170000]yyyy-mm-dd")</f>
        <v/>
      </c>
      <c r="C13360">
        <f>TEXT(13359, "[$-060000]yyyy-mm-dd")</f>
        <v/>
      </c>
      <c r="D13360" t="inlineStr">
        <is>
          <t>1355-05-10</t>
        </is>
      </c>
    </row>
    <row r="13361">
      <c r="A13361" s="1" t="n">
        <v>13360</v>
      </c>
      <c r="B13361">
        <f>TEXT(13360, "[$-170000]yyyy-mm-dd")</f>
        <v/>
      </c>
      <c r="C13361">
        <f>TEXT(13360, "[$-060000]yyyy-mm-dd")</f>
        <v/>
      </c>
      <c r="D13361" t="inlineStr">
        <is>
          <t>1355-05-11</t>
        </is>
      </c>
    </row>
    <row r="13362">
      <c r="A13362" s="1" t="n">
        <v>13361</v>
      </c>
      <c r="B13362">
        <f>TEXT(13361, "[$-170000]yyyy-mm-dd")</f>
        <v/>
      </c>
      <c r="C13362">
        <f>TEXT(13361, "[$-060000]yyyy-mm-dd")</f>
        <v/>
      </c>
      <c r="D13362" t="inlineStr">
        <is>
          <t>1355-05-12</t>
        </is>
      </c>
    </row>
    <row r="13363">
      <c r="A13363" s="1" t="n">
        <v>13362</v>
      </c>
      <c r="B13363">
        <f>TEXT(13362, "[$-170000]yyyy-mm-dd")</f>
        <v/>
      </c>
      <c r="C13363">
        <f>TEXT(13362, "[$-060000]yyyy-mm-dd")</f>
        <v/>
      </c>
      <c r="D13363" t="inlineStr">
        <is>
          <t>1355-05-13</t>
        </is>
      </c>
    </row>
    <row r="13364">
      <c r="A13364" s="1" t="n">
        <v>13363</v>
      </c>
      <c r="B13364">
        <f>TEXT(13363, "[$-170000]yyyy-mm-dd")</f>
        <v/>
      </c>
      <c r="C13364">
        <f>TEXT(13363, "[$-060000]yyyy-mm-dd")</f>
        <v/>
      </c>
      <c r="D13364" t="inlineStr">
        <is>
          <t>1355-05-14</t>
        </is>
      </c>
    </row>
    <row r="13365">
      <c r="A13365" s="1" t="n">
        <v>13364</v>
      </c>
      <c r="B13365">
        <f>TEXT(13364, "[$-170000]yyyy-mm-dd")</f>
        <v/>
      </c>
      <c r="C13365">
        <f>TEXT(13364, "[$-060000]yyyy-mm-dd")</f>
        <v/>
      </c>
      <c r="D13365" t="inlineStr">
        <is>
          <t>1355-05-15</t>
        </is>
      </c>
    </row>
    <row r="13366">
      <c r="A13366" s="1" t="n">
        <v>13365</v>
      </c>
      <c r="B13366">
        <f>TEXT(13365, "[$-170000]yyyy-mm-dd")</f>
        <v/>
      </c>
      <c r="C13366">
        <f>TEXT(13365, "[$-060000]yyyy-mm-dd")</f>
        <v/>
      </c>
      <c r="D13366" t="inlineStr">
        <is>
          <t>1355-05-16</t>
        </is>
      </c>
    </row>
    <row r="13367">
      <c r="A13367" s="1" t="n">
        <v>13366</v>
      </c>
      <c r="B13367">
        <f>TEXT(13366, "[$-170000]yyyy-mm-dd")</f>
        <v/>
      </c>
      <c r="C13367">
        <f>TEXT(13366, "[$-060000]yyyy-mm-dd")</f>
        <v/>
      </c>
      <c r="D13367" t="inlineStr">
        <is>
          <t>1355-05-17</t>
        </is>
      </c>
    </row>
    <row r="13368">
      <c r="A13368" s="1" t="n">
        <v>13367</v>
      </c>
      <c r="B13368">
        <f>TEXT(13367, "[$-170000]yyyy-mm-dd")</f>
        <v/>
      </c>
      <c r="C13368">
        <f>TEXT(13367, "[$-060000]yyyy-mm-dd")</f>
        <v/>
      </c>
      <c r="D13368" t="inlineStr">
        <is>
          <t>1355-05-18</t>
        </is>
      </c>
    </row>
    <row r="13369">
      <c r="A13369" s="1" t="n">
        <v>13368</v>
      </c>
      <c r="B13369">
        <f>TEXT(13368, "[$-170000]yyyy-mm-dd")</f>
        <v/>
      </c>
      <c r="C13369">
        <f>TEXT(13368, "[$-060000]yyyy-mm-dd")</f>
        <v/>
      </c>
      <c r="D13369" t="inlineStr">
        <is>
          <t>1355-05-19</t>
        </is>
      </c>
    </row>
    <row r="13370">
      <c r="A13370" s="1" t="n">
        <v>13369</v>
      </c>
      <c r="B13370">
        <f>TEXT(13369, "[$-170000]yyyy-mm-dd")</f>
        <v/>
      </c>
      <c r="C13370">
        <f>TEXT(13369, "[$-060000]yyyy-mm-dd")</f>
        <v/>
      </c>
      <c r="D13370" t="inlineStr">
        <is>
          <t>1355-05-20</t>
        </is>
      </c>
    </row>
    <row r="13371">
      <c r="A13371" s="1" t="n">
        <v>13370</v>
      </c>
      <c r="B13371">
        <f>TEXT(13370, "[$-170000]yyyy-mm-dd")</f>
        <v/>
      </c>
      <c r="C13371">
        <f>TEXT(13370, "[$-060000]yyyy-mm-dd")</f>
        <v/>
      </c>
      <c r="D13371" t="inlineStr">
        <is>
          <t>1355-05-21</t>
        </is>
      </c>
    </row>
    <row r="13372">
      <c r="A13372" s="1" t="n">
        <v>13371</v>
      </c>
      <c r="B13372">
        <f>TEXT(13371, "[$-170000]yyyy-mm-dd")</f>
        <v/>
      </c>
      <c r="C13372">
        <f>TEXT(13371, "[$-060000]yyyy-mm-dd")</f>
        <v/>
      </c>
      <c r="D13372" t="inlineStr">
        <is>
          <t>1355-05-22</t>
        </is>
      </c>
    </row>
    <row r="13373">
      <c r="A13373" s="1" t="n">
        <v>13372</v>
      </c>
      <c r="B13373">
        <f>TEXT(13372, "[$-170000]yyyy-mm-dd")</f>
        <v/>
      </c>
      <c r="C13373">
        <f>TEXT(13372, "[$-060000]yyyy-mm-dd")</f>
        <v/>
      </c>
      <c r="D13373" t="inlineStr">
        <is>
          <t>1355-05-23</t>
        </is>
      </c>
    </row>
    <row r="13374">
      <c r="A13374" s="1" t="n">
        <v>13373</v>
      </c>
      <c r="B13374">
        <f>TEXT(13373, "[$-170000]yyyy-mm-dd")</f>
        <v/>
      </c>
      <c r="C13374">
        <f>TEXT(13373, "[$-060000]yyyy-mm-dd")</f>
        <v/>
      </c>
      <c r="D13374" t="inlineStr">
        <is>
          <t>1355-05-24</t>
        </is>
      </c>
    </row>
    <row r="13375">
      <c r="A13375" s="1" t="n">
        <v>13374</v>
      </c>
      <c r="B13375">
        <f>TEXT(13374, "[$-170000]yyyy-mm-dd")</f>
        <v/>
      </c>
      <c r="C13375">
        <f>TEXT(13374, "[$-060000]yyyy-mm-dd")</f>
        <v/>
      </c>
      <c r="D13375" t="inlineStr">
        <is>
          <t>1355-05-25</t>
        </is>
      </c>
    </row>
    <row r="13376">
      <c r="A13376" s="1" t="n">
        <v>13375</v>
      </c>
      <c r="B13376">
        <f>TEXT(13375, "[$-170000]yyyy-mm-dd")</f>
        <v/>
      </c>
      <c r="C13376">
        <f>TEXT(13375, "[$-060000]yyyy-mm-dd")</f>
        <v/>
      </c>
      <c r="D13376" t="inlineStr">
        <is>
          <t>1355-05-26</t>
        </is>
      </c>
    </row>
    <row r="13377">
      <c r="A13377" s="1" t="n">
        <v>13376</v>
      </c>
      <c r="B13377">
        <f>TEXT(13376, "[$-170000]yyyy-mm-dd")</f>
        <v/>
      </c>
      <c r="C13377">
        <f>TEXT(13376, "[$-060000]yyyy-mm-dd")</f>
        <v/>
      </c>
      <c r="D13377" t="inlineStr">
        <is>
          <t>1355-05-27</t>
        </is>
      </c>
    </row>
    <row r="13378">
      <c r="A13378" s="1" t="n">
        <v>13377</v>
      </c>
      <c r="B13378">
        <f>TEXT(13377, "[$-170000]yyyy-mm-dd")</f>
        <v/>
      </c>
      <c r="C13378">
        <f>TEXT(13377, "[$-060000]yyyy-mm-dd")</f>
        <v/>
      </c>
      <c r="D13378" t="inlineStr">
        <is>
          <t>1355-05-28</t>
        </is>
      </c>
    </row>
    <row r="13379">
      <c r="A13379" s="1" t="n">
        <v>13378</v>
      </c>
      <c r="B13379">
        <f>TEXT(13378, "[$-170000]yyyy-mm-dd")</f>
        <v/>
      </c>
      <c r="C13379">
        <f>TEXT(13378, "[$-060000]yyyy-mm-dd")</f>
        <v/>
      </c>
      <c r="D13379" t="inlineStr">
        <is>
          <t>1355-05-29</t>
        </is>
      </c>
    </row>
    <row r="13380">
      <c r="A13380" s="1" t="n">
        <v>13379</v>
      </c>
      <c r="B13380">
        <f>TEXT(13379, "[$-170000]yyyy-mm-dd")</f>
        <v/>
      </c>
      <c r="C13380">
        <f>TEXT(13379, "[$-060000]yyyy-mm-dd")</f>
        <v/>
      </c>
      <c r="D13380" t="inlineStr">
        <is>
          <t>1355-05-30</t>
        </is>
      </c>
    </row>
    <row r="13381">
      <c r="A13381" s="1" t="n">
        <v>13380</v>
      </c>
      <c r="B13381">
        <f>TEXT(13380, "[$-170000]yyyy-mm-dd")</f>
        <v/>
      </c>
      <c r="C13381">
        <f>TEXT(13380, "[$-060000]yyyy-mm-dd")</f>
        <v/>
      </c>
      <c r="D13381" t="inlineStr">
        <is>
          <t>1355-06-01</t>
        </is>
      </c>
    </row>
    <row r="13382">
      <c r="A13382" s="1" t="n">
        <v>13381</v>
      </c>
      <c r="B13382">
        <f>TEXT(13381, "[$-170000]yyyy-mm-dd")</f>
        <v/>
      </c>
      <c r="C13382">
        <f>TEXT(13381, "[$-060000]yyyy-mm-dd")</f>
        <v/>
      </c>
      <c r="D13382" t="inlineStr">
        <is>
          <t>1355-06-02</t>
        </is>
      </c>
    </row>
    <row r="13383">
      <c r="A13383" s="1" t="n">
        <v>13382</v>
      </c>
      <c r="B13383">
        <f>TEXT(13382, "[$-170000]yyyy-mm-dd")</f>
        <v/>
      </c>
      <c r="C13383">
        <f>TEXT(13382, "[$-060000]yyyy-mm-dd")</f>
        <v/>
      </c>
      <c r="D13383" t="inlineStr">
        <is>
          <t>1355-06-03</t>
        </is>
      </c>
    </row>
    <row r="13384">
      <c r="A13384" s="1" t="n">
        <v>13383</v>
      </c>
      <c r="B13384">
        <f>TEXT(13383, "[$-170000]yyyy-mm-dd")</f>
        <v/>
      </c>
      <c r="C13384">
        <f>TEXT(13383, "[$-060000]yyyy-mm-dd")</f>
        <v/>
      </c>
      <c r="D13384" t="inlineStr">
        <is>
          <t>1355-06-04</t>
        </is>
      </c>
    </row>
    <row r="13385">
      <c r="A13385" s="1" t="n">
        <v>13384</v>
      </c>
      <c r="B13385">
        <f>TEXT(13384, "[$-170000]yyyy-mm-dd")</f>
        <v/>
      </c>
      <c r="C13385">
        <f>TEXT(13384, "[$-060000]yyyy-mm-dd")</f>
        <v/>
      </c>
      <c r="D13385" t="inlineStr">
        <is>
          <t>1355-06-05</t>
        </is>
      </c>
    </row>
    <row r="13386">
      <c r="A13386" s="1" t="n">
        <v>13385</v>
      </c>
      <c r="B13386">
        <f>TEXT(13385, "[$-170000]yyyy-mm-dd")</f>
        <v/>
      </c>
      <c r="C13386">
        <f>TEXT(13385, "[$-060000]yyyy-mm-dd")</f>
        <v/>
      </c>
      <c r="D13386" t="inlineStr">
        <is>
          <t>1355-06-06</t>
        </is>
      </c>
    </row>
    <row r="13387">
      <c r="A13387" s="1" t="n">
        <v>13386</v>
      </c>
      <c r="B13387">
        <f>TEXT(13386, "[$-170000]yyyy-mm-dd")</f>
        <v/>
      </c>
      <c r="C13387">
        <f>TEXT(13386, "[$-060000]yyyy-mm-dd")</f>
        <v/>
      </c>
      <c r="D13387" t="inlineStr">
        <is>
          <t>1355-06-07</t>
        </is>
      </c>
    </row>
    <row r="13388">
      <c r="A13388" s="1" t="n">
        <v>13387</v>
      </c>
      <c r="B13388">
        <f>TEXT(13387, "[$-170000]yyyy-mm-dd")</f>
        <v/>
      </c>
      <c r="C13388">
        <f>TEXT(13387, "[$-060000]yyyy-mm-dd")</f>
        <v/>
      </c>
      <c r="D13388" t="inlineStr">
        <is>
          <t>1355-06-08</t>
        </is>
      </c>
    </row>
    <row r="13389">
      <c r="A13389" s="1" t="n">
        <v>13388</v>
      </c>
      <c r="B13389">
        <f>TEXT(13388, "[$-170000]yyyy-mm-dd")</f>
        <v/>
      </c>
      <c r="C13389">
        <f>TEXT(13388, "[$-060000]yyyy-mm-dd")</f>
        <v/>
      </c>
      <c r="D13389" t="inlineStr">
        <is>
          <t>1355-06-09</t>
        </is>
      </c>
    </row>
    <row r="13390">
      <c r="A13390" s="1" t="n">
        <v>13389</v>
      </c>
      <c r="B13390">
        <f>TEXT(13389, "[$-170000]yyyy-mm-dd")</f>
        <v/>
      </c>
      <c r="C13390">
        <f>TEXT(13389, "[$-060000]yyyy-mm-dd")</f>
        <v/>
      </c>
      <c r="D13390" t="inlineStr">
        <is>
          <t>1355-06-10</t>
        </is>
      </c>
    </row>
    <row r="13391">
      <c r="A13391" s="1" t="n">
        <v>13390</v>
      </c>
      <c r="B13391">
        <f>TEXT(13390, "[$-170000]yyyy-mm-dd")</f>
        <v/>
      </c>
      <c r="C13391">
        <f>TEXT(13390, "[$-060000]yyyy-mm-dd")</f>
        <v/>
      </c>
      <c r="D13391" t="inlineStr">
        <is>
          <t>1355-06-11</t>
        </is>
      </c>
    </row>
    <row r="13392">
      <c r="A13392" s="1" t="n">
        <v>13391</v>
      </c>
      <c r="B13392">
        <f>TEXT(13391, "[$-170000]yyyy-mm-dd")</f>
        <v/>
      </c>
      <c r="C13392">
        <f>TEXT(13391, "[$-060000]yyyy-mm-dd")</f>
        <v/>
      </c>
      <c r="D13392" t="inlineStr">
        <is>
          <t>1355-06-12</t>
        </is>
      </c>
    </row>
    <row r="13393">
      <c r="A13393" s="1" t="n">
        <v>13392</v>
      </c>
      <c r="B13393">
        <f>TEXT(13392, "[$-170000]yyyy-mm-dd")</f>
        <v/>
      </c>
      <c r="C13393">
        <f>TEXT(13392, "[$-060000]yyyy-mm-dd")</f>
        <v/>
      </c>
      <c r="D13393" t="inlineStr">
        <is>
          <t>1355-06-13</t>
        </is>
      </c>
    </row>
    <row r="13394">
      <c r="A13394" s="1" t="n">
        <v>13393</v>
      </c>
      <c r="B13394">
        <f>TEXT(13393, "[$-170000]yyyy-mm-dd")</f>
        <v/>
      </c>
      <c r="C13394">
        <f>TEXT(13393, "[$-060000]yyyy-mm-dd")</f>
        <v/>
      </c>
      <c r="D13394" t="inlineStr">
        <is>
          <t>1355-06-14</t>
        </is>
      </c>
    </row>
    <row r="13395">
      <c r="A13395" s="1" t="n">
        <v>13394</v>
      </c>
      <c r="B13395">
        <f>TEXT(13394, "[$-170000]yyyy-mm-dd")</f>
        <v/>
      </c>
      <c r="C13395">
        <f>TEXT(13394, "[$-060000]yyyy-mm-dd")</f>
        <v/>
      </c>
      <c r="D13395" t="inlineStr">
        <is>
          <t>1355-06-15</t>
        </is>
      </c>
    </row>
    <row r="13396">
      <c r="A13396" s="1" t="n">
        <v>13395</v>
      </c>
      <c r="B13396">
        <f>TEXT(13395, "[$-170000]yyyy-mm-dd")</f>
        <v/>
      </c>
      <c r="C13396">
        <f>TEXT(13395, "[$-060000]yyyy-mm-dd")</f>
        <v/>
      </c>
      <c r="D13396" t="inlineStr">
        <is>
          <t>1355-06-16</t>
        </is>
      </c>
    </row>
    <row r="13397">
      <c r="A13397" s="1" t="n">
        <v>13396</v>
      </c>
      <c r="B13397">
        <f>TEXT(13396, "[$-170000]yyyy-mm-dd")</f>
        <v/>
      </c>
      <c r="C13397">
        <f>TEXT(13396, "[$-060000]yyyy-mm-dd")</f>
        <v/>
      </c>
      <c r="D13397" t="inlineStr">
        <is>
          <t>1355-06-17</t>
        </is>
      </c>
    </row>
    <row r="13398">
      <c r="A13398" s="1" t="n">
        <v>13397</v>
      </c>
      <c r="B13398">
        <f>TEXT(13397, "[$-170000]yyyy-mm-dd")</f>
        <v/>
      </c>
      <c r="C13398">
        <f>TEXT(13397, "[$-060000]yyyy-mm-dd")</f>
        <v/>
      </c>
      <c r="D13398" t="inlineStr">
        <is>
          <t>1355-06-18</t>
        </is>
      </c>
    </row>
    <row r="13399">
      <c r="A13399" s="1" t="n">
        <v>13398</v>
      </c>
      <c r="B13399">
        <f>TEXT(13398, "[$-170000]yyyy-mm-dd")</f>
        <v/>
      </c>
      <c r="C13399">
        <f>TEXT(13398, "[$-060000]yyyy-mm-dd")</f>
        <v/>
      </c>
      <c r="D13399" t="inlineStr">
        <is>
          <t>1355-06-19</t>
        </is>
      </c>
    </row>
    <row r="13400">
      <c r="A13400" s="1" t="n">
        <v>13399</v>
      </c>
      <c r="B13400">
        <f>TEXT(13399, "[$-170000]yyyy-mm-dd")</f>
        <v/>
      </c>
      <c r="C13400">
        <f>TEXT(13399, "[$-060000]yyyy-mm-dd")</f>
        <v/>
      </c>
      <c r="D13400" t="inlineStr">
        <is>
          <t>1355-06-20</t>
        </is>
      </c>
    </row>
    <row r="13401">
      <c r="A13401" s="1" t="n">
        <v>13400</v>
      </c>
      <c r="B13401">
        <f>TEXT(13400, "[$-170000]yyyy-mm-dd")</f>
        <v/>
      </c>
      <c r="C13401">
        <f>TEXT(13400, "[$-060000]yyyy-mm-dd")</f>
        <v/>
      </c>
      <c r="D13401" t="inlineStr">
        <is>
          <t>1355-06-21</t>
        </is>
      </c>
    </row>
    <row r="13402">
      <c r="A13402" s="1" t="n">
        <v>13401</v>
      </c>
      <c r="B13402">
        <f>TEXT(13401, "[$-170000]yyyy-mm-dd")</f>
        <v/>
      </c>
      <c r="C13402">
        <f>TEXT(13401, "[$-060000]yyyy-mm-dd")</f>
        <v/>
      </c>
      <c r="D13402" t="inlineStr">
        <is>
          <t>1355-06-22</t>
        </is>
      </c>
    </row>
    <row r="13403">
      <c r="A13403" s="1" t="n">
        <v>13402</v>
      </c>
      <c r="B13403">
        <f>TEXT(13402, "[$-170000]yyyy-mm-dd")</f>
        <v/>
      </c>
      <c r="C13403">
        <f>TEXT(13402, "[$-060000]yyyy-mm-dd")</f>
        <v/>
      </c>
      <c r="D13403" t="inlineStr">
        <is>
          <t>1355-06-23</t>
        </is>
      </c>
    </row>
    <row r="13404">
      <c r="A13404" s="1" t="n">
        <v>13403</v>
      </c>
      <c r="B13404">
        <f>TEXT(13403, "[$-170000]yyyy-mm-dd")</f>
        <v/>
      </c>
      <c r="C13404">
        <f>TEXT(13403, "[$-060000]yyyy-mm-dd")</f>
        <v/>
      </c>
      <c r="D13404" t="inlineStr">
        <is>
          <t>1355-06-24</t>
        </is>
      </c>
    </row>
    <row r="13405">
      <c r="A13405" s="1" t="n">
        <v>13404</v>
      </c>
      <c r="B13405">
        <f>TEXT(13404, "[$-170000]yyyy-mm-dd")</f>
        <v/>
      </c>
      <c r="C13405">
        <f>TEXT(13404, "[$-060000]yyyy-mm-dd")</f>
        <v/>
      </c>
      <c r="D13405" t="inlineStr">
        <is>
          <t>1355-06-25</t>
        </is>
      </c>
    </row>
    <row r="13406">
      <c r="A13406" s="1" t="n">
        <v>13405</v>
      </c>
      <c r="B13406">
        <f>TEXT(13405, "[$-170000]yyyy-mm-dd")</f>
        <v/>
      </c>
      <c r="C13406">
        <f>TEXT(13405, "[$-060000]yyyy-mm-dd")</f>
        <v/>
      </c>
      <c r="D13406" t="inlineStr">
        <is>
          <t>1355-06-26</t>
        </is>
      </c>
    </row>
    <row r="13407">
      <c r="A13407" s="1" t="n">
        <v>13406</v>
      </c>
      <c r="B13407">
        <f>TEXT(13406, "[$-170000]yyyy-mm-dd")</f>
        <v/>
      </c>
      <c r="C13407">
        <f>TEXT(13406, "[$-060000]yyyy-mm-dd")</f>
        <v/>
      </c>
      <c r="D13407" t="inlineStr">
        <is>
          <t>1355-06-27</t>
        </is>
      </c>
    </row>
    <row r="13408">
      <c r="A13408" s="1" t="n">
        <v>13407</v>
      </c>
      <c r="B13408">
        <f>TEXT(13407, "[$-170000]yyyy-mm-dd")</f>
        <v/>
      </c>
      <c r="C13408">
        <f>TEXT(13407, "[$-060000]yyyy-mm-dd")</f>
        <v/>
      </c>
      <c r="D13408" t="inlineStr">
        <is>
          <t>1355-06-28</t>
        </is>
      </c>
    </row>
    <row r="13409">
      <c r="A13409" s="1" t="n">
        <v>13408</v>
      </c>
      <c r="B13409">
        <f>TEXT(13408, "[$-170000]yyyy-mm-dd")</f>
        <v/>
      </c>
      <c r="C13409">
        <f>TEXT(13408, "[$-060000]yyyy-mm-dd")</f>
        <v/>
      </c>
      <c r="D13409" t="inlineStr">
        <is>
          <t>1355-06-29</t>
        </is>
      </c>
    </row>
    <row r="13410">
      <c r="A13410" s="1" t="n">
        <v>13409</v>
      </c>
      <c r="B13410">
        <f>TEXT(13409, "[$-170000]yyyy-mm-dd")</f>
        <v/>
      </c>
      <c r="C13410">
        <f>TEXT(13409, "[$-060000]yyyy-mm-dd")</f>
        <v/>
      </c>
      <c r="D13410" t="inlineStr">
        <is>
          <t>1355-07-01</t>
        </is>
      </c>
    </row>
    <row r="13411">
      <c r="A13411" s="1" t="n">
        <v>13410</v>
      </c>
      <c r="B13411">
        <f>TEXT(13410, "[$-170000]yyyy-mm-dd")</f>
        <v/>
      </c>
      <c r="C13411">
        <f>TEXT(13410, "[$-060000]yyyy-mm-dd")</f>
        <v/>
      </c>
      <c r="D13411" t="inlineStr">
        <is>
          <t>1355-07-02</t>
        </is>
      </c>
    </row>
    <row r="13412">
      <c r="A13412" s="1" t="n">
        <v>13411</v>
      </c>
      <c r="B13412">
        <f>TEXT(13411, "[$-170000]yyyy-mm-dd")</f>
        <v/>
      </c>
      <c r="C13412">
        <f>TEXT(13411, "[$-060000]yyyy-mm-dd")</f>
        <v/>
      </c>
      <c r="D13412" t="inlineStr">
        <is>
          <t>1355-07-03</t>
        </is>
      </c>
    </row>
    <row r="13413">
      <c r="A13413" s="1" t="n">
        <v>13412</v>
      </c>
      <c r="B13413">
        <f>TEXT(13412, "[$-170000]yyyy-mm-dd")</f>
        <v/>
      </c>
      <c r="C13413">
        <f>TEXT(13412, "[$-060000]yyyy-mm-dd")</f>
        <v/>
      </c>
      <c r="D13413" t="inlineStr">
        <is>
          <t>1355-07-04</t>
        </is>
      </c>
    </row>
    <row r="13414">
      <c r="A13414" s="1" t="n">
        <v>13413</v>
      </c>
      <c r="B13414">
        <f>TEXT(13413, "[$-170000]yyyy-mm-dd")</f>
        <v/>
      </c>
      <c r="C13414">
        <f>TEXT(13413, "[$-060000]yyyy-mm-dd")</f>
        <v/>
      </c>
      <c r="D13414" t="inlineStr">
        <is>
          <t>1355-07-05</t>
        </is>
      </c>
    </row>
    <row r="13415">
      <c r="A13415" s="1" t="n">
        <v>13414</v>
      </c>
      <c r="B13415">
        <f>TEXT(13414, "[$-170000]yyyy-mm-dd")</f>
        <v/>
      </c>
      <c r="C13415">
        <f>TEXT(13414, "[$-060000]yyyy-mm-dd")</f>
        <v/>
      </c>
      <c r="D13415" t="inlineStr">
        <is>
          <t>1355-07-06</t>
        </is>
      </c>
    </row>
    <row r="13416">
      <c r="A13416" s="1" t="n">
        <v>13415</v>
      </c>
      <c r="B13416">
        <f>TEXT(13415, "[$-170000]yyyy-mm-dd")</f>
        <v/>
      </c>
      <c r="C13416">
        <f>TEXT(13415, "[$-060000]yyyy-mm-dd")</f>
        <v/>
      </c>
      <c r="D13416" t="inlineStr">
        <is>
          <t>1355-07-07</t>
        </is>
      </c>
    </row>
    <row r="13417">
      <c r="A13417" s="1" t="n">
        <v>13416</v>
      </c>
      <c r="B13417">
        <f>TEXT(13416, "[$-170000]yyyy-mm-dd")</f>
        <v/>
      </c>
      <c r="C13417">
        <f>TEXT(13416, "[$-060000]yyyy-mm-dd")</f>
        <v/>
      </c>
      <c r="D13417" t="inlineStr">
        <is>
          <t>1355-07-08</t>
        </is>
      </c>
    </row>
    <row r="13418">
      <c r="A13418" s="1" t="n">
        <v>13417</v>
      </c>
      <c r="B13418">
        <f>TEXT(13417, "[$-170000]yyyy-mm-dd")</f>
        <v/>
      </c>
      <c r="C13418">
        <f>TEXT(13417, "[$-060000]yyyy-mm-dd")</f>
        <v/>
      </c>
      <c r="D13418" t="inlineStr">
        <is>
          <t>1355-07-09</t>
        </is>
      </c>
    </row>
    <row r="13419">
      <c r="A13419" s="1" t="n">
        <v>13418</v>
      </c>
      <c r="B13419">
        <f>TEXT(13418, "[$-170000]yyyy-mm-dd")</f>
        <v/>
      </c>
      <c r="C13419">
        <f>TEXT(13418, "[$-060000]yyyy-mm-dd")</f>
        <v/>
      </c>
      <c r="D13419" t="inlineStr">
        <is>
          <t>1355-07-10</t>
        </is>
      </c>
    </row>
    <row r="13420">
      <c r="A13420" s="1" t="n">
        <v>13419</v>
      </c>
      <c r="B13420">
        <f>TEXT(13419, "[$-170000]yyyy-mm-dd")</f>
        <v/>
      </c>
      <c r="C13420">
        <f>TEXT(13419, "[$-060000]yyyy-mm-dd")</f>
        <v/>
      </c>
      <c r="D13420" t="inlineStr">
        <is>
          <t>1355-07-11</t>
        </is>
      </c>
    </row>
    <row r="13421">
      <c r="A13421" s="1" t="n">
        <v>13420</v>
      </c>
      <c r="B13421">
        <f>TEXT(13420, "[$-170000]yyyy-mm-dd")</f>
        <v/>
      </c>
      <c r="C13421">
        <f>TEXT(13420, "[$-060000]yyyy-mm-dd")</f>
        <v/>
      </c>
      <c r="D13421" t="inlineStr">
        <is>
          <t>1355-07-12</t>
        </is>
      </c>
    </row>
    <row r="13422">
      <c r="A13422" s="1" t="n">
        <v>13421</v>
      </c>
      <c r="B13422">
        <f>TEXT(13421, "[$-170000]yyyy-mm-dd")</f>
        <v/>
      </c>
      <c r="C13422">
        <f>TEXT(13421, "[$-060000]yyyy-mm-dd")</f>
        <v/>
      </c>
      <c r="D13422" t="inlineStr">
        <is>
          <t>1355-07-13</t>
        </is>
      </c>
    </row>
    <row r="13423">
      <c r="A13423" s="1" t="n">
        <v>13422</v>
      </c>
      <c r="B13423">
        <f>TEXT(13422, "[$-170000]yyyy-mm-dd")</f>
        <v/>
      </c>
      <c r="C13423">
        <f>TEXT(13422, "[$-060000]yyyy-mm-dd")</f>
        <v/>
      </c>
      <c r="D13423" t="inlineStr">
        <is>
          <t>1355-07-14</t>
        </is>
      </c>
    </row>
    <row r="13424">
      <c r="A13424" s="1" t="n">
        <v>13423</v>
      </c>
      <c r="B13424">
        <f>TEXT(13423, "[$-170000]yyyy-mm-dd")</f>
        <v/>
      </c>
      <c r="C13424">
        <f>TEXT(13423, "[$-060000]yyyy-mm-dd")</f>
        <v/>
      </c>
      <c r="D13424" t="inlineStr">
        <is>
          <t>1355-07-15</t>
        </is>
      </c>
    </row>
    <row r="13425">
      <c r="A13425" s="1" t="n">
        <v>13424</v>
      </c>
      <c r="B13425">
        <f>TEXT(13424, "[$-170000]yyyy-mm-dd")</f>
        <v/>
      </c>
      <c r="C13425">
        <f>TEXT(13424, "[$-060000]yyyy-mm-dd")</f>
        <v/>
      </c>
      <c r="D13425" t="inlineStr">
        <is>
          <t>1355-07-16</t>
        </is>
      </c>
    </row>
    <row r="13426">
      <c r="A13426" s="1" t="n">
        <v>13425</v>
      </c>
      <c r="B13426">
        <f>TEXT(13425, "[$-170000]yyyy-mm-dd")</f>
        <v/>
      </c>
      <c r="C13426">
        <f>TEXT(13425, "[$-060000]yyyy-mm-dd")</f>
        <v/>
      </c>
      <c r="D13426" t="inlineStr">
        <is>
          <t>1355-07-17</t>
        </is>
      </c>
    </row>
    <row r="13427">
      <c r="A13427" s="1" t="n">
        <v>13426</v>
      </c>
      <c r="B13427">
        <f>TEXT(13426, "[$-170000]yyyy-mm-dd")</f>
        <v/>
      </c>
      <c r="C13427">
        <f>TEXT(13426, "[$-060000]yyyy-mm-dd")</f>
        <v/>
      </c>
      <c r="D13427" t="inlineStr">
        <is>
          <t>1355-07-18</t>
        </is>
      </c>
    </row>
    <row r="13428">
      <c r="A13428" s="1" t="n">
        <v>13427</v>
      </c>
      <c r="B13428">
        <f>TEXT(13427, "[$-170000]yyyy-mm-dd")</f>
        <v/>
      </c>
      <c r="C13428">
        <f>TEXT(13427, "[$-060000]yyyy-mm-dd")</f>
        <v/>
      </c>
      <c r="D13428" t="inlineStr">
        <is>
          <t>1355-07-19</t>
        </is>
      </c>
    </row>
    <row r="13429">
      <c r="A13429" s="1" t="n">
        <v>13428</v>
      </c>
      <c r="B13429">
        <f>TEXT(13428, "[$-170000]yyyy-mm-dd")</f>
        <v/>
      </c>
      <c r="C13429">
        <f>TEXT(13428, "[$-060000]yyyy-mm-dd")</f>
        <v/>
      </c>
      <c r="D13429" t="inlineStr">
        <is>
          <t>1355-07-20</t>
        </is>
      </c>
    </row>
    <row r="13430">
      <c r="A13430" s="1" t="n">
        <v>13429</v>
      </c>
      <c r="B13430">
        <f>TEXT(13429, "[$-170000]yyyy-mm-dd")</f>
        <v/>
      </c>
      <c r="C13430">
        <f>TEXT(13429, "[$-060000]yyyy-mm-dd")</f>
        <v/>
      </c>
      <c r="D13430" t="inlineStr">
        <is>
          <t>1355-07-21</t>
        </is>
      </c>
    </row>
    <row r="13431">
      <c r="A13431" s="1" t="n">
        <v>13430</v>
      </c>
      <c r="B13431">
        <f>TEXT(13430, "[$-170000]yyyy-mm-dd")</f>
        <v/>
      </c>
      <c r="C13431">
        <f>TEXT(13430, "[$-060000]yyyy-mm-dd")</f>
        <v/>
      </c>
      <c r="D13431" t="inlineStr">
        <is>
          <t>1355-07-22</t>
        </is>
      </c>
    </row>
    <row r="13432">
      <c r="A13432" s="1" t="n">
        <v>13431</v>
      </c>
      <c r="B13432">
        <f>TEXT(13431, "[$-170000]yyyy-mm-dd")</f>
        <v/>
      </c>
      <c r="C13432">
        <f>TEXT(13431, "[$-060000]yyyy-mm-dd")</f>
        <v/>
      </c>
      <c r="D13432" t="inlineStr">
        <is>
          <t>1355-07-23</t>
        </is>
      </c>
    </row>
    <row r="13433">
      <c r="A13433" s="1" t="n">
        <v>13432</v>
      </c>
      <c r="B13433">
        <f>TEXT(13432, "[$-170000]yyyy-mm-dd")</f>
        <v/>
      </c>
      <c r="C13433">
        <f>TEXT(13432, "[$-060000]yyyy-mm-dd")</f>
        <v/>
      </c>
      <c r="D13433" t="inlineStr">
        <is>
          <t>1355-07-24</t>
        </is>
      </c>
    </row>
    <row r="13434">
      <c r="A13434" s="1" t="n">
        <v>13433</v>
      </c>
      <c r="B13434">
        <f>TEXT(13433, "[$-170000]yyyy-mm-dd")</f>
        <v/>
      </c>
      <c r="C13434">
        <f>TEXT(13433, "[$-060000]yyyy-mm-dd")</f>
        <v/>
      </c>
      <c r="D13434" t="inlineStr">
        <is>
          <t>1355-07-25</t>
        </is>
      </c>
    </row>
    <row r="13435">
      <c r="A13435" s="1" t="n">
        <v>13434</v>
      </c>
      <c r="B13435">
        <f>TEXT(13434, "[$-170000]yyyy-mm-dd")</f>
        <v/>
      </c>
      <c r="C13435">
        <f>TEXT(13434, "[$-060000]yyyy-mm-dd")</f>
        <v/>
      </c>
      <c r="D13435" t="inlineStr">
        <is>
          <t>1355-07-26</t>
        </is>
      </c>
    </row>
    <row r="13436">
      <c r="A13436" s="1" t="n">
        <v>13435</v>
      </c>
      <c r="B13436">
        <f>TEXT(13435, "[$-170000]yyyy-mm-dd")</f>
        <v/>
      </c>
      <c r="C13436">
        <f>TEXT(13435, "[$-060000]yyyy-mm-dd")</f>
        <v/>
      </c>
      <c r="D13436" t="inlineStr">
        <is>
          <t>1355-07-27</t>
        </is>
      </c>
    </row>
    <row r="13437">
      <c r="A13437" s="1" t="n">
        <v>13436</v>
      </c>
      <c r="B13437">
        <f>TEXT(13436, "[$-170000]yyyy-mm-dd")</f>
        <v/>
      </c>
      <c r="C13437">
        <f>TEXT(13436, "[$-060000]yyyy-mm-dd")</f>
        <v/>
      </c>
      <c r="D13437" t="inlineStr">
        <is>
          <t>1355-07-28</t>
        </is>
      </c>
    </row>
    <row r="13438">
      <c r="A13438" s="1" t="n">
        <v>13437</v>
      </c>
      <c r="B13438">
        <f>TEXT(13437, "[$-170000]yyyy-mm-dd")</f>
        <v/>
      </c>
      <c r="C13438">
        <f>TEXT(13437, "[$-060000]yyyy-mm-dd")</f>
        <v/>
      </c>
      <c r="D13438" t="inlineStr">
        <is>
          <t>1355-07-29</t>
        </is>
      </c>
    </row>
    <row r="13439">
      <c r="A13439" s="1" t="n">
        <v>13438</v>
      </c>
      <c r="B13439">
        <f>TEXT(13438, "[$-170000]yyyy-mm-dd")</f>
        <v/>
      </c>
      <c r="C13439">
        <f>TEXT(13438, "[$-060000]yyyy-mm-dd")</f>
        <v/>
      </c>
      <c r="D13439" t="inlineStr">
        <is>
          <t>1355-07-30</t>
        </is>
      </c>
    </row>
    <row r="13440">
      <c r="A13440" s="1" t="n">
        <v>13439</v>
      </c>
      <c r="B13440">
        <f>TEXT(13439, "[$-170000]yyyy-mm-dd")</f>
        <v/>
      </c>
      <c r="C13440">
        <f>TEXT(13439, "[$-060000]yyyy-mm-dd")</f>
        <v/>
      </c>
      <c r="D13440" t="inlineStr">
        <is>
          <t>1355-08-01</t>
        </is>
      </c>
    </row>
    <row r="13441">
      <c r="A13441" s="1" t="n">
        <v>13440</v>
      </c>
      <c r="B13441">
        <f>TEXT(13440, "[$-170000]yyyy-mm-dd")</f>
        <v/>
      </c>
      <c r="C13441">
        <f>TEXT(13440, "[$-060000]yyyy-mm-dd")</f>
        <v/>
      </c>
      <c r="D13441" t="inlineStr">
        <is>
          <t>1355-08-02</t>
        </is>
      </c>
    </row>
    <row r="13442">
      <c r="A13442" s="1" t="n">
        <v>13441</v>
      </c>
      <c r="B13442">
        <f>TEXT(13441, "[$-170000]yyyy-mm-dd")</f>
        <v/>
      </c>
      <c r="C13442">
        <f>TEXT(13441, "[$-060000]yyyy-mm-dd")</f>
        <v/>
      </c>
      <c r="D13442" t="inlineStr">
        <is>
          <t>1355-08-03</t>
        </is>
      </c>
    </row>
    <row r="13443">
      <c r="A13443" s="1" t="n">
        <v>13442</v>
      </c>
      <c r="B13443">
        <f>TEXT(13442, "[$-170000]yyyy-mm-dd")</f>
        <v/>
      </c>
      <c r="C13443">
        <f>TEXT(13442, "[$-060000]yyyy-mm-dd")</f>
        <v/>
      </c>
      <c r="D13443" t="inlineStr">
        <is>
          <t>1355-08-04</t>
        </is>
      </c>
    </row>
    <row r="13444">
      <c r="A13444" s="1" t="n">
        <v>13443</v>
      </c>
      <c r="B13444">
        <f>TEXT(13443, "[$-170000]yyyy-mm-dd")</f>
        <v/>
      </c>
      <c r="C13444">
        <f>TEXT(13443, "[$-060000]yyyy-mm-dd")</f>
        <v/>
      </c>
      <c r="D13444" t="inlineStr">
        <is>
          <t>1355-08-05</t>
        </is>
      </c>
    </row>
    <row r="13445">
      <c r="A13445" s="1" t="n">
        <v>13444</v>
      </c>
      <c r="B13445">
        <f>TEXT(13444, "[$-170000]yyyy-mm-dd")</f>
        <v/>
      </c>
      <c r="C13445">
        <f>TEXT(13444, "[$-060000]yyyy-mm-dd")</f>
        <v/>
      </c>
      <c r="D13445" t="inlineStr">
        <is>
          <t>1355-08-06</t>
        </is>
      </c>
    </row>
    <row r="13446">
      <c r="A13446" s="1" t="n">
        <v>13445</v>
      </c>
      <c r="B13446">
        <f>TEXT(13445, "[$-170000]yyyy-mm-dd")</f>
        <v/>
      </c>
      <c r="C13446">
        <f>TEXT(13445, "[$-060000]yyyy-mm-dd")</f>
        <v/>
      </c>
      <c r="D13446" t="inlineStr">
        <is>
          <t>1355-08-07</t>
        </is>
      </c>
    </row>
    <row r="13447">
      <c r="A13447" s="1" t="n">
        <v>13446</v>
      </c>
      <c r="B13447">
        <f>TEXT(13446, "[$-170000]yyyy-mm-dd")</f>
        <v/>
      </c>
      <c r="C13447">
        <f>TEXT(13446, "[$-060000]yyyy-mm-dd")</f>
        <v/>
      </c>
      <c r="D13447" t="inlineStr">
        <is>
          <t>1355-08-08</t>
        </is>
      </c>
    </row>
    <row r="13448">
      <c r="A13448" s="1" t="n">
        <v>13447</v>
      </c>
      <c r="B13448">
        <f>TEXT(13447, "[$-170000]yyyy-mm-dd")</f>
        <v/>
      </c>
      <c r="C13448">
        <f>TEXT(13447, "[$-060000]yyyy-mm-dd")</f>
        <v/>
      </c>
      <c r="D13448" t="inlineStr">
        <is>
          <t>1355-08-09</t>
        </is>
      </c>
    </row>
    <row r="13449">
      <c r="A13449" s="1" t="n">
        <v>13448</v>
      </c>
      <c r="B13449">
        <f>TEXT(13448, "[$-170000]yyyy-mm-dd")</f>
        <v/>
      </c>
      <c r="C13449">
        <f>TEXT(13448, "[$-060000]yyyy-mm-dd")</f>
        <v/>
      </c>
      <c r="D13449" t="inlineStr">
        <is>
          <t>1355-08-10</t>
        </is>
      </c>
    </row>
    <row r="13450">
      <c r="A13450" s="1" t="n">
        <v>13449</v>
      </c>
      <c r="B13450">
        <f>TEXT(13449, "[$-170000]yyyy-mm-dd")</f>
        <v/>
      </c>
      <c r="C13450">
        <f>TEXT(13449, "[$-060000]yyyy-mm-dd")</f>
        <v/>
      </c>
      <c r="D13450" t="inlineStr">
        <is>
          <t>1355-08-11</t>
        </is>
      </c>
    </row>
    <row r="13451">
      <c r="A13451" s="1" t="n">
        <v>13450</v>
      </c>
      <c r="B13451">
        <f>TEXT(13450, "[$-170000]yyyy-mm-dd")</f>
        <v/>
      </c>
      <c r="C13451">
        <f>TEXT(13450, "[$-060000]yyyy-mm-dd")</f>
        <v/>
      </c>
      <c r="D13451" t="inlineStr">
        <is>
          <t>1355-08-12</t>
        </is>
      </c>
    </row>
    <row r="13452">
      <c r="A13452" s="1" t="n">
        <v>13451</v>
      </c>
      <c r="B13452">
        <f>TEXT(13451, "[$-170000]yyyy-mm-dd")</f>
        <v/>
      </c>
      <c r="C13452">
        <f>TEXT(13451, "[$-060000]yyyy-mm-dd")</f>
        <v/>
      </c>
      <c r="D13452" t="inlineStr">
        <is>
          <t>1355-08-13</t>
        </is>
      </c>
    </row>
    <row r="13453">
      <c r="A13453" s="1" t="n">
        <v>13452</v>
      </c>
      <c r="B13453">
        <f>TEXT(13452, "[$-170000]yyyy-mm-dd")</f>
        <v/>
      </c>
      <c r="C13453">
        <f>TEXT(13452, "[$-060000]yyyy-mm-dd")</f>
        <v/>
      </c>
      <c r="D13453" t="inlineStr">
        <is>
          <t>1355-08-14</t>
        </is>
      </c>
    </row>
    <row r="13454">
      <c r="A13454" s="1" t="n">
        <v>13453</v>
      </c>
      <c r="B13454">
        <f>TEXT(13453, "[$-170000]yyyy-mm-dd")</f>
        <v/>
      </c>
      <c r="C13454">
        <f>TEXT(13453, "[$-060000]yyyy-mm-dd")</f>
        <v/>
      </c>
      <c r="D13454" t="inlineStr">
        <is>
          <t>1355-08-15</t>
        </is>
      </c>
    </row>
    <row r="13455">
      <c r="A13455" s="1" t="n">
        <v>13454</v>
      </c>
      <c r="B13455">
        <f>TEXT(13454, "[$-170000]yyyy-mm-dd")</f>
        <v/>
      </c>
      <c r="C13455">
        <f>TEXT(13454, "[$-060000]yyyy-mm-dd")</f>
        <v/>
      </c>
      <c r="D13455" t="inlineStr">
        <is>
          <t>1355-08-16</t>
        </is>
      </c>
    </row>
    <row r="13456">
      <c r="A13456" s="1" t="n">
        <v>13455</v>
      </c>
      <c r="B13456">
        <f>TEXT(13455, "[$-170000]yyyy-mm-dd")</f>
        <v/>
      </c>
      <c r="C13456">
        <f>TEXT(13455, "[$-060000]yyyy-mm-dd")</f>
        <v/>
      </c>
      <c r="D13456" t="inlineStr">
        <is>
          <t>1355-08-17</t>
        </is>
      </c>
    </row>
    <row r="13457">
      <c r="A13457" s="1" t="n">
        <v>13456</v>
      </c>
      <c r="B13457">
        <f>TEXT(13456, "[$-170000]yyyy-mm-dd")</f>
        <v/>
      </c>
      <c r="C13457">
        <f>TEXT(13456, "[$-060000]yyyy-mm-dd")</f>
        <v/>
      </c>
      <c r="D13457" t="inlineStr">
        <is>
          <t>1355-08-18</t>
        </is>
      </c>
    </row>
    <row r="13458">
      <c r="A13458" s="1" t="n">
        <v>13457</v>
      </c>
      <c r="B13458">
        <f>TEXT(13457, "[$-170000]yyyy-mm-dd")</f>
        <v/>
      </c>
      <c r="C13458">
        <f>TEXT(13457, "[$-060000]yyyy-mm-dd")</f>
        <v/>
      </c>
      <c r="D13458" t="inlineStr">
        <is>
          <t>1355-08-19</t>
        </is>
      </c>
    </row>
    <row r="13459">
      <c r="A13459" s="1" t="n">
        <v>13458</v>
      </c>
      <c r="B13459">
        <f>TEXT(13458, "[$-170000]yyyy-mm-dd")</f>
        <v/>
      </c>
      <c r="C13459">
        <f>TEXT(13458, "[$-060000]yyyy-mm-dd")</f>
        <v/>
      </c>
      <c r="D13459" t="inlineStr">
        <is>
          <t>1355-08-20</t>
        </is>
      </c>
    </row>
    <row r="13460">
      <c r="A13460" s="1" t="n">
        <v>13459</v>
      </c>
      <c r="B13460">
        <f>TEXT(13459, "[$-170000]yyyy-mm-dd")</f>
        <v/>
      </c>
      <c r="C13460">
        <f>TEXT(13459, "[$-060000]yyyy-mm-dd")</f>
        <v/>
      </c>
      <c r="D13460" t="inlineStr">
        <is>
          <t>1355-08-21</t>
        </is>
      </c>
    </row>
    <row r="13461">
      <c r="A13461" s="1" t="n">
        <v>13460</v>
      </c>
      <c r="B13461">
        <f>TEXT(13460, "[$-170000]yyyy-mm-dd")</f>
        <v/>
      </c>
      <c r="C13461">
        <f>TEXT(13460, "[$-060000]yyyy-mm-dd")</f>
        <v/>
      </c>
      <c r="D13461" t="inlineStr">
        <is>
          <t>1355-08-22</t>
        </is>
      </c>
    </row>
    <row r="13462">
      <c r="A13462" s="1" t="n">
        <v>13461</v>
      </c>
      <c r="B13462">
        <f>TEXT(13461, "[$-170000]yyyy-mm-dd")</f>
        <v/>
      </c>
      <c r="C13462">
        <f>TEXT(13461, "[$-060000]yyyy-mm-dd")</f>
        <v/>
      </c>
      <c r="D13462" t="inlineStr">
        <is>
          <t>1355-08-23</t>
        </is>
      </c>
    </row>
    <row r="13463">
      <c r="A13463" s="1" t="n">
        <v>13462</v>
      </c>
      <c r="B13463">
        <f>TEXT(13462, "[$-170000]yyyy-mm-dd")</f>
        <v/>
      </c>
      <c r="C13463">
        <f>TEXT(13462, "[$-060000]yyyy-mm-dd")</f>
        <v/>
      </c>
      <c r="D13463" t="inlineStr">
        <is>
          <t>1355-08-24</t>
        </is>
      </c>
    </row>
    <row r="13464">
      <c r="A13464" s="1" t="n">
        <v>13463</v>
      </c>
      <c r="B13464">
        <f>TEXT(13463, "[$-170000]yyyy-mm-dd")</f>
        <v/>
      </c>
      <c r="C13464">
        <f>TEXT(13463, "[$-060000]yyyy-mm-dd")</f>
        <v/>
      </c>
      <c r="D13464" t="inlineStr">
        <is>
          <t>1355-08-25</t>
        </is>
      </c>
    </row>
    <row r="13465">
      <c r="A13465" s="1" t="n">
        <v>13464</v>
      </c>
      <c r="B13465">
        <f>TEXT(13464, "[$-170000]yyyy-mm-dd")</f>
        <v/>
      </c>
      <c r="C13465">
        <f>TEXT(13464, "[$-060000]yyyy-mm-dd")</f>
        <v/>
      </c>
      <c r="D13465" t="inlineStr">
        <is>
          <t>1355-08-26</t>
        </is>
      </c>
    </row>
    <row r="13466">
      <c r="A13466" s="1" t="n">
        <v>13465</v>
      </c>
      <c r="B13466">
        <f>TEXT(13465, "[$-170000]yyyy-mm-dd")</f>
        <v/>
      </c>
      <c r="C13466">
        <f>TEXT(13465, "[$-060000]yyyy-mm-dd")</f>
        <v/>
      </c>
      <c r="D13466" t="inlineStr">
        <is>
          <t>1355-08-27</t>
        </is>
      </c>
    </row>
    <row r="13467">
      <c r="A13467" s="1" t="n">
        <v>13466</v>
      </c>
      <c r="B13467">
        <f>TEXT(13466, "[$-170000]yyyy-mm-dd")</f>
        <v/>
      </c>
      <c r="C13467">
        <f>TEXT(13466, "[$-060000]yyyy-mm-dd")</f>
        <v/>
      </c>
      <c r="D13467" t="inlineStr">
        <is>
          <t>1355-08-28</t>
        </is>
      </c>
    </row>
    <row r="13468">
      <c r="A13468" s="1" t="n">
        <v>13467</v>
      </c>
      <c r="B13468">
        <f>TEXT(13467, "[$-170000]yyyy-mm-dd")</f>
        <v/>
      </c>
      <c r="C13468">
        <f>TEXT(13467, "[$-060000]yyyy-mm-dd")</f>
        <v/>
      </c>
      <c r="D13468" t="inlineStr">
        <is>
          <t>1355-08-29</t>
        </is>
      </c>
    </row>
    <row r="13469">
      <c r="A13469" s="1" t="n">
        <v>13468</v>
      </c>
      <c r="B13469">
        <f>TEXT(13468, "[$-170000]yyyy-mm-dd")</f>
        <v/>
      </c>
      <c r="C13469">
        <f>TEXT(13468, "[$-060000]yyyy-mm-dd")</f>
        <v/>
      </c>
      <c r="D13469" t="inlineStr">
        <is>
          <t>1355-09-01</t>
        </is>
      </c>
    </row>
    <row r="13470">
      <c r="A13470" s="1" t="n">
        <v>13469</v>
      </c>
      <c r="B13470">
        <f>TEXT(13469, "[$-170000]yyyy-mm-dd")</f>
        <v/>
      </c>
      <c r="C13470">
        <f>TEXT(13469, "[$-060000]yyyy-mm-dd")</f>
        <v/>
      </c>
      <c r="D13470" t="inlineStr">
        <is>
          <t>1355-09-02</t>
        </is>
      </c>
    </row>
    <row r="13471">
      <c r="A13471" s="1" t="n">
        <v>13470</v>
      </c>
      <c r="B13471">
        <f>TEXT(13470, "[$-170000]yyyy-mm-dd")</f>
        <v/>
      </c>
      <c r="C13471">
        <f>TEXT(13470, "[$-060000]yyyy-mm-dd")</f>
        <v/>
      </c>
      <c r="D13471" t="inlineStr">
        <is>
          <t>1355-09-03</t>
        </is>
      </c>
    </row>
    <row r="13472">
      <c r="A13472" s="1" t="n">
        <v>13471</v>
      </c>
      <c r="B13472">
        <f>TEXT(13471, "[$-170000]yyyy-mm-dd")</f>
        <v/>
      </c>
      <c r="C13472">
        <f>TEXT(13471, "[$-060000]yyyy-mm-dd")</f>
        <v/>
      </c>
      <c r="D13472" t="inlineStr">
        <is>
          <t>1355-09-04</t>
        </is>
      </c>
    </row>
    <row r="13473">
      <c r="A13473" s="1" t="n">
        <v>13472</v>
      </c>
      <c r="B13473">
        <f>TEXT(13472, "[$-170000]yyyy-mm-dd")</f>
        <v/>
      </c>
      <c r="C13473">
        <f>TEXT(13472, "[$-060000]yyyy-mm-dd")</f>
        <v/>
      </c>
      <c r="D13473" t="inlineStr">
        <is>
          <t>1355-09-05</t>
        </is>
      </c>
    </row>
    <row r="13474">
      <c r="A13474" s="1" t="n">
        <v>13473</v>
      </c>
      <c r="B13474">
        <f>TEXT(13473, "[$-170000]yyyy-mm-dd")</f>
        <v/>
      </c>
      <c r="C13474">
        <f>TEXT(13473, "[$-060000]yyyy-mm-dd")</f>
        <v/>
      </c>
      <c r="D13474" t="inlineStr">
        <is>
          <t>1355-09-06</t>
        </is>
      </c>
    </row>
    <row r="13475">
      <c r="A13475" s="1" t="n">
        <v>13474</v>
      </c>
      <c r="B13475">
        <f>TEXT(13474, "[$-170000]yyyy-mm-dd")</f>
        <v/>
      </c>
      <c r="C13475">
        <f>TEXT(13474, "[$-060000]yyyy-mm-dd")</f>
        <v/>
      </c>
      <c r="D13475" t="inlineStr">
        <is>
          <t>1355-09-07</t>
        </is>
      </c>
    </row>
    <row r="13476">
      <c r="A13476" s="1" t="n">
        <v>13475</v>
      </c>
      <c r="B13476">
        <f>TEXT(13475, "[$-170000]yyyy-mm-dd")</f>
        <v/>
      </c>
      <c r="C13476">
        <f>TEXT(13475, "[$-060000]yyyy-mm-dd")</f>
        <v/>
      </c>
      <c r="D13476" t="inlineStr">
        <is>
          <t>1355-09-08</t>
        </is>
      </c>
    </row>
    <row r="13477">
      <c r="A13477" s="1" t="n">
        <v>13476</v>
      </c>
      <c r="B13477">
        <f>TEXT(13476, "[$-170000]yyyy-mm-dd")</f>
        <v/>
      </c>
      <c r="C13477">
        <f>TEXT(13476, "[$-060000]yyyy-mm-dd")</f>
        <v/>
      </c>
      <c r="D13477" t="inlineStr">
        <is>
          <t>1355-09-09</t>
        </is>
      </c>
    </row>
    <row r="13478">
      <c r="A13478" s="1" t="n">
        <v>13477</v>
      </c>
      <c r="B13478">
        <f>TEXT(13477, "[$-170000]yyyy-mm-dd")</f>
        <v/>
      </c>
      <c r="C13478">
        <f>TEXT(13477, "[$-060000]yyyy-mm-dd")</f>
        <v/>
      </c>
      <c r="D13478" t="inlineStr">
        <is>
          <t>1355-09-10</t>
        </is>
      </c>
    </row>
    <row r="13479">
      <c r="A13479" s="1" t="n">
        <v>13478</v>
      </c>
      <c r="B13479">
        <f>TEXT(13478, "[$-170000]yyyy-mm-dd")</f>
        <v/>
      </c>
      <c r="C13479">
        <f>TEXT(13478, "[$-060000]yyyy-mm-dd")</f>
        <v/>
      </c>
      <c r="D13479" t="inlineStr">
        <is>
          <t>1355-09-11</t>
        </is>
      </c>
    </row>
    <row r="13480">
      <c r="A13480" s="1" t="n">
        <v>13479</v>
      </c>
      <c r="B13480">
        <f>TEXT(13479, "[$-170000]yyyy-mm-dd")</f>
        <v/>
      </c>
      <c r="C13480">
        <f>TEXT(13479, "[$-060000]yyyy-mm-dd")</f>
        <v/>
      </c>
      <c r="D13480" t="inlineStr">
        <is>
          <t>1355-09-12</t>
        </is>
      </c>
    </row>
    <row r="13481">
      <c r="A13481" s="1" t="n">
        <v>13480</v>
      </c>
      <c r="B13481">
        <f>TEXT(13480, "[$-170000]yyyy-mm-dd")</f>
        <v/>
      </c>
      <c r="C13481">
        <f>TEXT(13480, "[$-060000]yyyy-mm-dd")</f>
        <v/>
      </c>
      <c r="D13481" t="inlineStr">
        <is>
          <t>1355-09-13</t>
        </is>
      </c>
    </row>
    <row r="13482">
      <c r="A13482" s="1" t="n">
        <v>13481</v>
      </c>
      <c r="B13482">
        <f>TEXT(13481, "[$-170000]yyyy-mm-dd")</f>
        <v/>
      </c>
      <c r="C13482">
        <f>TEXT(13481, "[$-060000]yyyy-mm-dd")</f>
        <v/>
      </c>
      <c r="D13482" t="inlineStr">
        <is>
          <t>1355-09-14</t>
        </is>
      </c>
    </row>
    <row r="13483">
      <c r="A13483" s="1" t="n">
        <v>13482</v>
      </c>
      <c r="B13483">
        <f>TEXT(13482, "[$-170000]yyyy-mm-dd")</f>
        <v/>
      </c>
      <c r="C13483">
        <f>TEXT(13482, "[$-060000]yyyy-mm-dd")</f>
        <v/>
      </c>
      <c r="D13483" t="inlineStr">
        <is>
          <t>1355-09-15</t>
        </is>
      </c>
    </row>
    <row r="13484">
      <c r="A13484" s="1" t="n">
        <v>13483</v>
      </c>
      <c r="B13484">
        <f>TEXT(13483, "[$-170000]yyyy-mm-dd")</f>
        <v/>
      </c>
      <c r="C13484">
        <f>TEXT(13483, "[$-060000]yyyy-mm-dd")</f>
        <v/>
      </c>
      <c r="D13484" t="inlineStr">
        <is>
          <t>1355-09-16</t>
        </is>
      </c>
    </row>
    <row r="13485">
      <c r="A13485" s="1" t="n">
        <v>13484</v>
      </c>
      <c r="B13485">
        <f>TEXT(13484, "[$-170000]yyyy-mm-dd")</f>
        <v/>
      </c>
      <c r="C13485">
        <f>TEXT(13484, "[$-060000]yyyy-mm-dd")</f>
        <v/>
      </c>
      <c r="D13485" t="inlineStr">
        <is>
          <t>1355-09-17</t>
        </is>
      </c>
    </row>
    <row r="13486">
      <c r="A13486" s="1" t="n">
        <v>13485</v>
      </c>
      <c r="B13486">
        <f>TEXT(13485, "[$-170000]yyyy-mm-dd")</f>
        <v/>
      </c>
      <c r="C13486">
        <f>TEXT(13485, "[$-060000]yyyy-mm-dd")</f>
        <v/>
      </c>
      <c r="D13486" t="inlineStr">
        <is>
          <t>1355-09-18</t>
        </is>
      </c>
    </row>
    <row r="13487">
      <c r="A13487" s="1" t="n">
        <v>13486</v>
      </c>
      <c r="B13487">
        <f>TEXT(13486, "[$-170000]yyyy-mm-dd")</f>
        <v/>
      </c>
      <c r="C13487">
        <f>TEXT(13486, "[$-060000]yyyy-mm-dd")</f>
        <v/>
      </c>
      <c r="D13487" t="inlineStr">
        <is>
          <t>1355-09-19</t>
        </is>
      </c>
    </row>
    <row r="13488">
      <c r="A13488" s="1" t="n">
        <v>13487</v>
      </c>
      <c r="B13488">
        <f>TEXT(13487, "[$-170000]yyyy-mm-dd")</f>
        <v/>
      </c>
      <c r="C13488">
        <f>TEXT(13487, "[$-060000]yyyy-mm-dd")</f>
        <v/>
      </c>
      <c r="D13488" t="inlineStr">
        <is>
          <t>1355-09-20</t>
        </is>
      </c>
    </row>
    <row r="13489">
      <c r="A13489" s="1" t="n">
        <v>13488</v>
      </c>
      <c r="B13489">
        <f>TEXT(13488, "[$-170000]yyyy-mm-dd")</f>
        <v/>
      </c>
      <c r="C13489">
        <f>TEXT(13488, "[$-060000]yyyy-mm-dd")</f>
        <v/>
      </c>
      <c r="D13489" t="inlineStr">
        <is>
          <t>1355-09-21</t>
        </is>
      </c>
    </row>
    <row r="13490">
      <c r="A13490" s="1" t="n">
        <v>13489</v>
      </c>
      <c r="B13490">
        <f>TEXT(13489, "[$-170000]yyyy-mm-dd")</f>
        <v/>
      </c>
      <c r="C13490">
        <f>TEXT(13489, "[$-060000]yyyy-mm-dd")</f>
        <v/>
      </c>
      <c r="D13490" t="inlineStr">
        <is>
          <t>1355-09-22</t>
        </is>
      </c>
    </row>
    <row r="13491">
      <c r="A13491" s="1" t="n">
        <v>13490</v>
      </c>
      <c r="B13491">
        <f>TEXT(13490, "[$-170000]yyyy-mm-dd")</f>
        <v/>
      </c>
      <c r="C13491">
        <f>TEXT(13490, "[$-060000]yyyy-mm-dd")</f>
        <v/>
      </c>
      <c r="D13491" t="inlineStr">
        <is>
          <t>1355-09-23</t>
        </is>
      </c>
    </row>
    <row r="13492">
      <c r="A13492" s="1" t="n">
        <v>13491</v>
      </c>
      <c r="B13492">
        <f>TEXT(13491, "[$-170000]yyyy-mm-dd")</f>
        <v/>
      </c>
      <c r="C13492">
        <f>TEXT(13491, "[$-060000]yyyy-mm-dd")</f>
        <v/>
      </c>
      <c r="D13492" t="inlineStr">
        <is>
          <t>1355-09-24</t>
        </is>
      </c>
    </row>
    <row r="13493">
      <c r="A13493" s="1" t="n">
        <v>13492</v>
      </c>
      <c r="B13493">
        <f>TEXT(13492, "[$-170000]yyyy-mm-dd")</f>
        <v/>
      </c>
      <c r="C13493">
        <f>TEXT(13492, "[$-060000]yyyy-mm-dd")</f>
        <v/>
      </c>
      <c r="D13493" t="inlineStr">
        <is>
          <t>1355-09-25</t>
        </is>
      </c>
    </row>
    <row r="13494">
      <c r="A13494" s="1" t="n">
        <v>13493</v>
      </c>
      <c r="B13494">
        <f>TEXT(13493, "[$-170000]yyyy-mm-dd")</f>
        <v/>
      </c>
      <c r="C13494">
        <f>TEXT(13493, "[$-060000]yyyy-mm-dd")</f>
        <v/>
      </c>
      <c r="D13494" t="inlineStr">
        <is>
          <t>1355-09-26</t>
        </is>
      </c>
    </row>
    <row r="13495">
      <c r="A13495" s="1" t="n">
        <v>13494</v>
      </c>
      <c r="B13495">
        <f>TEXT(13494, "[$-170000]yyyy-mm-dd")</f>
        <v/>
      </c>
      <c r="C13495">
        <f>TEXT(13494, "[$-060000]yyyy-mm-dd")</f>
        <v/>
      </c>
      <c r="D13495" t="inlineStr">
        <is>
          <t>1355-09-27</t>
        </is>
      </c>
    </row>
    <row r="13496">
      <c r="A13496" s="1" t="n">
        <v>13495</v>
      </c>
      <c r="B13496">
        <f>TEXT(13495, "[$-170000]yyyy-mm-dd")</f>
        <v/>
      </c>
      <c r="C13496">
        <f>TEXT(13495, "[$-060000]yyyy-mm-dd")</f>
        <v/>
      </c>
      <c r="D13496" t="inlineStr">
        <is>
          <t>1355-09-28</t>
        </is>
      </c>
    </row>
    <row r="13497">
      <c r="A13497" s="1" t="n">
        <v>13496</v>
      </c>
      <c r="B13497">
        <f>TEXT(13496, "[$-170000]yyyy-mm-dd")</f>
        <v/>
      </c>
      <c r="C13497">
        <f>TEXT(13496, "[$-060000]yyyy-mm-dd")</f>
        <v/>
      </c>
      <c r="D13497" t="inlineStr">
        <is>
          <t>1355-09-29</t>
        </is>
      </c>
    </row>
    <row r="13498">
      <c r="A13498" s="1" t="n">
        <v>13497</v>
      </c>
      <c r="B13498">
        <f>TEXT(13497, "[$-170000]yyyy-mm-dd")</f>
        <v/>
      </c>
      <c r="C13498">
        <f>TEXT(13497, "[$-060000]yyyy-mm-dd")</f>
        <v/>
      </c>
      <c r="D13498" t="inlineStr">
        <is>
          <t>1355-09-30</t>
        </is>
      </c>
    </row>
    <row r="13499">
      <c r="A13499" s="1" t="n">
        <v>13498</v>
      </c>
      <c r="B13499">
        <f>TEXT(13498, "[$-170000]yyyy-mm-dd")</f>
        <v/>
      </c>
      <c r="C13499">
        <f>TEXT(13498, "[$-060000]yyyy-mm-dd")</f>
        <v/>
      </c>
      <c r="D13499" t="inlineStr">
        <is>
          <t>1355-10-01</t>
        </is>
      </c>
    </row>
    <row r="13500">
      <c r="A13500" s="1" t="n">
        <v>13499</v>
      </c>
      <c r="B13500">
        <f>TEXT(13499, "[$-170000]yyyy-mm-dd")</f>
        <v/>
      </c>
      <c r="C13500">
        <f>TEXT(13499, "[$-060000]yyyy-mm-dd")</f>
        <v/>
      </c>
      <c r="D13500" t="inlineStr">
        <is>
          <t>1355-10-02</t>
        </is>
      </c>
    </row>
    <row r="13501">
      <c r="A13501" s="1" t="n">
        <v>13500</v>
      </c>
      <c r="B13501">
        <f>TEXT(13500, "[$-170000]yyyy-mm-dd")</f>
        <v/>
      </c>
      <c r="C13501">
        <f>TEXT(13500, "[$-060000]yyyy-mm-dd")</f>
        <v/>
      </c>
      <c r="D13501" t="inlineStr">
        <is>
          <t>1355-10-03</t>
        </is>
      </c>
    </row>
    <row r="13502">
      <c r="A13502" s="1" t="n">
        <v>13501</v>
      </c>
      <c r="B13502">
        <f>TEXT(13501, "[$-170000]yyyy-mm-dd")</f>
        <v/>
      </c>
      <c r="C13502">
        <f>TEXT(13501, "[$-060000]yyyy-mm-dd")</f>
        <v/>
      </c>
      <c r="D13502" t="inlineStr">
        <is>
          <t>1355-10-04</t>
        </is>
      </c>
    </row>
    <row r="13503">
      <c r="A13503" s="1" t="n">
        <v>13502</v>
      </c>
      <c r="B13503">
        <f>TEXT(13502, "[$-170000]yyyy-mm-dd")</f>
        <v/>
      </c>
      <c r="C13503">
        <f>TEXT(13502, "[$-060000]yyyy-mm-dd")</f>
        <v/>
      </c>
      <c r="D13503" t="inlineStr">
        <is>
          <t>1355-10-05</t>
        </is>
      </c>
    </row>
    <row r="13504">
      <c r="A13504" s="1" t="n">
        <v>13503</v>
      </c>
      <c r="B13504">
        <f>TEXT(13503, "[$-170000]yyyy-mm-dd")</f>
        <v/>
      </c>
      <c r="C13504">
        <f>TEXT(13503, "[$-060000]yyyy-mm-dd")</f>
        <v/>
      </c>
      <c r="D13504" t="inlineStr">
        <is>
          <t>1355-10-06</t>
        </is>
      </c>
    </row>
    <row r="13505">
      <c r="A13505" s="1" t="n">
        <v>13504</v>
      </c>
      <c r="B13505">
        <f>TEXT(13504, "[$-170000]yyyy-mm-dd")</f>
        <v/>
      </c>
      <c r="C13505">
        <f>TEXT(13504, "[$-060000]yyyy-mm-dd")</f>
        <v/>
      </c>
      <c r="D13505" t="inlineStr">
        <is>
          <t>1355-10-07</t>
        </is>
      </c>
    </row>
    <row r="13506">
      <c r="A13506" s="1" t="n">
        <v>13505</v>
      </c>
      <c r="B13506">
        <f>TEXT(13505, "[$-170000]yyyy-mm-dd")</f>
        <v/>
      </c>
      <c r="C13506">
        <f>TEXT(13505, "[$-060000]yyyy-mm-dd")</f>
        <v/>
      </c>
      <c r="D13506" t="inlineStr">
        <is>
          <t>1355-10-08</t>
        </is>
      </c>
    </row>
    <row r="13507">
      <c r="A13507" s="1" t="n">
        <v>13506</v>
      </c>
      <c r="B13507">
        <f>TEXT(13506, "[$-170000]yyyy-mm-dd")</f>
        <v/>
      </c>
      <c r="C13507">
        <f>TEXT(13506, "[$-060000]yyyy-mm-dd")</f>
        <v/>
      </c>
      <c r="D13507" t="inlineStr">
        <is>
          <t>1355-10-09</t>
        </is>
      </c>
    </row>
    <row r="13508">
      <c r="A13508" s="1" t="n">
        <v>13507</v>
      </c>
      <c r="B13508">
        <f>TEXT(13507, "[$-170000]yyyy-mm-dd")</f>
        <v/>
      </c>
      <c r="C13508">
        <f>TEXT(13507, "[$-060000]yyyy-mm-dd")</f>
        <v/>
      </c>
      <c r="D13508" t="inlineStr">
        <is>
          <t>1355-10-10</t>
        </is>
      </c>
    </row>
    <row r="13509">
      <c r="A13509" s="1" t="n">
        <v>13508</v>
      </c>
      <c r="B13509">
        <f>TEXT(13508, "[$-170000]yyyy-mm-dd")</f>
        <v/>
      </c>
      <c r="C13509">
        <f>TEXT(13508, "[$-060000]yyyy-mm-dd")</f>
        <v/>
      </c>
      <c r="D13509" t="inlineStr">
        <is>
          <t>1355-10-11</t>
        </is>
      </c>
    </row>
    <row r="13510">
      <c r="A13510" s="1" t="n">
        <v>13509</v>
      </c>
      <c r="B13510">
        <f>TEXT(13509, "[$-170000]yyyy-mm-dd")</f>
        <v/>
      </c>
      <c r="C13510">
        <f>TEXT(13509, "[$-060000]yyyy-mm-dd")</f>
        <v/>
      </c>
      <c r="D13510" t="inlineStr">
        <is>
          <t>1355-10-12</t>
        </is>
      </c>
    </row>
    <row r="13511">
      <c r="A13511" s="1" t="n">
        <v>13510</v>
      </c>
      <c r="B13511">
        <f>TEXT(13510, "[$-170000]yyyy-mm-dd")</f>
        <v/>
      </c>
      <c r="C13511">
        <f>TEXT(13510, "[$-060000]yyyy-mm-dd")</f>
        <v/>
      </c>
      <c r="D13511" t="inlineStr">
        <is>
          <t>1355-10-13</t>
        </is>
      </c>
    </row>
    <row r="13512">
      <c r="A13512" s="1" t="n">
        <v>13511</v>
      </c>
      <c r="B13512">
        <f>TEXT(13511, "[$-170000]yyyy-mm-dd")</f>
        <v/>
      </c>
      <c r="C13512">
        <f>TEXT(13511, "[$-060000]yyyy-mm-dd")</f>
        <v/>
      </c>
      <c r="D13512" t="inlineStr">
        <is>
          <t>1355-10-14</t>
        </is>
      </c>
    </row>
    <row r="13513">
      <c r="A13513" s="1" t="n">
        <v>13512</v>
      </c>
      <c r="B13513">
        <f>TEXT(13512, "[$-170000]yyyy-mm-dd")</f>
        <v/>
      </c>
      <c r="C13513">
        <f>TEXT(13512, "[$-060000]yyyy-mm-dd")</f>
        <v/>
      </c>
      <c r="D13513" t="inlineStr">
        <is>
          <t>1355-10-15</t>
        </is>
      </c>
    </row>
    <row r="13514">
      <c r="A13514" s="1" t="n">
        <v>13513</v>
      </c>
      <c r="B13514">
        <f>TEXT(13513, "[$-170000]yyyy-mm-dd")</f>
        <v/>
      </c>
      <c r="C13514">
        <f>TEXT(13513, "[$-060000]yyyy-mm-dd")</f>
        <v/>
      </c>
      <c r="D13514" t="inlineStr">
        <is>
          <t>1355-10-16</t>
        </is>
      </c>
    </row>
    <row r="13515">
      <c r="A13515" s="1" t="n">
        <v>13514</v>
      </c>
      <c r="B13515">
        <f>TEXT(13514, "[$-170000]yyyy-mm-dd")</f>
        <v/>
      </c>
      <c r="C13515">
        <f>TEXT(13514, "[$-060000]yyyy-mm-dd")</f>
        <v/>
      </c>
      <c r="D13515" t="inlineStr">
        <is>
          <t>1355-10-17</t>
        </is>
      </c>
    </row>
    <row r="13516">
      <c r="A13516" s="1" t="n">
        <v>13515</v>
      </c>
      <c r="B13516">
        <f>TEXT(13515, "[$-170000]yyyy-mm-dd")</f>
        <v/>
      </c>
      <c r="C13516">
        <f>TEXT(13515, "[$-060000]yyyy-mm-dd")</f>
        <v/>
      </c>
      <c r="D13516" t="inlineStr">
        <is>
          <t>1355-10-18</t>
        </is>
      </c>
    </row>
    <row r="13517">
      <c r="A13517" s="1" t="n">
        <v>13516</v>
      </c>
      <c r="B13517">
        <f>TEXT(13516, "[$-170000]yyyy-mm-dd")</f>
        <v/>
      </c>
      <c r="C13517">
        <f>TEXT(13516, "[$-060000]yyyy-mm-dd")</f>
        <v/>
      </c>
      <c r="D13517" t="inlineStr">
        <is>
          <t>1355-10-19</t>
        </is>
      </c>
    </row>
    <row r="13518">
      <c r="A13518" s="1" t="n">
        <v>13517</v>
      </c>
      <c r="B13518">
        <f>TEXT(13517, "[$-170000]yyyy-mm-dd")</f>
        <v/>
      </c>
      <c r="C13518">
        <f>TEXT(13517, "[$-060000]yyyy-mm-dd")</f>
        <v/>
      </c>
      <c r="D13518" t="inlineStr">
        <is>
          <t>1355-10-20</t>
        </is>
      </c>
    </row>
    <row r="13519">
      <c r="A13519" s="1" t="n">
        <v>13518</v>
      </c>
      <c r="B13519">
        <f>TEXT(13518, "[$-170000]yyyy-mm-dd")</f>
        <v/>
      </c>
      <c r="C13519">
        <f>TEXT(13518, "[$-060000]yyyy-mm-dd")</f>
        <v/>
      </c>
      <c r="D13519" t="inlineStr">
        <is>
          <t>1355-10-21</t>
        </is>
      </c>
    </row>
    <row r="13520">
      <c r="A13520" s="1" t="n">
        <v>13519</v>
      </c>
      <c r="B13520">
        <f>TEXT(13519, "[$-170000]yyyy-mm-dd")</f>
        <v/>
      </c>
      <c r="C13520">
        <f>TEXT(13519, "[$-060000]yyyy-mm-dd")</f>
        <v/>
      </c>
      <c r="D13520" t="inlineStr">
        <is>
          <t>1355-10-22</t>
        </is>
      </c>
    </row>
    <row r="13521">
      <c r="A13521" s="1" t="n">
        <v>13520</v>
      </c>
      <c r="B13521">
        <f>TEXT(13520, "[$-170000]yyyy-mm-dd")</f>
        <v/>
      </c>
      <c r="C13521">
        <f>TEXT(13520, "[$-060000]yyyy-mm-dd")</f>
        <v/>
      </c>
      <c r="D13521" t="inlineStr">
        <is>
          <t>1355-10-23</t>
        </is>
      </c>
    </row>
    <row r="13522">
      <c r="A13522" s="1" t="n">
        <v>13521</v>
      </c>
      <c r="B13522">
        <f>TEXT(13521, "[$-170000]yyyy-mm-dd")</f>
        <v/>
      </c>
      <c r="C13522">
        <f>TEXT(13521, "[$-060000]yyyy-mm-dd")</f>
        <v/>
      </c>
      <c r="D13522" t="inlineStr">
        <is>
          <t>1355-10-24</t>
        </is>
      </c>
    </row>
    <row r="13523">
      <c r="A13523" s="1" t="n">
        <v>13522</v>
      </c>
      <c r="B13523">
        <f>TEXT(13522, "[$-170000]yyyy-mm-dd")</f>
        <v/>
      </c>
      <c r="C13523">
        <f>TEXT(13522, "[$-060000]yyyy-mm-dd")</f>
        <v/>
      </c>
      <c r="D13523" t="inlineStr">
        <is>
          <t>1355-10-25</t>
        </is>
      </c>
    </row>
    <row r="13524">
      <c r="A13524" s="1" t="n">
        <v>13523</v>
      </c>
      <c r="B13524">
        <f>TEXT(13523, "[$-170000]yyyy-mm-dd")</f>
        <v/>
      </c>
      <c r="C13524">
        <f>TEXT(13523, "[$-060000]yyyy-mm-dd")</f>
        <v/>
      </c>
      <c r="D13524" t="inlineStr">
        <is>
          <t>1355-10-26</t>
        </is>
      </c>
    </row>
    <row r="13525">
      <c r="A13525" s="1" t="n">
        <v>13524</v>
      </c>
      <c r="B13525">
        <f>TEXT(13524, "[$-170000]yyyy-mm-dd")</f>
        <v/>
      </c>
      <c r="C13525">
        <f>TEXT(13524, "[$-060000]yyyy-mm-dd")</f>
        <v/>
      </c>
      <c r="D13525" t="inlineStr">
        <is>
          <t>1355-10-27</t>
        </is>
      </c>
    </row>
    <row r="13526">
      <c r="A13526" s="1" t="n">
        <v>13525</v>
      </c>
      <c r="B13526">
        <f>TEXT(13525, "[$-170000]yyyy-mm-dd")</f>
        <v/>
      </c>
      <c r="C13526">
        <f>TEXT(13525, "[$-060000]yyyy-mm-dd")</f>
        <v/>
      </c>
      <c r="D13526" t="inlineStr">
        <is>
          <t>1355-10-28</t>
        </is>
      </c>
    </row>
    <row r="13527">
      <c r="A13527" s="1" t="n">
        <v>13526</v>
      </c>
      <c r="B13527">
        <f>TEXT(13526, "[$-170000]yyyy-mm-dd")</f>
        <v/>
      </c>
      <c r="C13527">
        <f>TEXT(13526, "[$-060000]yyyy-mm-dd")</f>
        <v/>
      </c>
      <c r="D13527" t="inlineStr">
        <is>
          <t>1355-10-29</t>
        </is>
      </c>
    </row>
    <row r="13528">
      <c r="A13528" s="1" t="n">
        <v>13527</v>
      </c>
      <c r="B13528">
        <f>TEXT(13527, "[$-170000]yyyy-mm-dd")</f>
        <v/>
      </c>
      <c r="C13528">
        <f>TEXT(13527, "[$-060000]yyyy-mm-dd")</f>
        <v/>
      </c>
      <c r="D13528" t="inlineStr">
        <is>
          <t>1355-11-01</t>
        </is>
      </c>
    </row>
    <row r="13529">
      <c r="A13529" s="1" t="n">
        <v>13528</v>
      </c>
      <c r="B13529">
        <f>TEXT(13528, "[$-170000]yyyy-mm-dd")</f>
        <v/>
      </c>
      <c r="C13529">
        <f>TEXT(13528, "[$-060000]yyyy-mm-dd")</f>
        <v/>
      </c>
      <c r="D13529" t="inlineStr">
        <is>
          <t>1355-11-02</t>
        </is>
      </c>
    </row>
    <row r="13530">
      <c r="A13530" s="1" t="n">
        <v>13529</v>
      </c>
      <c r="B13530">
        <f>TEXT(13529, "[$-170000]yyyy-mm-dd")</f>
        <v/>
      </c>
      <c r="C13530">
        <f>TEXT(13529, "[$-060000]yyyy-mm-dd")</f>
        <v/>
      </c>
      <c r="D13530" t="inlineStr">
        <is>
          <t>1355-11-03</t>
        </is>
      </c>
    </row>
    <row r="13531">
      <c r="A13531" s="1" t="n">
        <v>13530</v>
      </c>
      <c r="B13531">
        <f>TEXT(13530, "[$-170000]yyyy-mm-dd")</f>
        <v/>
      </c>
      <c r="C13531">
        <f>TEXT(13530, "[$-060000]yyyy-mm-dd")</f>
        <v/>
      </c>
      <c r="D13531" t="inlineStr">
        <is>
          <t>1355-11-04</t>
        </is>
      </c>
    </row>
    <row r="13532">
      <c r="A13532" s="1" t="n">
        <v>13531</v>
      </c>
      <c r="B13532">
        <f>TEXT(13531, "[$-170000]yyyy-mm-dd")</f>
        <v/>
      </c>
      <c r="C13532">
        <f>TEXT(13531, "[$-060000]yyyy-mm-dd")</f>
        <v/>
      </c>
      <c r="D13532" t="inlineStr">
        <is>
          <t>1355-11-05</t>
        </is>
      </c>
    </row>
    <row r="13533">
      <c r="A13533" s="1" t="n">
        <v>13532</v>
      </c>
      <c r="B13533">
        <f>TEXT(13532, "[$-170000]yyyy-mm-dd")</f>
        <v/>
      </c>
      <c r="C13533">
        <f>TEXT(13532, "[$-060000]yyyy-mm-dd")</f>
        <v/>
      </c>
      <c r="D13533" t="inlineStr">
        <is>
          <t>1355-11-06</t>
        </is>
      </c>
    </row>
    <row r="13534">
      <c r="A13534" s="1" t="n">
        <v>13533</v>
      </c>
      <c r="B13534">
        <f>TEXT(13533, "[$-170000]yyyy-mm-dd")</f>
        <v/>
      </c>
      <c r="C13534">
        <f>TEXT(13533, "[$-060000]yyyy-mm-dd")</f>
        <v/>
      </c>
      <c r="D13534" t="inlineStr">
        <is>
          <t>1355-11-07</t>
        </is>
      </c>
    </row>
    <row r="13535">
      <c r="A13535" s="1" t="n">
        <v>13534</v>
      </c>
      <c r="B13535">
        <f>TEXT(13534, "[$-170000]yyyy-mm-dd")</f>
        <v/>
      </c>
      <c r="C13535">
        <f>TEXT(13534, "[$-060000]yyyy-mm-dd")</f>
        <v/>
      </c>
      <c r="D13535" t="inlineStr">
        <is>
          <t>1355-11-08</t>
        </is>
      </c>
    </row>
    <row r="13536">
      <c r="A13536" s="1" t="n">
        <v>13535</v>
      </c>
      <c r="B13536">
        <f>TEXT(13535, "[$-170000]yyyy-mm-dd")</f>
        <v/>
      </c>
      <c r="C13536">
        <f>TEXT(13535, "[$-060000]yyyy-mm-dd")</f>
        <v/>
      </c>
      <c r="D13536" t="inlineStr">
        <is>
          <t>1355-11-09</t>
        </is>
      </c>
    </row>
    <row r="13537">
      <c r="A13537" s="1" t="n">
        <v>13536</v>
      </c>
      <c r="B13537">
        <f>TEXT(13536, "[$-170000]yyyy-mm-dd")</f>
        <v/>
      </c>
      <c r="C13537">
        <f>TEXT(13536, "[$-060000]yyyy-mm-dd")</f>
        <v/>
      </c>
      <c r="D13537" t="inlineStr">
        <is>
          <t>1355-11-10</t>
        </is>
      </c>
    </row>
    <row r="13538">
      <c r="A13538" s="1" t="n">
        <v>13537</v>
      </c>
      <c r="B13538">
        <f>TEXT(13537, "[$-170000]yyyy-mm-dd")</f>
        <v/>
      </c>
      <c r="C13538">
        <f>TEXT(13537, "[$-060000]yyyy-mm-dd")</f>
        <v/>
      </c>
      <c r="D13538" t="inlineStr">
        <is>
          <t>1355-11-11</t>
        </is>
      </c>
    </row>
    <row r="13539">
      <c r="A13539" s="1" t="n">
        <v>13538</v>
      </c>
      <c r="B13539">
        <f>TEXT(13538, "[$-170000]yyyy-mm-dd")</f>
        <v/>
      </c>
      <c r="C13539">
        <f>TEXT(13538, "[$-060000]yyyy-mm-dd")</f>
        <v/>
      </c>
      <c r="D13539" t="inlineStr">
        <is>
          <t>1355-11-12</t>
        </is>
      </c>
    </row>
    <row r="13540">
      <c r="A13540" s="1" t="n">
        <v>13539</v>
      </c>
      <c r="B13540">
        <f>TEXT(13539, "[$-170000]yyyy-mm-dd")</f>
        <v/>
      </c>
      <c r="C13540">
        <f>TEXT(13539, "[$-060000]yyyy-mm-dd")</f>
        <v/>
      </c>
      <c r="D13540" t="inlineStr">
        <is>
          <t>1355-11-13</t>
        </is>
      </c>
    </row>
    <row r="13541">
      <c r="A13541" s="1" t="n">
        <v>13540</v>
      </c>
      <c r="B13541">
        <f>TEXT(13540, "[$-170000]yyyy-mm-dd")</f>
        <v/>
      </c>
      <c r="C13541">
        <f>TEXT(13540, "[$-060000]yyyy-mm-dd")</f>
        <v/>
      </c>
      <c r="D13541" t="inlineStr">
        <is>
          <t>1355-11-14</t>
        </is>
      </c>
    </row>
    <row r="13542">
      <c r="A13542" s="1" t="n">
        <v>13541</v>
      </c>
      <c r="B13542">
        <f>TEXT(13541, "[$-170000]yyyy-mm-dd")</f>
        <v/>
      </c>
      <c r="C13542">
        <f>TEXT(13541, "[$-060000]yyyy-mm-dd")</f>
        <v/>
      </c>
      <c r="D13542" t="inlineStr">
        <is>
          <t>1355-11-15</t>
        </is>
      </c>
    </row>
    <row r="13543">
      <c r="A13543" s="1" t="n">
        <v>13542</v>
      </c>
      <c r="B13543">
        <f>TEXT(13542, "[$-170000]yyyy-mm-dd")</f>
        <v/>
      </c>
      <c r="C13543">
        <f>TEXT(13542, "[$-060000]yyyy-mm-dd")</f>
        <v/>
      </c>
      <c r="D13543" t="inlineStr">
        <is>
          <t>1355-11-16</t>
        </is>
      </c>
    </row>
    <row r="13544">
      <c r="A13544" s="1" t="n">
        <v>13543</v>
      </c>
      <c r="B13544">
        <f>TEXT(13543, "[$-170000]yyyy-mm-dd")</f>
        <v/>
      </c>
      <c r="C13544">
        <f>TEXT(13543, "[$-060000]yyyy-mm-dd")</f>
        <v/>
      </c>
      <c r="D13544" t="inlineStr">
        <is>
          <t>1355-11-17</t>
        </is>
      </c>
    </row>
    <row r="13545">
      <c r="A13545" s="1" t="n">
        <v>13544</v>
      </c>
      <c r="B13545">
        <f>TEXT(13544, "[$-170000]yyyy-mm-dd")</f>
        <v/>
      </c>
      <c r="C13545">
        <f>TEXT(13544, "[$-060000]yyyy-mm-dd")</f>
        <v/>
      </c>
      <c r="D13545" t="inlineStr">
        <is>
          <t>1355-11-18</t>
        </is>
      </c>
    </row>
    <row r="13546">
      <c r="A13546" s="1" t="n">
        <v>13545</v>
      </c>
      <c r="B13546">
        <f>TEXT(13545, "[$-170000]yyyy-mm-dd")</f>
        <v/>
      </c>
      <c r="C13546">
        <f>TEXT(13545, "[$-060000]yyyy-mm-dd")</f>
        <v/>
      </c>
      <c r="D13546" t="inlineStr">
        <is>
          <t>1355-11-19</t>
        </is>
      </c>
    </row>
    <row r="13547">
      <c r="A13547" s="1" t="n">
        <v>13546</v>
      </c>
      <c r="B13547">
        <f>TEXT(13546, "[$-170000]yyyy-mm-dd")</f>
        <v/>
      </c>
      <c r="C13547">
        <f>TEXT(13546, "[$-060000]yyyy-mm-dd")</f>
        <v/>
      </c>
      <c r="D13547" t="inlineStr">
        <is>
          <t>1355-11-20</t>
        </is>
      </c>
    </row>
    <row r="13548">
      <c r="A13548" s="1" t="n">
        <v>13547</v>
      </c>
      <c r="B13548">
        <f>TEXT(13547, "[$-170000]yyyy-mm-dd")</f>
        <v/>
      </c>
      <c r="C13548">
        <f>TEXT(13547, "[$-060000]yyyy-mm-dd")</f>
        <v/>
      </c>
      <c r="D13548" t="inlineStr">
        <is>
          <t>1355-11-21</t>
        </is>
      </c>
    </row>
    <row r="13549">
      <c r="A13549" s="1" t="n">
        <v>13548</v>
      </c>
      <c r="B13549">
        <f>TEXT(13548, "[$-170000]yyyy-mm-dd")</f>
        <v/>
      </c>
      <c r="C13549">
        <f>TEXT(13548, "[$-060000]yyyy-mm-dd")</f>
        <v/>
      </c>
      <c r="D13549" t="inlineStr">
        <is>
          <t>1355-11-22</t>
        </is>
      </c>
    </row>
    <row r="13550">
      <c r="A13550" s="1" t="n">
        <v>13549</v>
      </c>
      <c r="B13550">
        <f>TEXT(13549, "[$-170000]yyyy-mm-dd")</f>
        <v/>
      </c>
      <c r="C13550">
        <f>TEXT(13549, "[$-060000]yyyy-mm-dd")</f>
        <v/>
      </c>
      <c r="D13550" t="inlineStr">
        <is>
          <t>1355-11-23</t>
        </is>
      </c>
    </row>
    <row r="13551">
      <c r="A13551" s="1" t="n">
        <v>13550</v>
      </c>
      <c r="B13551">
        <f>TEXT(13550, "[$-170000]yyyy-mm-dd")</f>
        <v/>
      </c>
      <c r="C13551">
        <f>TEXT(13550, "[$-060000]yyyy-mm-dd")</f>
        <v/>
      </c>
      <c r="D13551" t="inlineStr">
        <is>
          <t>1355-11-24</t>
        </is>
      </c>
    </row>
    <row r="13552">
      <c r="A13552" s="1" t="n">
        <v>13551</v>
      </c>
      <c r="B13552">
        <f>TEXT(13551, "[$-170000]yyyy-mm-dd")</f>
        <v/>
      </c>
      <c r="C13552">
        <f>TEXT(13551, "[$-060000]yyyy-mm-dd")</f>
        <v/>
      </c>
      <c r="D13552" t="inlineStr">
        <is>
          <t>1355-11-25</t>
        </is>
      </c>
    </row>
    <row r="13553">
      <c r="A13553" s="1" t="n">
        <v>13552</v>
      </c>
      <c r="B13553">
        <f>TEXT(13552, "[$-170000]yyyy-mm-dd")</f>
        <v/>
      </c>
      <c r="C13553">
        <f>TEXT(13552, "[$-060000]yyyy-mm-dd")</f>
        <v/>
      </c>
      <c r="D13553" t="inlineStr">
        <is>
          <t>1355-11-26</t>
        </is>
      </c>
    </row>
    <row r="13554">
      <c r="A13554" s="1" t="n">
        <v>13553</v>
      </c>
      <c r="B13554">
        <f>TEXT(13553, "[$-170000]yyyy-mm-dd")</f>
        <v/>
      </c>
      <c r="C13554">
        <f>TEXT(13553, "[$-060000]yyyy-mm-dd")</f>
        <v/>
      </c>
      <c r="D13554" t="inlineStr">
        <is>
          <t>1355-11-27</t>
        </is>
      </c>
    </row>
    <row r="13555">
      <c r="A13555" s="1" t="n">
        <v>13554</v>
      </c>
      <c r="B13555">
        <f>TEXT(13554, "[$-170000]yyyy-mm-dd")</f>
        <v/>
      </c>
      <c r="C13555">
        <f>TEXT(13554, "[$-060000]yyyy-mm-dd")</f>
        <v/>
      </c>
      <c r="D13555" t="inlineStr">
        <is>
          <t>1355-11-28</t>
        </is>
      </c>
    </row>
    <row r="13556">
      <c r="A13556" s="1" t="n">
        <v>13555</v>
      </c>
      <c r="B13556">
        <f>TEXT(13555, "[$-170000]yyyy-mm-dd")</f>
        <v/>
      </c>
      <c r="C13556">
        <f>TEXT(13555, "[$-060000]yyyy-mm-dd")</f>
        <v/>
      </c>
      <c r="D13556" t="inlineStr">
        <is>
          <t>1355-11-29</t>
        </is>
      </c>
    </row>
    <row r="13557">
      <c r="A13557" s="1" t="n">
        <v>13556</v>
      </c>
      <c r="B13557">
        <f>TEXT(13556, "[$-170000]yyyy-mm-dd")</f>
        <v/>
      </c>
      <c r="C13557">
        <f>TEXT(13556, "[$-060000]yyyy-mm-dd")</f>
        <v/>
      </c>
      <c r="D13557" t="inlineStr">
        <is>
          <t>1355-11-30</t>
        </is>
      </c>
    </row>
    <row r="13558">
      <c r="A13558" s="1" t="n">
        <v>13557</v>
      </c>
      <c r="B13558">
        <f>TEXT(13557, "[$-170000]yyyy-mm-dd")</f>
        <v/>
      </c>
      <c r="C13558">
        <f>TEXT(13557, "[$-060000]yyyy-mm-dd")</f>
        <v/>
      </c>
      <c r="D13558" t="inlineStr">
        <is>
          <t>1355-12-01</t>
        </is>
      </c>
    </row>
    <row r="13559">
      <c r="A13559" s="1" t="n">
        <v>13558</v>
      </c>
      <c r="B13559">
        <f>TEXT(13558, "[$-170000]yyyy-mm-dd")</f>
        <v/>
      </c>
      <c r="C13559">
        <f>TEXT(13558, "[$-060000]yyyy-mm-dd")</f>
        <v/>
      </c>
      <c r="D13559" t="inlineStr">
        <is>
          <t>1355-12-02</t>
        </is>
      </c>
    </row>
    <row r="13560">
      <c r="A13560" s="1" t="n">
        <v>13559</v>
      </c>
      <c r="B13560">
        <f>TEXT(13559, "[$-170000]yyyy-mm-dd")</f>
        <v/>
      </c>
      <c r="C13560">
        <f>TEXT(13559, "[$-060000]yyyy-mm-dd")</f>
        <v/>
      </c>
      <c r="D13560" t="inlineStr">
        <is>
          <t>1355-12-03</t>
        </is>
      </c>
    </row>
    <row r="13561">
      <c r="A13561" s="1" t="n">
        <v>13560</v>
      </c>
      <c r="B13561">
        <f>TEXT(13560, "[$-170000]yyyy-mm-dd")</f>
        <v/>
      </c>
      <c r="C13561">
        <f>TEXT(13560, "[$-060000]yyyy-mm-dd")</f>
        <v/>
      </c>
      <c r="D13561" t="inlineStr">
        <is>
          <t>1355-12-04</t>
        </is>
      </c>
    </row>
    <row r="13562">
      <c r="A13562" s="1" t="n">
        <v>13561</v>
      </c>
      <c r="B13562">
        <f>TEXT(13561, "[$-170000]yyyy-mm-dd")</f>
        <v/>
      </c>
      <c r="C13562">
        <f>TEXT(13561, "[$-060000]yyyy-mm-dd")</f>
        <v/>
      </c>
      <c r="D13562" t="inlineStr">
        <is>
          <t>1355-12-05</t>
        </is>
      </c>
    </row>
    <row r="13563">
      <c r="A13563" s="1" t="n">
        <v>13562</v>
      </c>
      <c r="B13563">
        <f>TEXT(13562, "[$-170000]yyyy-mm-dd")</f>
        <v/>
      </c>
      <c r="C13563">
        <f>TEXT(13562, "[$-060000]yyyy-mm-dd")</f>
        <v/>
      </c>
      <c r="D13563" t="inlineStr">
        <is>
          <t>1355-12-06</t>
        </is>
      </c>
    </row>
    <row r="13564">
      <c r="A13564" s="1" t="n">
        <v>13563</v>
      </c>
      <c r="B13564">
        <f>TEXT(13563, "[$-170000]yyyy-mm-dd")</f>
        <v/>
      </c>
      <c r="C13564">
        <f>TEXT(13563, "[$-060000]yyyy-mm-dd")</f>
        <v/>
      </c>
      <c r="D13564" t="inlineStr">
        <is>
          <t>1355-12-07</t>
        </is>
      </c>
    </row>
    <row r="13565">
      <c r="A13565" s="1" t="n">
        <v>13564</v>
      </c>
      <c r="B13565">
        <f>TEXT(13564, "[$-170000]yyyy-mm-dd")</f>
        <v/>
      </c>
      <c r="C13565">
        <f>TEXT(13564, "[$-060000]yyyy-mm-dd")</f>
        <v/>
      </c>
      <c r="D13565" t="inlineStr">
        <is>
          <t>1355-12-08</t>
        </is>
      </c>
    </row>
    <row r="13566">
      <c r="A13566" s="1" t="n">
        <v>13565</v>
      </c>
      <c r="B13566">
        <f>TEXT(13565, "[$-170000]yyyy-mm-dd")</f>
        <v/>
      </c>
      <c r="C13566">
        <f>TEXT(13565, "[$-060000]yyyy-mm-dd")</f>
        <v/>
      </c>
      <c r="D13566" t="inlineStr">
        <is>
          <t>1355-12-09</t>
        </is>
      </c>
    </row>
    <row r="13567">
      <c r="A13567" s="1" t="n">
        <v>13566</v>
      </c>
      <c r="B13567">
        <f>TEXT(13566, "[$-170000]yyyy-mm-dd")</f>
        <v/>
      </c>
      <c r="C13567">
        <f>TEXT(13566, "[$-060000]yyyy-mm-dd")</f>
        <v/>
      </c>
      <c r="D13567" t="inlineStr">
        <is>
          <t>1355-12-10</t>
        </is>
      </c>
    </row>
    <row r="13568">
      <c r="A13568" s="1" t="n">
        <v>13567</v>
      </c>
      <c r="B13568">
        <f>TEXT(13567, "[$-170000]yyyy-mm-dd")</f>
        <v/>
      </c>
      <c r="C13568">
        <f>TEXT(13567, "[$-060000]yyyy-mm-dd")</f>
        <v/>
      </c>
      <c r="D13568" t="inlineStr">
        <is>
          <t>1355-12-11</t>
        </is>
      </c>
    </row>
    <row r="13569">
      <c r="A13569" s="1" t="n">
        <v>13568</v>
      </c>
      <c r="B13569">
        <f>TEXT(13568, "[$-170000]yyyy-mm-dd")</f>
        <v/>
      </c>
      <c r="C13569">
        <f>TEXT(13568, "[$-060000]yyyy-mm-dd")</f>
        <v/>
      </c>
      <c r="D13569" t="inlineStr">
        <is>
          <t>1355-12-12</t>
        </is>
      </c>
    </row>
    <row r="13570">
      <c r="A13570" s="1" t="n">
        <v>13569</v>
      </c>
      <c r="B13570">
        <f>TEXT(13569, "[$-170000]yyyy-mm-dd")</f>
        <v/>
      </c>
      <c r="C13570">
        <f>TEXT(13569, "[$-060000]yyyy-mm-dd")</f>
        <v/>
      </c>
      <c r="D13570" t="inlineStr">
        <is>
          <t>1355-12-13</t>
        </is>
      </c>
    </row>
    <row r="13571">
      <c r="A13571" s="1" t="n">
        <v>13570</v>
      </c>
      <c r="B13571">
        <f>TEXT(13570, "[$-170000]yyyy-mm-dd")</f>
        <v/>
      </c>
      <c r="C13571">
        <f>TEXT(13570, "[$-060000]yyyy-mm-dd")</f>
        <v/>
      </c>
      <c r="D13571" t="inlineStr">
        <is>
          <t>1355-12-14</t>
        </is>
      </c>
    </row>
    <row r="13572">
      <c r="A13572" s="1" t="n">
        <v>13571</v>
      </c>
      <c r="B13572">
        <f>TEXT(13571, "[$-170000]yyyy-mm-dd")</f>
        <v/>
      </c>
      <c r="C13572">
        <f>TEXT(13571, "[$-060000]yyyy-mm-dd")</f>
        <v/>
      </c>
      <c r="D13572" t="inlineStr">
        <is>
          <t>1355-12-15</t>
        </is>
      </c>
    </row>
    <row r="13573">
      <c r="A13573" s="1" t="n">
        <v>13572</v>
      </c>
      <c r="B13573">
        <f>TEXT(13572, "[$-170000]yyyy-mm-dd")</f>
        <v/>
      </c>
      <c r="C13573">
        <f>TEXT(13572, "[$-060000]yyyy-mm-dd")</f>
        <v/>
      </c>
      <c r="D13573" t="inlineStr">
        <is>
          <t>1355-12-16</t>
        </is>
      </c>
    </row>
    <row r="13574">
      <c r="A13574" s="1" t="n">
        <v>13573</v>
      </c>
      <c r="B13574">
        <f>TEXT(13573, "[$-170000]yyyy-mm-dd")</f>
        <v/>
      </c>
      <c r="C13574">
        <f>TEXT(13573, "[$-060000]yyyy-mm-dd")</f>
        <v/>
      </c>
      <c r="D13574" t="inlineStr">
        <is>
          <t>1355-12-17</t>
        </is>
      </c>
    </row>
    <row r="13575">
      <c r="A13575" s="1" t="n">
        <v>13574</v>
      </c>
      <c r="B13575">
        <f>TEXT(13574, "[$-170000]yyyy-mm-dd")</f>
        <v/>
      </c>
      <c r="C13575">
        <f>TEXT(13574, "[$-060000]yyyy-mm-dd")</f>
        <v/>
      </c>
      <c r="D13575" t="inlineStr">
        <is>
          <t>1355-12-18</t>
        </is>
      </c>
    </row>
    <row r="13576">
      <c r="A13576" s="1" t="n">
        <v>13575</v>
      </c>
      <c r="B13576">
        <f>TEXT(13575, "[$-170000]yyyy-mm-dd")</f>
        <v/>
      </c>
      <c r="C13576">
        <f>TEXT(13575, "[$-060000]yyyy-mm-dd")</f>
        <v/>
      </c>
      <c r="D13576" t="inlineStr">
        <is>
          <t>1355-12-19</t>
        </is>
      </c>
    </row>
    <row r="13577">
      <c r="A13577" s="1" t="n">
        <v>13576</v>
      </c>
      <c r="B13577">
        <f>TEXT(13576, "[$-170000]yyyy-mm-dd")</f>
        <v/>
      </c>
      <c r="C13577">
        <f>TEXT(13576, "[$-060000]yyyy-mm-dd")</f>
        <v/>
      </c>
      <c r="D13577" t="inlineStr">
        <is>
          <t>1355-12-20</t>
        </is>
      </c>
    </row>
    <row r="13578">
      <c r="A13578" s="1" t="n">
        <v>13577</v>
      </c>
      <c r="B13578">
        <f>TEXT(13577, "[$-170000]yyyy-mm-dd")</f>
        <v/>
      </c>
      <c r="C13578">
        <f>TEXT(13577, "[$-060000]yyyy-mm-dd")</f>
        <v/>
      </c>
      <c r="D13578" t="inlineStr">
        <is>
          <t>1355-12-21</t>
        </is>
      </c>
    </row>
    <row r="13579">
      <c r="A13579" s="1" t="n">
        <v>13578</v>
      </c>
      <c r="B13579">
        <f>TEXT(13578, "[$-170000]yyyy-mm-dd")</f>
        <v/>
      </c>
      <c r="C13579">
        <f>TEXT(13578, "[$-060000]yyyy-mm-dd")</f>
        <v/>
      </c>
      <c r="D13579" t="inlineStr">
        <is>
          <t>1355-12-22</t>
        </is>
      </c>
    </row>
    <row r="13580">
      <c r="A13580" s="1" t="n">
        <v>13579</v>
      </c>
      <c r="B13580">
        <f>TEXT(13579, "[$-170000]yyyy-mm-dd")</f>
        <v/>
      </c>
      <c r="C13580">
        <f>TEXT(13579, "[$-060000]yyyy-mm-dd")</f>
        <v/>
      </c>
      <c r="D13580" t="inlineStr">
        <is>
          <t>1355-12-23</t>
        </is>
      </c>
    </row>
    <row r="13581">
      <c r="A13581" s="1" t="n">
        <v>13580</v>
      </c>
      <c r="B13581">
        <f>TEXT(13580, "[$-170000]yyyy-mm-dd")</f>
        <v/>
      </c>
      <c r="C13581">
        <f>TEXT(13580, "[$-060000]yyyy-mm-dd")</f>
        <v/>
      </c>
      <c r="D13581" t="inlineStr">
        <is>
          <t>1355-12-24</t>
        </is>
      </c>
    </row>
    <row r="13582">
      <c r="A13582" s="1" t="n">
        <v>13581</v>
      </c>
      <c r="B13582">
        <f>TEXT(13581, "[$-170000]yyyy-mm-dd")</f>
        <v/>
      </c>
      <c r="C13582">
        <f>TEXT(13581, "[$-060000]yyyy-mm-dd")</f>
        <v/>
      </c>
      <c r="D13582" t="inlineStr">
        <is>
          <t>1355-12-25</t>
        </is>
      </c>
    </row>
    <row r="13583">
      <c r="A13583" s="1" t="n">
        <v>13582</v>
      </c>
      <c r="B13583">
        <f>TEXT(13582, "[$-170000]yyyy-mm-dd")</f>
        <v/>
      </c>
      <c r="C13583">
        <f>TEXT(13582, "[$-060000]yyyy-mm-dd")</f>
        <v/>
      </c>
      <c r="D13583" t="inlineStr">
        <is>
          <t>1355-12-26</t>
        </is>
      </c>
    </row>
    <row r="13584">
      <c r="A13584" s="1" t="n">
        <v>13583</v>
      </c>
      <c r="B13584">
        <f>TEXT(13583, "[$-170000]yyyy-mm-dd")</f>
        <v/>
      </c>
      <c r="C13584">
        <f>TEXT(13583, "[$-060000]yyyy-mm-dd")</f>
        <v/>
      </c>
      <c r="D13584" t="inlineStr">
        <is>
          <t>1355-12-27</t>
        </is>
      </c>
    </row>
    <row r="13585">
      <c r="A13585" s="1" t="n">
        <v>13584</v>
      </c>
      <c r="B13585">
        <f>TEXT(13584, "[$-170000]yyyy-mm-dd")</f>
        <v/>
      </c>
      <c r="C13585">
        <f>TEXT(13584, "[$-060000]yyyy-mm-dd")</f>
        <v/>
      </c>
      <c r="D13585" t="inlineStr">
        <is>
          <t>1355-12-28</t>
        </is>
      </c>
    </row>
    <row r="13586">
      <c r="A13586" s="1" t="n">
        <v>13585</v>
      </c>
      <c r="B13586">
        <f>TEXT(13585, "[$-170000]yyyy-mm-dd")</f>
        <v/>
      </c>
      <c r="C13586">
        <f>TEXT(13585, "[$-060000]yyyy-mm-dd")</f>
        <v/>
      </c>
      <c r="D13586" t="inlineStr">
        <is>
          <t>1355-12-29</t>
        </is>
      </c>
    </row>
    <row r="13587">
      <c r="A13587" s="1" t="n">
        <v>13586</v>
      </c>
      <c r="B13587">
        <f>TEXT(13586, "[$-170000]yyyy-mm-dd")</f>
        <v/>
      </c>
      <c r="C13587">
        <f>TEXT(13586, "[$-060000]yyyy-mm-dd")</f>
        <v/>
      </c>
      <c r="D13587" t="inlineStr">
        <is>
          <t>1355-12-30</t>
        </is>
      </c>
    </row>
    <row r="13588">
      <c r="A13588" s="1" t="n">
        <v>13587</v>
      </c>
      <c r="B13588">
        <f>TEXT(13587, "[$-170000]yyyy-mm-dd")</f>
        <v/>
      </c>
      <c r="C13588">
        <f>TEXT(13587, "[$-060000]yyyy-mm-dd")</f>
        <v/>
      </c>
      <c r="D13588" t="inlineStr">
        <is>
          <t>1356-01-01</t>
        </is>
      </c>
    </row>
    <row r="13589">
      <c r="A13589" s="1" t="n">
        <v>13588</v>
      </c>
      <c r="B13589">
        <f>TEXT(13588, "[$-170000]yyyy-mm-dd")</f>
        <v/>
      </c>
      <c r="C13589">
        <f>TEXT(13588, "[$-060000]yyyy-mm-dd")</f>
        <v/>
      </c>
      <c r="D13589" t="inlineStr">
        <is>
          <t>1356-01-02</t>
        </is>
      </c>
    </row>
    <row r="13590">
      <c r="A13590" s="1" t="n">
        <v>13589</v>
      </c>
      <c r="B13590">
        <f>TEXT(13589, "[$-170000]yyyy-mm-dd")</f>
        <v/>
      </c>
      <c r="C13590">
        <f>TEXT(13589, "[$-060000]yyyy-mm-dd")</f>
        <v/>
      </c>
      <c r="D13590" t="inlineStr">
        <is>
          <t>1356-01-03</t>
        </is>
      </c>
    </row>
    <row r="13591">
      <c r="A13591" s="1" t="n">
        <v>13590</v>
      </c>
      <c r="B13591">
        <f>TEXT(13590, "[$-170000]yyyy-mm-dd")</f>
        <v/>
      </c>
      <c r="C13591">
        <f>TEXT(13590, "[$-060000]yyyy-mm-dd")</f>
        <v/>
      </c>
      <c r="D13591" t="inlineStr">
        <is>
          <t>1356-01-04</t>
        </is>
      </c>
    </row>
    <row r="13592">
      <c r="A13592" s="1" t="n">
        <v>13591</v>
      </c>
      <c r="B13592">
        <f>TEXT(13591, "[$-170000]yyyy-mm-dd")</f>
        <v/>
      </c>
      <c r="C13592">
        <f>TEXT(13591, "[$-060000]yyyy-mm-dd")</f>
        <v/>
      </c>
      <c r="D13592" t="inlineStr">
        <is>
          <t>1356-01-05</t>
        </is>
      </c>
    </row>
    <row r="13593">
      <c r="A13593" s="1" t="n">
        <v>13592</v>
      </c>
      <c r="B13593">
        <f>TEXT(13592, "[$-170000]yyyy-mm-dd")</f>
        <v/>
      </c>
      <c r="C13593">
        <f>TEXT(13592, "[$-060000]yyyy-mm-dd")</f>
        <v/>
      </c>
      <c r="D13593" t="inlineStr">
        <is>
          <t>1356-01-06</t>
        </is>
      </c>
    </row>
    <row r="13594">
      <c r="A13594" s="1" t="n">
        <v>13593</v>
      </c>
      <c r="B13594">
        <f>TEXT(13593, "[$-170000]yyyy-mm-dd")</f>
        <v/>
      </c>
      <c r="C13594">
        <f>TEXT(13593, "[$-060000]yyyy-mm-dd")</f>
        <v/>
      </c>
      <c r="D13594" t="inlineStr">
        <is>
          <t>1356-01-07</t>
        </is>
      </c>
    </row>
    <row r="13595">
      <c r="A13595" s="1" t="n">
        <v>13594</v>
      </c>
      <c r="B13595">
        <f>TEXT(13594, "[$-170000]yyyy-mm-dd")</f>
        <v/>
      </c>
      <c r="C13595">
        <f>TEXT(13594, "[$-060000]yyyy-mm-dd")</f>
        <v/>
      </c>
      <c r="D13595" t="inlineStr">
        <is>
          <t>1356-01-08</t>
        </is>
      </c>
    </row>
    <row r="13596">
      <c r="A13596" s="1" t="n">
        <v>13595</v>
      </c>
      <c r="B13596">
        <f>TEXT(13595, "[$-170000]yyyy-mm-dd")</f>
        <v/>
      </c>
      <c r="C13596">
        <f>TEXT(13595, "[$-060000]yyyy-mm-dd")</f>
        <v/>
      </c>
      <c r="D13596" t="inlineStr">
        <is>
          <t>1356-01-09</t>
        </is>
      </c>
    </row>
    <row r="13597">
      <c r="A13597" s="1" t="n">
        <v>13596</v>
      </c>
      <c r="B13597">
        <f>TEXT(13596, "[$-170000]yyyy-mm-dd")</f>
        <v/>
      </c>
      <c r="C13597">
        <f>TEXT(13596, "[$-060000]yyyy-mm-dd")</f>
        <v/>
      </c>
      <c r="D13597" t="inlineStr">
        <is>
          <t>1356-01-10</t>
        </is>
      </c>
    </row>
    <row r="13598">
      <c r="A13598" s="1" t="n">
        <v>13597</v>
      </c>
      <c r="B13598">
        <f>TEXT(13597, "[$-170000]yyyy-mm-dd")</f>
        <v/>
      </c>
      <c r="C13598">
        <f>TEXT(13597, "[$-060000]yyyy-mm-dd")</f>
        <v/>
      </c>
      <c r="D13598" t="inlineStr">
        <is>
          <t>1356-01-11</t>
        </is>
      </c>
    </row>
    <row r="13599">
      <c r="A13599" s="1" t="n">
        <v>13598</v>
      </c>
      <c r="B13599">
        <f>TEXT(13598, "[$-170000]yyyy-mm-dd")</f>
        <v/>
      </c>
      <c r="C13599">
        <f>TEXT(13598, "[$-060000]yyyy-mm-dd")</f>
        <v/>
      </c>
      <c r="D13599" t="inlineStr">
        <is>
          <t>1356-01-12</t>
        </is>
      </c>
    </row>
    <row r="13600">
      <c r="A13600" s="1" t="n">
        <v>13599</v>
      </c>
      <c r="B13600">
        <f>TEXT(13599, "[$-170000]yyyy-mm-dd")</f>
        <v/>
      </c>
      <c r="C13600">
        <f>TEXT(13599, "[$-060000]yyyy-mm-dd")</f>
        <v/>
      </c>
      <c r="D13600" t="inlineStr">
        <is>
          <t>1356-01-13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2020-10-28T17:06:00Z</dcterms:created>
  <dcterms:modified xsi:type="dcterms:W3CDTF">2020-10-28T17:06:00Z</dcterms:modified>
</cp:coreProperties>
</file>