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18"/>
  <sheetViews>
    <sheetView workbookViewId="0">
      <selection activeCell="A1" sqref="A1"/>
    </sheetView>
  </sheetViews>
  <sheetFormatPr baseColWidth="8" defaultRowHeight="15"/>
  <cols>
    <col customWidth="1" max="3" min="3" width="38"/>
    <col customWidth="1" max="4" min="4" width="38"/>
    <col customWidth="1" max="5" min="5" width="38"/>
    <col customWidth="1" max="6" min="6" width="38"/>
    <col customWidth="1" max="7" min="7" width="38"/>
    <col customWidth="1" max="8" min="8" width="38"/>
    <col customWidth="1" max="9" min="9" width="38"/>
    <col customWidth="1" max="10" min="10" width="38"/>
    <col customWidth="1" max="11" min="11" width="38"/>
    <col customWidth="1" max="12" min="12" width="38"/>
    <col customWidth="1" max="13" min="13" width="38"/>
    <col customWidth="1" max="14" min="14" width="38"/>
    <col customWidth="1" max="15" min="15" width="38"/>
  </cols>
  <sheetData>
    <row r="1">
      <c r="A1" t="inlineStr">
        <is>
          <t>LCID</t>
        </is>
      </c>
      <c r="B1" t="inlineStr">
        <is>
          <t>Locale</t>
        </is>
      </c>
      <c r="C1" t="inlineStr">
        <is>
          <t>Mon Jan</t>
        </is>
      </c>
      <c r="D1" t="inlineStr">
        <is>
          <t>Tue Feb</t>
        </is>
      </c>
      <c r="E1" t="inlineStr">
        <is>
          <t>Wed Mar</t>
        </is>
      </c>
      <c r="F1" t="inlineStr">
        <is>
          <t>Thu Apr</t>
        </is>
      </c>
      <c r="G1" t="inlineStr">
        <is>
          <t>Fri May</t>
        </is>
      </c>
      <c r="H1" t="inlineStr">
        <is>
          <t>Sat Jun</t>
        </is>
      </c>
      <c r="I1" t="inlineStr">
        <is>
          <t>Sun Jul</t>
        </is>
      </c>
      <c r="J1" t="inlineStr">
        <is>
          <t>Mon Aug</t>
        </is>
      </c>
      <c r="K1" t="inlineStr">
        <is>
          <t>Tue Sep</t>
        </is>
      </c>
      <c r="L1" t="inlineStr">
        <is>
          <t>Wed Oct</t>
        </is>
      </c>
      <c r="M1" t="inlineStr">
        <is>
          <t>Thu Nov</t>
        </is>
      </c>
      <c r="N1" t="inlineStr">
        <is>
          <t>Fri Dec</t>
        </is>
      </c>
      <c r="O1" t="inlineStr">
        <is>
          <t>Sat Jan</t>
        </is>
      </c>
    </row>
    <row r="2">
      <c r="A2" t="inlineStr">
        <is>
          <t>0x1</t>
        </is>
      </c>
      <c r="B2" t="inlineStr">
        <is>
          <t>ar</t>
        </is>
      </c>
      <c r="C2">
        <f>TEXT(43836, "[$-1]dddd,ddd,mmmm,mmm,mmmmm,m")</f>
        <v/>
      </c>
      <c r="D2">
        <f>TEXT(43865, "[$-1]dddd,ddd,mmmm,mmm,mmmmm,m")</f>
        <v/>
      </c>
      <c r="E2">
        <f>TEXT(43894, "[$-1]dddd,ddd,mmmm,mmm,mmmmm,m")</f>
        <v/>
      </c>
      <c r="F2">
        <f>TEXT(43923, "[$-1]dddd,ddd,mmmm,mmm,mmmmm,m")</f>
        <v/>
      </c>
      <c r="G2">
        <f>TEXT(43952, "[$-1]dddd,ddd,mmmm,mmm,mmmmm,m")</f>
        <v/>
      </c>
      <c r="H2">
        <f>TEXT(43988, "[$-1]dddd,ddd,mmmm,mmm,mmmmm,m")</f>
        <v/>
      </c>
      <c r="I2">
        <f>TEXT(44017, "[$-1]dddd,ddd,mmmm,mmm,mmmmm,m")</f>
        <v/>
      </c>
      <c r="J2">
        <f>TEXT(44046, "[$-1]dddd,ddd,mmmm,mmm,mmmmm,m")</f>
        <v/>
      </c>
      <c r="K2">
        <f>TEXT(44082, "[$-1]dddd,ddd,mmmm,mmm,mmmmm,m")</f>
        <v/>
      </c>
      <c r="L2">
        <f>TEXT(44111, "[$-1]dddd,ddd,mmmm,mmm,mmmmm,m")</f>
        <v/>
      </c>
      <c r="M2">
        <f>TEXT(44140, "[$-1]dddd,ddd,mmmm,mmm,mmmmm,m")</f>
        <v/>
      </c>
      <c r="N2">
        <f>TEXT(44169, "[$-1]dddd,ddd,mmmm,mmm,mmmmm,m")</f>
        <v/>
      </c>
      <c r="O2">
        <f>TEXT(44198, "[$-1]dddd,ddd,mmmm,mmm,mmmmm,m")</f>
        <v/>
      </c>
    </row>
    <row r="3">
      <c r="A3" t="inlineStr">
        <is>
          <t>0x2</t>
        </is>
      </c>
      <c r="B3" t="inlineStr">
        <is>
          <t>bg</t>
        </is>
      </c>
      <c r="C3">
        <f>TEXT(43836, "[$-2]dddd,ddd,mmmm,mmm,mmmmm,m")</f>
        <v/>
      </c>
      <c r="D3">
        <f>TEXT(43865, "[$-2]dddd,ddd,mmmm,mmm,mmmmm,m")</f>
        <v/>
      </c>
      <c r="E3">
        <f>TEXT(43894, "[$-2]dddd,ddd,mmmm,mmm,mmmmm,m")</f>
        <v/>
      </c>
      <c r="F3">
        <f>TEXT(43923, "[$-2]dddd,ddd,mmmm,mmm,mmmmm,m")</f>
        <v/>
      </c>
      <c r="G3">
        <f>TEXT(43952, "[$-2]dddd,ddd,mmmm,mmm,mmmmm,m")</f>
        <v/>
      </c>
      <c r="H3">
        <f>TEXT(43988, "[$-2]dddd,ddd,mmmm,mmm,mmmmm,m")</f>
        <v/>
      </c>
      <c r="I3">
        <f>TEXT(44017, "[$-2]dddd,ddd,mmmm,mmm,mmmmm,m")</f>
        <v/>
      </c>
      <c r="J3">
        <f>TEXT(44046, "[$-2]dddd,ddd,mmmm,mmm,mmmmm,m")</f>
        <v/>
      </c>
      <c r="K3">
        <f>TEXT(44082, "[$-2]dddd,ddd,mmmm,mmm,mmmmm,m")</f>
        <v/>
      </c>
      <c r="L3">
        <f>TEXT(44111, "[$-2]dddd,ddd,mmmm,mmm,mmmmm,m")</f>
        <v/>
      </c>
      <c r="M3">
        <f>TEXT(44140, "[$-2]dddd,ddd,mmmm,mmm,mmmmm,m")</f>
        <v/>
      </c>
      <c r="N3">
        <f>TEXT(44169, "[$-2]dddd,ddd,mmmm,mmm,mmmmm,m")</f>
        <v/>
      </c>
      <c r="O3">
        <f>TEXT(44198, "[$-2]dddd,ddd,mmmm,mmm,mmmmm,m")</f>
        <v/>
      </c>
    </row>
    <row r="4">
      <c r="A4" t="inlineStr">
        <is>
          <t>0x3</t>
        </is>
      </c>
      <c r="B4" t="inlineStr">
        <is>
          <t>ca</t>
        </is>
      </c>
      <c r="C4">
        <f>TEXT(43836, "[$-3]dddd,ddd,mmmm,mmm,mmmmm,m")</f>
        <v/>
      </c>
      <c r="D4">
        <f>TEXT(43865, "[$-3]dddd,ddd,mmmm,mmm,mmmmm,m")</f>
        <v/>
      </c>
      <c r="E4">
        <f>TEXT(43894, "[$-3]dddd,ddd,mmmm,mmm,mmmmm,m")</f>
        <v/>
      </c>
      <c r="F4">
        <f>TEXT(43923, "[$-3]dddd,ddd,mmmm,mmm,mmmmm,m")</f>
        <v/>
      </c>
      <c r="G4">
        <f>TEXT(43952, "[$-3]dddd,ddd,mmmm,mmm,mmmmm,m")</f>
        <v/>
      </c>
      <c r="H4">
        <f>TEXT(43988, "[$-3]dddd,ddd,mmmm,mmm,mmmmm,m")</f>
        <v/>
      </c>
      <c r="I4">
        <f>TEXT(44017, "[$-3]dddd,ddd,mmmm,mmm,mmmmm,m")</f>
        <v/>
      </c>
      <c r="J4">
        <f>TEXT(44046, "[$-3]dddd,ddd,mmmm,mmm,mmmmm,m")</f>
        <v/>
      </c>
      <c r="K4">
        <f>TEXT(44082, "[$-3]dddd,ddd,mmmm,mmm,mmmmm,m")</f>
        <v/>
      </c>
      <c r="L4">
        <f>TEXT(44111, "[$-3]dddd,ddd,mmmm,mmm,mmmmm,m")</f>
        <v/>
      </c>
      <c r="M4">
        <f>TEXT(44140, "[$-3]dddd,ddd,mmmm,mmm,mmmmm,m")</f>
        <v/>
      </c>
      <c r="N4">
        <f>TEXT(44169, "[$-3]dddd,ddd,mmmm,mmm,mmmmm,m")</f>
        <v/>
      </c>
      <c r="O4">
        <f>TEXT(44198, "[$-3]dddd,ddd,mmmm,mmm,mmmmm,m")</f>
        <v/>
      </c>
    </row>
    <row r="5">
      <c r="A5" t="inlineStr">
        <is>
          <t>0x1E000004</t>
        </is>
      </c>
      <c r="B5" t="inlineStr">
        <is>
          <t>zh-Hans</t>
        </is>
      </c>
      <c r="C5">
        <f>TEXT(43836, "[$-1E000004]dddd,ddd,mmmm,mmm,mmmmm,m")</f>
        <v/>
      </c>
      <c r="D5">
        <f>TEXT(43865, "[$-1E000004]dddd,ddd,mmmm,mmm,mmmmm,m")</f>
        <v/>
      </c>
      <c r="E5">
        <f>TEXT(43894, "[$-1E000004]dddd,ddd,mmmm,mmm,mmmmm,m")</f>
        <v/>
      </c>
      <c r="F5">
        <f>TEXT(43923, "[$-1E000004]dddd,ddd,mmmm,mmm,mmmmm,m")</f>
        <v/>
      </c>
      <c r="G5">
        <f>TEXT(43952, "[$-1E000004]dddd,ddd,mmmm,mmm,mmmmm,m")</f>
        <v/>
      </c>
      <c r="H5">
        <f>TEXT(43988, "[$-1E000004]dddd,ddd,mmmm,mmm,mmmmm,m")</f>
        <v/>
      </c>
      <c r="I5">
        <f>TEXT(44017, "[$-1E000004]dddd,ddd,mmmm,mmm,mmmmm,m")</f>
        <v/>
      </c>
      <c r="J5">
        <f>TEXT(44046, "[$-1E000004]dddd,ddd,mmmm,mmm,mmmmm,m")</f>
        <v/>
      </c>
      <c r="K5">
        <f>TEXT(44082, "[$-1E000004]dddd,ddd,mmmm,mmm,mmmmm,m")</f>
        <v/>
      </c>
      <c r="L5">
        <f>TEXT(44111, "[$-1E000004]dddd,ddd,mmmm,mmm,mmmmm,m")</f>
        <v/>
      </c>
      <c r="M5">
        <f>TEXT(44140, "[$-1E000004]dddd,ddd,mmmm,mmm,mmmmm,m")</f>
        <v/>
      </c>
      <c r="N5">
        <f>TEXT(44169, "[$-1E000004]dddd,ddd,mmmm,mmm,mmmmm,m")</f>
        <v/>
      </c>
      <c r="O5">
        <f>TEXT(44198, "[$-1E000004]dddd,ddd,mmmm,mmm,mmmmm,m")</f>
        <v/>
      </c>
    </row>
    <row r="6">
      <c r="A6" t="inlineStr">
        <is>
          <t>0x5</t>
        </is>
      </c>
      <c r="B6" t="inlineStr">
        <is>
          <t>cs</t>
        </is>
      </c>
      <c r="C6">
        <f>TEXT(43836, "[$-5]dddd,ddd,mmmm,mmm,mmmmm,m")</f>
        <v/>
      </c>
      <c r="D6">
        <f>TEXT(43865, "[$-5]dddd,ddd,mmmm,mmm,mmmmm,m")</f>
        <v/>
      </c>
      <c r="E6">
        <f>TEXT(43894, "[$-5]dddd,ddd,mmmm,mmm,mmmmm,m")</f>
        <v/>
      </c>
      <c r="F6">
        <f>TEXT(43923, "[$-5]dddd,ddd,mmmm,mmm,mmmmm,m")</f>
        <v/>
      </c>
      <c r="G6">
        <f>TEXT(43952, "[$-5]dddd,ddd,mmmm,mmm,mmmmm,m")</f>
        <v/>
      </c>
      <c r="H6">
        <f>TEXT(43988, "[$-5]dddd,ddd,mmmm,mmm,mmmmm,m")</f>
        <v/>
      </c>
      <c r="I6">
        <f>TEXT(44017, "[$-5]dddd,ddd,mmmm,mmm,mmmmm,m")</f>
        <v/>
      </c>
      <c r="J6">
        <f>TEXT(44046, "[$-5]dddd,ddd,mmmm,mmm,mmmmm,m")</f>
        <v/>
      </c>
      <c r="K6">
        <f>TEXT(44082, "[$-5]dddd,ddd,mmmm,mmm,mmmmm,m")</f>
        <v/>
      </c>
      <c r="L6">
        <f>TEXT(44111, "[$-5]dddd,ddd,mmmm,mmm,mmmmm,m")</f>
        <v/>
      </c>
      <c r="M6">
        <f>TEXT(44140, "[$-5]dddd,ddd,mmmm,mmm,mmmmm,m")</f>
        <v/>
      </c>
      <c r="N6">
        <f>TEXT(44169, "[$-5]dddd,ddd,mmmm,mmm,mmmmm,m")</f>
        <v/>
      </c>
      <c r="O6">
        <f>TEXT(44198, "[$-5]dddd,ddd,mmmm,mmm,mmmmm,m")</f>
        <v/>
      </c>
    </row>
    <row r="7">
      <c r="A7" t="inlineStr">
        <is>
          <t>0x6</t>
        </is>
      </c>
      <c r="B7" t="inlineStr">
        <is>
          <t>da</t>
        </is>
      </c>
      <c r="C7">
        <f>TEXT(43836, "[$-6]dddd,ddd,mmmm,mmm,mmmmm,m")</f>
        <v/>
      </c>
      <c r="D7">
        <f>TEXT(43865, "[$-6]dddd,ddd,mmmm,mmm,mmmmm,m")</f>
        <v/>
      </c>
      <c r="E7">
        <f>TEXT(43894, "[$-6]dddd,ddd,mmmm,mmm,mmmmm,m")</f>
        <v/>
      </c>
      <c r="F7">
        <f>TEXT(43923, "[$-6]dddd,ddd,mmmm,mmm,mmmmm,m")</f>
        <v/>
      </c>
      <c r="G7">
        <f>TEXT(43952, "[$-6]dddd,ddd,mmmm,mmm,mmmmm,m")</f>
        <v/>
      </c>
      <c r="H7">
        <f>TEXT(43988, "[$-6]dddd,ddd,mmmm,mmm,mmmmm,m")</f>
        <v/>
      </c>
      <c r="I7">
        <f>TEXT(44017, "[$-6]dddd,ddd,mmmm,mmm,mmmmm,m")</f>
        <v/>
      </c>
      <c r="J7">
        <f>TEXT(44046, "[$-6]dddd,ddd,mmmm,mmm,mmmmm,m")</f>
        <v/>
      </c>
      <c r="K7">
        <f>TEXT(44082, "[$-6]dddd,ddd,mmmm,mmm,mmmmm,m")</f>
        <v/>
      </c>
      <c r="L7">
        <f>TEXT(44111, "[$-6]dddd,ddd,mmmm,mmm,mmmmm,m")</f>
        <v/>
      </c>
      <c r="M7">
        <f>TEXT(44140, "[$-6]dddd,ddd,mmmm,mmm,mmmmm,m")</f>
        <v/>
      </c>
      <c r="N7">
        <f>TEXT(44169, "[$-6]dddd,ddd,mmmm,mmm,mmmmm,m")</f>
        <v/>
      </c>
      <c r="O7">
        <f>TEXT(44198, "[$-6]dddd,ddd,mmmm,mmm,mmmmm,m")</f>
        <v/>
      </c>
    </row>
    <row r="8">
      <c r="A8" t="inlineStr">
        <is>
          <t>0x7</t>
        </is>
      </c>
      <c r="B8" t="inlineStr">
        <is>
          <t>de</t>
        </is>
      </c>
      <c r="C8">
        <f>TEXT(43836, "[$-7]dddd,ddd,mmmm,mmm,mmmmm,m")</f>
        <v/>
      </c>
      <c r="D8">
        <f>TEXT(43865, "[$-7]dddd,ddd,mmmm,mmm,mmmmm,m")</f>
        <v/>
      </c>
      <c r="E8">
        <f>TEXT(43894, "[$-7]dddd,ddd,mmmm,mmm,mmmmm,m")</f>
        <v/>
      </c>
      <c r="F8">
        <f>TEXT(43923, "[$-7]dddd,ddd,mmmm,mmm,mmmmm,m")</f>
        <v/>
      </c>
      <c r="G8">
        <f>TEXT(43952, "[$-7]dddd,ddd,mmmm,mmm,mmmmm,m")</f>
        <v/>
      </c>
      <c r="H8">
        <f>TEXT(43988, "[$-7]dddd,ddd,mmmm,mmm,mmmmm,m")</f>
        <v/>
      </c>
      <c r="I8">
        <f>TEXT(44017, "[$-7]dddd,ddd,mmmm,mmm,mmmmm,m")</f>
        <v/>
      </c>
      <c r="J8">
        <f>TEXT(44046, "[$-7]dddd,ddd,mmmm,mmm,mmmmm,m")</f>
        <v/>
      </c>
      <c r="K8">
        <f>TEXT(44082, "[$-7]dddd,ddd,mmmm,mmm,mmmmm,m")</f>
        <v/>
      </c>
      <c r="L8">
        <f>TEXT(44111, "[$-7]dddd,ddd,mmmm,mmm,mmmmm,m")</f>
        <v/>
      </c>
      <c r="M8">
        <f>TEXT(44140, "[$-7]dddd,ddd,mmmm,mmm,mmmmm,m")</f>
        <v/>
      </c>
      <c r="N8">
        <f>TEXT(44169, "[$-7]dddd,ddd,mmmm,mmm,mmmmm,m")</f>
        <v/>
      </c>
      <c r="O8">
        <f>TEXT(44198, "[$-7]dddd,ddd,mmmm,mmm,mmmmm,m")</f>
        <v/>
      </c>
    </row>
    <row r="9">
      <c r="A9" t="inlineStr">
        <is>
          <t>0x8</t>
        </is>
      </c>
      <c r="B9" t="inlineStr">
        <is>
          <t>el</t>
        </is>
      </c>
      <c r="C9">
        <f>TEXT(43836, "[$-8]dddd,ddd,mmmm,mmm,mmmmm,m")</f>
        <v/>
      </c>
      <c r="D9">
        <f>TEXT(43865, "[$-8]dddd,ddd,mmmm,mmm,mmmmm,m")</f>
        <v/>
      </c>
      <c r="E9">
        <f>TEXT(43894, "[$-8]dddd,ddd,mmmm,mmm,mmmmm,m")</f>
        <v/>
      </c>
      <c r="F9">
        <f>TEXT(43923, "[$-8]dddd,ddd,mmmm,mmm,mmmmm,m")</f>
        <v/>
      </c>
      <c r="G9">
        <f>TEXT(43952, "[$-8]dddd,ddd,mmmm,mmm,mmmmm,m")</f>
        <v/>
      </c>
      <c r="H9">
        <f>TEXT(43988, "[$-8]dddd,ddd,mmmm,mmm,mmmmm,m")</f>
        <v/>
      </c>
      <c r="I9">
        <f>TEXT(44017, "[$-8]dddd,ddd,mmmm,mmm,mmmmm,m")</f>
        <v/>
      </c>
      <c r="J9">
        <f>TEXT(44046, "[$-8]dddd,ddd,mmmm,mmm,mmmmm,m")</f>
        <v/>
      </c>
      <c r="K9">
        <f>TEXT(44082, "[$-8]dddd,ddd,mmmm,mmm,mmmmm,m")</f>
        <v/>
      </c>
      <c r="L9">
        <f>TEXT(44111, "[$-8]dddd,ddd,mmmm,mmm,mmmmm,m")</f>
        <v/>
      </c>
      <c r="M9">
        <f>TEXT(44140, "[$-8]dddd,ddd,mmmm,mmm,mmmmm,m")</f>
        <v/>
      </c>
      <c r="N9">
        <f>TEXT(44169, "[$-8]dddd,ddd,mmmm,mmm,mmmmm,m")</f>
        <v/>
      </c>
      <c r="O9">
        <f>TEXT(44198, "[$-8]dddd,ddd,mmmm,mmm,mmmmm,m")</f>
        <v/>
      </c>
    </row>
    <row r="10">
      <c r="A10" t="inlineStr">
        <is>
          <t>0x9</t>
        </is>
      </c>
      <c r="B10" t="inlineStr">
        <is>
          <t>en</t>
        </is>
      </c>
      <c r="C10">
        <f>TEXT(43836, "[$-9]dddd,ddd,mmmm,mmm,mmmmm,m")</f>
        <v/>
      </c>
      <c r="D10">
        <f>TEXT(43865, "[$-9]dddd,ddd,mmmm,mmm,mmmmm,m")</f>
        <v/>
      </c>
      <c r="E10">
        <f>TEXT(43894, "[$-9]dddd,ddd,mmmm,mmm,mmmmm,m")</f>
        <v/>
      </c>
      <c r="F10">
        <f>TEXT(43923, "[$-9]dddd,ddd,mmmm,mmm,mmmmm,m")</f>
        <v/>
      </c>
      <c r="G10">
        <f>TEXT(43952, "[$-9]dddd,ddd,mmmm,mmm,mmmmm,m")</f>
        <v/>
      </c>
      <c r="H10">
        <f>TEXT(43988, "[$-9]dddd,ddd,mmmm,mmm,mmmmm,m")</f>
        <v/>
      </c>
      <c r="I10">
        <f>TEXT(44017, "[$-9]dddd,ddd,mmmm,mmm,mmmmm,m")</f>
        <v/>
      </c>
      <c r="J10">
        <f>TEXT(44046, "[$-9]dddd,ddd,mmmm,mmm,mmmmm,m")</f>
        <v/>
      </c>
      <c r="K10">
        <f>TEXT(44082, "[$-9]dddd,ddd,mmmm,mmm,mmmmm,m")</f>
        <v/>
      </c>
      <c r="L10">
        <f>TEXT(44111, "[$-9]dddd,ddd,mmmm,mmm,mmmmm,m")</f>
        <v/>
      </c>
      <c r="M10">
        <f>TEXT(44140, "[$-9]dddd,ddd,mmmm,mmm,mmmmm,m")</f>
        <v/>
      </c>
      <c r="N10">
        <f>TEXT(44169, "[$-9]dddd,ddd,mmmm,mmm,mmmmm,m")</f>
        <v/>
      </c>
      <c r="O10">
        <f>TEXT(44198, "[$-9]dddd,ddd,mmmm,mmm,mmmmm,m")</f>
        <v/>
      </c>
    </row>
    <row r="11">
      <c r="A11" t="inlineStr">
        <is>
          <t>0xA</t>
        </is>
      </c>
      <c r="B11" t="inlineStr">
        <is>
          <t>es</t>
        </is>
      </c>
      <c r="C11">
        <f>TEXT(43836, "[$-A]dddd,ddd,mmmm,mmm,mmmmm,m")</f>
        <v/>
      </c>
      <c r="D11">
        <f>TEXT(43865, "[$-A]dddd,ddd,mmmm,mmm,mmmmm,m")</f>
        <v/>
      </c>
      <c r="E11">
        <f>TEXT(43894, "[$-A]dddd,ddd,mmmm,mmm,mmmmm,m")</f>
        <v/>
      </c>
      <c r="F11">
        <f>TEXT(43923, "[$-A]dddd,ddd,mmmm,mmm,mmmmm,m")</f>
        <v/>
      </c>
      <c r="G11">
        <f>TEXT(43952, "[$-A]dddd,ddd,mmmm,mmm,mmmmm,m")</f>
        <v/>
      </c>
      <c r="H11">
        <f>TEXT(43988, "[$-A]dddd,ddd,mmmm,mmm,mmmmm,m")</f>
        <v/>
      </c>
      <c r="I11">
        <f>TEXT(44017, "[$-A]dddd,ddd,mmmm,mmm,mmmmm,m")</f>
        <v/>
      </c>
      <c r="J11">
        <f>TEXT(44046, "[$-A]dddd,ddd,mmmm,mmm,mmmmm,m")</f>
        <v/>
      </c>
      <c r="K11">
        <f>TEXT(44082, "[$-A]dddd,ddd,mmmm,mmm,mmmmm,m")</f>
        <v/>
      </c>
      <c r="L11">
        <f>TEXT(44111, "[$-A]dddd,ddd,mmmm,mmm,mmmmm,m")</f>
        <v/>
      </c>
      <c r="M11">
        <f>TEXT(44140, "[$-A]dddd,ddd,mmmm,mmm,mmmmm,m")</f>
        <v/>
      </c>
      <c r="N11">
        <f>TEXT(44169, "[$-A]dddd,ddd,mmmm,mmm,mmmmm,m")</f>
        <v/>
      </c>
      <c r="O11">
        <f>TEXT(44198, "[$-A]dddd,ddd,mmmm,mmm,mmmmm,m")</f>
        <v/>
      </c>
    </row>
    <row r="12">
      <c r="A12" t="inlineStr">
        <is>
          <t>0xB</t>
        </is>
      </c>
      <c r="B12" t="inlineStr">
        <is>
          <t>fi</t>
        </is>
      </c>
      <c r="C12">
        <f>TEXT(43836, "[$-B]dddd,ddd,mmmm,mmm,mmmmm,m")</f>
        <v/>
      </c>
      <c r="D12">
        <f>TEXT(43865, "[$-B]dddd,ddd,mmmm,mmm,mmmmm,m")</f>
        <v/>
      </c>
      <c r="E12">
        <f>TEXT(43894, "[$-B]dddd,ddd,mmmm,mmm,mmmmm,m")</f>
        <v/>
      </c>
      <c r="F12">
        <f>TEXT(43923, "[$-B]dddd,ddd,mmmm,mmm,mmmmm,m")</f>
        <v/>
      </c>
      <c r="G12">
        <f>TEXT(43952, "[$-B]dddd,ddd,mmmm,mmm,mmmmm,m")</f>
        <v/>
      </c>
      <c r="H12">
        <f>TEXT(43988, "[$-B]dddd,ddd,mmmm,mmm,mmmmm,m")</f>
        <v/>
      </c>
      <c r="I12">
        <f>TEXT(44017, "[$-B]dddd,ddd,mmmm,mmm,mmmmm,m")</f>
        <v/>
      </c>
      <c r="J12">
        <f>TEXT(44046, "[$-B]dddd,ddd,mmmm,mmm,mmmmm,m")</f>
        <v/>
      </c>
      <c r="K12">
        <f>TEXT(44082, "[$-B]dddd,ddd,mmmm,mmm,mmmmm,m")</f>
        <v/>
      </c>
      <c r="L12">
        <f>TEXT(44111, "[$-B]dddd,ddd,mmmm,mmm,mmmmm,m")</f>
        <v/>
      </c>
      <c r="M12">
        <f>TEXT(44140, "[$-B]dddd,ddd,mmmm,mmm,mmmmm,m")</f>
        <v/>
      </c>
      <c r="N12">
        <f>TEXT(44169, "[$-B]dddd,ddd,mmmm,mmm,mmmmm,m")</f>
        <v/>
      </c>
      <c r="O12">
        <f>TEXT(44198, "[$-B]dddd,ddd,mmmm,mmm,mmmmm,m")</f>
        <v/>
      </c>
    </row>
    <row r="13">
      <c r="A13" t="inlineStr">
        <is>
          <t>0xC</t>
        </is>
      </c>
      <c r="B13" t="inlineStr">
        <is>
          <t>fr</t>
        </is>
      </c>
      <c r="C13">
        <f>TEXT(43836, "[$-C]dddd,ddd,mmmm,mmm,mmmmm,m")</f>
        <v/>
      </c>
      <c r="D13">
        <f>TEXT(43865, "[$-C]dddd,ddd,mmmm,mmm,mmmmm,m")</f>
        <v/>
      </c>
      <c r="E13">
        <f>TEXT(43894, "[$-C]dddd,ddd,mmmm,mmm,mmmmm,m")</f>
        <v/>
      </c>
      <c r="F13">
        <f>TEXT(43923, "[$-C]dddd,ddd,mmmm,mmm,mmmmm,m")</f>
        <v/>
      </c>
      <c r="G13">
        <f>TEXT(43952, "[$-C]dddd,ddd,mmmm,mmm,mmmmm,m")</f>
        <v/>
      </c>
      <c r="H13">
        <f>TEXT(43988, "[$-C]dddd,ddd,mmmm,mmm,mmmmm,m")</f>
        <v/>
      </c>
      <c r="I13">
        <f>TEXT(44017, "[$-C]dddd,ddd,mmmm,mmm,mmmmm,m")</f>
        <v/>
      </c>
      <c r="J13">
        <f>TEXT(44046, "[$-C]dddd,ddd,mmmm,mmm,mmmmm,m")</f>
        <v/>
      </c>
      <c r="K13">
        <f>TEXT(44082, "[$-C]dddd,ddd,mmmm,mmm,mmmmm,m")</f>
        <v/>
      </c>
      <c r="L13">
        <f>TEXT(44111, "[$-C]dddd,ddd,mmmm,mmm,mmmmm,m")</f>
        <v/>
      </c>
      <c r="M13">
        <f>TEXT(44140, "[$-C]dddd,ddd,mmmm,mmm,mmmmm,m")</f>
        <v/>
      </c>
      <c r="N13">
        <f>TEXT(44169, "[$-C]dddd,ddd,mmmm,mmm,mmmmm,m")</f>
        <v/>
      </c>
      <c r="O13">
        <f>TEXT(44198, "[$-C]dddd,ddd,mmmm,mmm,mmmmm,m")</f>
        <v/>
      </c>
    </row>
    <row r="14">
      <c r="A14" t="inlineStr">
        <is>
          <t>0xD</t>
        </is>
      </c>
      <c r="B14" t="inlineStr">
        <is>
          <t>he</t>
        </is>
      </c>
      <c r="C14">
        <f>TEXT(43836, "[$-D]dddd,ddd,mmmm,mmm,mmmmm,m")</f>
        <v/>
      </c>
      <c r="D14">
        <f>TEXT(43865, "[$-D]dddd,ddd,mmmm,mmm,mmmmm,m")</f>
        <v/>
      </c>
      <c r="E14">
        <f>TEXT(43894, "[$-D]dddd,ddd,mmmm,mmm,mmmmm,m")</f>
        <v/>
      </c>
      <c r="F14">
        <f>TEXT(43923, "[$-D]dddd,ddd,mmmm,mmm,mmmmm,m")</f>
        <v/>
      </c>
      <c r="G14">
        <f>TEXT(43952, "[$-D]dddd,ddd,mmmm,mmm,mmmmm,m")</f>
        <v/>
      </c>
      <c r="H14">
        <f>TEXT(43988, "[$-D]dddd,ddd,mmmm,mmm,mmmmm,m")</f>
        <v/>
      </c>
      <c r="I14">
        <f>TEXT(44017, "[$-D]dddd,ddd,mmmm,mmm,mmmmm,m")</f>
        <v/>
      </c>
      <c r="J14">
        <f>TEXT(44046, "[$-D]dddd,ddd,mmmm,mmm,mmmmm,m")</f>
        <v/>
      </c>
      <c r="K14">
        <f>TEXT(44082, "[$-D]dddd,ddd,mmmm,mmm,mmmmm,m")</f>
        <v/>
      </c>
      <c r="L14">
        <f>TEXT(44111, "[$-D]dddd,ddd,mmmm,mmm,mmmmm,m")</f>
        <v/>
      </c>
      <c r="M14">
        <f>TEXT(44140, "[$-D]dddd,ddd,mmmm,mmm,mmmmm,m")</f>
        <v/>
      </c>
      <c r="N14">
        <f>TEXT(44169, "[$-D]dddd,ddd,mmmm,mmm,mmmmm,m")</f>
        <v/>
      </c>
      <c r="O14">
        <f>TEXT(44198, "[$-D]dddd,ddd,mmmm,mmm,mmmmm,m")</f>
        <v/>
      </c>
    </row>
    <row r="15">
      <c r="A15" t="inlineStr">
        <is>
          <t>0xE</t>
        </is>
      </c>
      <c r="B15" t="inlineStr">
        <is>
          <t>hu</t>
        </is>
      </c>
      <c r="C15">
        <f>TEXT(43836, "[$-E]dddd,ddd,mmmm,mmm,mmmmm,m")</f>
        <v/>
      </c>
      <c r="D15">
        <f>TEXT(43865, "[$-E]dddd,ddd,mmmm,mmm,mmmmm,m")</f>
        <v/>
      </c>
      <c r="E15">
        <f>TEXT(43894, "[$-E]dddd,ddd,mmmm,mmm,mmmmm,m")</f>
        <v/>
      </c>
      <c r="F15">
        <f>TEXT(43923, "[$-E]dddd,ddd,mmmm,mmm,mmmmm,m")</f>
        <v/>
      </c>
      <c r="G15">
        <f>TEXT(43952, "[$-E]dddd,ddd,mmmm,mmm,mmmmm,m")</f>
        <v/>
      </c>
      <c r="H15">
        <f>TEXT(43988, "[$-E]dddd,ddd,mmmm,mmm,mmmmm,m")</f>
        <v/>
      </c>
      <c r="I15">
        <f>TEXT(44017, "[$-E]dddd,ddd,mmmm,mmm,mmmmm,m")</f>
        <v/>
      </c>
      <c r="J15">
        <f>TEXT(44046, "[$-E]dddd,ddd,mmmm,mmm,mmmmm,m")</f>
        <v/>
      </c>
      <c r="K15">
        <f>TEXT(44082, "[$-E]dddd,ddd,mmmm,mmm,mmmmm,m")</f>
        <v/>
      </c>
      <c r="L15">
        <f>TEXT(44111, "[$-E]dddd,ddd,mmmm,mmm,mmmmm,m")</f>
        <v/>
      </c>
      <c r="M15">
        <f>TEXT(44140, "[$-E]dddd,ddd,mmmm,mmm,mmmmm,m")</f>
        <v/>
      </c>
      <c r="N15">
        <f>TEXT(44169, "[$-E]dddd,ddd,mmmm,mmm,mmmmm,m")</f>
        <v/>
      </c>
      <c r="O15">
        <f>TEXT(44198, "[$-E]dddd,ddd,mmmm,mmm,mmmmm,m")</f>
        <v/>
      </c>
    </row>
    <row r="16">
      <c r="A16" t="inlineStr">
        <is>
          <t>0xF</t>
        </is>
      </c>
      <c r="B16" t="inlineStr">
        <is>
          <t>is</t>
        </is>
      </c>
      <c r="C16">
        <f>TEXT(43836, "[$-F]dddd,ddd,mmmm,mmm,mmmmm,m")</f>
        <v/>
      </c>
      <c r="D16">
        <f>TEXT(43865, "[$-F]dddd,ddd,mmmm,mmm,mmmmm,m")</f>
        <v/>
      </c>
      <c r="E16">
        <f>TEXT(43894, "[$-F]dddd,ddd,mmmm,mmm,mmmmm,m")</f>
        <v/>
      </c>
      <c r="F16">
        <f>TEXT(43923, "[$-F]dddd,ddd,mmmm,mmm,mmmmm,m")</f>
        <v/>
      </c>
      <c r="G16">
        <f>TEXT(43952, "[$-F]dddd,ddd,mmmm,mmm,mmmmm,m")</f>
        <v/>
      </c>
      <c r="H16">
        <f>TEXT(43988, "[$-F]dddd,ddd,mmmm,mmm,mmmmm,m")</f>
        <v/>
      </c>
      <c r="I16">
        <f>TEXT(44017, "[$-F]dddd,ddd,mmmm,mmm,mmmmm,m")</f>
        <v/>
      </c>
      <c r="J16">
        <f>TEXT(44046, "[$-F]dddd,ddd,mmmm,mmm,mmmmm,m")</f>
        <v/>
      </c>
      <c r="K16">
        <f>TEXT(44082, "[$-F]dddd,ddd,mmmm,mmm,mmmmm,m")</f>
        <v/>
      </c>
      <c r="L16">
        <f>TEXT(44111, "[$-F]dddd,ddd,mmmm,mmm,mmmmm,m")</f>
        <v/>
      </c>
      <c r="M16">
        <f>TEXT(44140, "[$-F]dddd,ddd,mmmm,mmm,mmmmm,m")</f>
        <v/>
      </c>
      <c r="N16">
        <f>TEXT(44169, "[$-F]dddd,ddd,mmmm,mmm,mmmmm,m")</f>
        <v/>
      </c>
      <c r="O16">
        <f>TEXT(44198, "[$-F]dddd,ddd,mmmm,mmm,mmmmm,m")</f>
        <v/>
      </c>
    </row>
    <row r="17">
      <c r="A17" t="inlineStr">
        <is>
          <t>0x10</t>
        </is>
      </c>
      <c r="B17" t="inlineStr">
        <is>
          <t>it</t>
        </is>
      </c>
      <c r="C17">
        <f>TEXT(43836, "[$-10]dddd,ddd,mmmm,mmm,mmmmm,m")</f>
        <v/>
      </c>
      <c r="D17">
        <f>TEXT(43865, "[$-10]dddd,ddd,mmmm,mmm,mmmmm,m")</f>
        <v/>
      </c>
      <c r="E17">
        <f>TEXT(43894, "[$-10]dddd,ddd,mmmm,mmm,mmmmm,m")</f>
        <v/>
      </c>
      <c r="F17">
        <f>TEXT(43923, "[$-10]dddd,ddd,mmmm,mmm,mmmmm,m")</f>
        <v/>
      </c>
      <c r="G17">
        <f>TEXT(43952, "[$-10]dddd,ddd,mmmm,mmm,mmmmm,m")</f>
        <v/>
      </c>
      <c r="H17">
        <f>TEXT(43988, "[$-10]dddd,ddd,mmmm,mmm,mmmmm,m")</f>
        <v/>
      </c>
      <c r="I17">
        <f>TEXT(44017, "[$-10]dddd,ddd,mmmm,mmm,mmmmm,m")</f>
        <v/>
      </c>
      <c r="J17">
        <f>TEXT(44046, "[$-10]dddd,ddd,mmmm,mmm,mmmmm,m")</f>
        <v/>
      </c>
      <c r="K17">
        <f>TEXT(44082, "[$-10]dddd,ddd,mmmm,mmm,mmmmm,m")</f>
        <v/>
      </c>
      <c r="L17">
        <f>TEXT(44111, "[$-10]dddd,ddd,mmmm,mmm,mmmmm,m")</f>
        <v/>
      </c>
      <c r="M17">
        <f>TEXT(44140, "[$-10]dddd,ddd,mmmm,mmm,mmmmm,m")</f>
        <v/>
      </c>
      <c r="N17">
        <f>TEXT(44169, "[$-10]dddd,ddd,mmmm,mmm,mmmmm,m")</f>
        <v/>
      </c>
      <c r="O17">
        <f>TEXT(44198, "[$-10]dddd,ddd,mmmm,mmm,mmmmm,m")</f>
        <v/>
      </c>
    </row>
    <row r="18">
      <c r="A18" t="inlineStr">
        <is>
          <t>0x1B000011</t>
        </is>
      </c>
      <c r="B18" t="inlineStr">
        <is>
          <t>ja</t>
        </is>
      </c>
      <c r="C18">
        <f>TEXT(43836, "[$-1B000011]dddd,ddd,mmmm,mmm,mmmmm,m")</f>
        <v/>
      </c>
      <c r="D18">
        <f>TEXT(43865, "[$-1B000011]dddd,ddd,mmmm,mmm,mmmmm,m")</f>
        <v/>
      </c>
      <c r="E18">
        <f>TEXT(43894, "[$-1B000011]dddd,ddd,mmmm,mmm,mmmmm,m")</f>
        <v/>
      </c>
      <c r="F18">
        <f>TEXT(43923, "[$-1B000011]dddd,ddd,mmmm,mmm,mmmmm,m")</f>
        <v/>
      </c>
      <c r="G18">
        <f>TEXT(43952, "[$-1B000011]dddd,ddd,mmmm,mmm,mmmmm,m")</f>
        <v/>
      </c>
      <c r="H18">
        <f>TEXT(43988, "[$-1B000011]dddd,ddd,mmmm,mmm,mmmmm,m")</f>
        <v/>
      </c>
      <c r="I18">
        <f>TEXT(44017, "[$-1B000011]dddd,ddd,mmmm,mmm,mmmmm,m")</f>
        <v/>
      </c>
      <c r="J18">
        <f>TEXT(44046, "[$-1B000011]dddd,ddd,mmmm,mmm,mmmmm,m")</f>
        <v/>
      </c>
      <c r="K18">
        <f>TEXT(44082, "[$-1B000011]dddd,ddd,mmmm,mmm,mmmmm,m")</f>
        <v/>
      </c>
      <c r="L18">
        <f>TEXT(44111, "[$-1B000011]dddd,ddd,mmmm,mmm,mmmmm,m")</f>
        <v/>
      </c>
      <c r="M18">
        <f>TEXT(44140, "[$-1B000011]dddd,ddd,mmmm,mmm,mmmmm,m")</f>
        <v/>
      </c>
      <c r="N18">
        <f>TEXT(44169, "[$-1B000011]dddd,ddd,mmmm,mmm,mmmmm,m")</f>
        <v/>
      </c>
      <c r="O18">
        <f>TEXT(44198, "[$-1B000011]dddd,ddd,mmmm,mmm,mmmmm,m")</f>
        <v/>
      </c>
    </row>
    <row r="19">
      <c r="A19" t="inlineStr">
        <is>
          <t>0x24000012</t>
        </is>
      </c>
      <c r="B19" t="inlineStr">
        <is>
          <t>ko</t>
        </is>
      </c>
      <c r="C19">
        <f>TEXT(43836, "[$-24000012]dddd,ddd,mmmm,mmm,mmmmm,m")</f>
        <v/>
      </c>
      <c r="D19">
        <f>TEXT(43865, "[$-24000012]dddd,ddd,mmmm,mmm,mmmmm,m")</f>
        <v/>
      </c>
      <c r="E19">
        <f>TEXT(43894, "[$-24000012]dddd,ddd,mmmm,mmm,mmmmm,m")</f>
        <v/>
      </c>
      <c r="F19">
        <f>TEXT(43923, "[$-24000012]dddd,ddd,mmmm,mmm,mmmmm,m")</f>
        <v/>
      </c>
      <c r="G19">
        <f>TEXT(43952, "[$-24000012]dddd,ddd,mmmm,mmm,mmmmm,m")</f>
        <v/>
      </c>
      <c r="H19">
        <f>TEXT(43988, "[$-24000012]dddd,ddd,mmmm,mmm,mmmmm,m")</f>
        <v/>
      </c>
      <c r="I19">
        <f>TEXT(44017, "[$-24000012]dddd,ddd,mmmm,mmm,mmmmm,m")</f>
        <v/>
      </c>
      <c r="J19">
        <f>TEXT(44046, "[$-24000012]dddd,ddd,mmmm,mmm,mmmmm,m")</f>
        <v/>
      </c>
      <c r="K19">
        <f>TEXT(44082, "[$-24000012]dddd,ddd,mmmm,mmm,mmmmm,m")</f>
        <v/>
      </c>
      <c r="L19">
        <f>TEXT(44111, "[$-24000012]dddd,ddd,mmmm,mmm,mmmmm,m")</f>
        <v/>
      </c>
      <c r="M19">
        <f>TEXT(44140, "[$-24000012]dddd,ddd,mmmm,mmm,mmmmm,m")</f>
        <v/>
      </c>
      <c r="N19">
        <f>TEXT(44169, "[$-24000012]dddd,ddd,mmmm,mmm,mmmmm,m")</f>
        <v/>
      </c>
      <c r="O19">
        <f>TEXT(44198, "[$-24000012]dddd,ddd,mmmm,mmm,mmmmm,m")</f>
        <v/>
      </c>
    </row>
    <row r="20">
      <c r="A20" t="inlineStr">
        <is>
          <t>0x13</t>
        </is>
      </c>
      <c r="B20" t="inlineStr">
        <is>
          <t>nl</t>
        </is>
      </c>
      <c r="C20">
        <f>TEXT(43836, "[$-13]dddd,ddd,mmmm,mmm,mmmmm,m")</f>
        <v/>
      </c>
      <c r="D20">
        <f>TEXT(43865, "[$-13]dddd,ddd,mmmm,mmm,mmmmm,m")</f>
        <v/>
      </c>
      <c r="E20">
        <f>TEXT(43894, "[$-13]dddd,ddd,mmmm,mmm,mmmmm,m")</f>
        <v/>
      </c>
      <c r="F20">
        <f>TEXT(43923, "[$-13]dddd,ddd,mmmm,mmm,mmmmm,m")</f>
        <v/>
      </c>
      <c r="G20">
        <f>TEXT(43952, "[$-13]dddd,ddd,mmmm,mmm,mmmmm,m")</f>
        <v/>
      </c>
      <c r="H20">
        <f>TEXT(43988, "[$-13]dddd,ddd,mmmm,mmm,mmmmm,m")</f>
        <v/>
      </c>
      <c r="I20">
        <f>TEXT(44017, "[$-13]dddd,ddd,mmmm,mmm,mmmmm,m")</f>
        <v/>
      </c>
      <c r="J20">
        <f>TEXT(44046, "[$-13]dddd,ddd,mmmm,mmm,mmmmm,m")</f>
        <v/>
      </c>
      <c r="K20">
        <f>TEXT(44082, "[$-13]dddd,ddd,mmmm,mmm,mmmmm,m")</f>
        <v/>
      </c>
      <c r="L20">
        <f>TEXT(44111, "[$-13]dddd,ddd,mmmm,mmm,mmmmm,m")</f>
        <v/>
      </c>
      <c r="M20">
        <f>TEXT(44140, "[$-13]dddd,ddd,mmmm,mmm,mmmmm,m")</f>
        <v/>
      </c>
      <c r="N20">
        <f>TEXT(44169, "[$-13]dddd,ddd,mmmm,mmm,mmmmm,m")</f>
        <v/>
      </c>
      <c r="O20">
        <f>TEXT(44198, "[$-13]dddd,ddd,mmmm,mmm,mmmmm,m")</f>
        <v/>
      </c>
    </row>
    <row r="21">
      <c r="A21" t="inlineStr">
        <is>
          <t>0x14</t>
        </is>
      </c>
      <c r="B21" t="inlineStr">
        <is>
          <t>no</t>
        </is>
      </c>
      <c r="C21">
        <f>TEXT(43836, "[$-14]dddd,ddd,mmmm,mmm,mmmmm,m")</f>
        <v/>
      </c>
      <c r="D21">
        <f>TEXT(43865, "[$-14]dddd,ddd,mmmm,mmm,mmmmm,m")</f>
        <v/>
      </c>
      <c r="E21">
        <f>TEXT(43894, "[$-14]dddd,ddd,mmmm,mmm,mmmmm,m")</f>
        <v/>
      </c>
      <c r="F21">
        <f>TEXT(43923, "[$-14]dddd,ddd,mmmm,mmm,mmmmm,m")</f>
        <v/>
      </c>
      <c r="G21">
        <f>TEXT(43952, "[$-14]dddd,ddd,mmmm,mmm,mmmmm,m")</f>
        <v/>
      </c>
      <c r="H21">
        <f>TEXT(43988, "[$-14]dddd,ddd,mmmm,mmm,mmmmm,m")</f>
        <v/>
      </c>
      <c r="I21">
        <f>TEXT(44017, "[$-14]dddd,ddd,mmmm,mmm,mmmmm,m")</f>
        <v/>
      </c>
      <c r="J21">
        <f>TEXT(44046, "[$-14]dddd,ddd,mmmm,mmm,mmmmm,m")</f>
        <v/>
      </c>
      <c r="K21">
        <f>TEXT(44082, "[$-14]dddd,ddd,mmmm,mmm,mmmmm,m")</f>
        <v/>
      </c>
      <c r="L21">
        <f>TEXT(44111, "[$-14]dddd,ddd,mmmm,mmm,mmmmm,m")</f>
        <v/>
      </c>
      <c r="M21">
        <f>TEXT(44140, "[$-14]dddd,ddd,mmmm,mmm,mmmmm,m")</f>
        <v/>
      </c>
      <c r="N21">
        <f>TEXT(44169, "[$-14]dddd,ddd,mmmm,mmm,mmmmm,m")</f>
        <v/>
      </c>
      <c r="O21">
        <f>TEXT(44198, "[$-14]dddd,ddd,mmmm,mmm,mmmmm,m")</f>
        <v/>
      </c>
    </row>
    <row r="22">
      <c r="A22" t="inlineStr">
        <is>
          <t>0x15</t>
        </is>
      </c>
      <c r="B22" t="inlineStr">
        <is>
          <t>pl</t>
        </is>
      </c>
      <c r="C22">
        <f>TEXT(43836, "[$-15]dddd,ddd,mmmm,mmm,mmmmm,m")</f>
        <v/>
      </c>
      <c r="D22">
        <f>TEXT(43865, "[$-15]dddd,ddd,mmmm,mmm,mmmmm,m")</f>
        <v/>
      </c>
      <c r="E22">
        <f>TEXT(43894, "[$-15]dddd,ddd,mmmm,mmm,mmmmm,m")</f>
        <v/>
      </c>
      <c r="F22">
        <f>TEXT(43923, "[$-15]dddd,ddd,mmmm,mmm,mmmmm,m")</f>
        <v/>
      </c>
      <c r="G22">
        <f>TEXT(43952, "[$-15]dddd,ddd,mmmm,mmm,mmmmm,m")</f>
        <v/>
      </c>
      <c r="H22">
        <f>TEXT(43988, "[$-15]dddd,ddd,mmmm,mmm,mmmmm,m")</f>
        <v/>
      </c>
      <c r="I22">
        <f>TEXT(44017, "[$-15]dddd,ddd,mmmm,mmm,mmmmm,m")</f>
        <v/>
      </c>
      <c r="J22">
        <f>TEXT(44046, "[$-15]dddd,ddd,mmmm,mmm,mmmmm,m")</f>
        <v/>
      </c>
      <c r="K22">
        <f>TEXT(44082, "[$-15]dddd,ddd,mmmm,mmm,mmmmm,m")</f>
        <v/>
      </c>
      <c r="L22">
        <f>TEXT(44111, "[$-15]dddd,ddd,mmmm,mmm,mmmmm,m")</f>
        <v/>
      </c>
      <c r="M22">
        <f>TEXT(44140, "[$-15]dddd,ddd,mmmm,mmm,mmmmm,m")</f>
        <v/>
      </c>
      <c r="N22">
        <f>TEXT(44169, "[$-15]dddd,ddd,mmmm,mmm,mmmmm,m")</f>
        <v/>
      </c>
      <c r="O22">
        <f>TEXT(44198, "[$-15]dddd,ddd,mmmm,mmm,mmmmm,m")</f>
        <v/>
      </c>
    </row>
    <row r="23">
      <c r="A23" t="inlineStr">
        <is>
          <t>0x16</t>
        </is>
      </c>
      <c r="B23" t="inlineStr">
        <is>
          <t>pt</t>
        </is>
      </c>
      <c r="C23">
        <f>TEXT(43836, "[$-16]dddd,ddd,mmmm,mmm,mmmmm,m")</f>
        <v/>
      </c>
      <c r="D23">
        <f>TEXT(43865, "[$-16]dddd,ddd,mmmm,mmm,mmmmm,m")</f>
        <v/>
      </c>
      <c r="E23">
        <f>TEXT(43894, "[$-16]dddd,ddd,mmmm,mmm,mmmmm,m")</f>
        <v/>
      </c>
      <c r="F23">
        <f>TEXT(43923, "[$-16]dddd,ddd,mmmm,mmm,mmmmm,m")</f>
        <v/>
      </c>
      <c r="G23">
        <f>TEXT(43952, "[$-16]dddd,ddd,mmmm,mmm,mmmmm,m")</f>
        <v/>
      </c>
      <c r="H23">
        <f>TEXT(43988, "[$-16]dddd,ddd,mmmm,mmm,mmmmm,m")</f>
        <v/>
      </c>
      <c r="I23">
        <f>TEXT(44017, "[$-16]dddd,ddd,mmmm,mmm,mmmmm,m")</f>
        <v/>
      </c>
      <c r="J23">
        <f>TEXT(44046, "[$-16]dddd,ddd,mmmm,mmm,mmmmm,m")</f>
        <v/>
      </c>
      <c r="K23">
        <f>TEXT(44082, "[$-16]dddd,ddd,mmmm,mmm,mmmmm,m")</f>
        <v/>
      </c>
      <c r="L23">
        <f>TEXT(44111, "[$-16]dddd,ddd,mmmm,mmm,mmmmm,m")</f>
        <v/>
      </c>
      <c r="M23">
        <f>TEXT(44140, "[$-16]dddd,ddd,mmmm,mmm,mmmmm,m")</f>
        <v/>
      </c>
      <c r="N23">
        <f>TEXT(44169, "[$-16]dddd,ddd,mmmm,mmm,mmmmm,m")</f>
        <v/>
      </c>
      <c r="O23">
        <f>TEXT(44198, "[$-16]dddd,ddd,mmmm,mmm,mmmmm,m")</f>
        <v/>
      </c>
    </row>
    <row r="24">
      <c r="A24" t="inlineStr">
        <is>
          <t>0x17</t>
        </is>
      </c>
      <c r="B24" t="inlineStr">
        <is>
          <t>rm</t>
        </is>
      </c>
      <c r="C24">
        <f>TEXT(43836, "[$-17]dddd,ddd,mmmm,mmm,mmmmm,m")</f>
        <v/>
      </c>
      <c r="D24">
        <f>TEXT(43865, "[$-17]dddd,ddd,mmmm,mmm,mmmmm,m")</f>
        <v/>
      </c>
      <c r="E24">
        <f>TEXT(43894, "[$-17]dddd,ddd,mmmm,mmm,mmmmm,m")</f>
        <v/>
      </c>
      <c r="F24">
        <f>TEXT(43923, "[$-17]dddd,ddd,mmmm,mmm,mmmmm,m")</f>
        <v/>
      </c>
      <c r="G24">
        <f>TEXT(43952, "[$-17]dddd,ddd,mmmm,mmm,mmmmm,m")</f>
        <v/>
      </c>
      <c r="H24">
        <f>TEXT(43988, "[$-17]dddd,ddd,mmmm,mmm,mmmmm,m")</f>
        <v/>
      </c>
      <c r="I24">
        <f>TEXT(44017, "[$-17]dddd,ddd,mmmm,mmm,mmmmm,m")</f>
        <v/>
      </c>
      <c r="J24">
        <f>TEXT(44046, "[$-17]dddd,ddd,mmmm,mmm,mmmmm,m")</f>
        <v/>
      </c>
      <c r="K24">
        <f>TEXT(44082, "[$-17]dddd,ddd,mmmm,mmm,mmmmm,m")</f>
        <v/>
      </c>
      <c r="L24">
        <f>TEXT(44111, "[$-17]dddd,ddd,mmmm,mmm,mmmmm,m")</f>
        <v/>
      </c>
      <c r="M24">
        <f>TEXT(44140, "[$-17]dddd,ddd,mmmm,mmm,mmmmm,m")</f>
        <v/>
      </c>
      <c r="N24">
        <f>TEXT(44169, "[$-17]dddd,ddd,mmmm,mmm,mmmmm,m")</f>
        <v/>
      </c>
      <c r="O24">
        <f>TEXT(44198, "[$-17]dddd,ddd,mmmm,mmm,mmmmm,m")</f>
        <v/>
      </c>
    </row>
    <row r="25">
      <c r="A25" t="inlineStr">
        <is>
          <t>0x18</t>
        </is>
      </c>
      <c r="B25" t="inlineStr">
        <is>
          <t>ro</t>
        </is>
      </c>
      <c r="C25">
        <f>TEXT(43836, "[$-18]dddd,ddd,mmmm,mmm,mmmmm,m")</f>
        <v/>
      </c>
      <c r="D25">
        <f>TEXT(43865, "[$-18]dddd,ddd,mmmm,mmm,mmmmm,m")</f>
        <v/>
      </c>
      <c r="E25">
        <f>TEXT(43894, "[$-18]dddd,ddd,mmmm,mmm,mmmmm,m")</f>
        <v/>
      </c>
      <c r="F25">
        <f>TEXT(43923, "[$-18]dddd,ddd,mmmm,mmm,mmmmm,m")</f>
        <v/>
      </c>
      <c r="G25">
        <f>TEXT(43952, "[$-18]dddd,ddd,mmmm,mmm,mmmmm,m")</f>
        <v/>
      </c>
      <c r="H25">
        <f>TEXT(43988, "[$-18]dddd,ddd,mmmm,mmm,mmmmm,m")</f>
        <v/>
      </c>
      <c r="I25">
        <f>TEXT(44017, "[$-18]dddd,ddd,mmmm,mmm,mmmmm,m")</f>
        <v/>
      </c>
      <c r="J25">
        <f>TEXT(44046, "[$-18]dddd,ddd,mmmm,mmm,mmmmm,m")</f>
        <v/>
      </c>
      <c r="K25">
        <f>TEXT(44082, "[$-18]dddd,ddd,mmmm,mmm,mmmmm,m")</f>
        <v/>
      </c>
      <c r="L25">
        <f>TEXT(44111, "[$-18]dddd,ddd,mmmm,mmm,mmmmm,m")</f>
        <v/>
      </c>
      <c r="M25">
        <f>TEXT(44140, "[$-18]dddd,ddd,mmmm,mmm,mmmmm,m")</f>
        <v/>
      </c>
      <c r="N25">
        <f>TEXT(44169, "[$-18]dddd,ddd,mmmm,mmm,mmmmm,m")</f>
        <v/>
      </c>
      <c r="O25">
        <f>TEXT(44198, "[$-18]dddd,ddd,mmmm,mmm,mmmmm,m")</f>
        <v/>
      </c>
    </row>
    <row r="26">
      <c r="A26" t="inlineStr">
        <is>
          <t>0x19</t>
        </is>
      </c>
      <c r="B26" t="inlineStr">
        <is>
          <t>ru</t>
        </is>
      </c>
      <c r="C26">
        <f>TEXT(43836, "[$-19]dddd,ddd,mmmm,mmm,mmmmm,m")</f>
        <v/>
      </c>
      <c r="D26">
        <f>TEXT(43865, "[$-19]dddd,ddd,mmmm,mmm,mmmmm,m")</f>
        <v/>
      </c>
      <c r="E26">
        <f>TEXT(43894, "[$-19]dddd,ddd,mmmm,mmm,mmmmm,m")</f>
        <v/>
      </c>
      <c r="F26">
        <f>TEXT(43923, "[$-19]dddd,ddd,mmmm,mmm,mmmmm,m")</f>
        <v/>
      </c>
      <c r="G26">
        <f>TEXT(43952, "[$-19]dddd,ddd,mmmm,mmm,mmmmm,m")</f>
        <v/>
      </c>
      <c r="H26">
        <f>TEXT(43988, "[$-19]dddd,ddd,mmmm,mmm,mmmmm,m")</f>
        <v/>
      </c>
      <c r="I26">
        <f>TEXT(44017, "[$-19]dddd,ddd,mmmm,mmm,mmmmm,m")</f>
        <v/>
      </c>
      <c r="J26">
        <f>TEXT(44046, "[$-19]dddd,ddd,mmmm,mmm,mmmmm,m")</f>
        <v/>
      </c>
      <c r="K26">
        <f>TEXT(44082, "[$-19]dddd,ddd,mmmm,mmm,mmmmm,m")</f>
        <v/>
      </c>
      <c r="L26">
        <f>TEXT(44111, "[$-19]dddd,ddd,mmmm,mmm,mmmmm,m")</f>
        <v/>
      </c>
      <c r="M26">
        <f>TEXT(44140, "[$-19]dddd,ddd,mmmm,mmm,mmmmm,m")</f>
        <v/>
      </c>
      <c r="N26">
        <f>TEXT(44169, "[$-19]dddd,ddd,mmmm,mmm,mmmmm,m")</f>
        <v/>
      </c>
      <c r="O26">
        <f>TEXT(44198, "[$-19]dddd,ddd,mmmm,mmm,mmmmm,m")</f>
        <v/>
      </c>
    </row>
    <row r="27">
      <c r="A27" t="inlineStr">
        <is>
          <t>0x1A</t>
        </is>
      </c>
      <c r="B27" t="inlineStr">
        <is>
          <t>hr</t>
        </is>
      </c>
      <c r="C27">
        <f>TEXT(43836, "[$-1A]dddd,ddd,mmmm,mmm,mmmmm,m")</f>
        <v/>
      </c>
      <c r="D27">
        <f>TEXT(43865, "[$-1A]dddd,ddd,mmmm,mmm,mmmmm,m")</f>
        <v/>
      </c>
      <c r="E27">
        <f>TEXT(43894, "[$-1A]dddd,ddd,mmmm,mmm,mmmmm,m")</f>
        <v/>
      </c>
      <c r="F27">
        <f>TEXT(43923, "[$-1A]dddd,ddd,mmmm,mmm,mmmmm,m")</f>
        <v/>
      </c>
      <c r="G27">
        <f>TEXT(43952, "[$-1A]dddd,ddd,mmmm,mmm,mmmmm,m")</f>
        <v/>
      </c>
      <c r="H27">
        <f>TEXT(43988, "[$-1A]dddd,ddd,mmmm,mmm,mmmmm,m")</f>
        <v/>
      </c>
      <c r="I27">
        <f>TEXT(44017, "[$-1A]dddd,ddd,mmmm,mmm,mmmmm,m")</f>
        <v/>
      </c>
      <c r="J27">
        <f>TEXT(44046, "[$-1A]dddd,ddd,mmmm,mmm,mmmmm,m")</f>
        <v/>
      </c>
      <c r="K27">
        <f>TEXT(44082, "[$-1A]dddd,ddd,mmmm,mmm,mmmmm,m")</f>
        <v/>
      </c>
      <c r="L27">
        <f>TEXT(44111, "[$-1A]dddd,ddd,mmmm,mmm,mmmmm,m")</f>
        <v/>
      </c>
      <c r="M27">
        <f>TEXT(44140, "[$-1A]dddd,ddd,mmmm,mmm,mmmmm,m")</f>
        <v/>
      </c>
      <c r="N27">
        <f>TEXT(44169, "[$-1A]dddd,ddd,mmmm,mmm,mmmmm,m")</f>
        <v/>
      </c>
      <c r="O27">
        <f>TEXT(44198, "[$-1A]dddd,ddd,mmmm,mmm,mmmmm,m")</f>
        <v/>
      </c>
    </row>
    <row r="28">
      <c r="A28" t="inlineStr">
        <is>
          <t>0x1B</t>
        </is>
      </c>
      <c r="B28" t="inlineStr">
        <is>
          <t>sk</t>
        </is>
      </c>
      <c r="C28">
        <f>TEXT(43836, "[$-1B]dddd,ddd,mmmm,mmm,mmmmm,m")</f>
        <v/>
      </c>
      <c r="D28">
        <f>TEXT(43865, "[$-1B]dddd,ddd,mmmm,mmm,mmmmm,m")</f>
        <v/>
      </c>
      <c r="E28">
        <f>TEXT(43894, "[$-1B]dddd,ddd,mmmm,mmm,mmmmm,m")</f>
        <v/>
      </c>
      <c r="F28">
        <f>TEXT(43923, "[$-1B]dddd,ddd,mmmm,mmm,mmmmm,m")</f>
        <v/>
      </c>
      <c r="G28">
        <f>TEXT(43952, "[$-1B]dddd,ddd,mmmm,mmm,mmmmm,m")</f>
        <v/>
      </c>
      <c r="H28">
        <f>TEXT(43988, "[$-1B]dddd,ddd,mmmm,mmm,mmmmm,m")</f>
        <v/>
      </c>
      <c r="I28">
        <f>TEXT(44017, "[$-1B]dddd,ddd,mmmm,mmm,mmmmm,m")</f>
        <v/>
      </c>
      <c r="J28">
        <f>TEXT(44046, "[$-1B]dddd,ddd,mmmm,mmm,mmmmm,m")</f>
        <v/>
      </c>
      <c r="K28">
        <f>TEXT(44082, "[$-1B]dddd,ddd,mmmm,mmm,mmmmm,m")</f>
        <v/>
      </c>
      <c r="L28">
        <f>TEXT(44111, "[$-1B]dddd,ddd,mmmm,mmm,mmmmm,m")</f>
        <v/>
      </c>
      <c r="M28">
        <f>TEXT(44140, "[$-1B]dddd,ddd,mmmm,mmm,mmmmm,m")</f>
        <v/>
      </c>
      <c r="N28">
        <f>TEXT(44169, "[$-1B]dddd,ddd,mmmm,mmm,mmmmm,m")</f>
        <v/>
      </c>
      <c r="O28">
        <f>TEXT(44198, "[$-1B]dddd,ddd,mmmm,mmm,mmmmm,m")</f>
        <v/>
      </c>
    </row>
    <row r="29">
      <c r="A29" t="inlineStr">
        <is>
          <t>0x1C</t>
        </is>
      </c>
      <c r="B29" t="inlineStr">
        <is>
          <t>sq</t>
        </is>
      </c>
      <c r="C29">
        <f>TEXT(43836, "[$-1C]dddd,ddd,mmmm,mmm,mmmmm,m")</f>
        <v/>
      </c>
      <c r="D29">
        <f>TEXT(43865, "[$-1C]dddd,ddd,mmmm,mmm,mmmmm,m")</f>
        <v/>
      </c>
      <c r="E29">
        <f>TEXT(43894, "[$-1C]dddd,ddd,mmmm,mmm,mmmmm,m")</f>
        <v/>
      </c>
      <c r="F29">
        <f>TEXT(43923, "[$-1C]dddd,ddd,mmmm,mmm,mmmmm,m")</f>
        <v/>
      </c>
      <c r="G29">
        <f>TEXT(43952, "[$-1C]dddd,ddd,mmmm,mmm,mmmmm,m")</f>
        <v/>
      </c>
      <c r="H29">
        <f>TEXT(43988, "[$-1C]dddd,ddd,mmmm,mmm,mmmmm,m")</f>
        <v/>
      </c>
      <c r="I29">
        <f>TEXT(44017, "[$-1C]dddd,ddd,mmmm,mmm,mmmmm,m")</f>
        <v/>
      </c>
      <c r="J29">
        <f>TEXT(44046, "[$-1C]dddd,ddd,mmmm,mmm,mmmmm,m")</f>
        <v/>
      </c>
      <c r="K29">
        <f>TEXT(44082, "[$-1C]dddd,ddd,mmmm,mmm,mmmmm,m")</f>
        <v/>
      </c>
      <c r="L29">
        <f>TEXT(44111, "[$-1C]dddd,ddd,mmmm,mmm,mmmmm,m")</f>
        <v/>
      </c>
      <c r="M29">
        <f>TEXT(44140, "[$-1C]dddd,ddd,mmmm,mmm,mmmmm,m")</f>
        <v/>
      </c>
      <c r="N29">
        <f>TEXT(44169, "[$-1C]dddd,ddd,mmmm,mmm,mmmmm,m")</f>
        <v/>
      </c>
      <c r="O29">
        <f>TEXT(44198, "[$-1C]dddd,ddd,mmmm,mmm,mmmmm,m")</f>
        <v/>
      </c>
    </row>
    <row r="30">
      <c r="A30" t="inlineStr">
        <is>
          <t>0x1D</t>
        </is>
      </c>
      <c r="B30" t="inlineStr">
        <is>
          <t>sv</t>
        </is>
      </c>
      <c r="C30">
        <f>TEXT(43836, "[$-1D]dddd,ddd,mmmm,mmm,mmmmm,m")</f>
        <v/>
      </c>
      <c r="D30">
        <f>TEXT(43865, "[$-1D]dddd,ddd,mmmm,mmm,mmmmm,m")</f>
        <v/>
      </c>
      <c r="E30">
        <f>TEXT(43894, "[$-1D]dddd,ddd,mmmm,mmm,mmmmm,m")</f>
        <v/>
      </c>
      <c r="F30">
        <f>TEXT(43923, "[$-1D]dddd,ddd,mmmm,mmm,mmmmm,m")</f>
        <v/>
      </c>
      <c r="G30">
        <f>TEXT(43952, "[$-1D]dddd,ddd,mmmm,mmm,mmmmm,m")</f>
        <v/>
      </c>
      <c r="H30">
        <f>TEXT(43988, "[$-1D]dddd,ddd,mmmm,mmm,mmmmm,m")</f>
        <v/>
      </c>
      <c r="I30">
        <f>TEXT(44017, "[$-1D]dddd,ddd,mmmm,mmm,mmmmm,m")</f>
        <v/>
      </c>
      <c r="J30">
        <f>TEXT(44046, "[$-1D]dddd,ddd,mmmm,mmm,mmmmm,m")</f>
        <v/>
      </c>
      <c r="K30">
        <f>TEXT(44082, "[$-1D]dddd,ddd,mmmm,mmm,mmmmm,m")</f>
        <v/>
      </c>
      <c r="L30">
        <f>TEXT(44111, "[$-1D]dddd,ddd,mmmm,mmm,mmmmm,m")</f>
        <v/>
      </c>
      <c r="M30">
        <f>TEXT(44140, "[$-1D]dddd,ddd,mmmm,mmm,mmmmm,m")</f>
        <v/>
      </c>
      <c r="N30">
        <f>TEXT(44169, "[$-1D]dddd,ddd,mmmm,mmm,mmmmm,m")</f>
        <v/>
      </c>
      <c r="O30">
        <f>TEXT(44198, "[$-1D]dddd,ddd,mmmm,mmm,mmmmm,m")</f>
        <v/>
      </c>
    </row>
    <row r="31">
      <c r="A31" t="inlineStr">
        <is>
          <t>0xD00001E</t>
        </is>
      </c>
      <c r="B31" t="inlineStr">
        <is>
          <t>th</t>
        </is>
      </c>
      <c r="C31">
        <f>TEXT(43836, "[$-D00001E]dddd,ddd,mmmm,mmm,mmmmm,m")</f>
        <v/>
      </c>
      <c r="D31">
        <f>TEXT(43865, "[$-D00001E]dddd,ddd,mmmm,mmm,mmmmm,m")</f>
        <v/>
      </c>
      <c r="E31">
        <f>TEXT(43894, "[$-D00001E]dddd,ddd,mmmm,mmm,mmmmm,m")</f>
        <v/>
      </c>
      <c r="F31">
        <f>TEXT(43923, "[$-D00001E]dddd,ddd,mmmm,mmm,mmmmm,m")</f>
        <v/>
      </c>
      <c r="G31">
        <f>TEXT(43952, "[$-D00001E]dddd,ddd,mmmm,mmm,mmmmm,m")</f>
        <v/>
      </c>
      <c r="H31">
        <f>TEXT(43988, "[$-D00001E]dddd,ddd,mmmm,mmm,mmmmm,m")</f>
        <v/>
      </c>
      <c r="I31">
        <f>TEXT(44017, "[$-D00001E]dddd,ddd,mmmm,mmm,mmmmm,m")</f>
        <v/>
      </c>
      <c r="J31">
        <f>TEXT(44046, "[$-D00001E]dddd,ddd,mmmm,mmm,mmmmm,m")</f>
        <v/>
      </c>
      <c r="K31">
        <f>TEXT(44082, "[$-D00001E]dddd,ddd,mmmm,mmm,mmmmm,m")</f>
        <v/>
      </c>
      <c r="L31">
        <f>TEXT(44111, "[$-D00001E]dddd,ddd,mmmm,mmm,mmmmm,m")</f>
        <v/>
      </c>
      <c r="M31">
        <f>TEXT(44140, "[$-D00001E]dddd,ddd,mmmm,mmm,mmmmm,m")</f>
        <v/>
      </c>
      <c r="N31">
        <f>TEXT(44169, "[$-D00001E]dddd,ddd,mmmm,mmm,mmmmm,m")</f>
        <v/>
      </c>
      <c r="O31">
        <f>TEXT(44198, "[$-D00001E]dddd,ddd,mmmm,mmm,mmmmm,m")</f>
        <v/>
      </c>
    </row>
    <row r="32">
      <c r="A32" t="inlineStr">
        <is>
          <t>0x1F</t>
        </is>
      </c>
      <c r="B32" t="inlineStr">
        <is>
          <t>tr</t>
        </is>
      </c>
      <c r="C32">
        <f>TEXT(43836, "[$-1F]dddd,ddd,mmmm,mmm,mmmmm,m")</f>
        <v/>
      </c>
      <c r="D32">
        <f>TEXT(43865, "[$-1F]dddd,ddd,mmmm,mmm,mmmmm,m")</f>
        <v/>
      </c>
      <c r="E32">
        <f>TEXT(43894, "[$-1F]dddd,ddd,mmmm,mmm,mmmmm,m")</f>
        <v/>
      </c>
      <c r="F32">
        <f>TEXT(43923, "[$-1F]dddd,ddd,mmmm,mmm,mmmmm,m")</f>
        <v/>
      </c>
      <c r="G32">
        <f>TEXT(43952, "[$-1F]dddd,ddd,mmmm,mmm,mmmmm,m")</f>
        <v/>
      </c>
      <c r="H32">
        <f>TEXT(43988, "[$-1F]dddd,ddd,mmmm,mmm,mmmmm,m")</f>
        <v/>
      </c>
      <c r="I32">
        <f>TEXT(44017, "[$-1F]dddd,ddd,mmmm,mmm,mmmmm,m")</f>
        <v/>
      </c>
      <c r="J32">
        <f>TEXT(44046, "[$-1F]dddd,ddd,mmmm,mmm,mmmmm,m")</f>
        <v/>
      </c>
      <c r="K32">
        <f>TEXT(44082, "[$-1F]dddd,ddd,mmmm,mmm,mmmmm,m")</f>
        <v/>
      </c>
      <c r="L32">
        <f>TEXT(44111, "[$-1F]dddd,ddd,mmmm,mmm,mmmmm,m")</f>
        <v/>
      </c>
      <c r="M32">
        <f>TEXT(44140, "[$-1F]dddd,ddd,mmmm,mmm,mmmmm,m")</f>
        <v/>
      </c>
      <c r="N32">
        <f>TEXT(44169, "[$-1F]dddd,ddd,mmmm,mmm,mmmmm,m")</f>
        <v/>
      </c>
      <c r="O32">
        <f>TEXT(44198, "[$-1F]dddd,ddd,mmmm,mmm,mmmmm,m")</f>
        <v/>
      </c>
    </row>
    <row r="33">
      <c r="A33" t="inlineStr">
        <is>
          <t>0x20</t>
        </is>
      </c>
      <c r="B33" t="inlineStr">
        <is>
          <t>ur</t>
        </is>
      </c>
      <c r="C33">
        <f>TEXT(43836, "[$-20]dddd,ddd,mmmm,mmm,mmmmm,m")</f>
        <v/>
      </c>
      <c r="D33">
        <f>TEXT(43865, "[$-20]dddd,ddd,mmmm,mmm,mmmmm,m")</f>
        <v/>
      </c>
      <c r="E33">
        <f>TEXT(43894, "[$-20]dddd,ddd,mmmm,mmm,mmmmm,m")</f>
        <v/>
      </c>
      <c r="F33">
        <f>TEXT(43923, "[$-20]dddd,ddd,mmmm,mmm,mmmmm,m")</f>
        <v/>
      </c>
      <c r="G33">
        <f>TEXT(43952, "[$-20]dddd,ddd,mmmm,mmm,mmmmm,m")</f>
        <v/>
      </c>
      <c r="H33">
        <f>TEXT(43988, "[$-20]dddd,ddd,mmmm,mmm,mmmmm,m")</f>
        <v/>
      </c>
      <c r="I33">
        <f>TEXT(44017, "[$-20]dddd,ddd,mmmm,mmm,mmmmm,m")</f>
        <v/>
      </c>
      <c r="J33">
        <f>TEXT(44046, "[$-20]dddd,ddd,mmmm,mmm,mmmmm,m")</f>
        <v/>
      </c>
      <c r="K33">
        <f>TEXT(44082, "[$-20]dddd,ddd,mmmm,mmm,mmmmm,m")</f>
        <v/>
      </c>
      <c r="L33">
        <f>TEXT(44111, "[$-20]dddd,ddd,mmmm,mmm,mmmmm,m")</f>
        <v/>
      </c>
      <c r="M33">
        <f>TEXT(44140, "[$-20]dddd,ddd,mmmm,mmm,mmmmm,m")</f>
        <v/>
      </c>
      <c r="N33">
        <f>TEXT(44169, "[$-20]dddd,ddd,mmmm,mmm,mmmmm,m")</f>
        <v/>
      </c>
      <c r="O33">
        <f>TEXT(44198, "[$-20]dddd,ddd,mmmm,mmm,mmmmm,m")</f>
        <v/>
      </c>
    </row>
    <row r="34">
      <c r="A34" t="inlineStr">
        <is>
          <t>0x21</t>
        </is>
      </c>
      <c r="B34" t="inlineStr">
        <is>
          <t>id</t>
        </is>
      </c>
      <c r="C34">
        <f>TEXT(43836, "[$-21]dddd,ddd,mmmm,mmm,mmmmm,m")</f>
        <v/>
      </c>
      <c r="D34">
        <f>TEXT(43865, "[$-21]dddd,ddd,mmmm,mmm,mmmmm,m")</f>
        <v/>
      </c>
      <c r="E34">
        <f>TEXT(43894, "[$-21]dddd,ddd,mmmm,mmm,mmmmm,m")</f>
        <v/>
      </c>
      <c r="F34">
        <f>TEXT(43923, "[$-21]dddd,ddd,mmmm,mmm,mmmmm,m")</f>
        <v/>
      </c>
      <c r="G34">
        <f>TEXT(43952, "[$-21]dddd,ddd,mmmm,mmm,mmmmm,m")</f>
        <v/>
      </c>
      <c r="H34">
        <f>TEXT(43988, "[$-21]dddd,ddd,mmmm,mmm,mmmmm,m")</f>
        <v/>
      </c>
      <c r="I34">
        <f>TEXT(44017, "[$-21]dddd,ddd,mmmm,mmm,mmmmm,m")</f>
        <v/>
      </c>
      <c r="J34">
        <f>TEXT(44046, "[$-21]dddd,ddd,mmmm,mmm,mmmmm,m")</f>
        <v/>
      </c>
      <c r="K34">
        <f>TEXT(44082, "[$-21]dddd,ddd,mmmm,mmm,mmmmm,m")</f>
        <v/>
      </c>
      <c r="L34">
        <f>TEXT(44111, "[$-21]dddd,ddd,mmmm,mmm,mmmmm,m")</f>
        <v/>
      </c>
      <c r="M34">
        <f>TEXT(44140, "[$-21]dddd,ddd,mmmm,mmm,mmmmm,m")</f>
        <v/>
      </c>
      <c r="N34">
        <f>TEXT(44169, "[$-21]dddd,ddd,mmmm,mmm,mmmmm,m")</f>
        <v/>
      </c>
      <c r="O34">
        <f>TEXT(44198, "[$-21]dddd,ddd,mmmm,mmm,mmmmm,m")</f>
        <v/>
      </c>
    </row>
    <row r="35">
      <c r="A35" t="inlineStr">
        <is>
          <t>0x22</t>
        </is>
      </c>
      <c r="B35" t="inlineStr">
        <is>
          <t>uk</t>
        </is>
      </c>
      <c r="C35">
        <f>TEXT(43836, "[$-22]dddd,ddd,mmmm,mmm,mmmmm,m")</f>
        <v/>
      </c>
      <c r="D35">
        <f>TEXT(43865, "[$-22]dddd,ddd,mmmm,mmm,mmmmm,m")</f>
        <v/>
      </c>
      <c r="E35">
        <f>TEXT(43894, "[$-22]dddd,ddd,mmmm,mmm,mmmmm,m")</f>
        <v/>
      </c>
      <c r="F35">
        <f>TEXT(43923, "[$-22]dddd,ddd,mmmm,mmm,mmmmm,m")</f>
        <v/>
      </c>
      <c r="G35">
        <f>TEXT(43952, "[$-22]dddd,ddd,mmmm,mmm,mmmmm,m")</f>
        <v/>
      </c>
      <c r="H35">
        <f>TEXT(43988, "[$-22]dddd,ddd,mmmm,mmm,mmmmm,m")</f>
        <v/>
      </c>
      <c r="I35">
        <f>TEXT(44017, "[$-22]dddd,ddd,mmmm,mmm,mmmmm,m")</f>
        <v/>
      </c>
      <c r="J35">
        <f>TEXT(44046, "[$-22]dddd,ddd,mmmm,mmm,mmmmm,m")</f>
        <v/>
      </c>
      <c r="K35">
        <f>TEXT(44082, "[$-22]dddd,ddd,mmmm,mmm,mmmmm,m")</f>
        <v/>
      </c>
      <c r="L35">
        <f>TEXT(44111, "[$-22]dddd,ddd,mmmm,mmm,mmmmm,m")</f>
        <v/>
      </c>
      <c r="M35">
        <f>TEXT(44140, "[$-22]dddd,ddd,mmmm,mmm,mmmmm,m")</f>
        <v/>
      </c>
      <c r="N35">
        <f>TEXT(44169, "[$-22]dddd,ddd,mmmm,mmm,mmmmm,m")</f>
        <v/>
      </c>
      <c r="O35">
        <f>TEXT(44198, "[$-22]dddd,ddd,mmmm,mmm,mmmmm,m")</f>
        <v/>
      </c>
    </row>
    <row r="36">
      <c r="A36" t="inlineStr">
        <is>
          <t>0x23</t>
        </is>
      </c>
      <c r="B36" t="inlineStr">
        <is>
          <t>be</t>
        </is>
      </c>
      <c r="C36">
        <f>TEXT(43836, "[$-23]dddd,ddd,mmmm,mmm,mmmmm,m")</f>
        <v/>
      </c>
      <c r="D36">
        <f>TEXT(43865, "[$-23]dddd,ddd,mmmm,mmm,mmmmm,m")</f>
        <v/>
      </c>
      <c r="E36">
        <f>TEXT(43894, "[$-23]dddd,ddd,mmmm,mmm,mmmmm,m")</f>
        <v/>
      </c>
      <c r="F36">
        <f>TEXT(43923, "[$-23]dddd,ddd,mmmm,mmm,mmmmm,m")</f>
        <v/>
      </c>
      <c r="G36">
        <f>TEXT(43952, "[$-23]dddd,ddd,mmmm,mmm,mmmmm,m")</f>
        <v/>
      </c>
      <c r="H36">
        <f>TEXT(43988, "[$-23]dddd,ddd,mmmm,mmm,mmmmm,m")</f>
        <v/>
      </c>
      <c r="I36">
        <f>TEXT(44017, "[$-23]dddd,ddd,mmmm,mmm,mmmmm,m")</f>
        <v/>
      </c>
      <c r="J36">
        <f>TEXT(44046, "[$-23]dddd,ddd,mmmm,mmm,mmmmm,m")</f>
        <v/>
      </c>
      <c r="K36">
        <f>TEXT(44082, "[$-23]dddd,ddd,mmmm,mmm,mmmmm,m")</f>
        <v/>
      </c>
      <c r="L36">
        <f>TEXT(44111, "[$-23]dddd,ddd,mmmm,mmm,mmmmm,m")</f>
        <v/>
      </c>
      <c r="M36">
        <f>TEXT(44140, "[$-23]dddd,ddd,mmmm,mmm,mmmmm,m")</f>
        <v/>
      </c>
      <c r="N36">
        <f>TEXT(44169, "[$-23]dddd,ddd,mmmm,mmm,mmmmm,m")</f>
        <v/>
      </c>
      <c r="O36">
        <f>TEXT(44198, "[$-23]dddd,ddd,mmmm,mmm,mmmmm,m")</f>
        <v/>
      </c>
    </row>
    <row r="37">
      <c r="A37" t="inlineStr">
        <is>
          <t>0x24</t>
        </is>
      </c>
      <c r="B37" t="inlineStr">
        <is>
          <t>sl</t>
        </is>
      </c>
      <c r="C37">
        <f>TEXT(43836, "[$-24]dddd,ddd,mmmm,mmm,mmmmm,m")</f>
        <v/>
      </c>
      <c r="D37">
        <f>TEXT(43865, "[$-24]dddd,ddd,mmmm,mmm,mmmmm,m")</f>
        <v/>
      </c>
      <c r="E37">
        <f>TEXT(43894, "[$-24]dddd,ddd,mmmm,mmm,mmmmm,m")</f>
        <v/>
      </c>
      <c r="F37">
        <f>TEXT(43923, "[$-24]dddd,ddd,mmmm,mmm,mmmmm,m")</f>
        <v/>
      </c>
      <c r="G37">
        <f>TEXT(43952, "[$-24]dddd,ddd,mmmm,mmm,mmmmm,m")</f>
        <v/>
      </c>
      <c r="H37">
        <f>TEXT(43988, "[$-24]dddd,ddd,mmmm,mmm,mmmmm,m")</f>
        <v/>
      </c>
      <c r="I37">
        <f>TEXT(44017, "[$-24]dddd,ddd,mmmm,mmm,mmmmm,m")</f>
        <v/>
      </c>
      <c r="J37">
        <f>TEXT(44046, "[$-24]dddd,ddd,mmmm,mmm,mmmmm,m")</f>
        <v/>
      </c>
      <c r="K37">
        <f>TEXT(44082, "[$-24]dddd,ddd,mmmm,mmm,mmmmm,m")</f>
        <v/>
      </c>
      <c r="L37">
        <f>TEXT(44111, "[$-24]dddd,ddd,mmmm,mmm,mmmmm,m")</f>
        <v/>
      </c>
      <c r="M37">
        <f>TEXT(44140, "[$-24]dddd,ddd,mmmm,mmm,mmmmm,m")</f>
        <v/>
      </c>
      <c r="N37">
        <f>TEXT(44169, "[$-24]dddd,ddd,mmmm,mmm,mmmmm,m")</f>
        <v/>
      </c>
      <c r="O37">
        <f>TEXT(44198, "[$-24]dddd,ddd,mmmm,mmm,mmmmm,m")</f>
        <v/>
      </c>
    </row>
    <row r="38">
      <c r="A38" t="inlineStr">
        <is>
          <t>0x25</t>
        </is>
      </c>
      <c r="B38" t="inlineStr">
        <is>
          <t>et</t>
        </is>
      </c>
      <c r="C38">
        <f>TEXT(43836, "[$-25]dddd,ddd,mmmm,mmm,mmmmm,m")</f>
        <v/>
      </c>
      <c r="D38">
        <f>TEXT(43865, "[$-25]dddd,ddd,mmmm,mmm,mmmmm,m")</f>
        <v/>
      </c>
      <c r="E38">
        <f>TEXT(43894, "[$-25]dddd,ddd,mmmm,mmm,mmmmm,m")</f>
        <v/>
      </c>
      <c r="F38">
        <f>TEXT(43923, "[$-25]dddd,ddd,mmmm,mmm,mmmmm,m")</f>
        <v/>
      </c>
      <c r="G38">
        <f>TEXT(43952, "[$-25]dddd,ddd,mmmm,mmm,mmmmm,m")</f>
        <v/>
      </c>
      <c r="H38">
        <f>TEXT(43988, "[$-25]dddd,ddd,mmmm,mmm,mmmmm,m")</f>
        <v/>
      </c>
      <c r="I38">
        <f>TEXT(44017, "[$-25]dddd,ddd,mmmm,mmm,mmmmm,m")</f>
        <v/>
      </c>
      <c r="J38">
        <f>TEXT(44046, "[$-25]dddd,ddd,mmmm,mmm,mmmmm,m")</f>
        <v/>
      </c>
      <c r="K38">
        <f>TEXT(44082, "[$-25]dddd,ddd,mmmm,mmm,mmmmm,m")</f>
        <v/>
      </c>
      <c r="L38">
        <f>TEXT(44111, "[$-25]dddd,ddd,mmmm,mmm,mmmmm,m")</f>
        <v/>
      </c>
      <c r="M38">
        <f>TEXT(44140, "[$-25]dddd,ddd,mmmm,mmm,mmmmm,m")</f>
        <v/>
      </c>
      <c r="N38">
        <f>TEXT(44169, "[$-25]dddd,ddd,mmmm,mmm,mmmmm,m")</f>
        <v/>
      </c>
      <c r="O38">
        <f>TEXT(44198, "[$-25]dddd,ddd,mmmm,mmm,mmmmm,m")</f>
        <v/>
      </c>
    </row>
    <row r="39">
      <c r="A39" t="inlineStr">
        <is>
          <t>0x26</t>
        </is>
      </c>
      <c r="B39" t="inlineStr">
        <is>
          <t>lv</t>
        </is>
      </c>
      <c r="C39">
        <f>TEXT(43836, "[$-26]dddd,ddd,mmmm,mmm,mmmmm,m")</f>
        <v/>
      </c>
      <c r="D39">
        <f>TEXT(43865, "[$-26]dddd,ddd,mmmm,mmm,mmmmm,m")</f>
        <v/>
      </c>
      <c r="E39">
        <f>TEXT(43894, "[$-26]dddd,ddd,mmmm,mmm,mmmmm,m")</f>
        <v/>
      </c>
      <c r="F39">
        <f>TEXT(43923, "[$-26]dddd,ddd,mmmm,mmm,mmmmm,m")</f>
        <v/>
      </c>
      <c r="G39">
        <f>TEXT(43952, "[$-26]dddd,ddd,mmmm,mmm,mmmmm,m")</f>
        <v/>
      </c>
      <c r="H39">
        <f>TEXT(43988, "[$-26]dddd,ddd,mmmm,mmm,mmmmm,m")</f>
        <v/>
      </c>
      <c r="I39">
        <f>TEXT(44017, "[$-26]dddd,ddd,mmmm,mmm,mmmmm,m")</f>
        <v/>
      </c>
      <c r="J39">
        <f>TEXT(44046, "[$-26]dddd,ddd,mmmm,mmm,mmmmm,m")</f>
        <v/>
      </c>
      <c r="K39">
        <f>TEXT(44082, "[$-26]dddd,ddd,mmmm,mmm,mmmmm,m")</f>
        <v/>
      </c>
      <c r="L39">
        <f>TEXT(44111, "[$-26]dddd,ddd,mmmm,mmm,mmmmm,m")</f>
        <v/>
      </c>
      <c r="M39">
        <f>TEXT(44140, "[$-26]dddd,ddd,mmmm,mmm,mmmmm,m")</f>
        <v/>
      </c>
      <c r="N39">
        <f>TEXT(44169, "[$-26]dddd,ddd,mmmm,mmm,mmmmm,m")</f>
        <v/>
      </c>
      <c r="O39">
        <f>TEXT(44198, "[$-26]dddd,ddd,mmmm,mmm,mmmmm,m")</f>
        <v/>
      </c>
    </row>
    <row r="40">
      <c r="A40" t="inlineStr">
        <is>
          <t>0x27</t>
        </is>
      </c>
      <c r="B40" t="inlineStr">
        <is>
          <t>lt</t>
        </is>
      </c>
      <c r="C40">
        <f>TEXT(43836, "[$-27]dddd,ddd,mmmm,mmm,mmmmm,m")</f>
        <v/>
      </c>
      <c r="D40">
        <f>TEXT(43865, "[$-27]dddd,ddd,mmmm,mmm,mmmmm,m")</f>
        <v/>
      </c>
      <c r="E40">
        <f>TEXT(43894, "[$-27]dddd,ddd,mmmm,mmm,mmmmm,m")</f>
        <v/>
      </c>
      <c r="F40">
        <f>TEXT(43923, "[$-27]dddd,ddd,mmmm,mmm,mmmmm,m")</f>
        <v/>
      </c>
      <c r="G40">
        <f>TEXT(43952, "[$-27]dddd,ddd,mmmm,mmm,mmmmm,m")</f>
        <v/>
      </c>
      <c r="H40">
        <f>TEXT(43988, "[$-27]dddd,ddd,mmmm,mmm,mmmmm,m")</f>
        <v/>
      </c>
      <c r="I40">
        <f>TEXT(44017, "[$-27]dddd,ddd,mmmm,mmm,mmmmm,m")</f>
        <v/>
      </c>
      <c r="J40">
        <f>TEXT(44046, "[$-27]dddd,ddd,mmmm,mmm,mmmmm,m")</f>
        <v/>
      </c>
      <c r="K40">
        <f>TEXT(44082, "[$-27]dddd,ddd,mmmm,mmm,mmmmm,m")</f>
        <v/>
      </c>
      <c r="L40">
        <f>TEXT(44111, "[$-27]dddd,ddd,mmmm,mmm,mmmmm,m")</f>
        <v/>
      </c>
      <c r="M40">
        <f>TEXT(44140, "[$-27]dddd,ddd,mmmm,mmm,mmmmm,m")</f>
        <v/>
      </c>
      <c r="N40">
        <f>TEXT(44169, "[$-27]dddd,ddd,mmmm,mmm,mmmmm,m")</f>
        <v/>
      </c>
      <c r="O40">
        <f>TEXT(44198, "[$-27]dddd,ddd,mmmm,mmm,mmmmm,m")</f>
        <v/>
      </c>
    </row>
    <row r="41">
      <c r="A41" t="inlineStr">
        <is>
          <t>0x28</t>
        </is>
      </c>
      <c r="B41" t="inlineStr">
        <is>
          <t>tg</t>
        </is>
      </c>
      <c r="C41">
        <f>TEXT(43836, "[$-28]dddd,ddd,mmmm,mmm,mmmmm,m")</f>
        <v/>
      </c>
      <c r="D41">
        <f>TEXT(43865, "[$-28]dddd,ddd,mmmm,mmm,mmmmm,m")</f>
        <v/>
      </c>
      <c r="E41">
        <f>TEXT(43894, "[$-28]dddd,ddd,mmmm,mmm,mmmmm,m")</f>
        <v/>
      </c>
      <c r="F41">
        <f>TEXT(43923, "[$-28]dddd,ddd,mmmm,mmm,mmmmm,m")</f>
        <v/>
      </c>
      <c r="G41">
        <f>TEXT(43952, "[$-28]dddd,ddd,mmmm,mmm,mmmmm,m")</f>
        <v/>
      </c>
      <c r="H41">
        <f>TEXT(43988, "[$-28]dddd,ddd,mmmm,mmm,mmmmm,m")</f>
        <v/>
      </c>
      <c r="I41">
        <f>TEXT(44017, "[$-28]dddd,ddd,mmmm,mmm,mmmmm,m")</f>
        <v/>
      </c>
      <c r="J41">
        <f>TEXT(44046, "[$-28]dddd,ddd,mmmm,mmm,mmmmm,m")</f>
        <v/>
      </c>
      <c r="K41">
        <f>TEXT(44082, "[$-28]dddd,ddd,mmmm,mmm,mmmmm,m")</f>
        <v/>
      </c>
      <c r="L41">
        <f>TEXT(44111, "[$-28]dddd,ddd,mmmm,mmm,mmmmm,m")</f>
        <v/>
      </c>
      <c r="M41">
        <f>TEXT(44140, "[$-28]dddd,ddd,mmmm,mmm,mmmmm,m")</f>
        <v/>
      </c>
      <c r="N41">
        <f>TEXT(44169, "[$-28]dddd,ddd,mmmm,mmm,mmmmm,m")</f>
        <v/>
      </c>
      <c r="O41">
        <f>TEXT(44198, "[$-28]dddd,ddd,mmmm,mmm,mmmmm,m")</f>
        <v/>
      </c>
    </row>
    <row r="42">
      <c r="A42" t="inlineStr">
        <is>
          <t>0x29</t>
        </is>
      </c>
      <c r="B42" t="inlineStr">
        <is>
          <t>fa</t>
        </is>
      </c>
      <c r="C42">
        <f>TEXT(43836, "[$-29]dddd,ddd,mmmm,mmm,mmmmm,m")</f>
        <v/>
      </c>
      <c r="D42">
        <f>TEXT(43865, "[$-29]dddd,ddd,mmmm,mmm,mmmmm,m")</f>
        <v/>
      </c>
      <c r="E42">
        <f>TEXT(43894, "[$-29]dddd,ddd,mmmm,mmm,mmmmm,m")</f>
        <v/>
      </c>
      <c r="F42">
        <f>TEXT(43923, "[$-29]dddd,ddd,mmmm,mmm,mmmmm,m")</f>
        <v/>
      </c>
      <c r="G42">
        <f>TEXT(43952, "[$-29]dddd,ddd,mmmm,mmm,mmmmm,m")</f>
        <v/>
      </c>
      <c r="H42">
        <f>TEXT(43988, "[$-29]dddd,ddd,mmmm,mmm,mmmmm,m")</f>
        <v/>
      </c>
      <c r="I42">
        <f>TEXT(44017, "[$-29]dddd,ddd,mmmm,mmm,mmmmm,m")</f>
        <v/>
      </c>
      <c r="J42">
        <f>TEXT(44046, "[$-29]dddd,ddd,mmmm,mmm,mmmmm,m")</f>
        <v/>
      </c>
      <c r="K42">
        <f>TEXT(44082, "[$-29]dddd,ddd,mmmm,mmm,mmmmm,m")</f>
        <v/>
      </c>
      <c r="L42">
        <f>TEXT(44111, "[$-29]dddd,ddd,mmmm,mmm,mmmmm,m")</f>
        <v/>
      </c>
      <c r="M42">
        <f>TEXT(44140, "[$-29]dddd,ddd,mmmm,mmm,mmmmm,m")</f>
        <v/>
      </c>
      <c r="N42">
        <f>TEXT(44169, "[$-29]dddd,ddd,mmmm,mmm,mmmmm,m")</f>
        <v/>
      </c>
      <c r="O42">
        <f>TEXT(44198, "[$-29]dddd,ddd,mmmm,mmm,mmmmm,m")</f>
        <v/>
      </c>
    </row>
    <row r="43">
      <c r="A43" t="inlineStr">
        <is>
          <t>0x2A</t>
        </is>
      </c>
      <c r="B43" t="inlineStr">
        <is>
          <t>vi</t>
        </is>
      </c>
      <c r="C43">
        <f>TEXT(43836, "[$-2A]dddd,ddd,mmmm,mmm,mmmmm,m")</f>
        <v/>
      </c>
      <c r="D43">
        <f>TEXT(43865, "[$-2A]dddd,ddd,mmmm,mmm,mmmmm,m")</f>
        <v/>
      </c>
      <c r="E43">
        <f>TEXT(43894, "[$-2A]dddd,ddd,mmmm,mmm,mmmmm,m")</f>
        <v/>
      </c>
      <c r="F43">
        <f>TEXT(43923, "[$-2A]dddd,ddd,mmmm,mmm,mmmmm,m")</f>
        <v/>
      </c>
      <c r="G43">
        <f>TEXT(43952, "[$-2A]dddd,ddd,mmmm,mmm,mmmmm,m")</f>
        <v/>
      </c>
      <c r="H43">
        <f>TEXT(43988, "[$-2A]dddd,ddd,mmmm,mmm,mmmmm,m")</f>
        <v/>
      </c>
      <c r="I43">
        <f>TEXT(44017, "[$-2A]dddd,ddd,mmmm,mmm,mmmmm,m")</f>
        <v/>
      </c>
      <c r="J43">
        <f>TEXT(44046, "[$-2A]dddd,ddd,mmmm,mmm,mmmmm,m")</f>
        <v/>
      </c>
      <c r="K43">
        <f>TEXT(44082, "[$-2A]dddd,ddd,mmmm,mmm,mmmmm,m")</f>
        <v/>
      </c>
      <c r="L43">
        <f>TEXT(44111, "[$-2A]dddd,ddd,mmmm,mmm,mmmmm,m")</f>
        <v/>
      </c>
      <c r="M43">
        <f>TEXT(44140, "[$-2A]dddd,ddd,mmmm,mmm,mmmmm,m")</f>
        <v/>
      </c>
      <c r="N43">
        <f>TEXT(44169, "[$-2A]dddd,ddd,mmmm,mmm,mmmmm,m")</f>
        <v/>
      </c>
      <c r="O43">
        <f>TEXT(44198, "[$-2A]dddd,ddd,mmmm,mmm,mmmmm,m")</f>
        <v/>
      </c>
    </row>
    <row r="44">
      <c r="A44" t="inlineStr">
        <is>
          <t>0x2B</t>
        </is>
      </c>
      <c r="B44" t="inlineStr">
        <is>
          <t>hy</t>
        </is>
      </c>
      <c r="C44">
        <f>TEXT(43836, "[$-2B]dddd,ddd,mmmm,mmm,mmmmm,m")</f>
        <v/>
      </c>
      <c r="D44">
        <f>TEXT(43865, "[$-2B]dddd,ddd,mmmm,mmm,mmmmm,m")</f>
        <v/>
      </c>
      <c r="E44">
        <f>TEXT(43894, "[$-2B]dddd,ddd,mmmm,mmm,mmmmm,m")</f>
        <v/>
      </c>
      <c r="F44">
        <f>TEXT(43923, "[$-2B]dddd,ddd,mmmm,mmm,mmmmm,m")</f>
        <v/>
      </c>
      <c r="G44">
        <f>TEXT(43952, "[$-2B]dddd,ddd,mmmm,mmm,mmmmm,m")</f>
        <v/>
      </c>
      <c r="H44">
        <f>TEXT(43988, "[$-2B]dddd,ddd,mmmm,mmm,mmmmm,m")</f>
        <v/>
      </c>
      <c r="I44">
        <f>TEXT(44017, "[$-2B]dddd,ddd,mmmm,mmm,mmmmm,m")</f>
        <v/>
      </c>
      <c r="J44">
        <f>TEXT(44046, "[$-2B]dddd,ddd,mmmm,mmm,mmmmm,m")</f>
        <v/>
      </c>
      <c r="K44">
        <f>TEXT(44082, "[$-2B]dddd,ddd,mmmm,mmm,mmmmm,m")</f>
        <v/>
      </c>
      <c r="L44">
        <f>TEXT(44111, "[$-2B]dddd,ddd,mmmm,mmm,mmmmm,m")</f>
        <v/>
      </c>
      <c r="M44">
        <f>TEXT(44140, "[$-2B]dddd,ddd,mmmm,mmm,mmmmm,m")</f>
        <v/>
      </c>
      <c r="N44">
        <f>TEXT(44169, "[$-2B]dddd,ddd,mmmm,mmm,mmmmm,m")</f>
        <v/>
      </c>
      <c r="O44">
        <f>TEXT(44198, "[$-2B]dddd,ddd,mmmm,mmm,mmmmm,m")</f>
        <v/>
      </c>
    </row>
    <row r="45">
      <c r="A45" t="inlineStr">
        <is>
          <t>0x2C</t>
        </is>
      </c>
      <c r="B45" t="inlineStr">
        <is>
          <t>az</t>
        </is>
      </c>
      <c r="C45">
        <f>TEXT(43836, "[$-2C]dddd,ddd,mmmm,mmm,mmmmm,m")</f>
        <v/>
      </c>
      <c r="D45">
        <f>TEXT(43865, "[$-2C]dddd,ddd,mmmm,mmm,mmmmm,m")</f>
        <v/>
      </c>
      <c r="E45">
        <f>TEXT(43894, "[$-2C]dddd,ddd,mmmm,mmm,mmmmm,m")</f>
        <v/>
      </c>
      <c r="F45">
        <f>TEXT(43923, "[$-2C]dddd,ddd,mmmm,mmm,mmmmm,m")</f>
        <v/>
      </c>
      <c r="G45">
        <f>TEXT(43952, "[$-2C]dddd,ddd,mmmm,mmm,mmmmm,m")</f>
        <v/>
      </c>
      <c r="H45">
        <f>TEXT(43988, "[$-2C]dddd,ddd,mmmm,mmm,mmmmm,m")</f>
        <v/>
      </c>
      <c r="I45">
        <f>TEXT(44017, "[$-2C]dddd,ddd,mmmm,mmm,mmmmm,m")</f>
        <v/>
      </c>
      <c r="J45">
        <f>TEXT(44046, "[$-2C]dddd,ddd,mmmm,mmm,mmmmm,m")</f>
        <v/>
      </c>
      <c r="K45">
        <f>TEXT(44082, "[$-2C]dddd,ddd,mmmm,mmm,mmmmm,m")</f>
        <v/>
      </c>
      <c r="L45">
        <f>TEXT(44111, "[$-2C]dddd,ddd,mmmm,mmm,mmmmm,m")</f>
        <v/>
      </c>
      <c r="M45">
        <f>TEXT(44140, "[$-2C]dddd,ddd,mmmm,mmm,mmmmm,m")</f>
        <v/>
      </c>
      <c r="N45">
        <f>TEXT(44169, "[$-2C]dddd,ddd,mmmm,mmm,mmmmm,m")</f>
        <v/>
      </c>
      <c r="O45">
        <f>TEXT(44198, "[$-2C]dddd,ddd,mmmm,mmm,mmmmm,m")</f>
        <v/>
      </c>
    </row>
    <row r="46">
      <c r="A46" t="inlineStr">
        <is>
          <t>0x2D</t>
        </is>
      </c>
      <c r="B46" t="inlineStr">
        <is>
          <t>eu</t>
        </is>
      </c>
      <c r="C46">
        <f>TEXT(43836, "[$-2D]dddd,ddd,mmmm,mmm,mmmmm,m")</f>
        <v/>
      </c>
      <c r="D46">
        <f>TEXT(43865, "[$-2D]dddd,ddd,mmmm,mmm,mmmmm,m")</f>
        <v/>
      </c>
      <c r="E46">
        <f>TEXT(43894, "[$-2D]dddd,ddd,mmmm,mmm,mmmmm,m")</f>
        <v/>
      </c>
      <c r="F46">
        <f>TEXT(43923, "[$-2D]dddd,ddd,mmmm,mmm,mmmmm,m")</f>
        <v/>
      </c>
      <c r="G46">
        <f>TEXT(43952, "[$-2D]dddd,ddd,mmmm,mmm,mmmmm,m")</f>
        <v/>
      </c>
      <c r="H46">
        <f>TEXT(43988, "[$-2D]dddd,ddd,mmmm,mmm,mmmmm,m")</f>
        <v/>
      </c>
      <c r="I46">
        <f>TEXT(44017, "[$-2D]dddd,ddd,mmmm,mmm,mmmmm,m")</f>
        <v/>
      </c>
      <c r="J46">
        <f>TEXT(44046, "[$-2D]dddd,ddd,mmmm,mmm,mmmmm,m")</f>
        <v/>
      </c>
      <c r="K46">
        <f>TEXT(44082, "[$-2D]dddd,ddd,mmmm,mmm,mmmmm,m")</f>
        <v/>
      </c>
      <c r="L46">
        <f>TEXT(44111, "[$-2D]dddd,ddd,mmmm,mmm,mmmmm,m")</f>
        <v/>
      </c>
      <c r="M46">
        <f>TEXT(44140, "[$-2D]dddd,ddd,mmmm,mmm,mmmmm,m")</f>
        <v/>
      </c>
      <c r="N46">
        <f>TEXT(44169, "[$-2D]dddd,ddd,mmmm,mmm,mmmmm,m")</f>
        <v/>
      </c>
      <c r="O46">
        <f>TEXT(44198, "[$-2D]dddd,ddd,mmmm,mmm,mmmmm,m")</f>
        <v/>
      </c>
    </row>
    <row r="47">
      <c r="A47" t="inlineStr">
        <is>
          <t>0x2E</t>
        </is>
      </c>
      <c r="B47" t="inlineStr">
        <is>
          <t>hsb</t>
        </is>
      </c>
      <c r="C47">
        <f>TEXT(43836, "[$-2E]dddd,ddd,mmmm,mmm,mmmmm,m")</f>
        <v/>
      </c>
      <c r="D47">
        <f>TEXT(43865, "[$-2E]dddd,ddd,mmmm,mmm,mmmmm,m")</f>
        <v/>
      </c>
      <c r="E47">
        <f>TEXT(43894, "[$-2E]dddd,ddd,mmmm,mmm,mmmmm,m")</f>
        <v/>
      </c>
      <c r="F47">
        <f>TEXT(43923, "[$-2E]dddd,ddd,mmmm,mmm,mmmmm,m")</f>
        <v/>
      </c>
      <c r="G47">
        <f>TEXT(43952, "[$-2E]dddd,ddd,mmmm,mmm,mmmmm,m")</f>
        <v/>
      </c>
      <c r="H47">
        <f>TEXT(43988, "[$-2E]dddd,ddd,mmmm,mmm,mmmmm,m")</f>
        <v/>
      </c>
      <c r="I47">
        <f>TEXT(44017, "[$-2E]dddd,ddd,mmmm,mmm,mmmmm,m")</f>
        <v/>
      </c>
      <c r="J47">
        <f>TEXT(44046, "[$-2E]dddd,ddd,mmmm,mmm,mmmmm,m")</f>
        <v/>
      </c>
      <c r="K47">
        <f>TEXT(44082, "[$-2E]dddd,ddd,mmmm,mmm,mmmmm,m")</f>
        <v/>
      </c>
      <c r="L47">
        <f>TEXT(44111, "[$-2E]dddd,ddd,mmmm,mmm,mmmmm,m")</f>
        <v/>
      </c>
      <c r="M47">
        <f>TEXT(44140, "[$-2E]dddd,ddd,mmmm,mmm,mmmmm,m")</f>
        <v/>
      </c>
      <c r="N47">
        <f>TEXT(44169, "[$-2E]dddd,ddd,mmmm,mmm,mmmmm,m")</f>
        <v/>
      </c>
      <c r="O47">
        <f>TEXT(44198, "[$-2E]dddd,ddd,mmmm,mmm,mmmmm,m")</f>
        <v/>
      </c>
    </row>
    <row r="48">
      <c r="A48" t="inlineStr">
        <is>
          <t>0x2F</t>
        </is>
      </c>
      <c r="B48" t="inlineStr">
        <is>
          <t>mk</t>
        </is>
      </c>
      <c r="C48">
        <f>TEXT(43836, "[$-2F]dddd,ddd,mmmm,mmm,mmmmm,m")</f>
        <v/>
      </c>
      <c r="D48">
        <f>TEXT(43865, "[$-2F]dddd,ddd,mmmm,mmm,mmmmm,m")</f>
        <v/>
      </c>
      <c r="E48">
        <f>TEXT(43894, "[$-2F]dddd,ddd,mmmm,mmm,mmmmm,m")</f>
        <v/>
      </c>
      <c r="F48">
        <f>TEXT(43923, "[$-2F]dddd,ddd,mmmm,mmm,mmmmm,m")</f>
        <v/>
      </c>
      <c r="G48">
        <f>TEXT(43952, "[$-2F]dddd,ddd,mmmm,mmm,mmmmm,m")</f>
        <v/>
      </c>
      <c r="H48">
        <f>TEXT(43988, "[$-2F]dddd,ddd,mmmm,mmm,mmmmm,m")</f>
        <v/>
      </c>
      <c r="I48">
        <f>TEXT(44017, "[$-2F]dddd,ddd,mmmm,mmm,mmmmm,m")</f>
        <v/>
      </c>
      <c r="J48">
        <f>TEXT(44046, "[$-2F]dddd,ddd,mmmm,mmm,mmmmm,m")</f>
        <v/>
      </c>
      <c r="K48">
        <f>TEXT(44082, "[$-2F]dddd,ddd,mmmm,mmm,mmmmm,m")</f>
        <v/>
      </c>
      <c r="L48">
        <f>TEXT(44111, "[$-2F]dddd,ddd,mmmm,mmm,mmmmm,m")</f>
        <v/>
      </c>
      <c r="M48">
        <f>TEXT(44140, "[$-2F]dddd,ddd,mmmm,mmm,mmmmm,m")</f>
        <v/>
      </c>
      <c r="N48">
        <f>TEXT(44169, "[$-2F]dddd,ddd,mmmm,mmm,mmmmm,m")</f>
        <v/>
      </c>
      <c r="O48">
        <f>TEXT(44198, "[$-2F]dddd,ddd,mmmm,mmm,mmmmm,m")</f>
        <v/>
      </c>
    </row>
    <row r="49">
      <c r="A49" t="inlineStr">
        <is>
          <t>0x30</t>
        </is>
      </c>
      <c r="B49" t="inlineStr">
        <is>
          <t>st</t>
        </is>
      </c>
      <c r="C49">
        <f>TEXT(43836, "[$-30]dddd,ddd,mmmm,mmm,mmmmm,m")</f>
        <v/>
      </c>
      <c r="D49">
        <f>TEXT(43865, "[$-30]dddd,ddd,mmmm,mmm,mmmmm,m")</f>
        <v/>
      </c>
      <c r="E49">
        <f>TEXT(43894, "[$-30]dddd,ddd,mmmm,mmm,mmmmm,m")</f>
        <v/>
      </c>
      <c r="F49">
        <f>TEXT(43923, "[$-30]dddd,ddd,mmmm,mmm,mmmmm,m")</f>
        <v/>
      </c>
      <c r="G49">
        <f>TEXT(43952, "[$-30]dddd,ddd,mmmm,mmm,mmmmm,m")</f>
        <v/>
      </c>
      <c r="H49">
        <f>TEXT(43988, "[$-30]dddd,ddd,mmmm,mmm,mmmmm,m")</f>
        <v/>
      </c>
      <c r="I49">
        <f>TEXT(44017, "[$-30]dddd,ddd,mmmm,mmm,mmmmm,m")</f>
        <v/>
      </c>
      <c r="J49">
        <f>TEXT(44046, "[$-30]dddd,ddd,mmmm,mmm,mmmmm,m")</f>
        <v/>
      </c>
      <c r="K49">
        <f>TEXT(44082, "[$-30]dddd,ddd,mmmm,mmm,mmmmm,m")</f>
        <v/>
      </c>
      <c r="L49">
        <f>TEXT(44111, "[$-30]dddd,ddd,mmmm,mmm,mmmmm,m")</f>
        <v/>
      </c>
      <c r="M49">
        <f>TEXT(44140, "[$-30]dddd,ddd,mmmm,mmm,mmmmm,m")</f>
        <v/>
      </c>
      <c r="N49">
        <f>TEXT(44169, "[$-30]dddd,ddd,mmmm,mmm,mmmmm,m")</f>
        <v/>
      </c>
      <c r="O49">
        <f>TEXT(44198, "[$-30]dddd,ddd,mmmm,mmm,mmmmm,m")</f>
        <v/>
      </c>
    </row>
    <row r="50">
      <c r="A50" t="inlineStr">
        <is>
          <t>0x31</t>
        </is>
      </c>
      <c r="B50" t="inlineStr">
        <is>
          <t>ts</t>
        </is>
      </c>
      <c r="C50">
        <f>TEXT(43836, "[$-31]dddd,ddd,mmmm,mmm,mmmmm,m")</f>
        <v/>
      </c>
      <c r="D50">
        <f>TEXT(43865, "[$-31]dddd,ddd,mmmm,mmm,mmmmm,m")</f>
        <v/>
      </c>
      <c r="E50">
        <f>TEXT(43894, "[$-31]dddd,ddd,mmmm,mmm,mmmmm,m")</f>
        <v/>
      </c>
      <c r="F50">
        <f>TEXT(43923, "[$-31]dddd,ddd,mmmm,mmm,mmmmm,m")</f>
        <v/>
      </c>
      <c r="G50">
        <f>TEXT(43952, "[$-31]dddd,ddd,mmmm,mmm,mmmmm,m")</f>
        <v/>
      </c>
      <c r="H50">
        <f>TEXT(43988, "[$-31]dddd,ddd,mmmm,mmm,mmmmm,m")</f>
        <v/>
      </c>
      <c r="I50">
        <f>TEXT(44017, "[$-31]dddd,ddd,mmmm,mmm,mmmmm,m")</f>
        <v/>
      </c>
      <c r="J50">
        <f>TEXT(44046, "[$-31]dddd,ddd,mmmm,mmm,mmmmm,m")</f>
        <v/>
      </c>
      <c r="K50">
        <f>TEXT(44082, "[$-31]dddd,ddd,mmmm,mmm,mmmmm,m")</f>
        <v/>
      </c>
      <c r="L50">
        <f>TEXT(44111, "[$-31]dddd,ddd,mmmm,mmm,mmmmm,m")</f>
        <v/>
      </c>
      <c r="M50">
        <f>TEXT(44140, "[$-31]dddd,ddd,mmmm,mmm,mmmmm,m")</f>
        <v/>
      </c>
      <c r="N50">
        <f>TEXT(44169, "[$-31]dddd,ddd,mmmm,mmm,mmmmm,m")</f>
        <v/>
      </c>
      <c r="O50">
        <f>TEXT(44198, "[$-31]dddd,ddd,mmmm,mmm,mmmmm,m")</f>
        <v/>
      </c>
    </row>
    <row r="51">
      <c r="A51" t="inlineStr">
        <is>
          <t>0x32</t>
        </is>
      </c>
      <c r="B51" t="inlineStr">
        <is>
          <t>tn</t>
        </is>
      </c>
      <c r="C51">
        <f>TEXT(43836, "[$-32]dddd,ddd,mmmm,mmm,mmmmm,m")</f>
        <v/>
      </c>
      <c r="D51">
        <f>TEXT(43865, "[$-32]dddd,ddd,mmmm,mmm,mmmmm,m")</f>
        <v/>
      </c>
      <c r="E51">
        <f>TEXT(43894, "[$-32]dddd,ddd,mmmm,mmm,mmmmm,m")</f>
        <v/>
      </c>
      <c r="F51">
        <f>TEXT(43923, "[$-32]dddd,ddd,mmmm,mmm,mmmmm,m")</f>
        <v/>
      </c>
      <c r="G51">
        <f>TEXT(43952, "[$-32]dddd,ddd,mmmm,mmm,mmmmm,m")</f>
        <v/>
      </c>
      <c r="H51">
        <f>TEXT(43988, "[$-32]dddd,ddd,mmmm,mmm,mmmmm,m")</f>
        <v/>
      </c>
      <c r="I51">
        <f>TEXT(44017, "[$-32]dddd,ddd,mmmm,mmm,mmmmm,m")</f>
        <v/>
      </c>
      <c r="J51">
        <f>TEXT(44046, "[$-32]dddd,ddd,mmmm,mmm,mmmmm,m")</f>
        <v/>
      </c>
      <c r="K51">
        <f>TEXT(44082, "[$-32]dddd,ddd,mmmm,mmm,mmmmm,m")</f>
        <v/>
      </c>
      <c r="L51">
        <f>TEXT(44111, "[$-32]dddd,ddd,mmmm,mmm,mmmmm,m")</f>
        <v/>
      </c>
      <c r="M51">
        <f>TEXT(44140, "[$-32]dddd,ddd,mmmm,mmm,mmmmm,m")</f>
        <v/>
      </c>
      <c r="N51">
        <f>TEXT(44169, "[$-32]dddd,ddd,mmmm,mmm,mmmmm,m")</f>
        <v/>
      </c>
      <c r="O51">
        <f>TEXT(44198, "[$-32]dddd,ddd,mmmm,mmm,mmmmm,m")</f>
        <v/>
      </c>
    </row>
    <row r="52">
      <c r="A52" t="inlineStr">
        <is>
          <t>0x33</t>
        </is>
      </c>
      <c r="B52" t="inlineStr">
        <is>
          <t>ve</t>
        </is>
      </c>
      <c r="C52">
        <f>TEXT(43836, "[$-33]dddd,ddd,mmmm,mmm,mmmmm,m")</f>
        <v/>
      </c>
      <c r="D52">
        <f>TEXT(43865, "[$-33]dddd,ddd,mmmm,mmm,mmmmm,m")</f>
        <v/>
      </c>
      <c r="E52">
        <f>TEXT(43894, "[$-33]dddd,ddd,mmmm,mmm,mmmmm,m")</f>
        <v/>
      </c>
      <c r="F52">
        <f>TEXT(43923, "[$-33]dddd,ddd,mmmm,mmm,mmmmm,m")</f>
        <v/>
      </c>
      <c r="G52">
        <f>TEXT(43952, "[$-33]dddd,ddd,mmmm,mmm,mmmmm,m")</f>
        <v/>
      </c>
      <c r="H52">
        <f>TEXT(43988, "[$-33]dddd,ddd,mmmm,mmm,mmmmm,m")</f>
        <v/>
      </c>
      <c r="I52">
        <f>TEXT(44017, "[$-33]dddd,ddd,mmmm,mmm,mmmmm,m")</f>
        <v/>
      </c>
      <c r="J52">
        <f>TEXT(44046, "[$-33]dddd,ddd,mmmm,mmm,mmmmm,m")</f>
        <v/>
      </c>
      <c r="K52">
        <f>TEXT(44082, "[$-33]dddd,ddd,mmmm,mmm,mmmmm,m")</f>
        <v/>
      </c>
      <c r="L52">
        <f>TEXT(44111, "[$-33]dddd,ddd,mmmm,mmm,mmmmm,m")</f>
        <v/>
      </c>
      <c r="M52">
        <f>TEXT(44140, "[$-33]dddd,ddd,mmmm,mmm,mmmmm,m")</f>
        <v/>
      </c>
      <c r="N52">
        <f>TEXT(44169, "[$-33]dddd,ddd,mmmm,mmm,mmmmm,m")</f>
        <v/>
      </c>
      <c r="O52">
        <f>TEXT(44198, "[$-33]dddd,ddd,mmmm,mmm,mmmmm,m")</f>
        <v/>
      </c>
    </row>
    <row r="53">
      <c r="A53" t="inlineStr">
        <is>
          <t>0x34</t>
        </is>
      </c>
      <c r="B53" t="inlineStr">
        <is>
          <t>xh</t>
        </is>
      </c>
      <c r="C53">
        <f>TEXT(43836, "[$-34]dddd,ddd,mmmm,mmm,mmmmm,m")</f>
        <v/>
      </c>
      <c r="D53">
        <f>TEXT(43865, "[$-34]dddd,ddd,mmmm,mmm,mmmmm,m")</f>
        <v/>
      </c>
      <c r="E53">
        <f>TEXT(43894, "[$-34]dddd,ddd,mmmm,mmm,mmmmm,m")</f>
        <v/>
      </c>
      <c r="F53">
        <f>TEXT(43923, "[$-34]dddd,ddd,mmmm,mmm,mmmmm,m")</f>
        <v/>
      </c>
      <c r="G53">
        <f>TEXT(43952, "[$-34]dddd,ddd,mmmm,mmm,mmmmm,m")</f>
        <v/>
      </c>
      <c r="H53">
        <f>TEXT(43988, "[$-34]dddd,ddd,mmmm,mmm,mmmmm,m")</f>
        <v/>
      </c>
      <c r="I53">
        <f>TEXT(44017, "[$-34]dddd,ddd,mmmm,mmm,mmmmm,m")</f>
        <v/>
      </c>
      <c r="J53">
        <f>TEXT(44046, "[$-34]dddd,ddd,mmmm,mmm,mmmmm,m")</f>
        <v/>
      </c>
      <c r="K53">
        <f>TEXT(44082, "[$-34]dddd,ddd,mmmm,mmm,mmmmm,m")</f>
        <v/>
      </c>
      <c r="L53">
        <f>TEXT(44111, "[$-34]dddd,ddd,mmmm,mmm,mmmmm,m")</f>
        <v/>
      </c>
      <c r="M53">
        <f>TEXT(44140, "[$-34]dddd,ddd,mmmm,mmm,mmmmm,m")</f>
        <v/>
      </c>
      <c r="N53">
        <f>TEXT(44169, "[$-34]dddd,ddd,mmmm,mmm,mmmmm,m")</f>
        <v/>
      </c>
      <c r="O53">
        <f>TEXT(44198, "[$-34]dddd,ddd,mmmm,mmm,mmmmm,m")</f>
        <v/>
      </c>
    </row>
    <row r="54">
      <c r="A54" t="inlineStr">
        <is>
          <t>0x35</t>
        </is>
      </c>
      <c r="B54" t="inlineStr">
        <is>
          <t>zu</t>
        </is>
      </c>
      <c r="C54">
        <f>TEXT(43836, "[$-35]dddd,ddd,mmmm,mmm,mmmmm,m")</f>
        <v/>
      </c>
      <c r="D54">
        <f>TEXT(43865, "[$-35]dddd,ddd,mmmm,mmm,mmmmm,m")</f>
        <v/>
      </c>
      <c r="E54">
        <f>TEXT(43894, "[$-35]dddd,ddd,mmmm,mmm,mmmmm,m")</f>
        <v/>
      </c>
      <c r="F54">
        <f>TEXT(43923, "[$-35]dddd,ddd,mmmm,mmm,mmmmm,m")</f>
        <v/>
      </c>
      <c r="G54">
        <f>TEXT(43952, "[$-35]dddd,ddd,mmmm,mmm,mmmmm,m")</f>
        <v/>
      </c>
      <c r="H54">
        <f>TEXT(43988, "[$-35]dddd,ddd,mmmm,mmm,mmmmm,m")</f>
        <v/>
      </c>
      <c r="I54">
        <f>TEXT(44017, "[$-35]dddd,ddd,mmmm,mmm,mmmmm,m")</f>
        <v/>
      </c>
      <c r="J54">
        <f>TEXT(44046, "[$-35]dddd,ddd,mmmm,mmm,mmmmm,m")</f>
        <v/>
      </c>
      <c r="K54">
        <f>TEXT(44082, "[$-35]dddd,ddd,mmmm,mmm,mmmmm,m")</f>
        <v/>
      </c>
      <c r="L54">
        <f>TEXT(44111, "[$-35]dddd,ddd,mmmm,mmm,mmmmm,m")</f>
        <v/>
      </c>
      <c r="M54">
        <f>TEXT(44140, "[$-35]dddd,ddd,mmmm,mmm,mmmmm,m")</f>
        <v/>
      </c>
      <c r="N54">
        <f>TEXT(44169, "[$-35]dddd,ddd,mmmm,mmm,mmmmm,m")</f>
        <v/>
      </c>
      <c r="O54">
        <f>TEXT(44198, "[$-35]dddd,ddd,mmmm,mmm,mmmmm,m")</f>
        <v/>
      </c>
    </row>
    <row r="55">
      <c r="A55" t="inlineStr">
        <is>
          <t>0x36</t>
        </is>
      </c>
      <c r="B55" t="inlineStr">
        <is>
          <t>af</t>
        </is>
      </c>
      <c r="C55">
        <f>TEXT(43836, "[$-36]dddd,ddd,mmmm,mmm,mmmmm,m")</f>
        <v/>
      </c>
      <c r="D55">
        <f>TEXT(43865, "[$-36]dddd,ddd,mmmm,mmm,mmmmm,m")</f>
        <v/>
      </c>
      <c r="E55">
        <f>TEXT(43894, "[$-36]dddd,ddd,mmmm,mmm,mmmmm,m")</f>
        <v/>
      </c>
      <c r="F55">
        <f>TEXT(43923, "[$-36]dddd,ddd,mmmm,mmm,mmmmm,m")</f>
        <v/>
      </c>
      <c r="G55">
        <f>TEXT(43952, "[$-36]dddd,ddd,mmmm,mmm,mmmmm,m")</f>
        <v/>
      </c>
      <c r="H55">
        <f>TEXT(43988, "[$-36]dddd,ddd,mmmm,mmm,mmmmm,m")</f>
        <v/>
      </c>
      <c r="I55">
        <f>TEXT(44017, "[$-36]dddd,ddd,mmmm,mmm,mmmmm,m")</f>
        <v/>
      </c>
      <c r="J55">
        <f>TEXT(44046, "[$-36]dddd,ddd,mmmm,mmm,mmmmm,m")</f>
        <v/>
      </c>
      <c r="K55">
        <f>TEXT(44082, "[$-36]dddd,ddd,mmmm,mmm,mmmmm,m")</f>
        <v/>
      </c>
      <c r="L55">
        <f>TEXT(44111, "[$-36]dddd,ddd,mmmm,mmm,mmmmm,m")</f>
        <v/>
      </c>
      <c r="M55">
        <f>TEXT(44140, "[$-36]dddd,ddd,mmmm,mmm,mmmmm,m")</f>
        <v/>
      </c>
      <c r="N55">
        <f>TEXT(44169, "[$-36]dddd,ddd,mmmm,mmm,mmmmm,m")</f>
        <v/>
      </c>
      <c r="O55">
        <f>TEXT(44198, "[$-36]dddd,ddd,mmmm,mmm,mmmmm,m")</f>
        <v/>
      </c>
    </row>
    <row r="56">
      <c r="A56" t="inlineStr">
        <is>
          <t>0x37</t>
        </is>
      </c>
      <c r="B56" t="inlineStr">
        <is>
          <t>ka</t>
        </is>
      </c>
      <c r="C56">
        <f>TEXT(43836, "[$-37]dddd,ddd,mmmm,mmm,mmmmm,m")</f>
        <v/>
      </c>
      <c r="D56">
        <f>TEXT(43865, "[$-37]dddd,ddd,mmmm,mmm,mmmmm,m")</f>
        <v/>
      </c>
      <c r="E56">
        <f>TEXT(43894, "[$-37]dddd,ddd,mmmm,mmm,mmmmm,m")</f>
        <v/>
      </c>
      <c r="F56">
        <f>TEXT(43923, "[$-37]dddd,ddd,mmmm,mmm,mmmmm,m")</f>
        <v/>
      </c>
      <c r="G56">
        <f>TEXT(43952, "[$-37]dddd,ddd,mmmm,mmm,mmmmm,m")</f>
        <v/>
      </c>
      <c r="H56">
        <f>TEXT(43988, "[$-37]dddd,ddd,mmmm,mmm,mmmmm,m")</f>
        <v/>
      </c>
      <c r="I56">
        <f>TEXT(44017, "[$-37]dddd,ddd,mmmm,mmm,mmmmm,m")</f>
        <v/>
      </c>
      <c r="J56">
        <f>TEXT(44046, "[$-37]dddd,ddd,mmmm,mmm,mmmmm,m")</f>
        <v/>
      </c>
      <c r="K56">
        <f>TEXT(44082, "[$-37]dddd,ddd,mmmm,mmm,mmmmm,m")</f>
        <v/>
      </c>
      <c r="L56">
        <f>TEXT(44111, "[$-37]dddd,ddd,mmmm,mmm,mmmmm,m")</f>
        <v/>
      </c>
      <c r="M56">
        <f>TEXT(44140, "[$-37]dddd,ddd,mmmm,mmm,mmmmm,m")</f>
        <v/>
      </c>
      <c r="N56">
        <f>TEXT(44169, "[$-37]dddd,ddd,mmmm,mmm,mmmmm,m")</f>
        <v/>
      </c>
      <c r="O56">
        <f>TEXT(44198, "[$-37]dddd,ddd,mmmm,mmm,mmmmm,m")</f>
        <v/>
      </c>
    </row>
    <row r="57">
      <c r="A57" t="inlineStr">
        <is>
          <t>0x38</t>
        </is>
      </c>
      <c r="B57" t="inlineStr">
        <is>
          <t>fo</t>
        </is>
      </c>
      <c r="C57">
        <f>TEXT(43836, "[$-38]dddd,ddd,mmmm,mmm,mmmmm,m")</f>
        <v/>
      </c>
      <c r="D57">
        <f>TEXT(43865, "[$-38]dddd,ddd,mmmm,mmm,mmmmm,m")</f>
        <v/>
      </c>
      <c r="E57">
        <f>TEXT(43894, "[$-38]dddd,ddd,mmmm,mmm,mmmmm,m")</f>
        <v/>
      </c>
      <c r="F57">
        <f>TEXT(43923, "[$-38]dddd,ddd,mmmm,mmm,mmmmm,m")</f>
        <v/>
      </c>
      <c r="G57">
        <f>TEXT(43952, "[$-38]dddd,ddd,mmmm,mmm,mmmmm,m")</f>
        <v/>
      </c>
      <c r="H57">
        <f>TEXT(43988, "[$-38]dddd,ddd,mmmm,mmm,mmmmm,m")</f>
        <v/>
      </c>
      <c r="I57">
        <f>TEXT(44017, "[$-38]dddd,ddd,mmmm,mmm,mmmmm,m")</f>
        <v/>
      </c>
      <c r="J57">
        <f>TEXT(44046, "[$-38]dddd,ddd,mmmm,mmm,mmmmm,m")</f>
        <v/>
      </c>
      <c r="K57">
        <f>TEXT(44082, "[$-38]dddd,ddd,mmmm,mmm,mmmmm,m")</f>
        <v/>
      </c>
      <c r="L57">
        <f>TEXT(44111, "[$-38]dddd,ddd,mmmm,mmm,mmmmm,m")</f>
        <v/>
      </c>
      <c r="M57">
        <f>TEXT(44140, "[$-38]dddd,ddd,mmmm,mmm,mmmmm,m")</f>
        <v/>
      </c>
      <c r="N57">
        <f>TEXT(44169, "[$-38]dddd,ddd,mmmm,mmm,mmmmm,m")</f>
        <v/>
      </c>
      <c r="O57">
        <f>TEXT(44198, "[$-38]dddd,ddd,mmmm,mmm,mmmmm,m")</f>
        <v/>
      </c>
    </row>
    <row r="58">
      <c r="A58" t="inlineStr">
        <is>
          <t>0x2000039</t>
        </is>
      </c>
      <c r="B58" t="inlineStr">
        <is>
          <t>hi</t>
        </is>
      </c>
      <c r="C58">
        <f>TEXT(43836, "[$-2000039]dddd,ddd,mmmm,mmm,mmmmm,m")</f>
        <v/>
      </c>
      <c r="D58">
        <f>TEXT(43865, "[$-2000039]dddd,ddd,mmmm,mmm,mmmmm,m")</f>
        <v/>
      </c>
      <c r="E58">
        <f>TEXT(43894, "[$-2000039]dddd,ddd,mmmm,mmm,mmmmm,m")</f>
        <v/>
      </c>
      <c r="F58">
        <f>TEXT(43923, "[$-2000039]dddd,ddd,mmmm,mmm,mmmmm,m")</f>
        <v/>
      </c>
      <c r="G58">
        <f>TEXT(43952, "[$-2000039]dddd,ddd,mmmm,mmm,mmmmm,m")</f>
        <v/>
      </c>
      <c r="H58">
        <f>TEXT(43988, "[$-2000039]dddd,ddd,mmmm,mmm,mmmmm,m")</f>
        <v/>
      </c>
      <c r="I58">
        <f>TEXT(44017, "[$-2000039]dddd,ddd,mmmm,mmm,mmmmm,m")</f>
        <v/>
      </c>
      <c r="J58">
        <f>TEXT(44046, "[$-2000039]dddd,ddd,mmmm,mmm,mmmmm,m")</f>
        <v/>
      </c>
      <c r="K58">
        <f>TEXT(44082, "[$-2000039]dddd,ddd,mmmm,mmm,mmmmm,m")</f>
        <v/>
      </c>
      <c r="L58">
        <f>TEXT(44111, "[$-2000039]dddd,ddd,mmmm,mmm,mmmmm,m")</f>
        <v/>
      </c>
      <c r="M58">
        <f>TEXT(44140, "[$-2000039]dddd,ddd,mmmm,mmm,mmmmm,m")</f>
        <v/>
      </c>
      <c r="N58">
        <f>TEXT(44169, "[$-2000039]dddd,ddd,mmmm,mmm,mmmmm,m")</f>
        <v/>
      </c>
      <c r="O58">
        <f>TEXT(44198, "[$-2000039]dddd,ddd,mmmm,mmm,mmmmm,m")</f>
        <v/>
      </c>
    </row>
    <row r="59">
      <c r="A59" t="inlineStr">
        <is>
          <t>0x3A</t>
        </is>
      </c>
      <c r="B59" t="inlineStr">
        <is>
          <t>mt</t>
        </is>
      </c>
      <c r="C59">
        <f>TEXT(43836, "[$-3A]dddd,ddd,mmmm,mmm,mmmmm,m")</f>
        <v/>
      </c>
      <c r="D59">
        <f>TEXT(43865, "[$-3A]dddd,ddd,mmmm,mmm,mmmmm,m")</f>
        <v/>
      </c>
      <c r="E59">
        <f>TEXT(43894, "[$-3A]dddd,ddd,mmmm,mmm,mmmmm,m")</f>
        <v/>
      </c>
      <c r="F59">
        <f>TEXT(43923, "[$-3A]dddd,ddd,mmmm,mmm,mmmmm,m")</f>
        <v/>
      </c>
      <c r="G59">
        <f>TEXT(43952, "[$-3A]dddd,ddd,mmmm,mmm,mmmmm,m")</f>
        <v/>
      </c>
      <c r="H59">
        <f>TEXT(43988, "[$-3A]dddd,ddd,mmmm,mmm,mmmmm,m")</f>
        <v/>
      </c>
      <c r="I59">
        <f>TEXT(44017, "[$-3A]dddd,ddd,mmmm,mmm,mmmmm,m")</f>
        <v/>
      </c>
      <c r="J59">
        <f>TEXT(44046, "[$-3A]dddd,ddd,mmmm,mmm,mmmmm,m")</f>
        <v/>
      </c>
      <c r="K59">
        <f>TEXT(44082, "[$-3A]dddd,ddd,mmmm,mmm,mmmmm,m")</f>
        <v/>
      </c>
      <c r="L59">
        <f>TEXT(44111, "[$-3A]dddd,ddd,mmmm,mmm,mmmmm,m")</f>
        <v/>
      </c>
      <c r="M59">
        <f>TEXT(44140, "[$-3A]dddd,ddd,mmmm,mmm,mmmmm,m")</f>
        <v/>
      </c>
      <c r="N59">
        <f>TEXT(44169, "[$-3A]dddd,ddd,mmmm,mmm,mmmmm,m")</f>
        <v/>
      </c>
      <c r="O59">
        <f>TEXT(44198, "[$-3A]dddd,ddd,mmmm,mmm,mmmmm,m")</f>
        <v/>
      </c>
    </row>
    <row r="60">
      <c r="A60" t="inlineStr">
        <is>
          <t>0x3B</t>
        </is>
      </c>
      <c r="B60" t="inlineStr">
        <is>
          <t>se</t>
        </is>
      </c>
      <c r="C60">
        <f>TEXT(43836, "[$-3B]dddd,ddd,mmmm,mmm,mmmmm,m")</f>
        <v/>
      </c>
      <c r="D60">
        <f>TEXT(43865, "[$-3B]dddd,ddd,mmmm,mmm,mmmmm,m")</f>
        <v/>
      </c>
      <c r="E60">
        <f>TEXT(43894, "[$-3B]dddd,ddd,mmmm,mmm,mmmmm,m")</f>
        <v/>
      </c>
      <c r="F60">
        <f>TEXT(43923, "[$-3B]dddd,ddd,mmmm,mmm,mmmmm,m")</f>
        <v/>
      </c>
      <c r="G60">
        <f>TEXT(43952, "[$-3B]dddd,ddd,mmmm,mmm,mmmmm,m")</f>
        <v/>
      </c>
      <c r="H60">
        <f>TEXT(43988, "[$-3B]dddd,ddd,mmmm,mmm,mmmmm,m")</f>
        <v/>
      </c>
      <c r="I60">
        <f>TEXT(44017, "[$-3B]dddd,ddd,mmmm,mmm,mmmmm,m")</f>
        <v/>
      </c>
      <c r="J60">
        <f>TEXT(44046, "[$-3B]dddd,ddd,mmmm,mmm,mmmmm,m")</f>
        <v/>
      </c>
      <c r="K60">
        <f>TEXT(44082, "[$-3B]dddd,ddd,mmmm,mmm,mmmmm,m")</f>
        <v/>
      </c>
      <c r="L60">
        <f>TEXT(44111, "[$-3B]dddd,ddd,mmmm,mmm,mmmmm,m")</f>
        <v/>
      </c>
      <c r="M60">
        <f>TEXT(44140, "[$-3B]dddd,ddd,mmmm,mmm,mmmmm,m")</f>
        <v/>
      </c>
      <c r="N60">
        <f>TEXT(44169, "[$-3B]dddd,ddd,mmmm,mmm,mmmmm,m")</f>
        <v/>
      </c>
      <c r="O60">
        <f>TEXT(44198, "[$-3B]dddd,ddd,mmmm,mmm,mmmmm,m")</f>
        <v/>
      </c>
    </row>
    <row r="61">
      <c r="A61" t="inlineStr">
        <is>
          <t>0x3C</t>
        </is>
      </c>
      <c r="B61" t="inlineStr">
        <is>
          <t>ga</t>
        </is>
      </c>
      <c r="C61">
        <f>TEXT(43836, "[$-3C]dddd,ddd,mmmm,mmm,mmmmm,m")</f>
        <v/>
      </c>
      <c r="D61">
        <f>TEXT(43865, "[$-3C]dddd,ddd,mmmm,mmm,mmmmm,m")</f>
        <v/>
      </c>
      <c r="E61">
        <f>TEXT(43894, "[$-3C]dddd,ddd,mmmm,mmm,mmmmm,m")</f>
        <v/>
      </c>
      <c r="F61">
        <f>TEXT(43923, "[$-3C]dddd,ddd,mmmm,mmm,mmmmm,m")</f>
        <v/>
      </c>
      <c r="G61">
        <f>TEXT(43952, "[$-3C]dddd,ddd,mmmm,mmm,mmmmm,m")</f>
        <v/>
      </c>
      <c r="H61">
        <f>TEXT(43988, "[$-3C]dddd,ddd,mmmm,mmm,mmmmm,m")</f>
        <v/>
      </c>
      <c r="I61">
        <f>TEXT(44017, "[$-3C]dddd,ddd,mmmm,mmm,mmmmm,m")</f>
        <v/>
      </c>
      <c r="J61">
        <f>TEXT(44046, "[$-3C]dddd,ddd,mmmm,mmm,mmmmm,m")</f>
        <v/>
      </c>
      <c r="K61">
        <f>TEXT(44082, "[$-3C]dddd,ddd,mmmm,mmm,mmmmm,m")</f>
        <v/>
      </c>
      <c r="L61">
        <f>TEXT(44111, "[$-3C]dddd,ddd,mmmm,mmm,mmmmm,m")</f>
        <v/>
      </c>
      <c r="M61">
        <f>TEXT(44140, "[$-3C]dddd,ddd,mmmm,mmm,mmmmm,m")</f>
        <v/>
      </c>
      <c r="N61">
        <f>TEXT(44169, "[$-3C]dddd,ddd,mmmm,mmm,mmmmm,m")</f>
        <v/>
      </c>
      <c r="O61">
        <f>TEXT(44198, "[$-3C]dddd,ddd,mmmm,mmm,mmmmm,m")</f>
        <v/>
      </c>
    </row>
    <row r="62">
      <c r="A62" t="inlineStr">
        <is>
          <t>0x3E</t>
        </is>
      </c>
      <c r="B62" t="inlineStr">
        <is>
          <t>ms</t>
        </is>
      </c>
      <c r="C62">
        <f>TEXT(43836, "[$-3E]dddd,ddd,mmmm,mmm,mmmmm,m")</f>
        <v/>
      </c>
      <c r="D62">
        <f>TEXT(43865, "[$-3E]dddd,ddd,mmmm,mmm,mmmmm,m")</f>
        <v/>
      </c>
      <c r="E62">
        <f>TEXT(43894, "[$-3E]dddd,ddd,mmmm,mmm,mmmmm,m")</f>
        <v/>
      </c>
      <c r="F62">
        <f>TEXT(43923, "[$-3E]dddd,ddd,mmmm,mmm,mmmmm,m")</f>
        <v/>
      </c>
      <c r="G62">
        <f>TEXT(43952, "[$-3E]dddd,ddd,mmmm,mmm,mmmmm,m")</f>
        <v/>
      </c>
      <c r="H62">
        <f>TEXT(43988, "[$-3E]dddd,ddd,mmmm,mmm,mmmmm,m")</f>
        <v/>
      </c>
      <c r="I62">
        <f>TEXT(44017, "[$-3E]dddd,ddd,mmmm,mmm,mmmmm,m")</f>
        <v/>
      </c>
      <c r="J62">
        <f>TEXT(44046, "[$-3E]dddd,ddd,mmmm,mmm,mmmmm,m")</f>
        <v/>
      </c>
      <c r="K62">
        <f>TEXT(44082, "[$-3E]dddd,ddd,mmmm,mmm,mmmmm,m")</f>
        <v/>
      </c>
      <c r="L62">
        <f>TEXT(44111, "[$-3E]dddd,ddd,mmmm,mmm,mmmmm,m")</f>
        <v/>
      </c>
      <c r="M62">
        <f>TEXT(44140, "[$-3E]dddd,ddd,mmmm,mmm,mmmmm,m")</f>
        <v/>
      </c>
      <c r="N62">
        <f>TEXT(44169, "[$-3E]dddd,ddd,mmmm,mmm,mmmmm,m")</f>
        <v/>
      </c>
      <c r="O62">
        <f>TEXT(44198, "[$-3E]dddd,ddd,mmmm,mmm,mmmmm,m")</f>
        <v/>
      </c>
    </row>
    <row r="63">
      <c r="A63" t="inlineStr">
        <is>
          <t>0x3F</t>
        </is>
      </c>
      <c r="B63" t="inlineStr">
        <is>
          <t>kk</t>
        </is>
      </c>
      <c r="C63">
        <f>TEXT(43836, "[$-3F]dddd,ddd,mmmm,mmm,mmmmm,m")</f>
        <v/>
      </c>
      <c r="D63">
        <f>TEXT(43865, "[$-3F]dddd,ddd,mmmm,mmm,mmmmm,m")</f>
        <v/>
      </c>
      <c r="E63">
        <f>TEXT(43894, "[$-3F]dddd,ddd,mmmm,mmm,mmmmm,m")</f>
        <v/>
      </c>
      <c r="F63">
        <f>TEXT(43923, "[$-3F]dddd,ddd,mmmm,mmm,mmmmm,m")</f>
        <v/>
      </c>
      <c r="G63">
        <f>TEXT(43952, "[$-3F]dddd,ddd,mmmm,mmm,mmmmm,m")</f>
        <v/>
      </c>
      <c r="H63">
        <f>TEXT(43988, "[$-3F]dddd,ddd,mmmm,mmm,mmmmm,m")</f>
        <v/>
      </c>
      <c r="I63">
        <f>TEXT(44017, "[$-3F]dddd,ddd,mmmm,mmm,mmmmm,m")</f>
        <v/>
      </c>
      <c r="J63">
        <f>TEXT(44046, "[$-3F]dddd,ddd,mmmm,mmm,mmmmm,m")</f>
        <v/>
      </c>
      <c r="K63">
        <f>TEXT(44082, "[$-3F]dddd,ddd,mmmm,mmm,mmmmm,m")</f>
        <v/>
      </c>
      <c r="L63">
        <f>TEXT(44111, "[$-3F]dddd,ddd,mmmm,mmm,mmmmm,m")</f>
        <v/>
      </c>
      <c r="M63">
        <f>TEXT(44140, "[$-3F]dddd,ddd,mmmm,mmm,mmmmm,m")</f>
        <v/>
      </c>
      <c r="N63">
        <f>TEXT(44169, "[$-3F]dddd,ddd,mmmm,mmm,mmmmm,m")</f>
        <v/>
      </c>
      <c r="O63">
        <f>TEXT(44198, "[$-3F]dddd,ddd,mmmm,mmm,mmmmm,m")</f>
        <v/>
      </c>
    </row>
    <row r="64">
      <c r="A64" t="inlineStr">
        <is>
          <t>0x40</t>
        </is>
      </c>
      <c r="B64" t="inlineStr">
        <is>
          <t>ky</t>
        </is>
      </c>
      <c r="C64">
        <f>TEXT(43836, "[$-40]dddd,ddd,mmmm,mmm,mmmmm,m")</f>
        <v/>
      </c>
      <c r="D64">
        <f>TEXT(43865, "[$-40]dddd,ddd,mmmm,mmm,mmmmm,m")</f>
        <v/>
      </c>
      <c r="E64">
        <f>TEXT(43894, "[$-40]dddd,ddd,mmmm,mmm,mmmmm,m")</f>
        <v/>
      </c>
      <c r="F64">
        <f>TEXT(43923, "[$-40]dddd,ddd,mmmm,mmm,mmmmm,m")</f>
        <v/>
      </c>
      <c r="G64">
        <f>TEXT(43952, "[$-40]dddd,ddd,mmmm,mmm,mmmmm,m")</f>
        <v/>
      </c>
      <c r="H64">
        <f>TEXT(43988, "[$-40]dddd,ddd,mmmm,mmm,mmmmm,m")</f>
        <v/>
      </c>
      <c r="I64">
        <f>TEXT(44017, "[$-40]dddd,ddd,mmmm,mmm,mmmmm,m")</f>
        <v/>
      </c>
      <c r="J64">
        <f>TEXT(44046, "[$-40]dddd,ddd,mmmm,mmm,mmmmm,m")</f>
        <v/>
      </c>
      <c r="K64">
        <f>TEXT(44082, "[$-40]dddd,ddd,mmmm,mmm,mmmmm,m")</f>
        <v/>
      </c>
      <c r="L64">
        <f>TEXT(44111, "[$-40]dddd,ddd,mmmm,mmm,mmmmm,m")</f>
        <v/>
      </c>
      <c r="M64">
        <f>TEXT(44140, "[$-40]dddd,ddd,mmmm,mmm,mmmmm,m")</f>
        <v/>
      </c>
      <c r="N64">
        <f>TEXT(44169, "[$-40]dddd,ddd,mmmm,mmm,mmmmm,m")</f>
        <v/>
      </c>
      <c r="O64">
        <f>TEXT(44198, "[$-40]dddd,ddd,mmmm,mmm,mmmmm,m")</f>
        <v/>
      </c>
    </row>
    <row r="65">
      <c r="A65" t="inlineStr">
        <is>
          <t>0x41</t>
        </is>
      </c>
      <c r="B65" t="inlineStr">
        <is>
          <t>sw</t>
        </is>
      </c>
      <c r="C65">
        <f>TEXT(43836, "[$-41]dddd,ddd,mmmm,mmm,mmmmm,m")</f>
        <v/>
      </c>
      <c r="D65">
        <f>TEXT(43865, "[$-41]dddd,ddd,mmmm,mmm,mmmmm,m")</f>
        <v/>
      </c>
      <c r="E65">
        <f>TEXT(43894, "[$-41]dddd,ddd,mmmm,mmm,mmmmm,m")</f>
        <v/>
      </c>
      <c r="F65">
        <f>TEXT(43923, "[$-41]dddd,ddd,mmmm,mmm,mmmmm,m")</f>
        <v/>
      </c>
      <c r="G65">
        <f>TEXT(43952, "[$-41]dddd,ddd,mmmm,mmm,mmmmm,m")</f>
        <v/>
      </c>
      <c r="H65">
        <f>TEXT(43988, "[$-41]dddd,ddd,mmmm,mmm,mmmmm,m")</f>
        <v/>
      </c>
      <c r="I65">
        <f>TEXT(44017, "[$-41]dddd,ddd,mmmm,mmm,mmmmm,m")</f>
        <v/>
      </c>
      <c r="J65">
        <f>TEXT(44046, "[$-41]dddd,ddd,mmmm,mmm,mmmmm,m")</f>
        <v/>
      </c>
      <c r="K65">
        <f>TEXT(44082, "[$-41]dddd,ddd,mmmm,mmm,mmmmm,m")</f>
        <v/>
      </c>
      <c r="L65">
        <f>TEXT(44111, "[$-41]dddd,ddd,mmmm,mmm,mmmmm,m")</f>
        <v/>
      </c>
      <c r="M65">
        <f>TEXT(44140, "[$-41]dddd,ddd,mmmm,mmm,mmmmm,m")</f>
        <v/>
      </c>
      <c r="N65">
        <f>TEXT(44169, "[$-41]dddd,ddd,mmmm,mmm,mmmmm,m")</f>
        <v/>
      </c>
      <c r="O65">
        <f>TEXT(44198, "[$-41]dddd,ddd,mmmm,mmm,mmmmm,m")</f>
        <v/>
      </c>
    </row>
    <row r="66">
      <c r="A66" t="inlineStr">
        <is>
          <t>0x42</t>
        </is>
      </c>
      <c r="B66" t="inlineStr">
        <is>
          <t>tk</t>
        </is>
      </c>
      <c r="C66">
        <f>TEXT(43836, "[$-42]dddd,ddd,mmmm,mmm,mmmmm,m")</f>
        <v/>
      </c>
      <c r="D66">
        <f>TEXT(43865, "[$-42]dddd,ddd,mmmm,mmm,mmmmm,m")</f>
        <v/>
      </c>
      <c r="E66">
        <f>TEXT(43894, "[$-42]dddd,ddd,mmmm,mmm,mmmmm,m")</f>
        <v/>
      </c>
      <c r="F66">
        <f>TEXT(43923, "[$-42]dddd,ddd,mmmm,mmm,mmmmm,m")</f>
        <v/>
      </c>
      <c r="G66">
        <f>TEXT(43952, "[$-42]dddd,ddd,mmmm,mmm,mmmmm,m")</f>
        <v/>
      </c>
      <c r="H66">
        <f>TEXT(43988, "[$-42]dddd,ddd,mmmm,mmm,mmmmm,m")</f>
        <v/>
      </c>
      <c r="I66">
        <f>TEXT(44017, "[$-42]dddd,ddd,mmmm,mmm,mmmmm,m")</f>
        <v/>
      </c>
      <c r="J66">
        <f>TEXT(44046, "[$-42]dddd,ddd,mmmm,mmm,mmmmm,m")</f>
        <v/>
      </c>
      <c r="K66">
        <f>TEXT(44082, "[$-42]dddd,ddd,mmmm,mmm,mmmmm,m")</f>
        <v/>
      </c>
      <c r="L66">
        <f>TEXT(44111, "[$-42]dddd,ddd,mmmm,mmm,mmmmm,m")</f>
        <v/>
      </c>
      <c r="M66">
        <f>TEXT(44140, "[$-42]dddd,ddd,mmmm,mmm,mmmmm,m")</f>
        <v/>
      </c>
      <c r="N66">
        <f>TEXT(44169, "[$-42]dddd,ddd,mmmm,mmm,mmmmm,m")</f>
        <v/>
      </c>
      <c r="O66">
        <f>TEXT(44198, "[$-42]dddd,ddd,mmmm,mmm,mmmmm,m")</f>
        <v/>
      </c>
    </row>
    <row r="67">
      <c r="A67" t="inlineStr">
        <is>
          <t>0x43</t>
        </is>
      </c>
      <c r="B67" t="inlineStr">
        <is>
          <t>uz</t>
        </is>
      </c>
      <c r="C67">
        <f>TEXT(43836, "[$-43]dddd,ddd,mmmm,mmm,mmmmm,m")</f>
        <v/>
      </c>
      <c r="D67">
        <f>TEXT(43865, "[$-43]dddd,ddd,mmmm,mmm,mmmmm,m")</f>
        <v/>
      </c>
      <c r="E67">
        <f>TEXT(43894, "[$-43]dddd,ddd,mmmm,mmm,mmmmm,m")</f>
        <v/>
      </c>
      <c r="F67">
        <f>TEXT(43923, "[$-43]dddd,ddd,mmmm,mmm,mmmmm,m")</f>
        <v/>
      </c>
      <c r="G67">
        <f>TEXT(43952, "[$-43]dddd,ddd,mmmm,mmm,mmmmm,m")</f>
        <v/>
      </c>
      <c r="H67">
        <f>TEXT(43988, "[$-43]dddd,ddd,mmmm,mmm,mmmmm,m")</f>
        <v/>
      </c>
      <c r="I67">
        <f>TEXT(44017, "[$-43]dddd,ddd,mmmm,mmm,mmmmm,m")</f>
        <v/>
      </c>
      <c r="J67">
        <f>TEXT(44046, "[$-43]dddd,ddd,mmmm,mmm,mmmmm,m")</f>
        <v/>
      </c>
      <c r="K67">
        <f>TEXT(44082, "[$-43]dddd,ddd,mmmm,mmm,mmmmm,m")</f>
        <v/>
      </c>
      <c r="L67">
        <f>TEXT(44111, "[$-43]dddd,ddd,mmmm,mmm,mmmmm,m")</f>
        <v/>
      </c>
      <c r="M67">
        <f>TEXT(44140, "[$-43]dddd,ddd,mmmm,mmm,mmmmm,m")</f>
        <v/>
      </c>
      <c r="N67">
        <f>TEXT(44169, "[$-43]dddd,ddd,mmmm,mmm,mmmmm,m")</f>
        <v/>
      </c>
      <c r="O67">
        <f>TEXT(44198, "[$-43]dddd,ddd,mmmm,mmm,mmmmm,m")</f>
        <v/>
      </c>
    </row>
    <row r="68">
      <c r="A68" t="inlineStr">
        <is>
          <t>0x44</t>
        </is>
      </c>
      <c r="B68" t="inlineStr">
        <is>
          <t>tt</t>
        </is>
      </c>
      <c r="C68">
        <f>TEXT(43836, "[$-44]dddd,ddd,mmmm,mmm,mmmmm,m")</f>
        <v/>
      </c>
      <c r="D68">
        <f>TEXT(43865, "[$-44]dddd,ddd,mmmm,mmm,mmmmm,m")</f>
        <v/>
      </c>
      <c r="E68">
        <f>TEXT(43894, "[$-44]dddd,ddd,mmmm,mmm,mmmmm,m")</f>
        <v/>
      </c>
      <c r="F68">
        <f>TEXT(43923, "[$-44]dddd,ddd,mmmm,mmm,mmmmm,m")</f>
        <v/>
      </c>
      <c r="G68">
        <f>TEXT(43952, "[$-44]dddd,ddd,mmmm,mmm,mmmmm,m")</f>
        <v/>
      </c>
      <c r="H68">
        <f>TEXT(43988, "[$-44]dddd,ddd,mmmm,mmm,mmmmm,m")</f>
        <v/>
      </c>
      <c r="I68">
        <f>TEXT(44017, "[$-44]dddd,ddd,mmmm,mmm,mmmmm,m")</f>
        <v/>
      </c>
      <c r="J68">
        <f>TEXT(44046, "[$-44]dddd,ddd,mmmm,mmm,mmmmm,m")</f>
        <v/>
      </c>
      <c r="K68">
        <f>TEXT(44082, "[$-44]dddd,ddd,mmmm,mmm,mmmmm,m")</f>
        <v/>
      </c>
      <c r="L68">
        <f>TEXT(44111, "[$-44]dddd,ddd,mmmm,mmm,mmmmm,m")</f>
        <v/>
      </c>
      <c r="M68">
        <f>TEXT(44140, "[$-44]dddd,ddd,mmmm,mmm,mmmmm,m")</f>
        <v/>
      </c>
      <c r="N68">
        <f>TEXT(44169, "[$-44]dddd,ddd,mmmm,mmm,mmmmm,m")</f>
        <v/>
      </c>
      <c r="O68">
        <f>TEXT(44198, "[$-44]dddd,ddd,mmmm,mmm,mmmmm,m")</f>
        <v/>
      </c>
    </row>
    <row r="69">
      <c r="A69" t="inlineStr">
        <is>
          <t>0x5000045</t>
        </is>
      </c>
      <c r="B69" t="inlineStr">
        <is>
          <t>bn</t>
        </is>
      </c>
      <c r="C69">
        <f>TEXT(43836, "[$-5000045]dddd,ddd,mmmm,mmm,mmmmm,m")</f>
        <v/>
      </c>
      <c r="D69">
        <f>TEXT(43865, "[$-5000045]dddd,ddd,mmmm,mmm,mmmmm,m")</f>
        <v/>
      </c>
      <c r="E69">
        <f>TEXT(43894, "[$-5000045]dddd,ddd,mmmm,mmm,mmmmm,m")</f>
        <v/>
      </c>
      <c r="F69">
        <f>TEXT(43923, "[$-5000045]dddd,ddd,mmmm,mmm,mmmmm,m")</f>
        <v/>
      </c>
      <c r="G69">
        <f>TEXT(43952, "[$-5000045]dddd,ddd,mmmm,mmm,mmmmm,m")</f>
        <v/>
      </c>
      <c r="H69">
        <f>TEXT(43988, "[$-5000045]dddd,ddd,mmmm,mmm,mmmmm,m")</f>
        <v/>
      </c>
      <c r="I69">
        <f>TEXT(44017, "[$-5000045]dddd,ddd,mmmm,mmm,mmmmm,m")</f>
        <v/>
      </c>
      <c r="J69">
        <f>TEXT(44046, "[$-5000045]dddd,ddd,mmmm,mmm,mmmmm,m")</f>
        <v/>
      </c>
      <c r="K69">
        <f>TEXT(44082, "[$-5000045]dddd,ddd,mmmm,mmm,mmmmm,m")</f>
        <v/>
      </c>
      <c r="L69">
        <f>TEXT(44111, "[$-5000045]dddd,ddd,mmmm,mmm,mmmmm,m")</f>
        <v/>
      </c>
      <c r="M69">
        <f>TEXT(44140, "[$-5000045]dddd,ddd,mmmm,mmm,mmmmm,m")</f>
        <v/>
      </c>
      <c r="N69">
        <f>TEXT(44169, "[$-5000045]dddd,ddd,mmmm,mmm,mmmmm,m")</f>
        <v/>
      </c>
      <c r="O69">
        <f>TEXT(44198, "[$-5000045]dddd,ddd,mmmm,mmm,mmmmm,m")</f>
        <v/>
      </c>
    </row>
    <row r="70">
      <c r="A70" t="inlineStr">
        <is>
          <t>0x46</t>
        </is>
      </c>
      <c r="B70" t="inlineStr">
        <is>
          <t>pa</t>
        </is>
      </c>
      <c r="C70">
        <f>TEXT(43836, "[$-46]dddd,ddd,mmmm,mmm,mmmmm,m")</f>
        <v/>
      </c>
      <c r="D70">
        <f>TEXT(43865, "[$-46]dddd,ddd,mmmm,mmm,mmmmm,m")</f>
        <v/>
      </c>
      <c r="E70">
        <f>TEXT(43894, "[$-46]dddd,ddd,mmmm,mmm,mmmmm,m")</f>
        <v/>
      </c>
      <c r="F70">
        <f>TEXT(43923, "[$-46]dddd,ddd,mmmm,mmm,mmmmm,m")</f>
        <v/>
      </c>
      <c r="G70">
        <f>TEXT(43952, "[$-46]dddd,ddd,mmmm,mmm,mmmmm,m")</f>
        <v/>
      </c>
      <c r="H70">
        <f>TEXT(43988, "[$-46]dddd,ddd,mmmm,mmm,mmmmm,m")</f>
        <v/>
      </c>
      <c r="I70">
        <f>TEXT(44017, "[$-46]dddd,ddd,mmmm,mmm,mmmmm,m")</f>
        <v/>
      </c>
      <c r="J70">
        <f>TEXT(44046, "[$-46]dddd,ddd,mmmm,mmm,mmmmm,m")</f>
        <v/>
      </c>
      <c r="K70">
        <f>TEXT(44082, "[$-46]dddd,ddd,mmmm,mmm,mmmmm,m")</f>
        <v/>
      </c>
      <c r="L70">
        <f>TEXT(44111, "[$-46]dddd,ddd,mmmm,mmm,mmmmm,m")</f>
        <v/>
      </c>
      <c r="M70">
        <f>TEXT(44140, "[$-46]dddd,ddd,mmmm,mmm,mmmmm,m")</f>
        <v/>
      </c>
      <c r="N70">
        <f>TEXT(44169, "[$-46]dddd,ddd,mmmm,mmm,mmmmm,m")</f>
        <v/>
      </c>
      <c r="O70">
        <f>TEXT(44198, "[$-46]dddd,ddd,mmmm,mmm,mmmmm,m")</f>
        <v/>
      </c>
    </row>
    <row r="71">
      <c r="A71" t="inlineStr">
        <is>
          <t>0x7000047</t>
        </is>
      </c>
      <c r="B71" t="inlineStr">
        <is>
          <t>gu</t>
        </is>
      </c>
      <c r="C71">
        <f>TEXT(43836, "[$-7000047]dddd,ddd,mmmm,mmm,mmmmm,m")</f>
        <v/>
      </c>
      <c r="D71">
        <f>TEXT(43865, "[$-7000047]dddd,ddd,mmmm,mmm,mmmmm,m")</f>
        <v/>
      </c>
      <c r="E71">
        <f>TEXT(43894, "[$-7000047]dddd,ddd,mmmm,mmm,mmmmm,m")</f>
        <v/>
      </c>
      <c r="F71">
        <f>TEXT(43923, "[$-7000047]dddd,ddd,mmmm,mmm,mmmmm,m")</f>
        <v/>
      </c>
      <c r="G71">
        <f>TEXT(43952, "[$-7000047]dddd,ddd,mmmm,mmm,mmmmm,m")</f>
        <v/>
      </c>
      <c r="H71">
        <f>TEXT(43988, "[$-7000047]dddd,ddd,mmmm,mmm,mmmmm,m")</f>
        <v/>
      </c>
      <c r="I71">
        <f>TEXT(44017, "[$-7000047]dddd,ddd,mmmm,mmm,mmmmm,m")</f>
        <v/>
      </c>
      <c r="J71">
        <f>TEXT(44046, "[$-7000047]dddd,ddd,mmmm,mmm,mmmmm,m")</f>
        <v/>
      </c>
      <c r="K71">
        <f>TEXT(44082, "[$-7000047]dddd,ddd,mmmm,mmm,mmmmm,m")</f>
        <v/>
      </c>
      <c r="L71">
        <f>TEXT(44111, "[$-7000047]dddd,ddd,mmmm,mmm,mmmmm,m")</f>
        <v/>
      </c>
      <c r="M71">
        <f>TEXT(44140, "[$-7000047]dddd,ddd,mmmm,mmm,mmmmm,m")</f>
        <v/>
      </c>
      <c r="N71">
        <f>TEXT(44169, "[$-7000047]dddd,ddd,mmmm,mmm,mmmmm,m")</f>
        <v/>
      </c>
      <c r="O71">
        <f>TEXT(44198, "[$-7000047]dddd,ddd,mmmm,mmm,mmmmm,m")</f>
        <v/>
      </c>
    </row>
    <row r="72">
      <c r="A72" t="inlineStr">
        <is>
          <t>0x8000048</t>
        </is>
      </c>
      <c r="B72" t="inlineStr">
        <is>
          <t>or</t>
        </is>
      </c>
      <c r="C72">
        <f>TEXT(43836, "[$-8000048]dddd,ddd,mmmm,mmm,mmmmm,m")</f>
        <v/>
      </c>
      <c r="D72">
        <f>TEXT(43865, "[$-8000048]dddd,ddd,mmmm,mmm,mmmmm,m")</f>
        <v/>
      </c>
      <c r="E72">
        <f>TEXT(43894, "[$-8000048]dddd,ddd,mmmm,mmm,mmmmm,m")</f>
        <v/>
      </c>
      <c r="F72">
        <f>TEXT(43923, "[$-8000048]dddd,ddd,mmmm,mmm,mmmmm,m")</f>
        <v/>
      </c>
      <c r="G72">
        <f>TEXT(43952, "[$-8000048]dddd,ddd,mmmm,mmm,mmmmm,m")</f>
        <v/>
      </c>
      <c r="H72">
        <f>TEXT(43988, "[$-8000048]dddd,ddd,mmmm,mmm,mmmmm,m")</f>
        <v/>
      </c>
      <c r="I72">
        <f>TEXT(44017, "[$-8000048]dddd,ddd,mmmm,mmm,mmmmm,m")</f>
        <v/>
      </c>
      <c r="J72">
        <f>TEXT(44046, "[$-8000048]dddd,ddd,mmmm,mmm,mmmmm,m")</f>
        <v/>
      </c>
      <c r="K72">
        <f>TEXT(44082, "[$-8000048]dddd,ddd,mmmm,mmm,mmmmm,m")</f>
        <v/>
      </c>
      <c r="L72">
        <f>TEXT(44111, "[$-8000048]dddd,ddd,mmmm,mmm,mmmmm,m")</f>
        <v/>
      </c>
      <c r="M72">
        <f>TEXT(44140, "[$-8000048]dddd,ddd,mmmm,mmm,mmmmm,m")</f>
        <v/>
      </c>
      <c r="N72">
        <f>TEXT(44169, "[$-8000048]dddd,ddd,mmmm,mmm,mmmmm,m")</f>
        <v/>
      </c>
      <c r="O72">
        <f>TEXT(44198, "[$-8000048]dddd,ddd,mmmm,mmm,mmmmm,m")</f>
        <v/>
      </c>
    </row>
    <row r="73">
      <c r="A73" t="inlineStr">
        <is>
          <t>0x9000049</t>
        </is>
      </c>
      <c r="B73" t="inlineStr">
        <is>
          <t>ta</t>
        </is>
      </c>
      <c r="C73">
        <f>TEXT(43836, "[$-9000049]dddd,ddd,mmmm,mmm,mmmmm,m")</f>
        <v/>
      </c>
      <c r="D73">
        <f>TEXT(43865, "[$-9000049]dddd,ddd,mmmm,mmm,mmmmm,m")</f>
        <v/>
      </c>
      <c r="E73">
        <f>TEXT(43894, "[$-9000049]dddd,ddd,mmmm,mmm,mmmmm,m")</f>
        <v/>
      </c>
      <c r="F73">
        <f>TEXT(43923, "[$-9000049]dddd,ddd,mmmm,mmm,mmmmm,m")</f>
        <v/>
      </c>
      <c r="G73">
        <f>TEXT(43952, "[$-9000049]dddd,ddd,mmmm,mmm,mmmmm,m")</f>
        <v/>
      </c>
      <c r="H73">
        <f>TEXT(43988, "[$-9000049]dddd,ddd,mmmm,mmm,mmmmm,m")</f>
        <v/>
      </c>
      <c r="I73">
        <f>TEXT(44017, "[$-9000049]dddd,ddd,mmmm,mmm,mmmmm,m")</f>
        <v/>
      </c>
      <c r="J73">
        <f>TEXT(44046, "[$-9000049]dddd,ddd,mmmm,mmm,mmmmm,m")</f>
        <v/>
      </c>
      <c r="K73">
        <f>TEXT(44082, "[$-9000049]dddd,ddd,mmmm,mmm,mmmmm,m")</f>
        <v/>
      </c>
      <c r="L73">
        <f>TEXT(44111, "[$-9000049]dddd,ddd,mmmm,mmm,mmmmm,m")</f>
        <v/>
      </c>
      <c r="M73">
        <f>TEXT(44140, "[$-9000049]dddd,ddd,mmmm,mmm,mmmmm,m")</f>
        <v/>
      </c>
      <c r="N73">
        <f>TEXT(44169, "[$-9000049]dddd,ddd,mmmm,mmm,mmmmm,m")</f>
        <v/>
      </c>
      <c r="O73">
        <f>TEXT(44198, "[$-9000049]dddd,ddd,mmmm,mmm,mmmmm,m")</f>
        <v/>
      </c>
    </row>
    <row r="74">
      <c r="A74" t="inlineStr">
        <is>
          <t>0xA00004A</t>
        </is>
      </c>
      <c r="B74" t="inlineStr">
        <is>
          <t>te</t>
        </is>
      </c>
      <c r="C74">
        <f>TEXT(43836, "[$-A00004A]dddd,ddd,mmmm,mmm,mmmmm,m")</f>
        <v/>
      </c>
      <c r="D74">
        <f>TEXT(43865, "[$-A00004A]dddd,ddd,mmmm,mmm,mmmmm,m")</f>
        <v/>
      </c>
      <c r="E74">
        <f>TEXT(43894, "[$-A00004A]dddd,ddd,mmmm,mmm,mmmmm,m")</f>
        <v/>
      </c>
      <c r="F74">
        <f>TEXT(43923, "[$-A00004A]dddd,ddd,mmmm,mmm,mmmmm,m")</f>
        <v/>
      </c>
      <c r="G74">
        <f>TEXT(43952, "[$-A00004A]dddd,ddd,mmmm,mmm,mmmmm,m")</f>
        <v/>
      </c>
      <c r="H74">
        <f>TEXT(43988, "[$-A00004A]dddd,ddd,mmmm,mmm,mmmmm,m")</f>
        <v/>
      </c>
      <c r="I74">
        <f>TEXT(44017, "[$-A00004A]dddd,ddd,mmmm,mmm,mmmmm,m")</f>
        <v/>
      </c>
      <c r="J74">
        <f>TEXT(44046, "[$-A00004A]dddd,ddd,mmmm,mmm,mmmmm,m")</f>
        <v/>
      </c>
      <c r="K74">
        <f>TEXT(44082, "[$-A00004A]dddd,ddd,mmmm,mmm,mmmmm,m")</f>
        <v/>
      </c>
      <c r="L74">
        <f>TEXT(44111, "[$-A00004A]dddd,ddd,mmmm,mmm,mmmmm,m")</f>
        <v/>
      </c>
      <c r="M74">
        <f>TEXT(44140, "[$-A00004A]dddd,ddd,mmmm,mmm,mmmmm,m")</f>
        <v/>
      </c>
      <c r="N74">
        <f>TEXT(44169, "[$-A00004A]dddd,ddd,mmmm,mmm,mmmmm,m")</f>
        <v/>
      </c>
      <c r="O74">
        <f>TEXT(44198, "[$-A00004A]dddd,ddd,mmmm,mmm,mmmmm,m")</f>
        <v/>
      </c>
    </row>
    <row r="75">
      <c r="A75" t="inlineStr">
        <is>
          <t>0xB00004B</t>
        </is>
      </c>
      <c r="B75" t="inlineStr">
        <is>
          <t>kn</t>
        </is>
      </c>
      <c r="C75">
        <f>TEXT(43836, "[$-B00004B]dddd,ddd,mmmm,mmm,mmmmm,m")</f>
        <v/>
      </c>
      <c r="D75">
        <f>TEXT(43865, "[$-B00004B]dddd,ddd,mmmm,mmm,mmmmm,m")</f>
        <v/>
      </c>
      <c r="E75">
        <f>TEXT(43894, "[$-B00004B]dddd,ddd,mmmm,mmm,mmmmm,m")</f>
        <v/>
      </c>
      <c r="F75">
        <f>TEXT(43923, "[$-B00004B]dddd,ddd,mmmm,mmm,mmmmm,m")</f>
        <v/>
      </c>
      <c r="G75">
        <f>TEXT(43952, "[$-B00004B]dddd,ddd,mmmm,mmm,mmmmm,m")</f>
        <v/>
      </c>
      <c r="H75">
        <f>TEXT(43988, "[$-B00004B]dddd,ddd,mmmm,mmm,mmmmm,m")</f>
        <v/>
      </c>
      <c r="I75">
        <f>TEXT(44017, "[$-B00004B]dddd,ddd,mmmm,mmm,mmmmm,m")</f>
        <v/>
      </c>
      <c r="J75">
        <f>TEXT(44046, "[$-B00004B]dddd,ddd,mmmm,mmm,mmmmm,m")</f>
        <v/>
      </c>
      <c r="K75">
        <f>TEXT(44082, "[$-B00004B]dddd,ddd,mmmm,mmm,mmmmm,m")</f>
        <v/>
      </c>
      <c r="L75">
        <f>TEXT(44111, "[$-B00004B]dddd,ddd,mmmm,mmm,mmmmm,m")</f>
        <v/>
      </c>
      <c r="M75">
        <f>TEXT(44140, "[$-B00004B]dddd,ddd,mmmm,mmm,mmmmm,m")</f>
        <v/>
      </c>
      <c r="N75">
        <f>TEXT(44169, "[$-B00004B]dddd,ddd,mmmm,mmm,mmmmm,m")</f>
        <v/>
      </c>
      <c r="O75">
        <f>TEXT(44198, "[$-B00004B]dddd,ddd,mmmm,mmm,mmmmm,m")</f>
        <v/>
      </c>
    </row>
    <row r="76">
      <c r="A76" t="inlineStr">
        <is>
          <t>0xC00004C</t>
        </is>
      </c>
      <c r="B76" t="inlineStr">
        <is>
          <t>ml</t>
        </is>
      </c>
      <c r="C76">
        <f>TEXT(43836, "[$-C00004C]dddd,ddd,mmmm,mmm,mmmmm,m")</f>
        <v/>
      </c>
      <c r="D76">
        <f>TEXT(43865, "[$-C00004C]dddd,ddd,mmmm,mmm,mmmmm,m")</f>
        <v/>
      </c>
      <c r="E76">
        <f>TEXT(43894, "[$-C00004C]dddd,ddd,mmmm,mmm,mmmmm,m")</f>
        <v/>
      </c>
      <c r="F76">
        <f>TEXT(43923, "[$-C00004C]dddd,ddd,mmmm,mmm,mmmmm,m")</f>
        <v/>
      </c>
      <c r="G76">
        <f>TEXT(43952, "[$-C00004C]dddd,ddd,mmmm,mmm,mmmmm,m")</f>
        <v/>
      </c>
      <c r="H76">
        <f>TEXT(43988, "[$-C00004C]dddd,ddd,mmmm,mmm,mmmmm,m")</f>
        <v/>
      </c>
      <c r="I76">
        <f>TEXT(44017, "[$-C00004C]dddd,ddd,mmmm,mmm,mmmmm,m")</f>
        <v/>
      </c>
      <c r="J76">
        <f>TEXT(44046, "[$-C00004C]dddd,ddd,mmmm,mmm,mmmmm,m")</f>
        <v/>
      </c>
      <c r="K76">
        <f>TEXT(44082, "[$-C00004C]dddd,ddd,mmmm,mmm,mmmmm,m")</f>
        <v/>
      </c>
      <c r="L76">
        <f>TEXT(44111, "[$-C00004C]dddd,ddd,mmmm,mmm,mmmmm,m")</f>
        <v/>
      </c>
      <c r="M76">
        <f>TEXT(44140, "[$-C00004C]dddd,ddd,mmmm,mmm,mmmmm,m")</f>
        <v/>
      </c>
      <c r="N76">
        <f>TEXT(44169, "[$-C00004C]dddd,ddd,mmmm,mmm,mmmmm,m")</f>
        <v/>
      </c>
      <c r="O76">
        <f>TEXT(44198, "[$-C00004C]dddd,ddd,mmmm,mmm,mmmmm,m")</f>
        <v/>
      </c>
    </row>
    <row r="77">
      <c r="A77" t="inlineStr">
        <is>
          <t>0x4D</t>
        </is>
      </c>
      <c r="B77" t="inlineStr">
        <is>
          <t>as</t>
        </is>
      </c>
      <c r="C77">
        <f>TEXT(43836, "[$-4D]dddd,ddd,mmmm,mmm,mmmmm,m")</f>
        <v/>
      </c>
      <c r="D77">
        <f>TEXT(43865, "[$-4D]dddd,ddd,mmmm,mmm,mmmmm,m")</f>
        <v/>
      </c>
      <c r="E77">
        <f>TEXT(43894, "[$-4D]dddd,ddd,mmmm,mmm,mmmmm,m")</f>
        <v/>
      </c>
      <c r="F77">
        <f>TEXT(43923, "[$-4D]dddd,ddd,mmmm,mmm,mmmmm,m")</f>
        <v/>
      </c>
      <c r="G77">
        <f>TEXT(43952, "[$-4D]dddd,ddd,mmmm,mmm,mmmmm,m")</f>
        <v/>
      </c>
      <c r="H77">
        <f>TEXT(43988, "[$-4D]dddd,ddd,mmmm,mmm,mmmmm,m")</f>
        <v/>
      </c>
      <c r="I77">
        <f>TEXT(44017, "[$-4D]dddd,ddd,mmmm,mmm,mmmmm,m")</f>
        <v/>
      </c>
      <c r="J77">
        <f>TEXT(44046, "[$-4D]dddd,ddd,mmmm,mmm,mmmmm,m")</f>
        <v/>
      </c>
      <c r="K77">
        <f>TEXT(44082, "[$-4D]dddd,ddd,mmmm,mmm,mmmmm,m")</f>
        <v/>
      </c>
      <c r="L77">
        <f>TEXT(44111, "[$-4D]dddd,ddd,mmmm,mmm,mmmmm,m")</f>
        <v/>
      </c>
      <c r="M77">
        <f>TEXT(44140, "[$-4D]dddd,ddd,mmmm,mmm,mmmmm,m")</f>
        <v/>
      </c>
      <c r="N77">
        <f>TEXT(44169, "[$-4D]dddd,ddd,mmmm,mmm,mmmmm,m")</f>
        <v/>
      </c>
      <c r="O77">
        <f>TEXT(44198, "[$-4D]dddd,ddd,mmmm,mmm,mmmmm,m")</f>
        <v/>
      </c>
    </row>
    <row r="78">
      <c r="A78" t="inlineStr">
        <is>
          <t>0x4E</t>
        </is>
      </c>
      <c r="B78" t="inlineStr">
        <is>
          <t>mr</t>
        </is>
      </c>
      <c r="C78">
        <f>TEXT(43836, "[$-4E]dddd,ddd,mmmm,mmm,mmmmm,m")</f>
        <v/>
      </c>
      <c r="D78">
        <f>TEXT(43865, "[$-4E]dddd,ddd,mmmm,mmm,mmmmm,m")</f>
        <v/>
      </c>
      <c r="E78">
        <f>TEXT(43894, "[$-4E]dddd,ddd,mmmm,mmm,mmmmm,m")</f>
        <v/>
      </c>
      <c r="F78">
        <f>TEXT(43923, "[$-4E]dddd,ddd,mmmm,mmm,mmmmm,m")</f>
        <v/>
      </c>
      <c r="G78">
        <f>TEXT(43952, "[$-4E]dddd,ddd,mmmm,mmm,mmmmm,m")</f>
        <v/>
      </c>
      <c r="H78">
        <f>TEXT(43988, "[$-4E]dddd,ddd,mmmm,mmm,mmmmm,m")</f>
        <v/>
      </c>
      <c r="I78">
        <f>TEXT(44017, "[$-4E]dddd,ddd,mmmm,mmm,mmmmm,m")</f>
        <v/>
      </c>
      <c r="J78">
        <f>TEXT(44046, "[$-4E]dddd,ddd,mmmm,mmm,mmmmm,m")</f>
        <v/>
      </c>
      <c r="K78">
        <f>TEXT(44082, "[$-4E]dddd,ddd,mmmm,mmm,mmmmm,m")</f>
        <v/>
      </c>
      <c r="L78">
        <f>TEXT(44111, "[$-4E]dddd,ddd,mmmm,mmm,mmmmm,m")</f>
        <v/>
      </c>
      <c r="M78">
        <f>TEXT(44140, "[$-4E]dddd,ddd,mmmm,mmm,mmmmm,m")</f>
        <v/>
      </c>
      <c r="N78">
        <f>TEXT(44169, "[$-4E]dddd,ddd,mmmm,mmm,mmmmm,m")</f>
        <v/>
      </c>
      <c r="O78">
        <f>TEXT(44198, "[$-4E]dddd,ddd,mmmm,mmm,mmmmm,m")</f>
        <v/>
      </c>
    </row>
    <row r="79">
      <c r="A79" t="inlineStr">
        <is>
          <t>0x400004F</t>
        </is>
      </c>
      <c r="B79" t="inlineStr">
        <is>
          <t>sa</t>
        </is>
      </c>
      <c r="C79">
        <f>TEXT(43836, "[$-400004F]dddd,ddd,mmmm,mmm,mmmmm,m")</f>
        <v/>
      </c>
      <c r="D79">
        <f>TEXT(43865, "[$-400004F]dddd,ddd,mmmm,mmm,mmmmm,m")</f>
        <v/>
      </c>
      <c r="E79">
        <f>TEXT(43894, "[$-400004F]dddd,ddd,mmmm,mmm,mmmmm,m")</f>
        <v/>
      </c>
      <c r="F79">
        <f>TEXT(43923, "[$-400004F]dddd,ddd,mmmm,mmm,mmmmm,m")</f>
        <v/>
      </c>
      <c r="G79">
        <f>TEXT(43952, "[$-400004F]dddd,ddd,mmmm,mmm,mmmmm,m")</f>
        <v/>
      </c>
      <c r="H79">
        <f>TEXT(43988, "[$-400004F]dddd,ddd,mmmm,mmm,mmmmm,m")</f>
        <v/>
      </c>
      <c r="I79">
        <f>TEXT(44017, "[$-400004F]dddd,ddd,mmmm,mmm,mmmmm,m")</f>
        <v/>
      </c>
      <c r="J79">
        <f>TEXT(44046, "[$-400004F]dddd,ddd,mmmm,mmm,mmmmm,m")</f>
        <v/>
      </c>
      <c r="K79">
        <f>TEXT(44082, "[$-400004F]dddd,ddd,mmmm,mmm,mmmmm,m")</f>
        <v/>
      </c>
      <c r="L79">
        <f>TEXT(44111, "[$-400004F]dddd,ddd,mmmm,mmm,mmmmm,m")</f>
        <v/>
      </c>
      <c r="M79">
        <f>TEXT(44140, "[$-400004F]dddd,ddd,mmmm,mmm,mmmmm,m")</f>
        <v/>
      </c>
      <c r="N79">
        <f>TEXT(44169, "[$-400004F]dddd,ddd,mmmm,mmm,mmmmm,m")</f>
        <v/>
      </c>
      <c r="O79">
        <f>TEXT(44198, "[$-400004F]dddd,ddd,mmmm,mmm,mmmmm,m")</f>
        <v/>
      </c>
    </row>
    <row r="80">
      <c r="A80" t="inlineStr">
        <is>
          <t>0x13000050</t>
        </is>
      </c>
      <c r="B80" t="inlineStr">
        <is>
          <t>mn</t>
        </is>
      </c>
      <c r="C80">
        <f>TEXT(43836, "[$-13000050]dddd,ddd,mmmm,mmm,mmmmm,m")</f>
        <v/>
      </c>
      <c r="D80">
        <f>TEXT(43865, "[$-13000050]dddd,ddd,mmmm,mmm,mmmmm,m")</f>
        <v/>
      </c>
      <c r="E80">
        <f>TEXT(43894, "[$-13000050]dddd,ddd,mmmm,mmm,mmmmm,m")</f>
        <v/>
      </c>
      <c r="F80">
        <f>TEXT(43923, "[$-13000050]dddd,ddd,mmmm,mmm,mmmmm,m")</f>
        <v/>
      </c>
      <c r="G80">
        <f>TEXT(43952, "[$-13000050]dddd,ddd,mmmm,mmm,mmmmm,m")</f>
        <v/>
      </c>
      <c r="H80">
        <f>TEXT(43988, "[$-13000050]dddd,ddd,mmmm,mmm,mmmmm,m")</f>
        <v/>
      </c>
      <c r="I80">
        <f>TEXT(44017, "[$-13000050]dddd,ddd,mmmm,mmm,mmmmm,m")</f>
        <v/>
      </c>
      <c r="J80">
        <f>TEXT(44046, "[$-13000050]dddd,ddd,mmmm,mmm,mmmmm,m")</f>
        <v/>
      </c>
      <c r="K80">
        <f>TEXT(44082, "[$-13000050]dddd,ddd,mmmm,mmm,mmmmm,m")</f>
        <v/>
      </c>
      <c r="L80">
        <f>TEXT(44111, "[$-13000050]dddd,ddd,mmmm,mmm,mmmmm,m")</f>
        <v/>
      </c>
      <c r="M80">
        <f>TEXT(44140, "[$-13000050]dddd,ddd,mmmm,mmm,mmmmm,m")</f>
        <v/>
      </c>
      <c r="N80">
        <f>TEXT(44169, "[$-13000050]dddd,ddd,mmmm,mmm,mmmmm,m")</f>
        <v/>
      </c>
      <c r="O80">
        <f>TEXT(44198, "[$-13000050]dddd,ddd,mmmm,mmm,mmmmm,m")</f>
        <v/>
      </c>
    </row>
    <row r="81">
      <c r="A81" t="inlineStr">
        <is>
          <t>0xF000051</t>
        </is>
      </c>
      <c r="B81" t="inlineStr">
        <is>
          <t>bo</t>
        </is>
      </c>
      <c r="C81">
        <f>TEXT(43836, "[$-F000051]dddd,ddd,mmmm,mmm,mmmmm,m")</f>
        <v/>
      </c>
      <c r="D81">
        <f>TEXT(43865, "[$-F000051]dddd,ddd,mmmm,mmm,mmmmm,m")</f>
        <v/>
      </c>
      <c r="E81">
        <f>TEXT(43894, "[$-F000051]dddd,ddd,mmmm,mmm,mmmmm,m")</f>
        <v/>
      </c>
      <c r="F81">
        <f>TEXT(43923, "[$-F000051]dddd,ddd,mmmm,mmm,mmmmm,m")</f>
        <v/>
      </c>
      <c r="G81">
        <f>TEXT(43952, "[$-F000051]dddd,ddd,mmmm,mmm,mmmmm,m")</f>
        <v/>
      </c>
      <c r="H81">
        <f>TEXT(43988, "[$-F000051]dddd,ddd,mmmm,mmm,mmmmm,m")</f>
        <v/>
      </c>
      <c r="I81">
        <f>TEXT(44017, "[$-F000051]dddd,ddd,mmmm,mmm,mmmmm,m")</f>
        <v/>
      </c>
      <c r="J81">
        <f>TEXT(44046, "[$-F000051]dddd,ddd,mmmm,mmm,mmmmm,m")</f>
        <v/>
      </c>
      <c r="K81">
        <f>TEXT(44082, "[$-F000051]dddd,ddd,mmmm,mmm,mmmmm,m")</f>
        <v/>
      </c>
      <c r="L81">
        <f>TEXT(44111, "[$-F000051]dddd,ddd,mmmm,mmm,mmmmm,m")</f>
        <v/>
      </c>
      <c r="M81">
        <f>TEXT(44140, "[$-F000051]dddd,ddd,mmmm,mmm,mmmmm,m")</f>
        <v/>
      </c>
      <c r="N81">
        <f>TEXT(44169, "[$-F000051]dddd,ddd,mmmm,mmm,mmmmm,m")</f>
        <v/>
      </c>
      <c r="O81">
        <f>TEXT(44198, "[$-F000051]dddd,ddd,mmmm,mmm,mmmmm,m")</f>
        <v/>
      </c>
    </row>
    <row r="82">
      <c r="A82" t="inlineStr">
        <is>
          <t>0x52</t>
        </is>
      </c>
      <c r="B82" t="inlineStr">
        <is>
          <t>cy</t>
        </is>
      </c>
      <c r="C82">
        <f>TEXT(43836, "[$-52]dddd,ddd,mmmm,mmm,mmmmm,m")</f>
        <v/>
      </c>
      <c r="D82">
        <f>TEXT(43865, "[$-52]dddd,ddd,mmmm,mmm,mmmmm,m")</f>
        <v/>
      </c>
      <c r="E82">
        <f>TEXT(43894, "[$-52]dddd,ddd,mmmm,mmm,mmmmm,m")</f>
        <v/>
      </c>
      <c r="F82">
        <f>TEXT(43923, "[$-52]dddd,ddd,mmmm,mmm,mmmmm,m")</f>
        <v/>
      </c>
      <c r="G82">
        <f>TEXT(43952, "[$-52]dddd,ddd,mmmm,mmm,mmmmm,m")</f>
        <v/>
      </c>
      <c r="H82">
        <f>TEXT(43988, "[$-52]dddd,ddd,mmmm,mmm,mmmmm,m")</f>
        <v/>
      </c>
      <c r="I82">
        <f>TEXT(44017, "[$-52]dddd,ddd,mmmm,mmm,mmmmm,m")</f>
        <v/>
      </c>
      <c r="J82">
        <f>TEXT(44046, "[$-52]dddd,ddd,mmmm,mmm,mmmmm,m")</f>
        <v/>
      </c>
      <c r="K82">
        <f>TEXT(44082, "[$-52]dddd,ddd,mmmm,mmm,mmmmm,m")</f>
        <v/>
      </c>
      <c r="L82">
        <f>TEXT(44111, "[$-52]dddd,ddd,mmmm,mmm,mmmmm,m")</f>
        <v/>
      </c>
      <c r="M82">
        <f>TEXT(44140, "[$-52]dddd,ddd,mmmm,mmm,mmmmm,m")</f>
        <v/>
      </c>
      <c r="N82">
        <f>TEXT(44169, "[$-52]dddd,ddd,mmmm,mmm,mmmmm,m")</f>
        <v/>
      </c>
      <c r="O82">
        <f>TEXT(44198, "[$-52]dddd,ddd,mmmm,mmm,mmmmm,m")</f>
        <v/>
      </c>
    </row>
    <row r="83">
      <c r="A83" t="inlineStr">
        <is>
          <t>0x12000053</t>
        </is>
      </c>
      <c r="B83" t="inlineStr">
        <is>
          <t>km</t>
        </is>
      </c>
      <c r="C83">
        <f>TEXT(43836, "[$-12000053]dddd,ddd,mmmm,mmm,mmmmm,m")</f>
        <v/>
      </c>
      <c r="D83">
        <f>TEXT(43865, "[$-12000053]dddd,ddd,mmmm,mmm,mmmmm,m")</f>
        <v/>
      </c>
      <c r="E83">
        <f>TEXT(43894, "[$-12000053]dddd,ddd,mmmm,mmm,mmmmm,m")</f>
        <v/>
      </c>
      <c r="F83">
        <f>TEXT(43923, "[$-12000053]dddd,ddd,mmmm,mmm,mmmmm,m")</f>
        <v/>
      </c>
      <c r="G83">
        <f>TEXT(43952, "[$-12000053]dddd,ddd,mmmm,mmm,mmmmm,m")</f>
        <v/>
      </c>
      <c r="H83">
        <f>TEXT(43988, "[$-12000053]dddd,ddd,mmmm,mmm,mmmmm,m")</f>
        <v/>
      </c>
      <c r="I83">
        <f>TEXT(44017, "[$-12000053]dddd,ddd,mmmm,mmm,mmmmm,m")</f>
        <v/>
      </c>
      <c r="J83">
        <f>TEXT(44046, "[$-12000053]dddd,ddd,mmmm,mmm,mmmmm,m")</f>
        <v/>
      </c>
      <c r="K83">
        <f>TEXT(44082, "[$-12000053]dddd,ddd,mmmm,mmm,mmmmm,m")</f>
        <v/>
      </c>
      <c r="L83">
        <f>TEXT(44111, "[$-12000053]dddd,ddd,mmmm,mmm,mmmmm,m")</f>
        <v/>
      </c>
      <c r="M83">
        <f>TEXT(44140, "[$-12000053]dddd,ddd,mmmm,mmm,mmmmm,m")</f>
        <v/>
      </c>
      <c r="N83">
        <f>TEXT(44169, "[$-12000053]dddd,ddd,mmmm,mmm,mmmmm,m")</f>
        <v/>
      </c>
      <c r="O83">
        <f>TEXT(44198, "[$-12000053]dddd,ddd,mmmm,mmm,mmmmm,m")</f>
        <v/>
      </c>
    </row>
    <row r="84">
      <c r="A84" t="inlineStr">
        <is>
          <t>0xE000054</t>
        </is>
      </c>
      <c r="B84" t="inlineStr">
        <is>
          <t>lo</t>
        </is>
      </c>
      <c r="C84">
        <f>TEXT(43836, "[$-E000054]dddd,ddd,mmmm,mmm,mmmmm,m")</f>
        <v/>
      </c>
      <c r="D84">
        <f>TEXT(43865, "[$-E000054]dddd,ddd,mmmm,mmm,mmmmm,m")</f>
        <v/>
      </c>
      <c r="E84">
        <f>TEXT(43894, "[$-E000054]dddd,ddd,mmmm,mmm,mmmmm,m")</f>
        <v/>
      </c>
      <c r="F84">
        <f>TEXT(43923, "[$-E000054]dddd,ddd,mmmm,mmm,mmmmm,m")</f>
        <v/>
      </c>
      <c r="G84">
        <f>TEXT(43952, "[$-E000054]dddd,ddd,mmmm,mmm,mmmmm,m")</f>
        <v/>
      </c>
      <c r="H84">
        <f>TEXT(43988, "[$-E000054]dddd,ddd,mmmm,mmm,mmmmm,m")</f>
        <v/>
      </c>
      <c r="I84">
        <f>TEXT(44017, "[$-E000054]dddd,ddd,mmmm,mmm,mmmmm,m")</f>
        <v/>
      </c>
      <c r="J84">
        <f>TEXT(44046, "[$-E000054]dddd,ddd,mmmm,mmm,mmmmm,m")</f>
        <v/>
      </c>
      <c r="K84">
        <f>TEXT(44082, "[$-E000054]dddd,ddd,mmmm,mmm,mmmmm,m")</f>
        <v/>
      </c>
      <c r="L84">
        <f>TEXT(44111, "[$-E000054]dddd,ddd,mmmm,mmm,mmmmm,m")</f>
        <v/>
      </c>
      <c r="M84">
        <f>TEXT(44140, "[$-E000054]dddd,ddd,mmmm,mmm,mmmmm,m")</f>
        <v/>
      </c>
      <c r="N84">
        <f>TEXT(44169, "[$-E000054]dddd,ddd,mmmm,mmm,mmmmm,m")</f>
        <v/>
      </c>
      <c r="O84">
        <f>TEXT(44198, "[$-E000054]dddd,ddd,mmmm,mmm,mmmmm,m")</f>
        <v/>
      </c>
    </row>
    <row r="85">
      <c r="A85" t="inlineStr">
        <is>
          <t>0x10000055</t>
        </is>
      </c>
      <c r="B85" t="inlineStr">
        <is>
          <t>my</t>
        </is>
      </c>
      <c r="C85">
        <f>TEXT(43836, "[$-10000055]dddd,ddd,mmmm,mmm,mmmmm,m")</f>
        <v/>
      </c>
      <c r="D85">
        <f>TEXT(43865, "[$-10000055]dddd,ddd,mmmm,mmm,mmmmm,m")</f>
        <v/>
      </c>
      <c r="E85">
        <f>TEXT(43894, "[$-10000055]dddd,ddd,mmmm,mmm,mmmmm,m")</f>
        <v/>
      </c>
      <c r="F85">
        <f>TEXT(43923, "[$-10000055]dddd,ddd,mmmm,mmm,mmmmm,m")</f>
        <v/>
      </c>
      <c r="G85">
        <f>TEXT(43952, "[$-10000055]dddd,ddd,mmmm,mmm,mmmmm,m")</f>
        <v/>
      </c>
      <c r="H85">
        <f>TEXT(43988, "[$-10000055]dddd,ddd,mmmm,mmm,mmmmm,m")</f>
        <v/>
      </c>
      <c r="I85">
        <f>TEXT(44017, "[$-10000055]dddd,ddd,mmmm,mmm,mmmmm,m")</f>
        <v/>
      </c>
      <c r="J85">
        <f>TEXT(44046, "[$-10000055]dddd,ddd,mmmm,mmm,mmmmm,m")</f>
        <v/>
      </c>
      <c r="K85">
        <f>TEXT(44082, "[$-10000055]dddd,ddd,mmmm,mmm,mmmmm,m")</f>
        <v/>
      </c>
      <c r="L85">
        <f>TEXT(44111, "[$-10000055]dddd,ddd,mmmm,mmm,mmmmm,m")</f>
        <v/>
      </c>
      <c r="M85">
        <f>TEXT(44140, "[$-10000055]dddd,ddd,mmmm,mmm,mmmmm,m")</f>
        <v/>
      </c>
      <c r="N85">
        <f>TEXT(44169, "[$-10000055]dddd,ddd,mmmm,mmm,mmmmm,m")</f>
        <v/>
      </c>
      <c r="O85">
        <f>TEXT(44198, "[$-10000055]dddd,ddd,mmmm,mmm,mmmmm,m")</f>
        <v/>
      </c>
    </row>
    <row r="86">
      <c r="A86" t="inlineStr">
        <is>
          <t>0x56</t>
        </is>
      </c>
      <c r="B86" t="inlineStr">
        <is>
          <t>gl</t>
        </is>
      </c>
      <c r="C86">
        <f>TEXT(43836, "[$-56]dddd,ddd,mmmm,mmm,mmmmm,m")</f>
        <v/>
      </c>
      <c r="D86">
        <f>TEXT(43865, "[$-56]dddd,ddd,mmmm,mmm,mmmmm,m")</f>
        <v/>
      </c>
      <c r="E86">
        <f>TEXT(43894, "[$-56]dddd,ddd,mmmm,mmm,mmmmm,m")</f>
        <v/>
      </c>
      <c r="F86">
        <f>TEXT(43923, "[$-56]dddd,ddd,mmmm,mmm,mmmmm,m")</f>
        <v/>
      </c>
      <c r="G86">
        <f>TEXT(43952, "[$-56]dddd,ddd,mmmm,mmm,mmmmm,m")</f>
        <v/>
      </c>
      <c r="H86">
        <f>TEXT(43988, "[$-56]dddd,ddd,mmmm,mmm,mmmmm,m")</f>
        <v/>
      </c>
      <c r="I86">
        <f>TEXT(44017, "[$-56]dddd,ddd,mmmm,mmm,mmmmm,m")</f>
        <v/>
      </c>
      <c r="J86">
        <f>TEXT(44046, "[$-56]dddd,ddd,mmmm,mmm,mmmmm,m")</f>
        <v/>
      </c>
      <c r="K86">
        <f>TEXT(44082, "[$-56]dddd,ddd,mmmm,mmm,mmmmm,m")</f>
        <v/>
      </c>
      <c r="L86">
        <f>TEXT(44111, "[$-56]dddd,ddd,mmmm,mmm,mmmmm,m")</f>
        <v/>
      </c>
      <c r="M86">
        <f>TEXT(44140, "[$-56]dddd,ddd,mmmm,mmm,mmmmm,m")</f>
        <v/>
      </c>
      <c r="N86">
        <f>TEXT(44169, "[$-56]dddd,ddd,mmmm,mmm,mmmmm,m")</f>
        <v/>
      </c>
      <c r="O86">
        <f>TEXT(44198, "[$-56]dddd,ddd,mmmm,mmm,mmmmm,m")</f>
        <v/>
      </c>
    </row>
    <row r="87">
      <c r="A87" t="inlineStr">
        <is>
          <t>0x57</t>
        </is>
      </c>
      <c r="B87" t="inlineStr">
        <is>
          <t>kok</t>
        </is>
      </c>
      <c r="C87">
        <f>TEXT(43836, "[$-57]dddd,ddd,mmmm,mmm,mmmmm,m")</f>
        <v/>
      </c>
      <c r="D87">
        <f>TEXT(43865, "[$-57]dddd,ddd,mmmm,mmm,mmmmm,m")</f>
        <v/>
      </c>
      <c r="E87">
        <f>TEXT(43894, "[$-57]dddd,ddd,mmmm,mmm,mmmmm,m")</f>
        <v/>
      </c>
      <c r="F87">
        <f>TEXT(43923, "[$-57]dddd,ddd,mmmm,mmm,mmmmm,m")</f>
        <v/>
      </c>
      <c r="G87">
        <f>TEXT(43952, "[$-57]dddd,ddd,mmmm,mmm,mmmmm,m")</f>
        <v/>
      </c>
      <c r="H87">
        <f>TEXT(43988, "[$-57]dddd,ddd,mmmm,mmm,mmmmm,m")</f>
        <v/>
      </c>
      <c r="I87">
        <f>TEXT(44017, "[$-57]dddd,ddd,mmmm,mmm,mmmmm,m")</f>
        <v/>
      </c>
      <c r="J87">
        <f>TEXT(44046, "[$-57]dddd,ddd,mmmm,mmm,mmmmm,m")</f>
        <v/>
      </c>
      <c r="K87">
        <f>TEXT(44082, "[$-57]dddd,ddd,mmmm,mmm,mmmmm,m")</f>
        <v/>
      </c>
      <c r="L87">
        <f>TEXT(44111, "[$-57]dddd,ddd,mmmm,mmm,mmmmm,m")</f>
        <v/>
      </c>
      <c r="M87">
        <f>TEXT(44140, "[$-57]dddd,ddd,mmmm,mmm,mmmmm,m")</f>
        <v/>
      </c>
      <c r="N87">
        <f>TEXT(44169, "[$-57]dddd,ddd,mmmm,mmm,mmmmm,m")</f>
        <v/>
      </c>
      <c r="O87">
        <f>TEXT(44198, "[$-57]dddd,ddd,mmmm,mmm,mmmmm,m")</f>
        <v/>
      </c>
    </row>
    <row r="88">
      <c r="A88" t="inlineStr">
        <is>
          <t>0x59</t>
        </is>
      </c>
      <c r="B88" t="inlineStr">
        <is>
          <t>sd</t>
        </is>
      </c>
      <c r="C88">
        <f>TEXT(43836, "[$-59]dddd,ddd,mmmm,mmm,mmmmm,m")</f>
        <v/>
      </c>
      <c r="D88">
        <f>TEXT(43865, "[$-59]dddd,ddd,mmmm,mmm,mmmmm,m")</f>
        <v/>
      </c>
      <c r="E88">
        <f>TEXT(43894, "[$-59]dddd,ddd,mmmm,mmm,mmmmm,m")</f>
        <v/>
      </c>
      <c r="F88">
        <f>TEXT(43923, "[$-59]dddd,ddd,mmmm,mmm,mmmmm,m")</f>
        <v/>
      </c>
      <c r="G88">
        <f>TEXT(43952, "[$-59]dddd,ddd,mmmm,mmm,mmmmm,m")</f>
        <v/>
      </c>
      <c r="H88">
        <f>TEXT(43988, "[$-59]dddd,ddd,mmmm,mmm,mmmmm,m")</f>
        <v/>
      </c>
      <c r="I88">
        <f>TEXT(44017, "[$-59]dddd,ddd,mmmm,mmm,mmmmm,m")</f>
        <v/>
      </c>
      <c r="J88">
        <f>TEXT(44046, "[$-59]dddd,ddd,mmmm,mmm,mmmmm,m")</f>
        <v/>
      </c>
      <c r="K88">
        <f>TEXT(44082, "[$-59]dddd,ddd,mmmm,mmm,mmmmm,m")</f>
        <v/>
      </c>
      <c r="L88">
        <f>TEXT(44111, "[$-59]dddd,ddd,mmmm,mmm,mmmmm,m")</f>
        <v/>
      </c>
      <c r="M88">
        <f>TEXT(44140, "[$-59]dddd,ddd,mmmm,mmm,mmmmm,m")</f>
        <v/>
      </c>
      <c r="N88">
        <f>TEXT(44169, "[$-59]dddd,ddd,mmmm,mmm,mmmmm,m")</f>
        <v/>
      </c>
      <c r="O88">
        <f>TEXT(44198, "[$-59]dddd,ddd,mmmm,mmm,mmmmm,m")</f>
        <v/>
      </c>
    </row>
    <row r="89">
      <c r="A89" t="inlineStr">
        <is>
          <t>0x5A</t>
        </is>
      </c>
      <c r="B89" t="inlineStr">
        <is>
          <t>syr</t>
        </is>
      </c>
      <c r="C89">
        <f>TEXT(43836, "[$-5A]dddd,ddd,mmmm,mmm,mmmmm,m")</f>
        <v/>
      </c>
      <c r="D89">
        <f>TEXT(43865, "[$-5A]dddd,ddd,mmmm,mmm,mmmmm,m")</f>
        <v/>
      </c>
      <c r="E89">
        <f>TEXT(43894, "[$-5A]dddd,ddd,mmmm,mmm,mmmmm,m")</f>
        <v/>
      </c>
      <c r="F89">
        <f>TEXT(43923, "[$-5A]dddd,ddd,mmmm,mmm,mmmmm,m")</f>
        <v/>
      </c>
      <c r="G89">
        <f>TEXT(43952, "[$-5A]dddd,ddd,mmmm,mmm,mmmmm,m")</f>
        <v/>
      </c>
      <c r="H89">
        <f>TEXT(43988, "[$-5A]dddd,ddd,mmmm,mmm,mmmmm,m")</f>
        <v/>
      </c>
      <c r="I89">
        <f>TEXT(44017, "[$-5A]dddd,ddd,mmmm,mmm,mmmmm,m")</f>
        <v/>
      </c>
      <c r="J89">
        <f>TEXT(44046, "[$-5A]dddd,ddd,mmmm,mmm,mmmmm,m")</f>
        <v/>
      </c>
      <c r="K89">
        <f>TEXT(44082, "[$-5A]dddd,ddd,mmmm,mmm,mmmmm,m")</f>
        <v/>
      </c>
      <c r="L89">
        <f>TEXT(44111, "[$-5A]dddd,ddd,mmmm,mmm,mmmmm,m")</f>
        <v/>
      </c>
      <c r="M89">
        <f>TEXT(44140, "[$-5A]dddd,ddd,mmmm,mmm,mmmmm,m")</f>
        <v/>
      </c>
      <c r="N89">
        <f>TEXT(44169, "[$-5A]dddd,ddd,mmmm,mmm,mmmmm,m")</f>
        <v/>
      </c>
      <c r="O89">
        <f>TEXT(44198, "[$-5A]dddd,ddd,mmmm,mmm,mmmmm,m")</f>
        <v/>
      </c>
    </row>
    <row r="90">
      <c r="A90" t="inlineStr">
        <is>
          <t>0x5B</t>
        </is>
      </c>
      <c r="B90" t="inlineStr">
        <is>
          <t>si</t>
        </is>
      </c>
      <c r="C90">
        <f>TEXT(43836, "[$-5B]dddd,ddd,mmmm,mmm,mmmmm,m")</f>
        <v/>
      </c>
      <c r="D90">
        <f>TEXT(43865, "[$-5B]dddd,ddd,mmmm,mmm,mmmmm,m")</f>
        <v/>
      </c>
      <c r="E90">
        <f>TEXT(43894, "[$-5B]dddd,ddd,mmmm,mmm,mmmmm,m")</f>
        <v/>
      </c>
      <c r="F90">
        <f>TEXT(43923, "[$-5B]dddd,ddd,mmmm,mmm,mmmmm,m")</f>
        <v/>
      </c>
      <c r="G90">
        <f>TEXT(43952, "[$-5B]dddd,ddd,mmmm,mmm,mmmmm,m")</f>
        <v/>
      </c>
      <c r="H90">
        <f>TEXT(43988, "[$-5B]dddd,ddd,mmmm,mmm,mmmmm,m")</f>
        <v/>
      </c>
      <c r="I90">
        <f>TEXT(44017, "[$-5B]dddd,ddd,mmmm,mmm,mmmmm,m")</f>
        <v/>
      </c>
      <c r="J90">
        <f>TEXT(44046, "[$-5B]dddd,ddd,mmmm,mmm,mmmmm,m")</f>
        <v/>
      </c>
      <c r="K90">
        <f>TEXT(44082, "[$-5B]dddd,ddd,mmmm,mmm,mmmmm,m")</f>
        <v/>
      </c>
      <c r="L90">
        <f>TEXT(44111, "[$-5B]dddd,ddd,mmmm,mmm,mmmmm,m")</f>
        <v/>
      </c>
      <c r="M90">
        <f>TEXT(44140, "[$-5B]dddd,ddd,mmmm,mmm,mmmmm,m")</f>
        <v/>
      </c>
      <c r="N90">
        <f>TEXT(44169, "[$-5B]dddd,ddd,mmmm,mmm,mmmmm,m")</f>
        <v/>
      </c>
      <c r="O90">
        <f>TEXT(44198, "[$-5B]dddd,ddd,mmmm,mmm,mmmmm,m")</f>
        <v/>
      </c>
    </row>
    <row r="91">
      <c r="A91" t="inlineStr">
        <is>
          <t>0x5C</t>
        </is>
      </c>
      <c r="B91" t="inlineStr">
        <is>
          <t>chr</t>
        </is>
      </c>
      <c r="C91">
        <f>TEXT(43836, "[$-5C]dddd,ddd,mmmm,mmm,mmmmm,m")</f>
        <v/>
      </c>
      <c r="D91">
        <f>TEXT(43865, "[$-5C]dddd,ddd,mmmm,mmm,mmmmm,m")</f>
        <v/>
      </c>
      <c r="E91">
        <f>TEXT(43894, "[$-5C]dddd,ddd,mmmm,mmm,mmmmm,m")</f>
        <v/>
      </c>
      <c r="F91">
        <f>TEXT(43923, "[$-5C]dddd,ddd,mmmm,mmm,mmmmm,m")</f>
        <v/>
      </c>
      <c r="G91">
        <f>TEXT(43952, "[$-5C]dddd,ddd,mmmm,mmm,mmmmm,m")</f>
        <v/>
      </c>
      <c r="H91">
        <f>TEXT(43988, "[$-5C]dddd,ddd,mmmm,mmm,mmmmm,m")</f>
        <v/>
      </c>
      <c r="I91">
        <f>TEXT(44017, "[$-5C]dddd,ddd,mmmm,mmm,mmmmm,m")</f>
        <v/>
      </c>
      <c r="J91">
        <f>TEXT(44046, "[$-5C]dddd,ddd,mmmm,mmm,mmmmm,m")</f>
        <v/>
      </c>
      <c r="K91">
        <f>TEXT(44082, "[$-5C]dddd,ddd,mmmm,mmm,mmmmm,m")</f>
        <v/>
      </c>
      <c r="L91">
        <f>TEXT(44111, "[$-5C]dddd,ddd,mmmm,mmm,mmmmm,m")</f>
        <v/>
      </c>
      <c r="M91">
        <f>TEXT(44140, "[$-5C]dddd,ddd,mmmm,mmm,mmmmm,m")</f>
        <v/>
      </c>
      <c r="N91">
        <f>TEXT(44169, "[$-5C]dddd,ddd,mmmm,mmm,mmmmm,m")</f>
        <v/>
      </c>
      <c r="O91">
        <f>TEXT(44198, "[$-5C]dddd,ddd,mmmm,mmm,mmmmm,m")</f>
        <v/>
      </c>
    </row>
    <row r="92">
      <c r="A92" t="inlineStr">
        <is>
          <t>0x5D</t>
        </is>
      </c>
      <c r="B92" t="inlineStr">
        <is>
          <t>iu</t>
        </is>
      </c>
      <c r="C92">
        <f>TEXT(43836, "[$-5D]dddd,ddd,mmmm,mmm,mmmmm,m")</f>
        <v/>
      </c>
      <c r="D92">
        <f>TEXT(43865, "[$-5D]dddd,ddd,mmmm,mmm,mmmmm,m")</f>
        <v/>
      </c>
      <c r="E92">
        <f>TEXT(43894, "[$-5D]dddd,ddd,mmmm,mmm,mmmmm,m")</f>
        <v/>
      </c>
      <c r="F92">
        <f>TEXT(43923, "[$-5D]dddd,ddd,mmmm,mmm,mmmmm,m")</f>
        <v/>
      </c>
      <c r="G92">
        <f>TEXT(43952, "[$-5D]dddd,ddd,mmmm,mmm,mmmmm,m")</f>
        <v/>
      </c>
      <c r="H92">
        <f>TEXT(43988, "[$-5D]dddd,ddd,mmmm,mmm,mmmmm,m")</f>
        <v/>
      </c>
      <c r="I92">
        <f>TEXT(44017, "[$-5D]dddd,ddd,mmmm,mmm,mmmmm,m")</f>
        <v/>
      </c>
      <c r="J92">
        <f>TEXT(44046, "[$-5D]dddd,ddd,mmmm,mmm,mmmmm,m")</f>
        <v/>
      </c>
      <c r="K92">
        <f>TEXT(44082, "[$-5D]dddd,ddd,mmmm,mmm,mmmmm,m")</f>
        <v/>
      </c>
      <c r="L92">
        <f>TEXT(44111, "[$-5D]dddd,ddd,mmmm,mmm,mmmmm,m")</f>
        <v/>
      </c>
      <c r="M92">
        <f>TEXT(44140, "[$-5D]dddd,ddd,mmmm,mmm,mmmmm,m")</f>
        <v/>
      </c>
      <c r="N92">
        <f>TEXT(44169, "[$-5D]dddd,ddd,mmmm,mmm,mmmmm,m")</f>
        <v/>
      </c>
      <c r="O92">
        <f>TEXT(44198, "[$-5D]dddd,ddd,mmmm,mmm,mmmmm,m")</f>
        <v/>
      </c>
    </row>
    <row r="93">
      <c r="A93" t="inlineStr">
        <is>
          <t>0x1100005E</t>
        </is>
      </c>
      <c r="B93" t="inlineStr">
        <is>
          <t>am</t>
        </is>
      </c>
      <c r="C93">
        <f>TEXT(43836, "[$-1100005E]dddd,ddd,mmmm,mmm,mmmmm,m")</f>
        <v/>
      </c>
      <c r="D93">
        <f>TEXT(43865, "[$-1100005E]dddd,ddd,mmmm,mmm,mmmmm,m")</f>
        <v/>
      </c>
      <c r="E93">
        <f>TEXT(43894, "[$-1100005E]dddd,ddd,mmmm,mmm,mmmmm,m")</f>
        <v/>
      </c>
      <c r="F93">
        <f>TEXT(43923, "[$-1100005E]dddd,ddd,mmmm,mmm,mmmmm,m")</f>
        <v/>
      </c>
      <c r="G93">
        <f>TEXT(43952, "[$-1100005E]dddd,ddd,mmmm,mmm,mmmmm,m")</f>
        <v/>
      </c>
      <c r="H93">
        <f>TEXT(43988, "[$-1100005E]dddd,ddd,mmmm,mmm,mmmmm,m")</f>
        <v/>
      </c>
      <c r="I93">
        <f>TEXT(44017, "[$-1100005E]dddd,ddd,mmmm,mmm,mmmmm,m")</f>
        <v/>
      </c>
      <c r="J93">
        <f>TEXT(44046, "[$-1100005E]dddd,ddd,mmmm,mmm,mmmmm,m")</f>
        <v/>
      </c>
      <c r="K93">
        <f>TEXT(44082, "[$-1100005E]dddd,ddd,mmmm,mmm,mmmmm,m")</f>
        <v/>
      </c>
      <c r="L93">
        <f>TEXT(44111, "[$-1100005E]dddd,ddd,mmmm,mmm,mmmmm,m")</f>
        <v/>
      </c>
      <c r="M93">
        <f>TEXT(44140, "[$-1100005E]dddd,ddd,mmmm,mmm,mmmmm,m")</f>
        <v/>
      </c>
      <c r="N93">
        <f>TEXT(44169, "[$-1100005E]dddd,ddd,mmmm,mmm,mmmmm,m")</f>
        <v/>
      </c>
      <c r="O93">
        <f>TEXT(44198, "[$-1100005E]dddd,ddd,mmmm,mmm,mmmmm,m")</f>
        <v/>
      </c>
    </row>
    <row r="94">
      <c r="A94" t="inlineStr">
        <is>
          <t>0x5F</t>
        </is>
      </c>
      <c r="B94" t="inlineStr">
        <is>
          <t>tzm</t>
        </is>
      </c>
      <c r="C94">
        <f>TEXT(43836, "[$-5F]dddd,ddd,mmmm,mmm,mmmmm,m")</f>
        <v/>
      </c>
      <c r="D94">
        <f>TEXT(43865, "[$-5F]dddd,ddd,mmmm,mmm,mmmmm,m")</f>
        <v/>
      </c>
      <c r="E94">
        <f>TEXT(43894, "[$-5F]dddd,ddd,mmmm,mmm,mmmmm,m")</f>
        <v/>
      </c>
      <c r="F94">
        <f>TEXT(43923, "[$-5F]dddd,ddd,mmmm,mmm,mmmmm,m")</f>
        <v/>
      </c>
      <c r="G94">
        <f>TEXT(43952, "[$-5F]dddd,ddd,mmmm,mmm,mmmmm,m")</f>
        <v/>
      </c>
      <c r="H94">
        <f>TEXT(43988, "[$-5F]dddd,ddd,mmmm,mmm,mmmmm,m")</f>
        <v/>
      </c>
      <c r="I94">
        <f>TEXT(44017, "[$-5F]dddd,ddd,mmmm,mmm,mmmmm,m")</f>
        <v/>
      </c>
      <c r="J94">
        <f>TEXT(44046, "[$-5F]dddd,ddd,mmmm,mmm,mmmmm,m")</f>
        <v/>
      </c>
      <c r="K94">
        <f>TEXT(44082, "[$-5F]dddd,ddd,mmmm,mmm,mmmmm,m")</f>
        <v/>
      </c>
      <c r="L94">
        <f>TEXT(44111, "[$-5F]dddd,ddd,mmmm,mmm,mmmmm,m")</f>
        <v/>
      </c>
      <c r="M94">
        <f>TEXT(44140, "[$-5F]dddd,ddd,mmmm,mmm,mmmmm,m")</f>
        <v/>
      </c>
      <c r="N94">
        <f>TEXT(44169, "[$-5F]dddd,ddd,mmmm,mmm,mmmmm,m")</f>
        <v/>
      </c>
      <c r="O94">
        <f>TEXT(44198, "[$-5F]dddd,ddd,mmmm,mmm,mmmmm,m")</f>
        <v/>
      </c>
    </row>
    <row r="95">
      <c r="A95" t="inlineStr">
        <is>
          <t>0x60</t>
        </is>
      </c>
      <c r="B95" t="inlineStr">
        <is>
          <t>ks</t>
        </is>
      </c>
      <c r="C95">
        <f>TEXT(43836, "[$-60]dddd,ddd,mmmm,mmm,mmmmm,m")</f>
        <v/>
      </c>
      <c r="D95">
        <f>TEXT(43865, "[$-60]dddd,ddd,mmmm,mmm,mmmmm,m")</f>
        <v/>
      </c>
      <c r="E95">
        <f>TEXT(43894, "[$-60]dddd,ddd,mmmm,mmm,mmmmm,m")</f>
        <v/>
      </c>
      <c r="F95">
        <f>TEXT(43923, "[$-60]dddd,ddd,mmmm,mmm,mmmmm,m")</f>
        <v/>
      </c>
      <c r="G95">
        <f>TEXT(43952, "[$-60]dddd,ddd,mmmm,mmm,mmmmm,m")</f>
        <v/>
      </c>
      <c r="H95">
        <f>TEXT(43988, "[$-60]dddd,ddd,mmmm,mmm,mmmmm,m")</f>
        <v/>
      </c>
      <c r="I95">
        <f>TEXT(44017, "[$-60]dddd,ddd,mmmm,mmm,mmmmm,m")</f>
        <v/>
      </c>
      <c r="J95">
        <f>TEXT(44046, "[$-60]dddd,ddd,mmmm,mmm,mmmmm,m")</f>
        <v/>
      </c>
      <c r="K95">
        <f>TEXT(44082, "[$-60]dddd,ddd,mmmm,mmm,mmmmm,m")</f>
        <v/>
      </c>
      <c r="L95">
        <f>TEXT(44111, "[$-60]dddd,ddd,mmmm,mmm,mmmmm,m")</f>
        <v/>
      </c>
      <c r="M95">
        <f>TEXT(44140, "[$-60]dddd,ddd,mmmm,mmm,mmmmm,m")</f>
        <v/>
      </c>
      <c r="N95">
        <f>TEXT(44169, "[$-60]dddd,ddd,mmmm,mmm,mmmmm,m")</f>
        <v/>
      </c>
      <c r="O95">
        <f>TEXT(44198, "[$-60]dddd,ddd,mmmm,mmm,mmmmm,m")</f>
        <v/>
      </c>
    </row>
    <row r="96">
      <c r="A96" t="inlineStr">
        <is>
          <t>0x61</t>
        </is>
      </c>
      <c r="B96" t="inlineStr">
        <is>
          <t>ne</t>
        </is>
      </c>
      <c r="C96">
        <f>TEXT(43836, "[$-61]dddd,ddd,mmmm,mmm,mmmmm,m")</f>
        <v/>
      </c>
      <c r="D96">
        <f>TEXT(43865, "[$-61]dddd,ddd,mmmm,mmm,mmmmm,m")</f>
        <v/>
      </c>
      <c r="E96">
        <f>TEXT(43894, "[$-61]dddd,ddd,mmmm,mmm,mmmmm,m")</f>
        <v/>
      </c>
      <c r="F96">
        <f>TEXT(43923, "[$-61]dddd,ddd,mmmm,mmm,mmmmm,m")</f>
        <v/>
      </c>
      <c r="G96">
        <f>TEXT(43952, "[$-61]dddd,ddd,mmmm,mmm,mmmmm,m")</f>
        <v/>
      </c>
      <c r="H96">
        <f>TEXT(43988, "[$-61]dddd,ddd,mmmm,mmm,mmmmm,m")</f>
        <v/>
      </c>
      <c r="I96">
        <f>TEXT(44017, "[$-61]dddd,ddd,mmmm,mmm,mmmmm,m")</f>
        <v/>
      </c>
      <c r="J96">
        <f>TEXT(44046, "[$-61]dddd,ddd,mmmm,mmm,mmmmm,m")</f>
        <v/>
      </c>
      <c r="K96">
        <f>TEXT(44082, "[$-61]dddd,ddd,mmmm,mmm,mmmmm,m")</f>
        <v/>
      </c>
      <c r="L96">
        <f>TEXT(44111, "[$-61]dddd,ddd,mmmm,mmm,mmmmm,m")</f>
        <v/>
      </c>
      <c r="M96">
        <f>TEXT(44140, "[$-61]dddd,ddd,mmmm,mmm,mmmmm,m")</f>
        <v/>
      </c>
      <c r="N96">
        <f>TEXT(44169, "[$-61]dddd,ddd,mmmm,mmm,mmmmm,m")</f>
        <v/>
      </c>
      <c r="O96">
        <f>TEXT(44198, "[$-61]dddd,ddd,mmmm,mmm,mmmmm,m")</f>
        <v/>
      </c>
    </row>
    <row r="97">
      <c r="A97" t="inlineStr">
        <is>
          <t>0x62</t>
        </is>
      </c>
      <c r="B97" t="inlineStr">
        <is>
          <t>fy</t>
        </is>
      </c>
      <c r="C97">
        <f>TEXT(43836, "[$-62]dddd,ddd,mmmm,mmm,mmmmm,m")</f>
        <v/>
      </c>
      <c r="D97">
        <f>TEXT(43865, "[$-62]dddd,ddd,mmmm,mmm,mmmmm,m")</f>
        <v/>
      </c>
      <c r="E97">
        <f>TEXT(43894, "[$-62]dddd,ddd,mmmm,mmm,mmmmm,m")</f>
        <v/>
      </c>
      <c r="F97">
        <f>TEXT(43923, "[$-62]dddd,ddd,mmmm,mmm,mmmmm,m")</f>
        <v/>
      </c>
      <c r="G97">
        <f>TEXT(43952, "[$-62]dddd,ddd,mmmm,mmm,mmmmm,m")</f>
        <v/>
      </c>
      <c r="H97">
        <f>TEXT(43988, "[$-62]dddd,ddd,mmmm,mmm,mmmmm,m")</f>
        <v/>
      </c>
      <c r="I97">
        <f>TEXT(44017, "[$-62]dddd,ddd,mmmm,mmm,mmmmm,m")</f>
        <v/>
      </c>
      <c r="J97">
        <f>TEXT(44046, "[$-62]dddd,ddd,mmmm,mmm,mmmmm,m")</f>
        <v/>
      </c>
      <c r="K97">
        <f>TEXT(44082, "[$-62]dddd,ddd,mmmm,mmm,mmmmm,m")</f>
        <v/>
      </c>
      <c r="L97">
        <f>TEXT(44111, "[$-62]dddd,ddd,mmmm,mmm,mmmmm,m")</f>
        <v/>
      </c>
      <c r="M97">
        <f>TEXT(44140, "[$-62]dddd,ddd,mmmm,mmm,mmmmm,m")</f>
        <v/>
      </c>
      <c r="N97">
        <f>TEXT(44169, "[$-62]dddd,ddd,mmmm,mmm,mmmmm,m")</f>
        <v/>
      </c>
      <c r="O97">
        <f>TEXT(44198, "[$-62]dddd,ddd,mmmm,mmm,mmmmm,m")</f>
        <v/>
      </c>
    </row>
    <row r="98">
      <c r="A98" t="inlineStr">
        <is>
          <t>0x63</t>
        </is>
      </c>
      <c r="B98" t="inlineStr">
        <is>
          <t>ps</t>
        </is>
      </c>
      <c r="C98">
        <f>TEXT(43836, "[$-63]dddd,ddd,mmmm,mmm,mmmmm,m")</f>
        <v/>
      </c>
      <c r="D98">
        <f>TEXT(43865, "[$-63]dddd,ddd,mmmm,mmm,mmmmm,m")</f>
        <v/>
      </c>
      <c r="E98">
        <f>TEXT(43894, "[$-63]dddd,ddd,mmmm,mmm,mmmmm,m")</f>
        <v/>
      </c>
      <c r="F98">
        <f>TEXT(43923, "[$-63]dddd,ddd,mmmm,mmm,mmmmm,m")</f>
        <v/>
      </c>
      <c r="G98">
        <f>TEXT(43952, "[$-63]dddd,ddd,mmmm,mmm,mmmmm,m")</f>
        <v/>
      </c>
      <c r="H98">
        <f>TEXT(43988, "[$-63]dddd,ddd,mmmm,mmm,mmmmm,m")</f>
        <v/>
      </c>
      <c r="I98">
        <f>TEXT(44017, "[$-63]dddd,ddd,mmmm,mmm,mmmmm,m")</f>
        <v/>
      </c>
      <c r="J98">
        <f>TEXT(44046, "[$-63]dddd,ddd,mmmm,mmm,mmmmm,m")</f>
        <v/>
      </c>
      <c r="K98">
        <f>TEXT(44082, "[$-63]dddd,ddd,mmmm,mmm,mmmmm,m")</f>
        <v/>
      </c>
      <c r="L98">
        <f>TEXT(44111, "[$-63]dddd,ddd,mmmm,mmm,mmmmm,m")</f>
        <v/>
      </c>
      <c r="M98">
        <f>TEXT(44140, "[$-63]dddd,ddd,mmmm,mmm,mmmmm,m")</f>
        <v/>
      </c>
      <c r="N98">
        <f>TEXT(44169, "[$-63]dddd,ddd,mmmm,mmm,mmmmm,m")</f>
        <v/>
      </c>
      <c r="O98">
        <f>TEXT(44198, "[$-63]dddd,ddd,mmmm,mmm,mmmmm,m")</f>
        <v/>
      </c>
    </row>
    <row r="99">
      <c r="A99" t="inlineStr">
        <is>
          <t>0x64</t>
        </is>
      </c>
      <c r="B99" t="inlineStr">
        <is>
          <t>fil</t>
        </is>
      </c>
      <c r="C99">
        <f>TEXT(43836, "[$-64]dddd,ddd,mmmm,mmm,mmmmm,m")</f>
        <v/>
      </c>
      <c r="D99">
        <f>TEXT(43865, "[$-64]dddd,ddd,mmmm,mmm,mmmmm,m")</f>
        <v/>
      </c>
      <c r="E99">
        <f>TEXT(43894, "[$-64]dddd,ddd,mmmm,mmm,mmmmm,m")</f>
        <v/>
      </c>
      <c r="F99">
        <f>TEXT(43923, "[$-64]dddd,ddd,mmmm,mmm,mmmmm,m")</f>
        <v/>
      </c>
      <c r="G99">
        <f>TEXT(43952, "[$-64]dddd,ddd,mmmm,mmm,mmmmm,m")</f>
        <v/>
      </c>
      <c r="H99">
        <f>TEXT(43988, "[$-64]dddd,ddd,mmmm,mmm,mmmmm,m")</f>
        <v/>
      </c>
      <c r="I99">
        <f>TEXT(44017, "[$-64]dddd,ddd,mmmm,mmm,mmmmm,m")</f>
        <v/>
      </c>
      <c r="J99">
        <f>TEXT(44046, "[$-64]dddd,ddd,mmmm,mmm,mmmmm,m")</f>
        <v/>
      </c>
      <c r="K99">
        <f>TEXT(44082, "[$-64]dddd,ddd,mmmm,mmm,mmmmm,m")</f>
        <v/>
      </c>
      <c r="L99">
        <f>TEXT(44111, "[$-64]dddd,ddd,mmmm,mmm,mmmmm,m")</f>
        <v/>
      </c>
      <c r="M99">
        <f>TEXT(44140, "[$-64]dddd,ddd,mmmm,mmm,mmmmm,m")</f>
        <v/>
      </c>
      <c r="N99">
        <f>TEXT(44169, "[$-64]dddd,ddd,mmmm,mmm,mmmmm,m")</f>
        <v/>
      </c>
      <c r="O99">
        <f>TEXT(44198, "[$-64]dddd,ddd,mmmm,mmm,mmmmm,m")</f>
        <v/>
      </c>
    </row>
    <row r="100">
      <c r="A100" t="inlineStr">
        <is>
          <t>0x65</t>
        </is>
      </c>
      <c r="B100" t="inlineStr">
        <is>
          <t>dv</t>
        </is>
      </c>
      <c r="C100">
        <f>TEXT(43836, "[$-65]dddd,ddd,mmmm,mmm,mmmmm,m")</f>
        <v/>
      </c>
      <c r="D100">
        <f>TEXT(43865, "[$-65]dddd,ddd,mmmm,mmm,mmmmm,m")</f>
        <v/>
      </c>
      <c r="E100">
        <f>TEXT(43894, "[$-65]dddd,ddd,mmmm,mmm,mmmmm,m")</f>
        <v/>
      </c>
      <c r="F100">
        <f>TEXT(43923, "[$-65]dddd,ddd,mmmm,mmm,mmmmm,m")</f>
        <v/>
      </c>
      <c r="G100">
        <f>TEXT(43952, "[$-65]dddd,ddd,mmmm,mmm,mmmmm,m")</f>
        <v/>
      </c>
      <c r="H100">
        <f>TEXT(43988, "[$-65]dddd,ddd,mmmm,mmm,mmmmm,m")</f>
        <v/>
      </c>
      <c r="I100">
        <f>TEXT(44017, "[$-65]dddd,ddd,mmmm,mmm,mmmmm,m")</f>
        <v/>
      </c>
      <c r="J100">
        <f>TEXT(44046, "[$-65]dddd,ddd,mmmm,mmm,mmmmm,m")</f>
        <v/>
      </c>
      <c r="K100">
        <f>TEXT(44082, "[$-65]dddd,ddd,mmmm,mmm,mmmmm,m")</f>
        <v/>
      </c>
      <c r="L100">
        <f>TEXT(44111, "[$-65]dddd,ddd,mmmm,mmm,mmmmm,m")</f>
        <v/>
      </c>
      <c r="M100">
        <f>TEXT(44140, "[$-65]dddd,ddd,mmmm,mmm,mmmmm,m")</f>
        <v/>
      </c>
      <c r="N100">
        <f>TEXT(44169, "[$-65]dddd,ddd,mmmm,mmm,mmmmm,m")</f>
        <v/>
      </c>
      <c r="O100">
        <f>TEXT(44198, "[$-65]dddd,ddd,mmmm,mmm,mmmmm,m")</f>
        <v/>
      </c>
    </row>
    <row r="101">
      <c r="A101" t="inlineStr">
        <is>
          <t>0x67</t>
        </is>
      </c>
      <c r="B101" t="inlineStr">
        <is>
          <t>ff</t>
        </is>
      </c>
      <c r="C101">
        <f>TEXT(43836, "[$-67]dddd,ddd,mmmm,mmm,mmmmm,m")</f>
        <v/>
      </c>
      <c r="D101">
        <f>TEXT(43865, "[$-67]dddd,ddd,mmmm,mmm,mmmmm,m")</f>
        <v/>
      </c>
      <c r="E101">
        <f>TEXT(43894, "[$-67]dddd,ddd,mmmm,mmm,mmmmm,m")</f>
        <v/>
      </c>
      <c r="F101">
        <f>TEXT(43923, "[$-67]dddd,ddd,mmmm,mmm,mmmmm,m")</f>
        <v/>
      </c>
      <c r="G101">
        <f>TEXT(43952, "[$-67]dddd,ddd,mmmm,mmm,mmmmm,m")</f>
        <v/>
      </c>
      <c r="H101">
        <f>TEXT(43988, "[$-67]dddd,ddd,mmmm,mmm,mmmmm,m")</f>
        <v/>
      </c>
      <c r="I101">
        <f>TEXT(44017, "[$-67]dddd,ddd,mmmm,mmm,mmmmm,m")</f>
        <v/>
      </c>
      <c r="J101">
        <f>TEXT(44046, "[$-67]dddd,ddd,mmmm,mmm,mmmmm,m")</f>
        <v/>
      </c>
      <c r="K101">
        <f>TEXT(44082, "[$-67]dddd,ddd,mmmm,mmm,mmmmm,m")</f>
        <v/>
      </c>
      <c r="L101">
        <f>TEXT(44111, "[$-67]dddd,ddd,mmmm,mmm,mmmmm,m")</f>
        <v/>
      </c>
      <c r="M101">
        <f>TEXT(44140, "[$-67]dddd,ddd,mmmm,mmm,mmmmm,m")</f>
        <v/>
      </c>
      <c r="N101">
        <f>TEXT(44169, "[$-67]dddd,ddd,mmmm,mmm,mmmmm,m")</f>
        <v/>
      </c>
      <c r="O101">
        <f>TEXT(44198, "[$-67]dddd,ddd,mmmm,mmm,mmmmm,m")</f>
        <v/>
      </c>
    </row>
    <row r="102">
      <c r="A102" t="inlineStr">
        <is>
          <t>0x68</t>
        </is>
      </c>
      <c r="B102" t="inlineStr">
        <is>
          <t>ha</t>
        </is>
      </c>
      <c r="C102">
        <f>TEXT(43836, "[$-68]dddd,ddd,mmmm,mmm,mmmmm,m")</f>
        <v/>
      </c>
      <c r="D102">
        <f>TEXT(43865, "[$-68]dddd,ddd,mmmm,mmm,mmmmm,m")</f>
        <v/>
      </c>
      <c r="E102">
        <f>TEXT(43894, "[$-68]dddd,ddd,mmmm,mmm,mmmmm,m")</f>
        <v/>
      </c>
      <c r="F102">
        <f>TEXT(43923, "[$-68]dddd,ddd,mmmm,mmm,mmmmm,m")</f>
        <v/>
      </c>
      <c r="G102">
        <f>TEXT(43952, "[$-68]dddd,ddd,mmmm,mmm,mmmmm,m")</f>
        <v/>
      </c>
      <c r="H102">
        <f>TEXT(43988, "[$-68]dddd,ddd,mmmm,mmm,mmmmm,m")</f>
        <v/>
      </c>
      <c r="I102">
        <f>TEXT(44017, "[$-68]dddd,ddd,mmmm,mmm,mmmmm,m")</f>
        <v/>
      </c>
      <c r="J102">
        <f>TEXT(44046, "[$-68]dddd,ddd,mmmm,mmm,mmmmm,m")</f>
        <v/>
      </c>
      <c r="K102">
        <f>TEXT(44082, "[$-68]dddd,ddd,mmmm,mmm,mmmmm,m")</f>
        <v/>
      </c>
      <c r="L102">
        <f>TEXT(44111, "[$-68]dddd,ddd,mmmm,mmm,mmmmm,m")</f>
        <v/>
      </c>
      <c r="M102">
        <f>TEXT(44140, "[$-68]dddd,ddd,mmmm,mmm,mmmmm,m")</f>
        <v/>
      </c>
      <c r="N102">
        <f>TEXT(44169, "[$-68]dddd,ddd,mmmm,mmm,mmmmm,m")</f>
        <v/>
      </c>
      <c r="O102">
        <f>TEXT(44198, "[$-68]dddd,ddd,mmmm,mmm,mmmmm,m")</f>
        <v/>
      </c>
    </row>
    <row r="103">
      <c r="A103" t="inlineStr">
        <is>
          <t>0x6A</t>
        </is>
      </c>
      <c r="B103" t="inlineStr">
        <is>
          <t>yo</t>
        </is>
      </c>
      <c r="C103">
        <f>TEXT(43836, "[$-6A]dddd,ddd,mmmm,mmm,mmmmm,m")</f>
        <v/>
      </c>
      <c r="D103">
        <f>TEXT(43865, "[$-6A]dddd,ddd,mmmm,mmm,mmmmm,m")</f>
        <v/>
      </c>
      <c r="E103">
        <f>TEXT(43894, "[$-6A]dddd,ddd,mmmm,mmm,mmmmm,m")</f>
        <v/>
      </c>
      <c r="F103">
        <f>TEXT(43923, "[$-6A]dddd,ddd,mmmm,mmm,mmmmm,m")</f>
        <v/>
      </c>
      <c r="G103">
        <f>TEXT(43952, "[$-6A]dddd,ddd,mmmm,mmm,mmmmm,m")</f>
        <v/>
      </c>
      <c r="H103">
        <f>TEXT(43988, "[$-6A]dddd,ddd,mmmm,mmm,mmmmm,m")</f>
        <v/>
      </c>
      <c r="I103">
        <f>TEXT(44017, "[$-6A]dddd,ddd,mmmm,mmm,mmmmm,m")</f>
        <v/>
      </c>
      <c r="J103">
        <f>TEXT(44046, "[$-6A]dddd,ddd,mmmm,mmm,mmmmm,m")</f>
        <v/>
      </c>
      <c r="K103">
        <f>TEXT(44082, "[$-6A]dddd,ddd,mmmm,mmm,mmmmm,m")</f>
        <v/>
      </c>
      <c r="L103">
        <f>TEXT(44111, "[$-6A]dddd,ddd,mmmm,mmm,mmmmm,m")</f>
        <v/>
      </c>
      <c r="M103">
        <f>TEXT(44140, "[$-6A]dddd,ddd,mmmm,mmm,mmmmm,m")</f>
        <v/>
      </c>
      <c r="N103">
        <f>TEXT(44169, "[$-6A]dddd,ddd,mmmm,mmm,mmmmm,m")</f>
        <v/>
      </c>
      <c r="O103">
        <f>TEXT(44198, "[$-6A]dddd,ddd,mmmm,mmm,mmmmm,m")</f>
        <v/>
      </c>
    </row>
    <row r="104">
      <c r="A104" t="inlineStr">
        <is>
          <t>0x6B</t>
        </is>
      </c>
      <c r="B104" t="inlineStr">
        <is>
          <t>quz</t>
        </is>
      </c>
      <c r="C104">
        <f>TEXT(43836, "[$-6B]dddd,ddd,mmmm,mmm,mmmmm,m")</f>
        <v/>
      </c>
      <c r="D104">
        <f>TEXT(43865, "[$-6B]dddd,ddd,mmmm,mmm,mmmmm,m")</f>
        <v/>
      </c>
      <c r="E104">
        <f>TEXT(43894, "[$-6B]dddd,ddd,mmmm,mmm,mmmmm,m")</f>
        <v/>
      </c>
      <c r="F104">
        <f>TEXT(43923, "[$-6B]dddd,ddd,mmmm,mmm,mmmmm,m")</f>
        <v/>
      </c>
      <c r="G104">
        <f>TEXT(43952, "[$-6B]dddd,ddd,mmmm,mmm,mmmmm,m")</f>
        <v/>
      </c>
      <c r="H104">
        <f>TEXT(43988, "[$-6B]dddd,ddd,mmmm,mmm,mmmmm,m")</f>
        <v/>
      </c>
      <c r="I104">
        <f>TEXT(44017, "[$-6B]dddd,ddd,mmmm,mmm,mmmmm,m")</f>
        <v/>
      </c>
      <c r="J104">
        <f>TEXT(44046, "[$-6B]dddd,ddd,mmmm,mmm,mmmmm,m")</f>
        <v/>
      </c>
      <c r="K104">
        <f>TEXT(44082, "[$-6B]dddd,ddd,mmmm,mmm,mmmmm,m")</f>
        <v/>
      </c>
      <c r="L104">
        <f>TEXT(44111, "[$-6B]dddd,ddd,mmmm,mmm,mmmmm,m")</f>
        <v/>
      </c>
      <c r="M104">
        <f>TEXT(44140, "[$-6B]dddd,ddd,mmmm,mmm,mmmmm,m")</f>
        <v/>
      </c>
      <c r="N104">
        <f>TEXT(44169, "[$-6B]dddd,ddd,mmmm,mmm,mmmmm,m")</f>
        <v/>
      </c>
      <c r="O104">
        <f>TEXT(44198, "[$-6B]dddd,ddd,mmmm,mmm,mmmmm,m")</f>
        <v/>
      </c>
    </row>
    <row r="105">
      <c r="A105" t="inlineStr">
        <is>
          <t>0x6C</t>
        </is>
      </c>
      <c r="B105" t="inlineStr">
        <is>
          <t>nso</t>
        </is>
      </c>
      <c r="C105">
        <f>TEXT(43836, "[$-6C]dddd,ddd,mmmm,mmm,mmmmm,m")</f>
        <v/>
      </c>
      <c r="D105">
        <f>TEXT(43865, "[$-6C]dddd,ddd,mmmm,mmm,mmmmm,m")</f>
        <v/>
      </c>
      <c r="E105">
        <f>TEXT(43894, "[$-6C]dddd,ddd,mmmm,mmm,mmmmm,m")</f>
        <v/>
      </c>
      <c r="F105">
        <f>TEXT(43923, "[$-6C]dddd,ddd,mmmm,mmm,mmmmm,m")</f>
        <v/>
      </c>
      <c r="G105">
        <f>TEXT(43952, "[$-6C]dddd,ddd,mmmm,mmm,mmmmm,m")</f>
        <v/>
      </c>
      <c r="H105">
        <f>TEXT(43988, "[$-6C]dddd,ddd,mmmm,mmm,mmmmm,m")</f>
        <v/>
      </c>
      <c r="I105">
        <f>TEXT(44017, "[$-6C]dddd,ddd,mmmm,mmm,mmmmm,m")</f>
        <v/>
      </c>
      <c r="J105">
        <f>TEXT(44046, "[$-6C]dddd,ddd,mmmm,mmm,mmmmm,m")</f>
        <v/>
      </c>
      <c r="K105">
        <f>TEXT(44082, "[$-6C]dddd,ddd,mmmm,mmm,mmmmm,m")</f>
        <v/>
      </c>
      <c r="L105">
        <f>TEXT(44111, "[$-6C]dddd,ddd,mmmm,mmm,mmmmm,m")</f>
        <v/>
      </c>
      <c r="M105">
        <f>TEXT(44140, "[$-6C]dddd,ddd,mmmm,mmm,mmmmm,m")</f>
        <v/>
      </c>
      <c r="N105">
        <f>TEXT(44169, "[$-6C]dddd,ddd,mmmm,mmm,mmmmm,m")</f>
        <v/>
      </c>
      <c r="O105">
        <f>TEXT(44198, "[$-6C]dddd,ddd,mmmm,mmm,mmmmm,m")</f>
        <v/>
      </c>
    </row>
    <row r="106">
      <c r="A106" t="inlineStr">
        <is>
          <t>0x6D</t>
        </is>
      </c>
      <c r="B106" t="inlineStr">
        <is>
          <t>ba</t>
        </is>
      </c>
      <c r="C106">
        <f>TEXT(43836, "[$-6D]dddd,ddd,mmmm,mmm,mmmmm,m")</f>
        <v/>
      </c>
      <c r="D106">
        <f>TEXT(43865, "[$-6D]dddd,ddd,mmmm,mmm,mmmmm,m")</f>
        <v/>
      </c>
      <c r="E106">
        <f>TEXT(43894, "[$-6D]dddd,ddd,mmmm,mmm,mmmmm,m")</f>
        <v/>
      </c>
      <c r="F106">
        <f>TEXT(43923, "[$-6D]dddd,ddd,mmmm,mmm,mmmmm,m")</f>
        <v/>
      </c>
      <c r="G106">
        <f>TEXT(43952, "[$-6D]dddd,ddd,mmmm,mmm,mmmmm,m")</f>
        <v/>
      </c>
      <c r="H106">
        <f>TEXT(43988, "[$-6D]dddd,ddd,mmmm,mmm,mmmmm,m")</f>
        <v/>
      </c>
      <c r="I106">
        <f>TEXT(44017, "[$-6D]dddd,ddd,mmmm,mmm,mmmmm,m")</f>
        <v/>
      </c>
      <c r="J106">
        <f>TEXT(44046, "[$-6D]dddd,ddd,mmmm,mmm,mmmmm,m")</f>
        <v/>
      </c>
      <c r="K106">
        <f>TEXT(44082, "[$-6D]dddd,ddd,mmmm,mmm,mmmmm,m")</f>
        <v/>
      </c>
      <c r="L106">
        <f>TEXT(44111, "[$-6D]dddd,ddd,mmmm,mmm,mmmmm,m")</f>
        <v/>
      </c>
      <c r="M106">
        <f>TEXT(44140, "[$-6D]dddd,ddd,mmmm,mmm,mmmmm,m")</f>
        <v/>
      </c>
      <c r="N106">
        <f>TEXT(44169, "[$-6D]dddd,ddd,mmmm,mmm,mmmmm,m")</f>
        <v/>
      </c>
      <c r="O106">
        <f>TEXT(44198, "[$-6D]dddd,ddd,mmmm,mmm,mmmmm,m")</f>
        <v/>
      </c>
    </row>
    <row r="107">
      <c r="A107" t="inlineStr">
        <is>
          <t>0x6E</t>
        </is>
      </c>
      <c r="B107" t="inlineStr">
        <is>
          <t>lb</t>
        </is>
      </c>
      <c r="C107">
        <f>TEXT(43836, "[$-6E]dddd,ddd,mmmm,mmm,mmmmm,m")</f>
        <v/>
      </c>
      <c r="D107">
        <f>TEXT(43865, "[$-6E]dddd,ddd,mmmm,mmm,mmmmm,m")</f>
        <v/>
      </c>
      <c r="E107">
        <f>TEXT(43894, "[$-6E]dddd,ddd,mmmm,mmm,mmmmm,m")</f>
        <v/>
      </c>
      <c r="F107">
        <f>TEXT(43923, "[$-6E]dddd,ddd,mmmm,mmm,mmmmm,m")</f>
        <v/>
      </c>
      <c r="G107">
        <f>TEXT(43952, "[$-6E]dddd,ddd,mmmm,mmm,mmmmm,m")</f>
        <v/>
      </c>
      <c r="H107">
        <f>TEXT(43988, "[$-6E]dddd,ddd,mmmm,mmm,mmmmm,m")</f>
        <v/>
      </c>
      <c r="I107">
        <f>TEXT(44017, "[$-6E]dddd,ddd,mmmm,mmm,mmmmm,m")</f>
        <v/>
      </c>
      <c r="J107">
        <f>TEXT(44046, "[$-6E]dddd,ddd,mmmm,mmm,mmmmm,m")</f>
        <v/>
      </c>
      <c r="K107">
        <f>TEXT(44082, "[$-6E]dddd,ddd,mmmm,mmm,mmmmm,m")</f>
        <v/>
      </c>
      <c r="L107">
        <f>TEXT(44111, "[$-6E]dddd,ddd,mmmm,mmm,mmmmm,m")</f>
        <v/>
      </c>
      <c r="M107">
        <f>TEXT(44140, "[$-6E]dddd,ddd,mmmm,mmm,mmmmm,m")</f>
        <v/>
      </c>
      <c r="N107">
        <f>TEXT(44169, "[$-6E]dddd,ddd,mmmm,mmm,mmmmm,m")</f>
        <v/>
      </c>
      <c r="O107">
        <f>TEXT(44198, "[$-6E]dddd,ddd,mmmm,mmm,mmmmm,m")</f>
        <v/>
      </c>
    </row>
    <row r="108">
      <c r="A108" t="inlineStr">
        <is>
          <t>0x6F</t>
        </is>
      </c>
      <c r="B108" t="inlineStr">
        <is>
          <t>kl</t>
        </is>
      </c>
      <c r="C108">
        <f>TEXT(43836, "[$-6F]dddd,ddd,mmmm,mmm,mmmmm,m")</f>
        <v/>
      </c>
      <c r="D108">
        <f>TEXT(43865, "[$-6F]dddd,ddd,mmmm,mmm,mmmmm,m")</f>
        <v/>
      </c>
      <c r="E108">
        <f>TEXT(43894, "[$-6F]dddd,ddd,mmmm,mmm,mmmmm,m")</f>
        <v/>
      </c>
      <c r="F108">
        <f>TEXT(43923, "[$-6F]dddd,ddd,mmmm,mmm,mmmmm,m")</f>
        <v/>
      </c>
      <c r="G108">
        <f>TEXT(43952, "[$-6F]dddd,ddd,mmmm,mmm,mmmmm,m")</f>
        <v/>
      </c>
      <c r="H108">
        <f>TEXT(43988, "[$-6F]dddd,ddd,mmmm,mmm,mmmmm,m")</f>
        <v/>
      </c>
      <c r="I108">
        <f>TEXT(44017, "[$-6F]dddd,ddd,mmmm,mmm,mmmmm,m")</f>
        <v/>
      </c>
      <c r="J108">
        <f>TEXT(44046, "[$-6F]dddd,ddd,mmmm,mmm,mmmmm,m")</f>
        <v/>
      </c>
      <c r="K108">
        <f>TEXT(44082, "[$-6F]dddd,ddd,mmmm,mmm,mmmmm,m")</f>
        <v/>
      </c>
      <c r="L108">
        <f>TEXT(44111, "[$-6F]dddd,ddd,mmmm,mmm,mmmmm,m")</f>
        <v/>
      </c>
      <c r="M108">
        <f>TEXT(44140, "[$-6F]dddd,ddd,mmmm,mmm,mmmmm,m")</f>
        <v/>
      </c>
      <c r="N108">
        <f>TEXT(44169, "[$-6F]dddd,ddd,mmmm,mmm,mmmmm,m")</f>
        <v/>
      </c>
      <c r="O108">
        <f>TEXT(44198, "[$-6F]dddd,ddd,mmmm,mmm,mmmmm,m")</f>
        <v/>
      </c>
    </row>
    <row r="109">
      <c r="A109" t="inlineStr">
        <is>
          <t>0x70</t>
        </is>
      </c>
      <c r="B109" t="inlineStr">
        <is>
          <t>ig</t>
        </is>
      </c>
      <c r="C109">
        <f>TEXT(43836, "[$-70]dddd,ddd,mmmm,mmm,mmmmm,m")</f>
        <v/>
      </c>
      <c r="D109">
        <f>TEXT(43865, "[$-70]dddd,ddd,mmmm,mmm,mmmmm,m")</f>
        <v/>
      </c>
      <c r="E109">
        <f>TEXT(43894, "[$-70]dddd,ddd,mmmm,mmm,mmmmm,m")</f>
        <v/>
      </c>
      <c r="F109">
        <f>TEXT(43923, "[$-70]dddd,ddd,mmmm,mmm,mmmmm,m")</f>
        <v/>
      </c>
      <c r="G109">
        <f>TEXT(43952, "[$-70]dddd,ddd,mmmm,mmm,mmmmm,m")</f>
        <v/>
      </c>
      <c r="H109">
        <f>TEXT(43988, "[$-70]dddd,ddd,mmmm,mmm,mmmmm,m")</f>
        <v/>
      </c>
      <c r="I109">
        <f>TEXT(44017, "[$-70]dddd,ddd,mmmm,mmm,mmmmm,m")</f>
        <v/>
      </c>
      <c r="J109">
        <f>TEXT(44046, "[$-70]dddd,ddd,mmmm,mmm,mmmmm,m")</f>
        <v/>
      </c>
      <c r="K109">
        <f>TEXT(44082, "[$-70]dddd,ddd,mmmm,mmm,mmmmm,m")</f>
        <v/>
      </c>
      <c r="L109">
        <f>TEXT(44111, "[$-70]dddd,ddd,mmmm,mmm,mmmmm,m")</f>
        <v/>
      </c>
      <c r="M109">
        <f>TEXT(44140, "[$-70]dddd,ddd,mmmm,mmm,mmmmm,m")</f>
        <v/>
      </c>
      <c r="N109">
        <f>TEXT(44169, "[$-70]dddd,ddd,mmmm,mmm,mmmmm,m")</f>
        <v/>
      </c>
      <c r="O109">
        <f>TEXT(44198, "[$-70]dddd,ddd,mmmm,mmm,mmmmm,m")</f>
        <v/>
      </c>
    </row>
    <row r="110">
      <c r="A110" t="inlineStr">
        <is>
          <t>0x72</t>
        </is>
      </c>
      <c r="B110" t="inlineStr">
        <is>
          <t>om</t>
        </is>
      </c>
      <c r="C110">
        <f>TEXT(43836, "[$-72]dddd,ddd,mmmm,mmm,mmmmm,m")</f>
        <v/>
      </c>
      <c r="D110">
        <f>TEXT(43865, "[$-72]dddd,ddd,mmmm,mmm,mmmmm,m")</f>
        <v/>
      </c>
      <c r="E110">
        <f>TEXT(43894, "[$-72]dddd,ddd,mmmm,mmm,mmmmm,m")</f>
        <v/>
      </c>
      <c r="F110">
        <f>TEXT(43923, "[$-72]dddd,ddd,mmmm,mmm,mmmmm,m")</f>
        <v/>
      </c>
      <c r="G110">
        <f>TEXT(43952, "[$-72]dddd,ddd,mmmm,mmm,mmmmm,m")</f>
        <v/>
      </c>
      <c r="H110">
        <f>TEXT(43988, "[$-72]dddd,ddd,mmmm,mmm,mmmmm,m")</f>
        <v/>
      </c>
      <c r="I110">
        <f>TEXT(44017, "[$-72]dddd,ddd,mmmm,mmm,mmmmm,m")</f>
        <v/>
      </c>
      <c r="J110">
        <f>TEXT(44046, "[$-72]dddd,ddd,mmmm,mmm,mmmmm,m")</f>
        <v/>
      </c>
      <c r="K110">
        <f>TEXT(44082, "[$-72]dddd,ddd,mmmm,mmm,mmmmm,m")</f>
        <v/>
      </c>
      <c r="L110">
        <f>TEXT(44111, "[$-72]dddd,ddd,mmmm,mmm,mmmmm,m")</f>
        <v/>
      </c>
      <c r="M110">
        <f>TEXT(44140, "[$-72]dddd,ddd,mmmm,mmm,mmmmm,m")</f>
        <v/>
      </c>
      <c r="N110">
        <f>TEXT(44169, "[$-72]dddd,ddd,mmmm,mmm,mmmmm,m")</f>
        <v/>
      </c>
      <c r="O110">
        <f>TEXT(44198, "[$-72]dddd,ddd,mmmm,mmm,mmmmm,m")</f>
        <v/>
      </c>
    </row>
    <row r="111">
      <c r="A111" t="inlineStr">
        <is>
          <t>0x73</t>
        </is>
      </c>
      <c r="B111" t="inlineStr">
        <is>
          <t>ti</t>
        </is>
      </c>
      <c r="C111">
        <f>TEXT(43836, "[$-73]dddd,ddd,mmmm,mmm,mmmmm,m")</f>
        <v/>
      </c>
      <c r="D111">
        <f>TEXT(43865, "[$-73]dddd,ddd,mmmm,mmm,mmmmm,m")</f>
        <v/>
      </c>
      <c r="E111">
        <f>TEXT(43894, "[$-73]dddd,ddd,mmmm,mmm,mmmmm,m")</f>
        <v/>
      </c>
      <c r="F111">
        <f>TEXT(43923, "[$-73]dddd,ddd,mmmm,mmm,mmmmm,m")</f>
        <v/>
      </c>
      <c r="G111">
        <f>TEXT(43952, "[$-73]dddd,ddd,mmmm,mmm,mmmmm,m")</f>
        <v/>
      </c>
      <c r="H111">
        <f>TEXT(43988, "[$-73]dddd,ddd,mmmm,mmm,mmmmm,m")</f>
        <v/>
      </c>
      <c r="I111">
        <f>TEXT(44017, "[$-73]dddd,ddd,mmmm,mmm,mmmmm,m")</f>
        <v/>
      </c>
      <c r="J111">
        <f>TEXT(44046, "[$-73]dddd,ddd,mmmm,mmm,mmmmm,m")</f>
        <v/>
      </c>
      <c r="K111">
        <f>TEXT(44082, "[$-73]dddd,ddd,mmmm,mmm,mmmmm,m")</f>
        <v/>
      </c>
      <c r="L111">
        <f>TEXT(44111, "[$-73]dddd,ddd,mmmm,mmm,mmmmm,m")</f>
        <v/>
      </c>
      <c r="M111">
        <f>TEXT(44140, "[$-73]dddd,ddd,mmmm,mmm,mmmmm,m")</f>
        <v/>
      </c>
      <c r="N111">
        <f>TEXT(44169, "[$-73]dddd,ddd,mmmm,mmm,mmmmm,m")</f>
        <v/>
      </c>
      <c r="O111">
        <f>TEXT(44198, "[$-73]dddd,ddd,mmmm,mmm,mmmmm,m")</f>
        <v/>
      </c>
    </row>
    <row r="112">
      <c r="A112" t="inlineStr">
        <is>
          <t>0x74</t>
        </is>
      </c>
      <c r="B112" t="inlineStr">
        <is>
          <t>gn</t>
        </is>
      </c>
      <c r="C112">
        <f>TEXT(43836, "[$-74]dddd,ddd,mmmm,mmm,mmmmm,m")</f>
        <v/>
      </c>
      <c r="D112">
        <f>TEXT(43865, "[$-74]dddd,ddd,mmmm,mmm,mmmmm,m")</f>
        <v/>
      </c>
      <c r="E112">
        <f>TEXT(43894, "[$-74]dddd,ddd,mmmm,mmm,mmmmm,m")</f>
        <v/>
      </c>
      <c r="F112">
        <f>TEXT(43923, "[$-74]dddd,ddd,mmmm,mmm,mmmmm,m")</f>
        <v/>
      </c>
      <c r="G112">
        <f>TEXT(43952, "[$-74]dddd,ddd,mmmm,mmm,mmmmm,m")</f>
        <v/>
      </c>
      <c r="H112">
        <f>TEXT(43988, "[$-74]dddd,ddd,mmmm,mmm,mmmmm,m")</f>
        <v/>
      </c>
      <c r="I112">
        <f>TEXT(44017, "[$-74]dddd,ddd,mmmm,mmm,mmmmm,m")</f>
        <v/>
      </c>
      <c r="J112">
        <f>TEXT(44046, "[$-74]dddd,ddd,mmmm,mmm,mmmmm,m")</f>
        <v/>
      </c>
      <c r="K112">
        <f>TEXT(44082, "[$-74]dddd,ddd,mmmm,mmm,mmmmm,m")</f>
        <v/>
      </c>
      <c r="L112">
        <f>TEXT(44111, "[$-74]dddd,ddd,mmmm,mmm,mmmmm,m")</f>
        <v/>
      </c>
      <c r="M112">
        <f>TEXT(44140, "[$-74]dddd,ddd,mmmm,mmm,mmmmm,m")</f>
        <v/>
      </c>
      <c r="N112">
        <f>TEXT(44169, "[$-74]dddd,ddd,mmmm,mmm,mmmmm,m")</f>
        <v/>
      </c>
      <c r="O112">
        <f>TEXT(44198, "[$-74]dddd,ddd,mmmm,mmm,mmmmm,m")</f>
        <v/>
      </c>
    </row>
    <row r="113">
      <c r="A113" t="inlineStr">
        <is>
          <t>0x75</t>
        </is>
      </c>
      <c r="B113" t="inlineStr">
        <is>
          <t>haw</t>
        </is>
      </c>
      <c r="C113">
        <f>TEXT(43836, "[$-75]dddd,ddd,mmmm,mmm,mmmmm,m")</f>
        <v/>
      </c>
      <c r="D113">
        <f>TEXT(43865, "[$-75]dddd,ddd,mmmm,mmm,mmmmm,m")</f>
        <v/>
      </c>
      <c r="E113">
        <f>TEXT(43894, "[$-75]dddd,ddd,mmmm,mmm,mmmmm,m")</f>
        <v/>
      </c>
      <c r="F113">
        <f>TEXT(43923, "[$-75]dddd,ddd,mmmm,mmm,mmmmm,m")</f>
        <v/>
      </c>
      <c r="G113">
        <f>TEXT(43952, "[$-75]dddd,ddd,mmmm,mmm,mmmmm,m")</f>
        <v/>
      </c>
      <c r="H113">
        <f>TEXT(43988, "[$-75]dddd,ddd,mmmm,mmm,mmmmm,m")</f>
        <v/>
      </c>
      <c r="I113">
        <f>TEXT(44017, "[$-75]dddd,ddd,mmmm,mmm,mmmmm,m")</f>
        <v/>
      </c>
      <c r="J113">
        <f>TEXT(44046, "[$-75]dddd,ddd,mmmm,mmm,mmmmm,m")</f>
        <v/>
      </c>
      <c r="K113">
        <f>TEXT(44082, "[$-75]dddd,ddd,mmmm,mmm,mmmmm,m")</f>
        <v/>
      </c>
      <c r="L113">
        <f>TEXT(44111, "[$-75]dddd,ddd,mmmm,mmm,mmmmm,m")</f>
        <v/>
      </c>
      <c r="M113">
        <f>TEXT(44140, "[$-75]dddd,ddd,mmmm,mmm,mmmmm,m")</f>
        <v/>
      </c>
      <c r="N113">
        <f>TEXT(44169, "[$-75]dddd,ddd,mmmm,mmm,mmmmm,m")</f>
        <v/>
      </c>
      <c r="O113">
        <f>TEXT(44198, "[$-75]dddd,ddd,mmmm,mmm,mmmmm,m")</f>
        <v/>
      </c>
    </row>
    <row r="114">
      <c r="A114" t="inlineStr">
        <is>
          <t>0x78</t>
        </is>
      </c>
      <c r="B114" t="inlineStr">
        <is>
          <t>ii</t>
        </is>
      </c>
      <c r="C114">
        <f>TEXT(43836, "[$-78]dddd,ddd,mmmm,mmm,mmmmm,m")</f>
        <v/>
      </c>
      <c r="D114">
        <f>TEXT(43865, "[$-78]dddd,ddd,mmmm,mmm,mmmmm,m")</f>
        <v/>
      </c>
      <c r="E114">
        <f>TEXT(43894, "[$-78]dddd,ddd,mmmm,mmm,mmmmm,m")</f>
        <v/>
      </c>
      <c r="F114">
        <f>TEXT(43923, "[$-78]dddd,ddd,mmmm,mmm,mmmmm,m")</f>
        <v/>
      </c>
      <c r="G114">
        <f>TEXT(43952, "[$-78]dddd,ddd,mmmm,mmm,mmmmm,m")</f>
        <v/>
      </c>
      <c r="H114">
        <f>TEXT(43988, "[$-78]dddd,ddd,mmmm,mmm,mmmmm,m")</f>
        <v/>
      </c>
      <c r="I114">
        <f>TEXT(44017, "[$-78]dddd,ddd,mmmm,mmm,mmmmm,m")</f>
        <v/>
      </c>
      <c r="J114">
        <f>TEXT(44046, "[$-78]dddd,ddd,mmmm,mmm,mmmmm,m")</f>
        <v/>
      </c>
      <c r="K114">
        <f>TEXT(44082, "[$-78]dddd,ddd,mmmm,mmm,mmmmm,m")</f>
        <v/>
      </c>
      <c r="L114">
        <f>TEXT(44111, "[$-78]dddd,ddd,mmmm,mmm,mmmmm,m")</f>
        <v/>
      </c>
      <c r="M114">
        <f>TEXT(44140, "[$-78]dddd,ddd,mmmm,mmm,mmmmm,m")</f>
        <v/>
      </c>
      <c r="N114">
        <f>TEXT(44169, "[$-78]dddd,ddd,mmmm,mmm,mmmmm,m")</f>
        <v/>
      </c>
      <c r="O114">
        <f>TEXT(44198, "[$-78]dddd,ddd,mmmm,mmm,mmmmm,m")</f>
        <v/>
      </c>
    </row>
    <row r="115">
      <c r="A115" t="inlineStr">
        <is>
          <t>0x7A</t>
        </is>
      </c>
      <c r="B115" t="inlineStr">
        <is>
          <t>arn</t>
        </is>
      </c>
      <c r="C115">
        <f>TEXT(43836, "[$-7A]dddd,ddd,mmmm,mmm,mmmmm,m")</f>
        <v/>
      </c>
      <c r="D115">
        <f>TEXT(43865, "[$-7A]dddd,ddd,mmmm,mmm,mmmmm,m")</f>
        <v/>
      </c>
      <c r="E115">
        <f>TEXT(43894, "[$-7A]dddd,ddd,mmmm,mmm,mmmmm,m")</f>
        <v/>
      </c>
      <c r="F115">
        <f>TEXT(43923, "[$-7A]dddd,ddd,mmmm,mmm,mmmmm,m")</f>
        <v/>
      </c>
      <c r="G115">
        <f>TEXT(43952, "[$-7A]dddd,ddd,mmmm,mmm,mmmmm,m")</f>
        <v/>
      </c>
      <c r="H115">
        <f>TEXT(43988, "[$-7A]dddd,ddd,mmmm,mmm,mmmmm,m")</f>
        <v/>
      </c>
      <c r="I115">
        <f>TEXT(44017, "[$-7A]dddd,ddd,mmmm,mmm,mmmmm,m")</f>
        <v/>
      </c>
      <c r="J115">
        <f>TEXT(44046, "[$-7A]dddd,ddd,mmmm,mmm,mmmmm,m")</f>
        <v/>
      </c>
      <c r="K115">
        <f>TEXT(44082, "[$-7A]dddd,ddd,mmmm,mmm,mmmmm,m")</f>
        <v/>
      </c>
      <c r="L115">
        <f>TEXT(44111, "[$-7A]dddd,ddd,mmmm,mmm,mmmmm,m")</f>
        <v/>
      </c>
      <c r="M115">
        <f>TEXT(44140, "[$-7A]dddd,ddd,mmmm,mmm,mmmmm,m")</f>
        <v/>
      </c>
      <c r="N115">
        <f>TEXT(44169, "[$-7A]dddd,ddd,mmmm,mmm,mmmmm,m")</f>
        <v/>
      </c>
      <c r="O115">
        <f>TEXT(44198, "[$-7A]dddd,ddd,mmmm,mmm,mmmmm,m")</f>
        <v/>
      </c>
    </row>
    <row r="116">
      <c r="A116" t="inlineStr">
        <is>
          <t>0x7C</t>
        </is>
      </c>
      <c r="B116" t="inlineStr">
        <is>
          <t>moh</t>
        </is>
      </c>
      <c r="C116">
        <f>TEXT(43836, "[$-7C]dddd,ddd,mmmm,mmm,mmmmm,m")</f>
        <v/>
      </c>
      <c r="D116">
        <f>TEXT(43865, "[$-7C]dddd,ddd,mmmm,mmm,mmmmm,m")</f>
        <v/>
      </c>
      <c r="E116">
        <f>TEXT(43894, "[$-7C]dddd,ddd,mmmm,mmm,mmmmm,m")</f>
        <v/>
      </c>
      <c r="F116">
        <f>TEXT(43923, "[$-7C]dddd,ddd,mmmm,mmm,mmmmm,m")</f>
        <v/>
      </c>
      <c r="G116">
        <f>TEXT(43952, "[$-7C]dddd,ddd,mmmm,mmm,mmmmm,m")</f>
        <v/>
      </c>
      <c r="H116">
        <f>TEXT(43988, "[$-7C]dddd,ddd,mmmm,mmm,mmmmm,m")</f>
        <v/>
      </c>
      <c r="I116">
        <f>TEXT(44017, "[$-7C]dddd,ddd,mmmm,mmm,mmmmm,m")</f>
        <v/>
      </c>
      <c r="J116">
        <f>TEXT(44046, "[$-7C]dddd,ddd,mmmm,mmm,mmmmm,m")</f>
        <v/>
      </c>
      <c r="K116">
        <f>TEXT(44082, "[$-7C]dddd,ddd,mmmm,mmm,mmmmm,m")</f>
        <v/>
      </c>
      <c r="L116">
        <f>TEXT(44111, "[$-7C]dddd,ddd,mmmm,mmm,mmmmm,m")</f>
        <v/>
      </c>
      <c r="M116">
        <f>TEXT(44140, "[$-7C]dddd,ddd,mmmm,mmm,mmmmm,m")</f>
        <v/>
      </c>
      <c r="N116">
        <f>TEXT(44169, "[$-7C]dddd,ddd,mmmm,mmm,mmmmm,m")</f>
        <v/>
      </c>
      <c r="O116">
        <f>TEXT(44198, "[$-7C]dddd,ddd,mmmm,mmm,mmmmm,m")</f>
        <v/>
      </c>
    </row>
    <row r="117">
      <c r="A117" t="inlineStr">
        <is>
          <t>0x7E</t>
        </is>
      </c>
      <c r="B117" t="inlineStr">
        <is>
          <t>br</t>
        </is>
      </c>
      <c r="C117">
        <f>TEXT(43836, "[$-7E]dddd,ddd,mmmm,mmm,mmmmm,m")</f>
        <v/>
      </c>
      <c r="D117">
        <f>TEXT(43865, "[$-7E]dddd,ddd,mmmm,mmm,mmmmm,m")</f>
        <v/>
      </c>
      <c r="E117">
        <f>TEXT(43894, "[$-7E]dddd,ddd,mmmm,mmm,mmmmm,m")</f>
        <v/>
      </c>
      <c r="F117">
        <f>TEXT(43923, "[$-7E]dddd,ddd,mmmm,mmm,mmmmm,m")</f>
        <v/>
      </c>
      <c r="G117">
        <f>TEXT(43952, "[$-7E]dddd,ddd,mmmm,mmm,mmmmm,m")</f>
        <v/>
      </c>
      <c r="H117">
        <f>TEXT(43988, "[$-7E]dddd,ddd,mmmm,mmm,mmmmm,m")</f>
        <v/>
      </c>
      <c r="I117">
        <f>TEXT(44017, "[$-7E]dddd,ddd,mmmm,mmm,mmmmm,m")</f>
        <v/>
      </c>
      <c r="J117">
        <f>TEXT(44046, "[$-7E]dddd,ddd,mmmm,mmm,mmmmm,m")</f>
        <v/>
      </c>
      <c r="K117">
        <f>TEXT(44082, "[$-7E]dddd,ddd,mmmm,mmm,mmmmm,m")</f>
        <v/>
      </c>
      <c r="L117">
        <f>TEXT(44111, "[$-7E]dddd,ddd,mmmm,mmm,mmmmm,m")</f>
        <v/>
      </c>
      <c r="M117">
        <f>TEXT(44140, "[$-7E]dddd,ddd,mmmm,mmm,mmmmm,m")</f>
        <v/>
      </c>
      <c r="N117">
        <f>TEXT(44169, "[$-7E]dddd,ddd,mmmm,mmm,mmmmm,m")</f>
        <v/>
      </c>
      <c r="O117">
        <f>TEXT(44198, "[$-7E]dddd,ddd,mmmm,mmm,mmmmm,m")</f>
        <v/>
      </c>
    </row>
    <row r="118">
      <c r="A118" t="inlineStr">
        <is>
          <t>0x80</t>
        </is>
      </c>
      <c r="B118" t="inlineStr">
        <is>
          <t>ug</t>
        </is>
      </c>
      <c r="C118">
        <f>TEXT(43836, "[$-80]dddd,ddd,mmmm,mmm,mmmmm,m")</f>
        <v/>
      </c>
      <c r="D118">
        <f>TEXT(43865, "[$-80]dddd,ddd,mmmm,mmm,mmmmm,m")</f>
        <v/>
      </c>
      <c r="E118">
        <f>TEXT(43894, "[$-80]dddd,ddd,mmmm,mmm,mmmmm,m")</f>
        <v/>
      </c>
      <c r="F118">
        <f>TEXT(43923, "[$-80]dddd,ddd,mmmm,mmm,mmmmm,m")</f>
        <v/>
      </c>
      <c r="G118">
        <f>TEXT(43952, "[$-80]dddd,ddd,mmmm,mmm,mmmmm,m")</f>
        <v/>
      </c>
      <c r="H118">
        <f>TEXT(43988, "[$-80]dddd,ddd,mmmm,mmm,mmmmm,m")</f>
        <v/>
      </c>
      <c r="I118">
        <f>TEXT(44017, "[$-80]dddd,ddd,mmmm,mmm,mmmmm,m")</f>
        <v/>
      </c>
      <c r="J118">
        <f>TEXT(44046, "[$-80]dddd,ddd,mmmm,mmm,mmmmm,m")</f>
        <v/>
      </c>
      <c r="K118">
        <f>TEXT(44082, "[$-80]dddd,ddd,mmmm,mmm,mmmmm,m")</f>
        <v/>
      </c>
      <c r="L118">
        <f>TEXT(44111, "[$-80]dddd,ddd,mmmm,mmm,mmmmm,m")</f>
        <v/>
      </c>
      <c r="M118">
        <f>TEXT(44140, "[$-80]dddd,ddd,mmmm,mmm,mmmmm,m")</f>
        <v/>
      </c>
      <c r="N118">
        <f>TEXT(44169, "[$-80]dddd,ddd,mmmm,mmm,mmmmm,m")</f>
        <v/>
      </c>
      <c r="O118">
        <f>TEXT(44198, "[$-80]dddd,ddd,mmmm,mmm,mmmmm,m")</f>
        <v/>
      </c>
    </row>
    <row r="119">
      <c r="A119" t="inlineStr">
        <is>
          <t>0x81</t>
        </is>
      </c>
      <c r="B119" t="inlineStr">
        <is>
          <t>mi</t>
        </is>
      </c>
      <c r="C119">
        <f>TEXT(43836, "[$-81]dddd,ddd,mmmm,mmm,mmmmm,m")</f>
        <v/>
      </c>
      <c r="D119">
        <f>TEXT(43865, "[$-81]dddd,ddd,mmmm,mmm,mmmmm,m")</f>
        <v/>
      </c>
      <c r="E119">
        <f>TEXT(43894, "[$-81]dddd,ddd,mmmm,mmm,mmmmm,m")</f>
        <v/>
      </c>
      <c r="F119">
        <f>TEXT(43923, "[$-81]dddd,ddd,mmmm,mmm,mmmmm,m")</f>
        <v/>
      </c>
      <c r="G119">
        <f>TEXT(43952, "[$-81]dddd,ddd,mmmm,mmm,mmmmm,m")</f>
        <v/>
      </c>
      <c r="H119">
        <f>TEXT(43988, "[$-81]dddd,ddd,mmmm,mmm,mmmmm,m")</f>
        <v/>
      </c>
      <c r="I119">
        <f>TEXT(44017, "[$-81]dddd,ddd,mmmm,mmm,mmmmm,m")</f>
        <v/>
      </c>
      <c r="J119">
        <f>TEXT(44046, "[$-81]dddd,ddd,mmmm,mmm,mmmmm,m")</f>
        <v/>
      </c>
      <c r="K119">
        <f>TEXT(44082, "[$-81]dddd,ddd,mmmm,mmm,mmmmm,m")</f>
        <v/>
      </c>
      <c r="L119">
        <f>TEXT(44111, "[$-81]dddd,ddd,mmmm,mmm,mmmmm,m")</f>
        <v/>
      </c>
      <c r="M119">
        <f>TEXT(44140, "[$-81]dddd,ddd,mmmm,mmm,mmmmm,m")</f>
        <v/>
      </c>
      <c r="N119">
        <f>TEXT(44169, "[$-81]dddd,ddd,mmmm,mmm,mmmmm,m")</f>
        <v/>
      </c>
      <c r="O119">
        <f>TEXT(44198, "[$-81]dddd,ddd,mmmm,mmm,mmmmm,m")</f>
        <v/>
      </c>
    </row>
    <row r="120">
      <c r="A120" t="inlineStr">
        <is>
          <t>0x82</t>
        </is>
      </c>
      <c r="B120" t="inlineStr">
        <is>
          <t>oc</t>
        </is>
      </c>
      <c r="C120">
        <f>TEXT(43836, "[$-82]dddd,ddd,mmmm,mmm,mmmmm,m")</f>
        <v/>
      </c>
      <c r="D120">
        <f>TEXT(43865, "[$-82]dddd,ddd,mmmm,mmm,mmmmm,m")</f>
        <v/>
      </c>
      <c r="E120">
        <f>TEXT(43894, "[$-82]dddd,ddd,mmmm,mmm,mmmmm,m")</f>
        <v/>
      </c>
      <c r="F120">
        <f>TEXT(43923, "[$-82]dddd,ddd,mmmm,mmm,mmmmm,m")</f>
        <v/>
      </c>
      <c r="G120">
        <f>TEXT(43952, "[$-82]dddd,ddd,mmmm,mmm,mmmmm,m")</f>
        <v/>
      </c>
      <c r="H120">
        <f>TEXT(43988, "[$-82]dddd,ddd,mmmm,mmm,mmmmm,m")</f>
        <v/>
      </c>
      <c r="I120">
        <f>TEXT(44017, "[$-82]dddd,ddd,mmmm,mmm,mmmmm,m")</f>
        <v/>
      </c>
      <c r="J120">
        <f>TEXT(44046, "[$-82]dddd,ddd,mmmm,mmm,mmmmm,m")</f>
        <v/>
      </c>
      <c r="K120">
        <f>TEXT(44082, "[$-82]dddd,ddd,mmmm,mmm,mmmmm,m")</f>
        <v/>
      </c>
      <c r="L120">
        <f>TEXT(44111, "[$-82]dddd,ddd,mmmm,mmm,mmmmm,m")</f>
        <v/>
      </c>
      <c r="M120">
        <f>TEXT(44140, "[$-82]dddd,ddd,mmmm,mmm,mmmmm,m")</f>
        <v/>
      </c>
      <c r="N120">
        <f>TEXT(44169, "[$-82]dddd,ddd,mmmm,mmm,mmmmm,m")</f>
        <v/>
      </c>
      <c r="O120">
        <f>TEXT(44198, "[$-82]dddd,ddd,mmmm,mmm,mmmmm,m")</f>
        <v/>
      </c>
    </row>
    <row r="121">
      <c r="A121" t="inlineStr">
        <is>
          <t>0x83</t>
        </is>
      </c>
      <c r="B121" t="inlineStr">
        <is>
          <t>co</t>
        </is>
      </c>
      <c r="C121">
        <f>TEXT(43836, "[$-83]dddd,ddd,mmmm,mmm,mmmmm,m")</f>
        <v/>
      </c>
      <c r="D121">
        <f>TEXT(43865, "[$-83]dddd,ddd,mmmm,mmm,mmmmm,m")</f>
        <v/>
      </c>
      <c r="E121">
        <f>TEXT(43894, "[$-83]dddd,ddd,mmmm,mmm,mmmmm,m")</f>
        <v/>
      </c>
      <c r="F121">
        <f>TEXT(43923, "[$-83]dddd,ddd,mmmm,mmm,mmmmm,m")</f>
        <v/>
      </c>
      <c r="G121">
        <f>TEXT(43952, "[$-83]dddd,ddd,mmmm,mmm,mmmmm,m")</f>
        <v/>
      </c>
      <c r="H121">
        <f>TEXT(43988, "[$-83]dddd,ddd,mmmm,mmm,mmmmm,m")</f>
        <v/>
      </c>
      <c r="I121">
        <f>TEXT(44017, "[$-83]dddd,ddd,mmmm,mmm,mmmmm,m")</f>
        <v/>
      </c>
      <c r="J121">
        <f>TEXT(44046, "[$-83]dddd,ddd,mmmm,mmm,mmmmm,m")</f>
        <v/>
      </c>
      <c r="K121">
        <f>TEXT(44082, "[$-83]dddd,ddd,mmmm,mmm,mmmmm,m")</f>
        <v/>
      </c>
      <c r="L121">
        <f>TEXT(44111, "[$-83]dddd,ddd,mmmm,mmm,mmmmm,m")</f>
        <v/>
      </c>
      <c r="M121">
        <f>TEXT(44140, "[$-83]dddd,ddd,mmmm,mmm,mmmmm,m")</f>
        <v/>
      </c>
      <c r="N121">
        <f>TEXT(44169, "[$-83]dddd,ddd,mmmm,mmm,mmmmm,m")</f>
        <v/>
      </c>
      <c r="O121">
        <f>TEXT(44198, "[$-83]dddd,ddd,mmmm,mmm,mmmmm,m")</f>
        <v/>
      </c>
    </row>
    <row r="122">
      <c r="A122" t="inlineStr">
        <is>
          <t>0x84</t>
        </is>
      </c>
      <c r="B122" t="inlineStr">
        <is>
          <t>gsw</t>
        </is>
      </c>
      <c r="C122">
        <f>TEXT(43836, "[$-84]dddd,ddd,mmmm,mmm,mmmmm,m")</f>
        <v/>
      </c>
      <c r="D122">
        <f>TEXT(43865, "[$-84]dddd,ddd,mmmm,mmm,mmmmm,m")</f>
        <v/>
      </c>
      <c r="E122">
        <f>TEXT(43894, "[$-84]dddd,ddd,mmmm,mmm,mmmmm,m")</f>
        <v/>
      </c>
      <c r="F122">
        <f>TEXT(43923, "[$-84]dddd,ddd,mmmm,mmm,mmmmm,m")</f>
        <v/>
      </c>
      <c r="G122">
        <f>TEXT(43952, "[$-84]dddd,ddd,mmmm,mmm,mmmmm,m")</f>
        <v/>
      </c>
      <c r="H122">
        <f>TEXT(43988, "[$-84]dddd,ddd,mmmm,mmm,mmmmm,m")</f>
        <v/>
      </c>
      <c r="I122">
        <f>TEXT(44017, "[$-84]dddd,ddd,mmmm,mmm,mmmmm,m")</f>
        <v/>
      </c>
      <c r="J122">
        <f>TEXT(44046, "[$-84]dddd,ddd,mmmm,mmm,mmmmm,m")</f>
        <v/>
      </c>
      <c r="K122">
        <f>TEXT(44082, "[$-84]dddd,ddd,mmmm,mmm,mmmmm,m")</f>
        <v/>
      </c>
      <c r="L122">
        <f>TEXT(44111, "[$-84]dddd,ddd,mmmm,mmm,mmmmm,m")</f>
        <v/>
      </c>
      <c r="M122">
        <f>TEXT(44140, "[$-84]dddd,ddd,mmmm,mmm,mmmmm,m")</f>
        <v/>
      </c>
      <c r="N122">
        <f>TEXT(44169, "[$-84]dddd,ddd,mmmm,mmm,mmmmm,m")</f>
        <v/>
      </c>
      <c r="O122">
        <f>TEXT(44198, "[$-84]dddd,ddd,mmmm,mmm,mmmmm,m")</f>
        <v/>
      </c>
    </row>
    <row r="123">
      <c r="A123" t="inlineStr">
        <is>
          <t>0x85</t>
        </is>
      </c>
      <c r="B123" t="inlineStr">
        <is>
          <t>sah</t>
        </is>
      </c>
      <c r="C123">
        <f>TEXT(43836, "[$-85]dddd,ddd,mmmm,mmm,mmmmm,m")</f>
        <v/>
      </c>
      <c r="D123">
        <f>TEXT(43865, "[$-85]dddd,ddd,mmmm,mmm,mmmmm,m")</f>
        <v/>
      </c>
      <c r="E123">
        <f>TEXT(43894, "[$-85]dddd,ddd,mmmm,mmm,mmmmm,m")</f>
        <v/>
      </c>
      <c r="F123">
        <f>TEXT(43923, "[$-85]dddd,ddd,mmmm,mmm,mmmmm,m")</f>
        <v/>
      </c>
      <c r="G123">
        <f>TEXT(43952, "[$-85]dddd,ddd,mmmm,mmm,mmmmm,m")</f>
        <v/>
      </c>
      <c r="H123">
        <f>TEXT(43988, "[$-85]dddd,ddd,mmmm,mmm,mmmmm,m")</f>
        <v/>
      </c>
      <c r="I123">
        <f>TEXT(44017, "[$-85]dddd,ddd,mmmm,mmm,mmmmm,m")</f>
        <v/>
      </c>
      <c r="J123">
        <f>TEXT(44046, "[$-85]dddd,ddd,mmmm,mmm,mmmmm,m")</f>
        <v/>
      </c>
      <c r="K123">
        <f>TEXT(44082, "[$-85]dddd,ddd,mmmm,mmm,mmmmm,m")</f>
        <v/>
      </c>
      <c r="L123">
        <f>TEXT(44111, "[$-85]dddd,ddd,mmmm,mmm,mmmmm,m")</f>
        <v/>
      </c>
      <c r="M123">
        <f>TEXT(44140, "[$-85]dddd,ddd,mmmm,mmm,mmmmm,m")</f>
        <v/>
      </c>
      <c r="N123">
        <f>TEXT(44169, "[$-85]dddd,ddd,mmmm,mmm,mmmmm,m")</f>
        <v/>
      </c>
      <c r="O123">
        <f>TEXT(44198, "[$-85]dddd,ddd,mmmm,mmm,mmmmm,m")</f>
        <v/>
      </c>
    </row>
    <row r="124">
      <c r="A124" t="inlineStr">
        <is>
          <t>0x86</t>
        </is>
      </c>
      <c r="B124" t="inlineStr">
        <is>
          <t>qut</t>
        </is>
      </c>
      <c r="C124">
        <f>TEXT(43836, "[$-86]dddd,ddd,mmmm,mmm,mmmmm,m")</f>
        <v/>
      </c>
      <c r="D124">
        <f>TEXT(43865, "[$-86]dddd,ddd,mmmm,mmm,mmmmm,m")</f>
        <v/>
      </c>
      <c r="E124">
        <f>TEXT(43894, "[$-86]dddd,ddd,mmmm,mmm,mmmmm,m")</f>
        <v/>
      </c>
      <c r="F124">
        <f>TEXT(43923, "[$-86]dddd,ddd,mmmm,mmm,mmmmm,m")</f>
        <v/>
      </c>
      <c r="G124">
        <f>TEXT(43952, "[$-86]dddd,ddd,mmmm,mmm,mmmmm,m")</f>
        <v/>
      </c>
      <c r="H124">
        <f>TEXT(43988, "[$-86]dddd,ddd,mmmm,mmm,mmmmm,m")</f>
        <v/>
      </c>
      <c r="I124">
        <f>TEXT(44017, "[$-86]dddd,ddd,mmmm,mmm,mmmmm,m")</f>
        <v/>
      </c>
      <c r="J124">
        <f>TEXT(44046, "[$-86]dddd,ddd,mmmm,mmm,mmmmm,m")</f>
        <v/>
      </c>
      <c r="K124">
        <f>TEXT(44082, "[$-86]dddd,ddd,mmmm,mmm,mmmmm,m")</f>
        <v/>
      </c>
      <c r="L124">
        <f>TEXT(44111, "[$-86]dddd,ddd,mmmm,mmm,mmmmm,m")</f>
        <v/>
      </c>
      <c r="M124">
        <f>TEXT(44140, "[$-86]dddd,ddd,mmmm,mmm,mmmmm,m")</f>
        <v/>
      </c>
      <c r="N124">
        <f>TEXT(44169, "[$-86]dddd,ddd,mmmm,mmm,mmmmm,m")</f>
        <v/>
      </c>
      <c r="O124">
        <f>TEXT(44198, "[$-86]dddd,ddd,mmmm,mmm,mmmmm,m")</f>
        <v/>
      </c>
    </row>
    <row r="125">
      <c r="A125" t="inlineStr">
        <is>
          <t>0x87</t>
        </is>
      </c>
      <c r="B125" t="inlineStr">
        <is>
          <t>rw</t>
        </is>
      </c>
      <c r="C125">
        <f>TEXT(43836, "[$-87]dddd,ddd,mmmm,mmm,mmmmm,m")</f>
        <v/>
      </c>
      <c r="D125">
        <f>TEXT(43865, "[$-87]dddd,ddd,mmmm,mmm,mmmmm,m")</f>
        <v/>
      </c>
      <c r="E125">
        <f>TEXT(43894, "[$-87]dddd,ddd,mmmm,mmm,mmmmm,m")</f>
        <v/>
      </c>
      <c r="F125">
        <f>TEXT(43923, "[$-87]dddd,ddd,mmmm,mmm,mmmmm,m")</f>
        <v/>
      </c>
      <c r="G125">
        <f>TEXT(43952, "[$-87]dddd,ddd,mmmm,mmm,mmmmm,m")</f>
        <v/>
      </c>
      <c r="H125">
        <f>TEXT(43988, "[$-87]dddd,ddd,mmmm,mmm,mmmmm,m")</f>
        <v/>
      </c>
      <c r="I125">
        <f>TEXT(44017, "[$-87]dddd,ddd,mmmm,mmm,mmmmm,m")</f>
        <v/>
      </c>
      <c r="J125">
        <f>TEXT(44046, "[$-87]dddd,ddd,mmmm,mmm,mmmmm,m")</f>
        <v/>
      </c>
      <c r="K125">
        <f>TEXT(44082, "[$-87]dddd,ddd,mmmm,mmm,mmmmm,m")</f>
        <v/>
      </c>
      <c r="L125">
        <f>TEXT(44111, "[$-87]dddd,ddd,mmmm,mmm,mmmmm,m")</f>
        <v/>
      </c>
      <c r="M125">
        <f>TEXT(44140, "[$-87]dddd,ddd,mmmm,mmm,mmmmm,m")</f>
        <v/>
      </c>
      <c r="N125">
        <f>TEXT(44169, "[$-87]dddd,ddd,mmmm,mmm,mmmmm,m")</f>
        <v/>
      </c>
      <c r="O125">
        <f>TEXT(44198, "[$-87]dddd,ddd,mmmm,mmm,mmmmm,m")</f>
        <v/>
      </c>
    </row>
    <row r="126">
      <c r="A126" t="inlineStr">
        <is>
          <t>0x88</t>
        </is>
      </c>
      <c r="B126" t="inlineStr">
        <is>
          <t>wo</t>
        </is>
      </c>
      <c r="C126">
        <f>TEXT(43836, "[$-88]dddd,ddd,mmmm,mmm,mmmmm,m")</f>
        <v/>
      </c>
      <c r="D126">
        <f>TEXT(43865, "[$-88]dddd,ddd,mmmm,mmm,mmmmm,m")</f>
        <v/>
      </c>
      <c r="E126">
        <f>TEXT(43894, "[$-88]dddd,ddd,mmmm,mmm,mmmmm,m")</f>
        <v/>
      </c>
      <c r="F126">
        <f>TEXT(43923, "[$-88]dddd,ddd,mmmm,mmm,mmmmm,m")</f>
        <v/>
      </c>
      <c r="G126">
        <f>TEXT(43952, "[$-88]dddd,ddd,mmmm,mmm,mmmmm,m")</f>
        <v/>
      </c>
      <c r="H126">
        <f>TEXT(43988, "[$-88]dddd,ddd,mmmm,mmm,mmmmm,m")</f>
        <v/>
      </c>
      <c r="I126">
        <f>TEXT(44017, "[$-88]dddd,ddd,mmmm,mmm,mmmmm,m")</f>
        <v/>
      </c>
      <c r="J126">
        <f>TEXT(44046, "[$-88]dddd,ddd,mmmm,mmm,mmmmm,m")</f>
        <v/>
      </c>
      <c r="K126">
        <f>TEXT(44082, "[$-88]dddd,ddd,mmmm,mmm,mmmmm,m")</f>
        <v/>
      </c>
      <c r="L126">
        <f>TEXT(44111, "[$-88]dddd,ddd,mmmm,mmm,mmmmm,m")</f>
        <v/>
      </c>
      <c r="M126">
        <f>TEXT(44140, "[$-88]dddd,ddd,mmmm,mmm,mmmmm,m")</f>
        <v/>
      </c>
      <c r="N126">
        <f>TEXT(44169, "[$-88]dddd,ddd,mmmm,mmm,mmmmm,m")</f>
        <v/>
      </c>
      <c r="O126">
        <f>TEXT(44198, "[$-88]dddd,ddd,mmmm,mmm,mmmmm,m")</f>
        <v/>
      </c>
    </row>
    <row r="127">
      <c r="A127" t="inlineStr">
        <is>
          <t>0x8C</t>
        </is>
      </c>
      <c r="B127" t="inlineStr">
        <is>
          <t>prs</t>
        </is>
      </c>
      <c r="C127">
        <f>TEXT(43836, "[$-8C]dddd,ddd,mmmm,mmm,mmmmm,m")</f>
        <v/>
      </c>
      <c r="D127">
        <f>TEXT(43865, "[$-8C]dddd,ddd,mmmm,mmm,mmmmm,m")</f>
        <v/>
      </c>
      <c r="E127">
        <f>TEXT(43894, "[$-8C]dddd,ddd,mmmm,mmm,mmmmm,m")</f>
        <v/>
      </c>
      <c r="F127">
        <f>TEXT(43923, "[$-8C]dddd,ddd,mmmm,mmm,mmmmm,m")</f>
        <v/>
      </c>
      <c r="G127">
        <f>TEXT(43952, "[$-8C]dddd,ddd,mmmm,mmm,mmmmm,m")</f>
        <v/>
      </c>
      <c r="H127">
        <f>TEXT(43988, "[$-8C]dddd,ddd,mmmm,mmm,mmmmm,m")</f>
        <v/>
      </c>
      <c r="I127">
        <f>TEXT(44017, "[$-8C]dddd,ddd,mmmm,mmm,mmmmm,m")</f>
        <v/>
      </c>
      <c r="J127">
        <f>TEXT(44046, "[$-8C]dddd,ddd,mmmm,mmm,mmmmm,m")</f>
        <v/>
      </c>
      <c r="K127">
        <f>TEXT(44082, "[$-8C]dddd,ddd,mmmm,mmm,mmmmm,m")</f>
        <v/>
      </c>
      <c r="L127">
        <f>TEXT(44111, "[$-8C]dddd,ddd,mmmm,mmm,mmmmm,m")</f>
        <v/>
      </c>
      <c r="M127">
        <f>TEXT(44140, "[$-8C]dddd,ddd,mmmm,mmm,mmmmm,m")</f>
        <v/>
      </c>
      <c r="N127">
        <f>TEXT(44169, "[$-8C]dddd,ddd,mmmm,mmm,mmmmm,m")</f>
        <v/>
      </c>
      <c r="O127">
        <f>TEXT(44198, "[$-8C]dddd,ddd,mmmm,mmm,mmmmm,m")</f>
        <v/>
      </c>
    </row>
    <row r="128">
      <c r="A128" t="inlineStr">
        <is>
          <t>0x91</t>
        </is>
      </c>
      <c r="B128" t="inlineStr">
        <is>
          <t>gd</t>
        </is>
      </c>
      <c r="C128">
        <f>TEXT(43836, "[$-91]dddd,ddd,mmmm,mmm,mmmmm,m")</f>
        <v/>
      </c>
      <c r="D128">
        <f>TEXT(43865, "[$-91]dddd,ddd,mmmm,mmm,mmmmm,m")</f>
        <v/>
      </c>
      <c r="E128">
        <f>TEXT(43894, "[$-91]dddd,ddd,mmmm,mmm,mmmmm,m")</f>
        <v/>
      </c>
      <c r="F128">
        <f>TEXT(43923, "[$-91]dddd,ddd,mmmm,mmm,mmmmm,m")</f>
        <v/>
      </c>
      <c r="G128">
        <f>TEXT(43952, "[$-91]dddd,ddd,mmmm,mmm,mmmmm,m")</f>
        <v/>
      </c>
      <c r="H128">
        <f>TEXT(43988, "[$-91]dddd,ddd,mmmm,mmm,mmmmm,m")</f>
        <v/>
      </c>
      <c r="I128">
        <f>TEXT(44017, "[$-91]dddd,ddd,mmmm,mmm,mmmmm,m")</f>
        <v/>
      </c>
      <c r="J128">
        <f>TEXT(44046, "[$-91]dddd,ddd,mmmm,mmm,mmmmm,m")</f>
        <v/>
      </c>
      <c r="K128">
        <f>TEXT(44082, "[$-91]dddd,ddd,mmmm,mmm,mmmmm,m")</f>
        <v/>
      </c>
      <c r="L128">
        <f>TEXT(44111, "[$-91]dddd,ddd,mmmm,mmm,mmmmm,m")</f>
        <v/>
      </c>
      <c r="M128">
        <f>TEXT(44140, "[$-91]dddd,ddd,mmmm,mmm,mmmmm,m")</f>
        <v/>
      </c>
      <c r="N128">
        <f>TEXT(44169, "[$-91]dddd,ddd,mmmm,mmm,mmmmm,m")</f>
        <v/>
      </c>
      <c r="O128">
        <f>TEXT(44198, "[$-91]dddd,ddd,mmmm,mmm,mmmmm,m")</f>
        <v/>
      </c>
    </row>
    <row r="129">
      <c r="A129" t="inlineStr">
        <is>
          <t>0x92</t>
        </is>
      </c>
      <c r="B129" t="inlineStr">
        <is>
          <t>ku</t>
        </is>
      </c>
      <c r="C129">
        <f>TEXT(43836, "[$-92]dddd,ddd,mmmm,mmm,mmmmm,m")</f>
        <v/>
      </c>
      <c r="D129">
        <f>TEXT(43865, "[$-92]dddd,ddd,mmmm,mmm,mmmmm,m")</f>
        <v/>
      </c>
      <c r="E129">
        <f>TEXT(43894, "[$-92]dddd,ddd,mmmm,mmm,mmmmm,m")</f>
        <v/>
      </c>
      <c r="F129">
        <f>TEXT(43923, "[$-92]dddd,ddd,mmmm,mmm,mmmmm,m")</f>
        <v/>
      </c>
      <c r="G129">
        <f>TEXT(43952, "[$-92]dddd,ddd,mmmm,mmm,mmmmm,m")</f>
        <v/>
      </c>
      <c r="H129">
        <f>TEXT(43988, "[$-92]dddd,ddd,mmmm,mmm,mmmmm,m")</f>
        <v/>
      </c>
      <c r="I129">
        <f>TEXT(44017, "[$-92]dddd,ddd,mmmm,mmm,mmmmm,m")</f>
        <v/>
      </c>
      <c r="J129">
        <f>TEXT(44046, "[$-92]dddd,ddd,mmmm,mmm,mmmmm,m")</f>
        <v/>
      </c>
      <c r="K129">
        <f>TEXT(44082, "[$-92]dddd,ddd,mmmm,mmm,mmmmm,m")</f>
        <v/>
      </c>
      <c r="L129">
        <f>TEXT(44111, "[$-92]dddd,ddd,mmmm,mmm,mmmmm,m")</f>
        <v/>
      </c>
      <c r="M129">
        <f>TEXT(44140, "[$-92]dddd,ddd,mmmm,mmm,mmmmm,m")</f>
        <v/>
      </c>
      <c r="N129">
        <f>TEXT(44169, "[$-92]dddd,ddd,mmmm,mmm,mmmmm,m")</f>
        <v/>
      </c>
      <c r="O129">
        <f>TEXT(44198, "[$-92]dddd,ddd,mmmm,mmm,mmmmm,m")</f>
        <v/>
      </c>
    </row>
    <row r="130">
      <c r="A130" t="inlineStr">
        <is>
          <t>0x401</t>
        </is>
      </c>
      <c r="B130" t="inlineStr">
        <is>
          <t>ar-SA</t>
        </is>
      </c>
      <c r="C130">
        <f>TEXT(43836, "[$-401]dddd,ddd,mmmm,mmm,mmmmm,m")</f>
        <v/>
      </c>
      <c r="D130">
        <f>TEXT(43865, "[$-401]dddd,ddd,mmmm,mmm,mmmmm,m")</f>
        <v/>
      </c>
      <c r="E130">
        <f>TEXT(43894, "[$-401]dddd,ddd,mmmm,mmm,mmmmm,m")</f>
        <v/>
      </c>
      <c r="F130">
        <f>TEXT(43923, "[$-401]dddd,ddd,mmmm,mmm,mmmmm,m")</f>
        <v/>
      </c>
      <c r="G130">
        <f>TEXT(43952, "[$-401]dddd,ddd,mmmm,mmm,mmmmm,m")</f>
        <v/>
      </c>
      <c r="H130">
        <f>TEXT(43988, "[$-401]dddd,ddd,mmmm,mmm,mmmmm,m")</f>
        <v/>
      </c>
      <c r="I130">
        <f>TEXT(44017, "[$-401]dddd,ddd,mmmm,mmm,mmmmm,m")</f>
        <v/>
      </c>
      <c r="J130">
        <f>TEXT(44046, "[$-401]dddd,ddd,mmmm,mmm,mmmmm,m")</f>
        <v/>
      </c>
      <c r="K130">
        <f>TEXT(44082, "[$-401]dddd,ddd,mmmm,mmm,mmmmm,m")</f>
        <v/>
      </c>
      <c r="L130">
        <f>TEXT(44111, "[$-401]dddd,ddd,mmmm,mmm,mmmmm,m")</f>
        <v/>
      </c>
      <c r="M130">
        <f>TEXT(44140, "[$-401]dddd,ddd,mmmm,mmm,mmmmm,m")</f>
        <v/>
      </c>
      <c r="N130">
        <f>TEXT(44169, "[$-401]dddd,ddd,mmmm,mmm,mmmmm,m")</f>
        <v/>
      </c>
      <c r="O130">
        <f>TEXT(44198, "[$-401]dddd,ddd,mmmm,mmm,mmmmm,m")</f>
        <v/>
      </c>
    </row>
    <row r="131">
      <c r="A131" t="inlineStr">
        <is>
          <t>0x402</t>
        </is>
      </c>
      <c r="B131" t="inlineStr">
        <is>
          <t>bg-BG</t>
        </is>
      </c>
      <c r="C131">
        <f>TEXT(43836, "[$-402]dddd,ddd,mmmm,mmm,mmmmm,m")</f>
        <v/>
      </c>
      <c r="D131">
        <f>TEXT(43865, "[$-402]dddd,ddd,mmmm,mmm,mmmmm,m")</f>
        <v/>
      </c>
      <c r="E131">
        <f>TEXT(43894, "[$-402]dddd,ddd,mmmm,mmm,mmmmm,m")</f>
        <v/>
      </c>
      <c r="F131">
        <f>TEXT(43923, "[$-402]dddd,ddd,mmmm,mmm,mmmmm,m")</f>
        <v/>
      </c>
      <c r="G131">
        <f>TEXT(43952, "[$-402]dddd,ddd,mmmm,mmm,mmmmm,m")</f>
        <v/>
      </c>
      <c r="H131">
        <f>TEXT(43988, "[$-402]dddd,ddd,mmmm,mmm,mmmmm,m")</f>
        <v/>
      </c>
      <c r="I131">
        <f>TEXT(44017, "[$-402]dddd,ddd,mmmm,mmm,mmmmm,m")</f>
        <v/>
      </c>
      <c r="J131">
        <f>TEXT(44046, "[$-402]dddd,ddd,mmmm,mmm,mmmmm,m")</f>
        <v/>
      </c>
      <c r="K131">
        <f>TEXT(44082, "[$-402]dddd,ddd,mmmm,mmm,mmmmm,m")</f>
        <v/>
      </c>
      <c r="L131">
        <f>TEXT(44111, "[$-402]dddd,ddd,mmmm,mmm,mmmmm,m")</f>
        <v/>
      </c>
      <c r="M131">
        <f>TEXT(44140, "[$-402]dddd,ddd,mmmm,mmm,mmmmm,m")</f>
        <v/>
      </c>
      <c r="N131">
        <f>TEXT(44169, "[$-402]dddd,ddd,mmmm,mmm,mmmmm,m")</f>
        <v/>
      </c>
      <c r="O131">
        <f>TEXT(44198, "[$-402]dddd,ddd,mmmm,mmm,mmmmm,m")</f>
        <v/>
      </c>
    </row>
    <row r="132">
      <c r="A132" t="inlineStr">
        <is>
          <t>0x403</t>
        </is>
      </c>
      <c r="B132" t="inlineStr">
        <is>
          <t>ca-ES</t>
        </is>
      </c>
      <c r="C132">
        <f>TEXT(43836, "[$-403]dddd,ddd,mmmm,mmm,mmmmm,m")</f>
        <v/>
      </c>
      <c r="D132">
        <f>TEXT(43865, "[$-403]dddd,ddd,mmmm,mmm,mmmmm,m")</f>
        <v/>
      </c>
      <c r="E132">
        <f>TEXT(43894, "[$-403]dddd,ddd,mmmm,mmm,mmmmm,m")</f>
        <v/>
      </c>
      <c r="F132">
        <f>TEXT(43923, "[$-403]dddd,ddd,mmmm,mmm,mmmmm,m")</f>
        <v/>
      </c>
      <c r="G132">
        <f>TEXT(43952, "[$-403]dddd,ddd,mmmm,mmm,mmmmm,m")</f>
        <v/>
      </c>
      <c r="H132">
        <f>TEXT(43988, "[$-403]dddd,ddd,mmmm,mmm,mmmmm,m")</f>
        <v/>
      </c>
      <c r="I132">
        <f>TEXT(44017, "[$-403]dddd,ddd,mmmm,mmm,mmmmm,m")</f>
        <v/>
      </c>
      <c r="J132">
        <f>TEXT(44046, "[$-403]dddd,ddd,mmmm,mmm,mmmmm,m")</f>
        <v/>
      </c>
      <c r="K132">
        <f>TEXT(44082, "[$-403]dddd,ddd,mmmm,mmm,mmmmm,m")</f>
        <v/>
      </c>
      <c r="L132">
        <f>TEXT(44111, "[$-403]dddd,ddd,mmmm,mmm,mmmmm,m")</f>
        <v/>
      </c>
      <c r="M132">
        <f>TEXT(44140, "[$-403]dddd,ddd,mmmm,mmm,mmmmm,m")</f>
        <v/>
      </c>
      <c r="N132">
        <f>TEXT(44169, "[$-403]dddd,ddd,mmmm,mmm,mmmmm,m")</f>
        <v/>
      </c>
      <c r="O132">
        <f>TEXT(44198, "[$-403]dddd,ddd,mmmm,mmm,mmmmm,m")</f>
        <v/>
      </c>
    </row>
    <row r="133">
      <c r="A133" t="inlineStr">
        <is>
          <t>0x1E000404</t>
        </is>
      </c>
      <c r="B133" t="inlineStr">
        <is>
          <t>zh-TW</t>
        </is>
      </c>
      <c r="C133">
        <f>TEXT(43836, "[$-1E000404]dddd,ddd,mmmm,mmm,mmmmm,m")</f>
        <v/>
      </c>
      <c r="D133">
        <f>TEXT(43865, "[$-1E000404]dddd,ddd,mmmm,mmm,mmmmm,m")</f>
        <v/>
      </c>
      <c r="E133">
        <f>TEXT(43894, "[$-1E000404]dddd,ddd,mmmm,mmm,mmmmm,m")</f>
        <v/>
      </c>
      <c r="F133">
        <f>TEXT(43923, "[$-1E000404]dddd,ddd,mmmm,mmm,mmmmm,m")</f>
        <v/>
      </c>
      <c r="G133">
        <f>TEXT(43952, "[$-1E000404]dddd,ddd,mmmm,mmm,mmmmm,m")</f>
        <v/>
      </c>
      <c r="H133">
        <f>TEXT(43988, "[$-1E000404]dddd,ddd,mmmm,mmm,mmmmm,m")</f>
        <v/>
      </c>
      <c r="I133">
        <f>TEXT(44017, "[$-1E000404]dddd,ddd,mmmm,mmm,mmmmm,m")</f>
        <v/>
      </c>
      <c r="J133">
        <f>TEXT(44046, "[$-1E000404]dddd,ddd,mmmm,mmm,mmmmm,m")</f>
        <v/>
      </c>
      <c r="K133">
        <f>TEXT(44082, "[$-1E000404]dddd,ddd,mmmm,mmm,mmmmm,m")</f>
        <v/>
      </c>
      <c r="L133">
        <f>TEXT(44111, "[$-1E000404]dddd,ddd,mmmm,mmm,mmmmm,m")</f>
        <v/>
      </c>
      <c r="M133">
        <f>TEXT(44140, "[$-1E000404]dddd,ddd,mmmm,mmm,mmmmm,m")</f>
        <v/>
      </c>
      <c r="N133">
        <f>TEXT(44169, "[$-1E000404]dddd,ddd,mmmm,mmm,mmmmm,m")</f>
        <v/>
      </c>
      <c r="O133">
        <f>TEXT(44198, "[$-1E000404]dddd,ddd,mmmm,mmm,mmmmm,m")</f>
        <v/>
      </c>
    </row>
    <row r="134">
      <c r="A134" t="inlineStr">
        <is>
          <t>0x405</t>
        </is>
      </c>
      <c r="B134" t="inlineStr">
        <is>
          <t>cs-CZ</t>
        </is>
      </c>
      <c r="C134">
        <f>TEXT(43836, "[$-405]dddd,ddd,mmmm,mmm,mmmmm,m")</f>
        <v/>
      </c>
      <c r="D134">
        <f>TEXT(43865, "[$-405]dddd,ddd,mmmm,mmm,mmmmm,m")</f>
        <v/>
      </c>
      <c r="E134">
        <f>TEXT(43894, "[$-405]dddd,ddd,mmmm,mmm,mmmmm,m")</f>
        <v/>
      </c>
      <c r="F134">
        <f>TEXT(43923, "[$-405]dddd,ddd,mmmm,mmm,mmmmm,m")</f>
        <v/>
      </c>
      <c r="G134">
        <f>TEXT(43952, "[$-405]dddd,ddd,mmmm,mmm,mmmmm,m")</f>
        <v/>
      </c>
      <c r="H134">
        <f>TEXT(43988, "[$-405]dddd,ddd,mmmm,mmm,mmmmm,m")</f>
        <v/>
      </c>
      <c r="I134">
        <f>TEXT(44017, "[$-405]dddd,ddd,mmmm,mmm,mmmmm,m")</f>
        <v/>
      </c>
      <c r="J134">
        <f>TEXT(44046, "[$-405]dddd,ddd,mmmm,mmm,mmmmm,m")</f>
        <v/>
      </c>
      <c r="K134">
        <f>TEXT(44082, "[$-405]dddd,ddd,mmmm,mmm,mmmmm,m")</f>
        <v/>
      </c>
      <c r="L134">
        <f>TEXT(44111, "[$-405]dddd,ddd,mmmm,mmm,mmmmm,m")</f>
        <v/>
      </c>
      <c r="M134">
        <f>TEXT(44140, "[$-405]dddd,ddd,mmmm,mmm,mmmmm,m")</f>
        <v/>
      </c>
      <c r="N134">
        <f>TEXT(44169, "[$-405]dddd,ddd,mmmm,mmm,mmmmm,m")</f>
        <v/>
      </c>
      <c r="O134">
        <f>TEXT(44198, "[$-405]dddd,ddd,mmmm,mmm,mmmmm,m")</f>
        <v/>
      </c>
    </row>
    <row r="135">
      <c r="A135" t="inlineStr">
        <is>
          <t>0x406</t>
        </is>
      </c>
      <c r="B135" t="inlineStr">
        <is>
          <t>da-DK</t>
        </is>
      </c>
      <c r="C135">
        <f>TEXT(43836, "[$-406]dddd,ddd,mmmm,mmm,mmmmm,m")</f>
        <v/>
      </c>
      <c r="D135">
        <f>TEXT(43865, "[$-406]dddd,ddd,mmmm,mmm,mmmmm,m")</f>
        <v/>
      </c>
      <c r="E135">
        <f>TEXT(43894, "[$-406]dddd,ddd,mmmm,mmm,mmmmm,m")</f>
        <v/>
      </c>
      <c r="F135">
        <f>TEXT(43923, "[$-406]dddd,ddd,mmmm,mmm,mmmmm,m")</f>
        <v/>
      </c>
      <c r="G135">
        <f>TEXT(43952, "[$-406]dddd,ddd,mmmm,mmm,mmmmm,m")</f>
        <v/>
      </c>
      <c r="H135">
        <f>TEXT(43988, "[$-406]dddd,ddd,mmmm,mmm,mmmmm,m")</f>
        <v/>
      </c>
      <c r="I135">
        <f>TEXT(44017, "[$-406]dddd,ddd,mmmm,mmm,mmmmm,m")</f>
        <v/>
      </c>
      <c r="J135">
        <f>TEXT(44046, "[$-406]dddd,ddd,mmmm,mmm,mmmmm,m")</f>
        <v/>
      </c>
      <c r="K135">
        <f>TEXT(44082, "[$-406]dddd,ddd,mmmm,mmm,mmmmm,m")</f>
        <v/>
      </c>
      <c r="L135">
        <f>TEXT(44111, "[$-406]dddd,ddd,mmmm,mmm,mmmmm,m")</f>
        <v/>
      </c>
      <c r="M135">
        <f>TEXT(44140, "[$-406]dddd,ddd,mmmm,mmm,mmmmm,m")</f>
        <v/>
      </c>
      <c r="N135">
        <f>TEXT(44169, "[$-406]dddd,ddd,mmmm,mmm,mmmmm,m")</f>
        <v/>
      </c>
      <c r="O135">
        <f>TEXT(44198, "[$-406]dddd,ddd,mmmm,mmm,mmmmm,m")</f>
        <v/>
      </c>
    </row>
    <row r="136">
      <c r="A136" t="inlineStr">
        <is>
          <t>0x407</t>
        </is>
      </c>
      <c r="B136" t="inlineStr">
        <is>
          <t>de-DE</t>
        </is>
      </c>
      <c r="C136">
        <f>TEXT(43836, "[$-407]dddd,ddd,mmmm,mmm,mmmmm,m")</f>
        <v/>
      </c>
      <c r="D136">
        <f>TEXT(43865, "[$-407]dddd,ddd,mmmm,mmm,mmmmm,m")</f>
        <v/>
      </c>
      <c r="E136">
        <f>TEXT(43894, "[$-407]dddd,ddd,mmmm,mmm,mmmmm,m")</f>
        <v/>
      </c>
      <c r="F136">
        <f>TEXT(43923, "[$-407]dddd,ddd,mmmm,mmm,mmmmm,m")</f>
        <v/>
      </c>
      <c r="G136">
        <f>TEXT(43952, "[$-407]dddd,ddd,mmmm,mmm,mmmmm,m")</f>
        <v/>
      </c>
      <c r="H136">
        <f>TEXT(43988, "[$-407]dddd,ddd,mmmm,mmm,mmmmm,m")</f>
        <v/>
      </c>
      <c r="I136">
        <f>TEXT(44017, "[$-407]dddd,ddd,mmmm,mmm,mmmmm,m")</f>
        <v/>
      </c>
      <c r="J136">
        <f>TEXT(44046, "[$-407]dddd,ddd,mmmm,mmm,mmmmm,m")</f>
        <v/>
      </c>
      <c r="K136">
        <f>TEXT(44082, "[$-407]dddd,ddd,mmmm,mmm,mmmmm,m")</f>
        <v/>
      </c>
      <c r="L136">
        <f>TEXT(44111, "[$-407]dddd,ddd,mmmm,mmm,mmmmm,m")</f>
        <v/>
      </c>
      <c r="M136">
        <f>TEXT(44140, "[$-407]dddd,ddd,mmmm,mmm,mmmmm,m")</f>
        <v/>
      </c>
      <c r="N136">
        <f>TEXT(44169, "[$-407]dddd,ddd,mmmm,mmm,mmmmm,m")</f>
        <v/>
      </c>
      <c r="O136">
        <f>TEXT(44198, "[$-407]dddd,ddd,mmmm,mmm,mmmmm,m")</f>
        <v/>
      </c>
    </row>
    <row r="137">
      <c r="A137" t="inlineStr">
        <is>
          <t>0x408</t>
        </is>
      </c>
      <c r="B137" t="inlineStr">
        <is>
          <t>el-GR</t>
        </is>
      </c>
      <c r="C137">
        <f>TEXT(43836, "[$-408]dddd,ddd,mmmm,mmm,mmmmm,m")</f>
        <v/>
      </c>
      <c r="D137">
        <f>TEXT(43865, "[$-408]dddd,ddd,mmmm,mmm,mmmmm,m")</f>
        <v/>
      </c>
      <c r="E137">
        <f>TEXT(43894, "[$-408]dddd,ddd,mmmm,mmm,mmmmm,m")</f>
        <v/>
      </c>
      <c r="F137">
        <f>TEXT(43923, "[$-408]dddd,ddd,mmmm,mmm,mmmmm,m")</f>
        <v/>
      </c>
      <c r="G137">
        <f>TEXT(43952, "[$-408]dddd,ddd,mmmm,mmm,mmmmm,m")</f>
        <v/>
      </c>
      <c r="H137">
        <f>TEXT(43988, "[$-408]dddd,ddd,mmmm,mmm,mmmmm,m")</f>
        <v/>
      </c>
      <c r="I137">
        <f>TEXT(44017, "[$-408]dddd,ddd,mmmm,mmm,mmmmm,m")</f>
        <v/>
      </c>
      <c r="J137">
        <f>TEXT(44046, "[$-408]dddd,ddd,mmmm,mmm,mmmmm,m")</f>
        <v/>
      </c>
      <c r="K137">
        <f>TEXT(44082, "[$-408]dddd,ddd,mmmm,mmm,mmmmm,m")</f>
        <v/>
      </c>
      <c r="L137">
        <f>TEXT(44111, "[$-408]dddd,ddd,mmmm,mmm,mmmmm,m")</f>
        <v/>
      </c>
      <c r="M137">
        <f>TEXT(44140, "[$-408]dddd,ddd,mmmm,mmm,mmmmm,m")</f>
        <v/>
      </c>
      <c r="N137">
        <f>TEXT(44169, "[$-408]dddd,ddd,mmmm,mmm,mmmmm,m")</f>
        <v/>
      </c>
      <c r="O137">
        <f>TEXT(44198, "[$-408]dddd,ddd,mmmm,mmm,mmmmm,m")</f>
        <v/>
      </c>
    </row>
    <row r="138">
      <c r="A138" t="inlineStr">
        <is>
          <t>0x409</t>
        </is>
      </c>
      <c r="B138" t="inlineStr">
        <is>
          <t>en-US</t>
        </is>
      </c>
      <c r="C138">
        <f>TEXT(43836, "[$-409]dddd,ddd,mmmm,mmm,mmmmm,m")</f>
        <v/>
      </c>
      <c r="D138">
        <f>TEXT(43865, "[$-409]dddd,ddd,mmmm,mmm,mmmmm,m")</f>
        <v/>
      </c>
      <c r="E138">
        <f>TEXT(43894, "[$-409]dddd,ddd,mmmm,mmm,mmmmm,m")</f>
        <v/>
      </c>
      <c r="F138">
        <f>TEXT(43923, "[$-409]dddd,ddd,mmmm,mmm,mmmmm,m")</f>
        <v/>
      </c>
      <c r="G138">
        <f>TEXT(43952, "[$-409]dddd,ddd,mmmm,mmm,mmmmm,m")</f>
        <v/>
      </c>
      <c r="H138">
        <f>TEXT(43988, "[$-409]dddd,ddd,mmmm,mmm,mmmmm,m")</f>
        <v/>
      </c>
      <c r="I138">
        <f>TEXT(44017, "[$-409]dddd,ddd,mmmm,mmm,mmmmm,m")</f>
        <v/>
      </c>
      <c r="J138">
        <f>TEXT(44046, "[$-409]dddd,ddd,mmmm,mmm,mmmmm,m")</f>
        <v/>
      </c>
      <c r="K138">
        <f>TEXT(44082, "[$-409]dddd,ddd,mmmm,mmm,mmmmm,m")</f>
        <v/>
      </c>
      <c r="L138">
        <f>TEXT(44111, "[$-409]dddd,ddd,mmmm,mmm,mmmmm,m")</f>
        <v/>
      </c>
      <c r="M138">
        <f>TEXT(44140, "[$-409]dddd,ddd,mmmm,mmm,mmmmm,m")</f>
        <v/>
      </c>
      <c r="N138">
        <f>TEXT(44169, "[$-409]dddd,ddd,mmmm,mmm,mmmmm,m")</f>
        <v/>
      </c>
      <c r="O138">
        <f>TEXT(44198, "[$-409]dddd,ddd,mmmm,mmm,mmmmm,m")</f>
        <v/>
      </c>
    </row>
    <row r="139">
      <c r="A139" t="inlineStr">
        <is>
          <t>0x40A</t>
        </is>
      </c>
      <c r="B139" t="inlineStr">
        <is>
          <t>es-ES_tradnl</t>
        </is>
      </c>
      <c r="C139">
        <f>TEXT(43836, "[$-40A]dddd,ddd,mmmm,mmm,mmmmm,m")</f>
        <v/>
      </c>
      <c r="D139">
        <f>TEXT(43865, "[$-40A]dddd,ddd,mmmm,mmm,mmmmm,m")</f>
        <v/>
      </c>
      <c r="E139">
        <f>TEXT(43894, "[$-40A]dddd,ddd,mmmm,mmm,mmmmm,m")</f>
        <v/>
      </c>
      <c r="F139">
        <f>TEXT(43923, "[$-40A]dddd,ddd,mmmm,mmm,mmmmm,m")</f>
        <v/>
      </c>
      <c r="G139">
        <f>TEXT(43952, "[$-40A]dddd,ddd,mmmm,mmm,mmmmm,m")</f>
        <v/>
      </c>
      <c r="H139">
        <f>TEXT(43988, "[$-40A]dddd,ddd,mmmm,mmm,mmmmm,m")</f>
        <v/>
      </c>
      <c r="I139">
        <f>TEXT(44017, "[$-40A]dddd,ddd,mmmm,mmm,mmmmm,m")</f>
        <v/>
      </c>
      <c r="J139">
        <f>TEXT(44046, "[$-40A]dddd,ddd,mmmm,mmm,mmmmm,m")</f>
        <v/>
      </c>
      <c r="K139">
        <f>TEXT(44082, "[$-40A]dddd,ddd,mmmm,mmm,mmmmm,m")</f>
        <v/>
      </c>
      <c r="L139">
        <f>TEXT(44111, "[$-40A]dddd,ddd,mmmm,mmm,mmmmm,m")</f>
        <v/>
      </c>
      <c r="M139">
        <f>TEXT(44140, "[$-40A]dddd,ddd,mmmm,mmm,mmmmm,m")</f>
        <v/>
      </c>
      <c r="N139">
        <f>TEXT(44169, "[$-40A]dddd,ddd,mmmm,mmm,mmmmm,m")</f>
        <v/>
      </c>
      <c r="O139">
        <f>TEXT(44198, "[$-40A]dddd,ddd,mmmm,mmm,mmmmm,m")</f>
        <v/>
      </c>
    </row>
    <row r="140">
      <c r="A140" t="inlineStr">
        <is>
          <t>0x40B</t>
        </is>
      </c>
      <c r="B140" t="inlineStr">
        <is>
          <t>fi-FI</t>
        </is>
      </c>
      <c r="C140">
        <f>TEXT(43836, "[$-40B]dddd,ddd,mmmm,mmm,mmmmm,m")</f>
        <v/>
      </c>
      <c r="D140">
        <f>TEXT(43865, "[$-40B]dddd,ddd,mmmm,mmm,mmmmm,m")</f>
        <v/>
      </c>
      <c r="E140">
        <f>TEXT(43894, "[$-40B]dddd,ddd,mmmm,mmm,mmmmm,m")</f>
        <v/>
      </c>
      <c r="F140">
        <f>TEXT(43923, "[$-40B]dddd,ddd,mmmm,mmm,mmmmm,m")</f>
        <v/>
      </c>
      <c r="G140">
        <f>TEXT(43952, "[$-40B]dddd,ddd,mmmm,mmm,mmmmm,m")</f>
        <v/>
      </c>
      <c r="H140">
        <f>TEXT(43988, "[$-40B]dddd,ddd,mmmm,mmm,mmmmm,m")</f>
        <v/>
      </c>
      <c r="I140">
        <f>TEXT(44017, "[$-40B]dddd,ddd,mmmm,mmm,mmmmm,m")</f>
        <v/>
      </c>
      <c r="J140">
        <f>TEXT(44046, "[$-40B]dddd,ddd,mmmm,mmm,mmmmm,m")</f>
        <v/>
      </c>
      <c r="K140">
        <f>TEXT(44082, "[$-40B]dddd,ddd,mmmm,mmm,mmmmm,m")</f>
        <v/>
      </c>
      <c r="L140">
        <f>TEXT(44111, "[$-40B]dddd,ddd,mmmm,mmm,mmmmm,m")</f>
        <v/>
      </c>
      <c r="M140">
        <f>TEXT(44140, "[$-40B]dddd,ddd,mmmm,mmm,mmmmm,m")</f>
        <v/>
      </c>
      <c r="N140">
        <f>TEXT(44169, "[$-40B]dddd,ddd,mmmm,mmm,mmmmm,m")</f>
        <v/>
      </c>
      <c r="O140">
        <f>TEXT(44198, "[$-40B]dddd,ddd,mmmm,mmm,mmmmm,m")</f>
        <v/>
      </c>
    </row>
    <row r="141">
      <c r="A141" t="inlineStr">
        <is>
          <t>0x40C</t>
        </is>
      </c>
      <c r="B141" t="inlineStr">
        <is>
          <t>fr-FR</t>
        </is>
      </c>
      <c r="C141">
        <f>TEXT(43836, "[$-40C]dddd,ddd,mmmm,mmm,mmmmm,m")</f>
        <v/>
      </c>
      <c r="D141">
        <f>TEXT(43865, "[$-40C]dddd,ddd,mmmm,mmm,mmmmm,m")</f>
        <v/>
      </c>
      <c r="E141">
        <f>TEXT(43894, "[$-40C]dddd,ddd,mmmm,mmm,mmmmm,m")</f>
        <v/>
      </c>
      <c r="F141">
        <f>TEXT(43923, "[$-40C]dddd,ddd,mmmm,mmm,mmmmm,m")</f>
        <v/>
      </c>
      <c r="G141">
        <f>TEXT(43952, "[$-40C]dddd,ddd,mmmm,mmm,mmmmm,m")</f>
        <v/>
      </c>
      <c r="H141">
        <f>TEXT(43988, "[$-40C]dddd,ddd,mmmm,mmm,mmmmm,m")</f>
        <v/>
      </c>
      <c r="I141">
        <f>TEXT(44017, "[$-40C]dddd,ddd,mmmm,mmm,mmmmm,m")</f>
        <v/>
      </c>
      <c r="J141">
        <f>TEXT(44046, "[$-40C]dddd,ddd,mmmm,mmm,mmmmm,m")</f>
        <v/>
      </c>
      <c r="K141">
        <f>TEXT(44082, "[$-40C]dddd,ddd,mmmm,mmm,mmmmm,m")</f>
        <v/>
      </c>
      <c r="L141">
        <f>TEXT(44111, "[$-40C]dddd,ddd,mmmm,mmm,mmmmm,m")</f>
        <v/>
      </c>
      <c r="M141">
        <f>TEXT(44140, "[$-40C]dddd,ddd,mmmm,mmm,mmmmm,m")</f>
        <v/>
      </c>
      <c r="N141">
        <f>TEXT(44169, "[$-40C]dddd,ddd,mmmm,mmm,mmmmm,m")</f>
        <v/>
      </c>
      <c r="O141">
        <f>TEXT(44198, "[$-40C]dddd,ddd,mmmm,mmm,mmmmm,m")</f>
        <v/>
      </c>
    </row>
    <row r="142">
      <c r="A142" t="inlineStr">
        <is>
          <t>0x40D</t>
        </is>
      </c>
      <c r="B142" t="inlineStr">
        <is>
          <t>he-IL</t>
        </is>
      </c>
      <c r="C142">
        <f>TEXT(43836, "[$-40D]dddd,ddd,mmmm,mmm,mmmmm,m")</f>
        <v/>
      </c>
      <c r="D142">
        <f>TEXT(43865, "[$-40D]dddd,ddd,mmmm,mmm,mmmmm,m")</f>
        <v/>
      </c>
      <c r="E142">
        <f>TEXT(43894, "[$-40D]dddd,ddd,mmmm,mmm,mmmmm,m")</f>
        <v/>
      </c>
      <c r="F142">
        <f>TEXT(43923, "[$-40D]dddd,ddd,mmmm,mmm,mmmmm,m")</f>
        <v/>
      </c>
      <c r="G142">
        <f>TEXT(43952, "[$-40D]dddd,ddd,mmmm,mmm,mmmmm,m")</f>
        <v/>
      </c>
      <c r="H142">
        <f>TEXT(43988, "[$-40D]dddd,ddd,mmmm,mmm,mmmmm,m")</f>
        <v/>
      </c>
      <c r="I142">
        <f>TEXT(44017, "[$-40D]dddd,ddd,mmmm,mmm,mmmmm,m")</f>
        <v/>
      </c>
      <c r="J142">
        <f>TEXT(44046, "[$-40D]dddd,ddd,mmmm,mmm,mmmmm,m")</f>
        <v/>
      </c>
      <c r="K142">
        <f>TEXT(44082, "[$-40D]dddd,ddd,mmmm,mmm,mmmmm,m")</f>
        <v/>
      </c>
      <c r="L142">
        <f>TEXT(44111, "[$-40D]dddd,ddd,mmmm,mmm,mmmmm,m")</f>
        <v/>
      </c>
      <c r="M142">
        <f>TEXT(44140, "[$-40D]dddd,ddd,mmmm,mmm,mmmmm,m")</f>
        <v/>
      </c>
      <c r="N142">
        <f>TEXT(44169, "[$-40D]dddd,ddd,mmmm,mmm,mmmmm,m")</f>
        <v/>
      </c>
      <c r="O142">
        <f>TEXT(44198, "[$-40D]dddd,ddd,mmmm,mmm,mmmmm,m")</f>
        <v/>
      </c>
    </row>
    <row r="143">
      <c r="A143" t="inlineStr">
        <is>
          <t>0x40E</t>
        </is>
      </c>
      <c r="B143" t="inlineStr">
        <is>
          <t>hu-HU</t>
        </is>
      </c>
      <c r="C143">
        <f>TEXT(43836, "[$-40E]dddd,ddd,mmmm,mmm,mmmmm,m")</f>
        <v/>
      </c>
      <c r="D143">
        <f>TEXT(43865, "[$-40E]dddd,ddd,mmmm,mmm,mmmmm,m")</f>
        <v/>
      </c>
      <c r="E143">
        <f>TEXT(43894, "[$-40E]dddd,ddd,mmmm,mmm,mmmmm,m")</f>
        <v/>
      </c>
      <c r="F143">
        <f>TEXT(43923, "[$-40E]dddd,ddd,mmmm,mmm,mmmmm,m")</f>
        <v/>
      </c>
      <c r="G143">
        <f>TEXT(43952, "[$-40E]dddd,ddd,mmmm,mmm,mmmmm,m")</f>
        <v/>
      </c>
      <c r="H143">
        <f>TEXT(43988, "[$-40E]dddd,ddd,mmmm,mmm,mmmmm,m")</f>
        <v/>
      </c>
      <c r="I143">
        <f>TEXT(44017, "[$-40E]dddd,ddd,mmmm,mmm,mmmmm,m")</f>
        <v/>
      </c>
      <c r="J143">
        <f>TEXT(44046, "[$-40E]dddd,ddd,mmmm,mmm,mmmmm,m")</f>
        <v/>
      </c>
      <c r="K143">
        <f>TEXT(44082, "[$-40E]dddd,ddd,mmmm,mmm,mmmmm,m")</f>
        <v/>
      </c>
      <c r="L143">
        <f>TEXT(44111, "[$-40E]dddd,ddd,mmmm,mmm,mmmmm,m")</f>
        <v/>
      </c>
      <c r="M143">
        <f>TEXT(44140, "[$-40E]dddd,ddd,mmmm,mmm,mmmmm,m")</f>
        <v/>
      </c>
      <c r="N143">
        <f>TEXT(44169, "[$-40E]dddd,ddd,mmmm,mmm,mmmmm,m")</f>
        <v/>
      </c>
      <c r="O143">
        <f>TEXT(44198, "[$-40E]dddd,ddd,mmmm,mmm,mmmmm,m")</f>
        <v/>
      </c>
    </row>
    <row r="144">
      <c r="A144" t="inlineStr">
        <is>
          <t>0x40F</t>
        </is>
      </c>
      <c r="B144" t="inlineStr">
        <is>
          <t>is-IS</t>
        </is>
      </c>
      <c r="C144">
        <f>TEXT(43836, "[$-40F]dddd,ddd,mmmm,mmm,mmmmm,m")</f>
        <v/>
      </c>
      <c r="D144">
        <f>TEXT(43865, "[$-40F]dddd,ddd,mmmm,mmm,mmmmm,m")</f>
        <v/>
      </c>
      <c r="E144">
        <f>TEXT(43894, "[$-40F]dddd,ddd,mmmm,mmm,mmmmm,m")</f>
        <v/>
      </c>
      <c r="F144">
        <f>TEXT(43923, "[$-40F]dddd,ddd,mmmm,mmm,mmmmm,m")</f>
        <v/>
      </c>
      <c r="G144">
        <f>TEXT(43952, "[$-40F]dddd,ddd,mmmm,mmm,mmmmm,m")</f>
        <v/>
      </c>
      <c r="H144">
        <f>TEXT(43988, "[$-40F]dddd,ddd,mmmm,mmm,mmmmm,m")</f>
        <v/>
      </c>
      <c r="I144">
        <f>TEXT(44017, "[$-40F]dddd,ddd,mmmm,mmm,mmmmm,m")</f>
        <v/>
      </c>
      <c r="J144">
        <f>TEXT(44046, "[$-40F]dddd,ddd,mmmm,mmm,mmmmm,m")</f>
        <v/>
      </c>
      <c r="K144">
        <f>TEXT(44082, "[$-40F]dddd,ddd,mmmm,mmm,mmmmm,m")</f>
        <v/>
      </c>
      <c r="L144">
        <f>TEXT(44111, "[$-40F]dddd,ddd,mmmm,mmm,mmmmm,m")</f>
        <v/>
      </c>
      <c r="M144">
        <f>TEXT(44140, "[$-40F]dddd,ddd,mmmm,mmm,mmmmm,m")</f>
        <v/>
      </c>
      <c r="N144">
        <f>TEXT(44169, "[$-40F]dddd,ddd,mmmm,mmm,mmmmm,m")</f>
        <v/>
      </c>
      <c r="O144">
        <f>TEXT(44198, "[$-40F]dddd,ddd,mmmm,mmm,mmmmm,m")</f>
        <v/>
      </c>
    </row>
    <row r="145">
      <c r="A145" t="inlineStr">
        <is>
          <t>0x410</t>
        </is>
      </c>
      <c r="B145" t="inlineStr">
        <is>
          <t>it-IT</t>
        </is>
      </c>
      <c r="C145">
        <f>TEXT(43836, "[$-410]dddd,ddd,mmmm,mmm,mmmmm,m")</f>
        <v/>
      </c>
      <c r="D145">
        <f>TEXT(43865, "[$-410]dddd,ddd,mmmm,mmm,mmmmm,m")</f>
        <v/>
      </c>
      <c r="E145">
        <f>TEXT(43894, "[$-410]dddd,ddd,mmmm,mmm,mmmmm,m")</f>
        <v/>
      </c>
      <c r="F145">
        <f>TEXT(43923, "[$-410]dddd,ddd,mmmm,mmm,mmmmm,m")</f>
        <v/>
      </c>
      <c r="G145">
        <f>TEXT(43952, "[$-410]dddd,ddd,mmmm,mmm,mmmmm,m")</f>
        <v/>
      </c>
      <c r="H145">
        <f>TEXT(43988, "[$-410]dddd,ddd,mmmm,mmm,mmmmm,m")</f>
        <v/>
      </c>
      <c r="I145">
        <f>TEXT(44017, "[$-410]dddd,ddd,mmmm,mmm,mmmmm,m")</f>
        <v/>
      </c>
      <c r="J145">
        <f>TEXT(44046, "[$-410]dddd,ddd,mmmm,mmm,mmmmm,m")</f>
        <v/>
      </c>
      <c r="K145">
        <f>TEXT(44082, "[$-410]dddd,ddd,mmmm,mmm,mmmmm,m")</f>
        <v/>
      </c>
      <c r="L145">
        <f>TEXT(44111, "[$-410]dddd,ddd,mmmm,mmm,mmmmm,m")</f>
        <v/>
      </c>
      <c r="M145">
        <f>TEXT(44140, "[$-410]dddd,ddd,mmmm,mmm,mmmmm,m")</f>
        <v/>
      </c>
      <c r="N145">
        <f>TEXT(44169, "[$-410]dddd,ddd,mmmm,mmm,mmmmm,m")</f>
        <v/>
      </c>
      <c r="O145">
        <f>TEXT(44198, "[$-410]dddd,ddd,mmmm,mmm,mmmmm,m")</f>
        <v/>
      </c>
    </row>
    <row r="146">
      <c r="A146" t="inlineStr">
        <is>
          <t>0x1B000411</t>
        </is>
      </c>
      <c r="B146" t="inlineStr">
        <is>
          <t>ja-JP</t>
        </is>
      </c>
      <c r="C146">
        <f>TEXT(43836, "[$-1B000411]dddd,ddd,mmmm,mmm,mmmmm,m")</f>
        <v/>
      </c>
      <c r="D146">
        <f>TEXT(43865, "[$-1B000411]dddd,ddd,mmmm,mmm,mmmmm,m")</f>
        <v/>
      </c>
      <c r="E146">
        <f>TEXT(43894, "[$-1B000411]dddd,ddd,mmmm,mmm,mmmmm,m")</f>
        <v/>
      </c>
      <c r="F146">
        <f>TEXT(43923, "[$-1B000411]dddd,ddd,mmmm,mmm,mmmmm,m")</f>
        <v/>
      </c>
      <c r="G146">
        <f>TEXT(43952, "[$-1B000411]dddd,ddd,mmmm,mmm,mmmmm,m")</f>
        <v/>
      </c>
      <c r="H146">
        <f>TEXT(43988, "[$-1B000411]dddd,ddd,mmmm,mmm,mmmmm,m")</f>
        <v/>
      </c>
      <c r="I146">
        <f>TEXT(44017, "[$-1B000411]dddd,ddd,mmmm,mmm,mmmmm,m")</f>
        <v/>
      </c>
      <c r="J146">
        <f>TEXT(44046, "[$-1B000411]dddd,ddd,mmmm,mmm,mmmmm,m")</f>
        <v/>
      </c>
      <c r="K146">
        <f>TEXT(44082, "[$-1B000411]dddd,ddd,mmmm,mmm,mmmmm,m")</f>
        <v/>
      </c>
      <c r="L146">
        <f>TEXT(44111, "[$-1B000411]dddd,ddd,mmmm,mmm,mmmmm,m")</f>
        <v/>
      </c>
      <c r="M146">
        <f>TEXT(44140, "[$-1B000411]dddd,ddd,mmmm,mmm,mmmmm,m")</f>
        <v/>
      </c>
      <c r="N146">
        <f>TEXT(44169, "[$-1B000411]dddd,ddd,mmmm,mmm,mmmmm,m")</f>
        <v/>
      </c>
      <c r="O146">
        <f>TEXT(44198, "[$-1B000411]dddd,ddd,mmmm,mmm,mmmmm,m")</f>
        <v/>
      </c>
    </row>
    <row r="147">
      <c r="A147" t="inlineStr">
        <is>
          <t>0x24000412</t>
        </is>
      </c>
      <c r="B147" t="inlineStr">
        <is>
          <t>ko-KR</t>
        </is>
      </c>
      <c r="C147">
        <f>TEXT(43836, "[$-24000412]dddd,ddd,mmmm,mmm,mmmmm,m")</f>
        <v/>
      </c>
      <c r="D147">
        <f>TEXT(43865, "[$-24000412]dddd,ddd,mmmm,mmm,mmmmm,m")</f>
        <v/>
      </c>
      <c r="E147">
        <f>TEXT(43894, "[$-24000412]dddd,ddd,mmmm,mmm,mmmmm,m")</f>
        <v/>
      </c>
      <c r="F147">
        <f>TEXT(43923, "[$-24000412]dddd,ddd,mmmm,mmm,mmmmm,m")</f>
        <v/>
      </c>
      <c r="G147">
        <f>TEXT(43952, "[$-24000412]dddd,ddd,mmmm,mmm,mmmmm,m")</f>
        <v/>
      </c>
      <c r="H147">
        <f>TEXT(43988, "[$-24000412]dddd,ddd,mmmm,mmm,mmmmm,m")</f>
        <v/>
      </c>
      <c r="I147">
        <f>TEXT(44017, "[$-24000412]dddd,ddd,mmmm,mmm,mmmmm,m")</f>
        <v/>
      </c>
      <c r="J147">
        <f>TEXT(44046, "[$-24000412]dddd,ddd,mmmm,mmm,mmmmm,m")</f>
        <v/>
      </c>
      <c r="K147">
        <f>TEXT(44082, "[$-24000412]dddd,ddd,mmmm,mmm,mmmmm,m")</f>
        <v/>
      </c>
      <c r="L147">
        <f>TEXT(44111, "[$-24000412]dddd,ddd,mmmm,mmm,mmmmm,m")</f>
        <v/>
      </c>
      <c r="M147">
        <f>TEXT(44140, "[$-24000412]dddd,ddd,mmmm,mmm,mmmmm,m")</f>
        <v/>
      </c>
      <c r="N147">
        <f>TEXT(44169, "[$-24000412]dddd,ddd,mmmm,mmm,mmmmm,m")</f>
        <v/>
      </c>
      <c r="O147">
        <f>TEXT(44198, "[$-24000412]dddd,ddd,mmmm,mmm,mmmmm,m")</f>
        <v/>
      </c>
    </row>
    <row r="148">
      <c r="A148" t="inlineStr">
        <is>
          <t>0x413</t>
        </is>
      </c>
      <c r="B148" t="inlineStr">
        <is>
          <t>nl-NL</t>
        </is>
      </c>
      <c r="C148">
        <f>TEXT(43836, "[$-413]dddd,ddd,mmmm,mmm,mmmmm,m")</f>
        <v/>
      </c>
      <c r="D148">
        <f>TEXT(43865, "[$-413]dddd,ddd,mmmm,mmm,mmmmm,m")</f>
        <v/>
      </c>
      <c r="E148">
        <f>TEXT(43894, "[$-413]dddd,ddd,mmmm,mmm,mmmmm,m")</f>
        <v/>
      </c>
      <c r="F148">
        <f>TEXT(43923, "[$-413]dddd,ddd,mmmm,mmm,mmmmm,m")</f>
        <v/>
      </c>
      <c r="G148">
        <f>TEXT(43952, "[$-413]dddd,ddd,mmmm,mmm,mmmmm,m")</f>
        <v/>
      </c>
      <c r="H148">
        <f>TEXT(43988, "[$-413]dddd,ddd,mmmm,mmm,mmmmm,m")</f>
        <v/>
      </c>
      <c r="I148">
        <f>TEXT(44017, "[$-413]dddd,ddd,mmmm,mmm,mmmmm,m")</f>
        <v/>
      </c>
      <c r="J148">
        <f>TEXT(44046, "[$-413]dddd,ddd,mmmm,mmm,mmmmm,m")</f>
        <v/>
      </c>
      <c r="K148">
        <f>TEXT(44082, "[$-413]dddd,ddd,mmmm,mmm,mmmmm,m")</f>
        <v/>
      </c>
      <c r="L148">
        <f>TEXT(44111, "[$-413]dddd,ddd,mmmm,mmm,mmmmm,m")</f>
        <v/>
      </c>
      <c r="M148">
        <f>TEXT(44140, "[$-413]dddd,ddd,mmmm,mmm,mmmmm,m")</f>
        <v/>
      </c>
      <c r="N148">
        <f>TEXT(44169, "[$-413]dddd,ddd,mmmm,mmm,mmmmm,m")</f>
        <v/>
      </c>
      <c r="O148">
        <f>TEXT(44198, "[$-413]dddd,ddd,mmmm,mmm,mmmmm,m")</f>
        <v/>
      </c>
    </row>
    <row r="149">
      <c r="A149" t="inlineStr">
        <is>
          <t>0x414</t>
        </is>
      </c>
      <c r="B149" t="inlineStr">
        <is>
          <t>nb-NO</t>
        </is>
      </c>
      <c r="C149">
        <f>TEXT(43836, "[$-414]dddd,ddd,mmmm,mmm,mmmmm,m")</f>
        <v/>
      </c>
      <c r="D149">
        <f>TEXT(43865, "[$-414]dddd,ddd,mmmm,mmm,mmmmm,m")</f>
        <v/>
      </c>
      <c r="E149">
        <f>TEXT(43894, "[$-414]dddd,ddd,mmmm,mmm,mmmmm,m")</f>
        <v/>
      </c>
      <c r="F149">
        <f>TEXT(43923, "[$-414]dddd,ddd,mmmm,mmm,mmmmm,m")</f>
        <v/>
      </c>
      <c r="G149">
        <f>TEXT(43952, "[$-414]dddd,ddd,mmmm,mmm,mmmmm,m")</f>
        <v/>
      </c>
      <c r="H149">
        <f>TEXT(43988, "[$-414]dddd,ddd,mmmm,mmm,mmmmm,m")</f>
        <v/>
      </c>
      <c r="I149">
        <f>TEXT(44017, "[$-414]dddd,ddd,mmmm,mmm,mmmmm,m")</f>
        <v/>
      </c>
      <c r="J149">
        <f>TEXT(44046, "[$-414]dddd,ddd,mmmm,mmm,mmmmm,m")</f>
        <v/>
      </c>
      <c r="K149">
        <f>TEXT(44082, "[$-414]dddd,ddd,mmmm,mmm,mmmmm,m")</f>
        <v/>
      </c>
      <c r="L149">
        <f>TEXT(44111, "[$-414]dddd,ddd,mmmm,mmm,mmmmm,m")</f>
        <v/>
      </c>
      <c r="M149">
        <f>TEXT(44140, "[$-414]dddd,ddd,mmmm,mmm,mmmmm,m")</f>
        <v/>
      </c>
      <c r="N149">
        <f>TEXT(44169, "[$-414]dddd,ddd,mmmm,mmm,mmmmm,m")</f>
        <v/>
      </c>
      <c r="O149">
        <f>TEXT(44198, "[$-414]dddd,ddd,mmmm,mmm,mmmmm,m")</f>
        <v/>
      </c>
    </row>
    <row r="150">
      <c r="A150" t="inlineStr">
        <is>
          <t>0x415</t>
        </is>
      </c>
      <c r="B150" t="inlineStr">
        <is>
          <t>pl-PL</t>
        </is>
      </c>
      <c r="C150">
        <f>TEXT(43836, "[$-415]dddd,ddd,mmmm,mmm,mmmmm,m")</f>
        <v/>
      </c>
      <c r="D150">
        <f>TEXT(43865, "[$-415]dddd,ddd,mmmm,mmm,mmmmm,m")</f>
        <v/>
      </c>
      <c r="E150">
        <f>TEXT(43894, "[$-415]dddd,ddd,mmmm,mmm,mmmmm,m")</f>
        <v/>
      </c>
      <c r="F150">
        <f>TEXT(43923, "[$-415]dddd,ddd,mmmm,mmm,mmmmm,m")</f>
        <v/>
      </c>
      <c r="G150">
        <f>TEXT(43952, "[$-415]dddd,ddd,mmmm,mmm,mmmmm,m")</f>
        <v/>
      </c>
      <c r="H150">
        <f>TEXT(43988, "[$-415]dddd,ddd,mmmm,mmm,mmmmm,m")</f>
        <v/>
      </c>
      <c r="I150">
        <f>TEXT(44017, "[$-415]dddd,ddd,mmmm,mmm,mmmmm,m")</f>
        <v/>
      </c>
      <c r="J150">
        <f>TEXT(44046, "[$-415]dddd,ddd,mmmm,mmm,mmmmm,m")</f>
        <v/>
      </c>
      <c r="K150">
        <f>TEXT(44082, "[$-415]dddd,ddd,mmmm,mmm,mmmmm,m")</f>
        <v/>
      </c>
      <c r="L150">
        <f>TEXT(44111, "[$-415]dddd,ddd,mmmm,mmm,mmmmm,m")</f>
        <v/>
      </c>
      <c r="M150">
        <f>TEXT(44140, "[$-415]dddd,ddd,mmmm,mmm,mmmmm,m")</f>
        <v/>
      </c>
      <c r="N150">
        <f>TEXT(44169, "[$-415]dddd,ddd,mmmm,mmm,mmmmm,m")</f>
        <v/>
      </c>
      <c r="O150">
        <f>TEXT(44198, "[$-415]dddd,ddd,mmmm,mmm,mmmmm,m")</f>
        <v/>
      </c>
    </row>
    <row r="151">
      <c r="A151" t="inlineStr">
        <is>
          <t>0x416</t>
        </is>
      </c>
      <c r="B151" t="inlineStr">
        <is>
          <t>pt-BR</t>
        </is>
      </c>
      <c r="C151">
        <f>TEXT(43836, "[$-416]dddd,ddd,mmmm,mmm,mmmmm,m")</f>
        <v/>
      </c>
      <c r="D151">
        <f>TEXT(43865, "[$-416]dddd,ddd,mmmm,mmm,mmmmm,m")</f>
        <v/>
      </c>
      <c r="E151">
        <f>TEXT(43894, "[$-416]dddd,ddd,mmmm,mmm,mmmmm,m")</f>
        <v/>
      </c>
      <c r="F151">
        <f>TEXT(43923, "[$-416]dddd,ddd,mmmm,mmm,mmmmm,m")</f>
        <v/>
      </c>
      <c r="G151">
        <f>TEXT(43952, "[$-416]dddd,ddd,mmmm,mmm,mmmmm,m")</f>
        <v/>
      </c>
      <c r="H151">
        <f>TEXT(43988, "[$-416]dddd,ddd,mmmm,mmm,mmmmm,m")</f>
        <v/>
      </c>
      <c r="I151">
        <f>TEXT(44017, "[$-416]dddd,ddd,mmmm,mmm,mmmmm,m")</f>
        <v/>
      </c>
      <c r="J151">
        <f>TEXT(44046, "[$-416]dddd,ddd,mmmm,mmm,mmmmm,m")</f>
        <v/>
      </c>
      <c r="K151">
        <f>TEXT(44082, "[$-416]dddd,ddd,mmmm,mmm,mmmmm,m")</f>
        <v/>
      </c>
      <c r="L151">
        <f>TEXT(44111, "[$-416]dddd,ddd,mmmm,mmm,mmmmm,m")</f>
        <v/>
      </c>
      <c r="M151">
        <f>TEXT(44140, "[$-416]dddd,ddd,mmmm,mmm,mmmmm,m")</f>
        <v/>
      </c>
      <c r="N151">
        <f>TEXT(44169, "[$-416]dddd,ddd,mmmm,mmm,mmmmm,m")</f>
        <v/>
      </c>
      <c r="O151">
        <f>TEXT(44198, "[$-416]dddd,ddd,mmmm,mmm,mmmmm,m")</f>
        <v/>
      </c>
    </row>
    <row r="152">
      <c r="A152" t="inlineStr">
        <is>
          <t>0x417</t>
        </is>
      </c>
      <c r="B152" t="inlineStr">
        <is>
          <t>rm-CH</t>
        </is>
      </c>
      <c r="C152">
        <f>TEXT(43836, "[$-417]dddd,ddd,mmmm,mmm,mmmmm,m")</f>
        <v/>
      </c>
      <c r="D152">
        <f>TEXT(43865, "[$-417]dddd,ddd,mmmm,mmm,mmmmm,m")</f>
        <v/>
      </c>
      <c r="E152">
        <f>TEXT(43894, "[$-417]dddd,ddd,mmmm,mmm,mmmmm,m")</f>
        <v/>
      </c>
      <c r="F152">
        <f>TEXT(43923, "[$-417]dddd,ddd,mmmm,mmm,mmmmm,m")</f>
        <v/>
      </c>
      <c r="G152">
        <f>TEXT(43952, "[$-417]dddd,ddd,mmmm,mmm,mmmmm,m")</f>
        <v/>
      </c>
      <c r="H152">
        <f>TEXT(43988, "[$-417]dddd,ddd,mmmm,mmm,mmmmm,m")</f>
        <v/>
      </c>
      <c r="I152">
        <f>TEXT(44017, "[$-417]dddd,ddd,mmmm,mmm,mmmmm,m")</f>
        <v/>
      </c>
      <c r="J152">
        <f>TEXT(44046, "[$-417]dddd,ddd,mmmm,mmm,mmmmm,m")</f>
        <v/>
      </c>
      <c r="K152">
        <f>TEXT(44082, "[$-417]dddd,ddd,mmmm,mmm,mmmmm,m")</f>
        <v/>
      </c>
      <c r="L152">
        <f>TEXT(44111, "[$-417]dddd,ddd,mmmm,mmm,mmmmm,m")</f>
        <v/>
      </c>
      <c r="M152">
        <f>TEXT(44140, "[$-417]dddd,ddd,mmmm,mmm,mmmmm,m")</f>
        <v/>
      </c>
      <c r="N152">
        <f>TEXT(44169, "[$-417]dddd,ddd,mmmm,mmm,mmmmm,m")</f>
        <v/>
      </c>
      <c r="O152">
        <f>TEXT(44198, "[$-417]dddd,ddd,mmmm,mmm,mmmmm,m")</f>
        <v/>
      </c>
    </row>
    <row r="153">
      <c r="A153" t="inlineStr">
        <is>
          <t>0x418</t>
        </is>
      </c>
      <c r="B153" t="inlineStr">
        <is>
          <t>ro-RO</t>
        </is>
      </c>
      <c r="C153">
        <f>TEXT(43836, "[$-418]dddd,ddd,mmmm,mmm,mmmmm,m")</f>
        <v/>
      </c>
      <c r="D153">
        <f>TEXT(43865, "[$-418]dddd,ddd,mmmm,mmm,mmmmm,m")</f>
        <v/>
      </c>
      <c r="E153">
        <f>TEXT(43894, "[$-418]dddd,ddd,mmmm,mmm,mmmmm,m")</f>
        <v/>
      </c>
      <c r="F153">
        <f>TEXT(43923, "[$-418]dddd,ddd,mmmm,mmm,mmmmm,m")</f>
        <v/>
      </c>
      <c r="G153">
        <f>TEXT(43952, "[$-418]dddd,ddd,mmmm,mmm,mmmmm,m")</f>
        <v/>
      </c>
      <c r="H153">
        <f>TEXT(43988, "[$-418]dddd,ddd,mmmm,mmm,mmmmm,m")</f>
        <v/>
      </c>
      <c r="I153">
        <f>TEXT(44017, "[$-418]dddd,ddd,mmmm,mmm,mmmmm,m")</f>
        <v/>
      </c>
      <c r="J153">
        <f>TEXT(44046, "[$-418]dddd,ddd,mmmm,mmm,mmmmm,m")</f>
        <v/>
      </c>
      <c r="K153">
        <f>TEXT(44082, "[$-418]dddd,ddd,mmmm,mmm,mmmmm,m")</f>
        <v/>
      </c>
      <c r="L153">
        <f>TEXT(44111, "[$-418]dddd,ddd,mmmm,mmm,mmmmm,m")</f>
        <v/>
      </c>
      <c r="M153">
        <f>TEXT(44140, "[$-418]dddd,ddd,mmmm,mmm,mmmmm,m")</f>
        <v/>
      </c>
      <c r="N153">
        <f>TEXT(44169, "[$-418]dddd,ddd,mmmm,mmm,mmmmm,m")</f>
        <v/>
      </c>
      <c r="O153">
        <f>TEXT(44198, "[$-418]dddd,ddd,mmmm,mmm,mmmmm,m")</f>
        <v/>
      </c>
    </row>
    <row r="154">
      <c r="A154" t="inlineStr">
        <is>
          <t>0x419</t>
        </is>
      </c>
      <c r="B154" t="inlineStr">
        <is>
          <t>ru-RU</t>
        </is>
      </c>
      <c r="C154">
        <f>TEXT(43836, "[$-419]dddd,ddd,mmmm,mmm,mmmmm,m")</f>
        <v/>
      </c>
      <c r="D154">
        <f>TEXT(43865, "[$-419]dddd,ddd,mmmm,mmm,mmmmm,m")</f>
        <v/>
      </c>
      <c r="E154">
        <f>TEXT(43894, "[$-419]dddd,ddd,mmmm,mmm,mmmmm,m")</f>
        <v/>
      </c>
      <c r="F154">
        <f>TEXT(43923, "[$-419]dddd,ddd,mmmm,mmm,mmmmm,m")</f>
        <v/>
      </c>
      <c r="G154">
        <f>TEXT(43952, "[$-419]dddd,ddd,mmmm,mmm,mmmmm,m")</f>
        <v/>
      </c>
      <c r="H154">
        <f>TEXT(43988, "[$-419]dddd,ddd,mmmm,mmm,mmmmm,m")</f>
        <v/>
      </c>
      <c r="I154">
        <f>TEXT(44017, "[$-419]dddd,ddd,mmmm,mmm,mmmmm,m")</f>
        <v/>
      </c>
      <c r="J154">
        <f>TEXT(44046, "[$-419]dddd,ddd,mmmm,mmm,mmmmm,m")</f>
        <v/>
      </c>
      <c r="K154">
        <f>TEXT(44082, "[$-419]dddd,ddd,mmmm,mmm,mmmmm,m")</f>
        <v/>
      </c>
      <c r="L154">
        <f>TEXT(44111, "[$-419]dddd,ddd,mmmm,mmm,mmmmm,m")</f>
        <v/>
      </c>
      <c r="M154">
        <f>TEXT(44140, "[$-419]dddd,ddd,mmmm,mmm,mmmmm,m")</f>
        <v/>
      </c>
      <c r="N154">
        <f>TEXT(44169, "[$-419]dddd,ddd,mmmm,mmm,mmmmm,m")</f>
        <v/>
      </c>
      <c r="O154">
        <f>TEXT(44198, "[$-419]dddd,ddd,mmmm,mmm,mmmmm,m")</f>
        <v/>
      </c>
    </row>
    <row r="155">
      <c r="A155" t="inlineStr">
        <is>
          <t>0x41A</t>
        </is>
      </c>
      <c r="B155" t="inlineStr">
        <is>
          <t>hr-HR</t>
        </is>
      </c>
      <c r="C155">
        <f>TEXT(43836, "[$-41A]dddd,ddd,mmmm,mmm,mmmmm,m")</f>
        <v/>
      </c>
      <c r="D155">
        <f>TEXT(43865, "[$-41A]dddd,ddd,mmmm,mmm,mmmmm,m")</f>
        <v/>
      </c>
      <c r="E155">
        <f>TEXT(43894, "[$-41A]dddd,ddd,mmmm,mmm,mmmmm,m")</f>
        <v/>
      </c>
      <c r="F155">
        <f>TEXT(43923, "[$-41A]dddd,ddd,mmmm,mmm,mmmmm,m")</f>
        <v/>
      </c>
      <c r="G155">
        <f>TEXT(43952, "[$-41A]dddd,ddd,mmmm,mmm,mmmmm,m")</f>
        <v/>
      </c>
      <c r="H155">
        <f>TEXT(43988, "[$-41A]dddd,ddd,mmmm,mmm,mmmmm,m")</f>
        <v/>
      </c>
      <c r="I155">
        <f>TEXT(44017, "[$-41A]dddd,ddd,mmmm,mmm,mmmmm,m")</f>
        <v/>
      </c>
      <c r="J155">
        <f>TEXT(44046, "[$-41A]dddd,ddd,mmmm,mmm,mmmmm,m")</f>
        <v/>
      </c>
      <c r="K155">
        <f>TEXT(44082, "[$-41A]dddd,ddd,mmmm,mmm,mmmmm,m")</f>
        <v/>
      </c>
      <c r="L155">
        <f>TEXT(44111, "[$-41A]dddd,ddd,mmmm,mmm,mmmmm,m")</f>
        <v/>
      </c>
      <c r="M155">
        <f>TEXT(44140, "[$-41A]dddd,ddd,mmmm,mmm,mmmmm,m")</f>
        <v/>
      </c>
      <c r="N155">
        <f>TEXT(44169, "[$-41A]dddd,ddd,mmmm,mmm,mmmmm,m")</f>
        <v/>
      </c>
      <c r="O155">
        <f>TEXT(44198, "[$-41A]dddd,ddd,mmmm,mmm,mmmmm,m")</f>
        <v/>
      </c>
    </row>
    <row r="156">
      <c r="A156" t="inlineStr">
        <is>
          <t>0x41B</t>
        </is>
      </c>
      <c r="B156" t="inlineStr">
        <is>
          <t>sk-SK</t>
        </is>
      </c>
      <c r="C156">
        <f>TEXT(43836, "[$-41B]dddd,ddd,mmmm,mmm,mmmmm,m")</f>
        <v/>
      </c>
      <c r="D156">
        <f>TEXT(43865, "[$-41B]dddd,ddd,mmmm,mmm,mmmmm,m")</f>
        <v/>
      </c>
      <c r="E156">
        <f>TEXT(43894, "[$-41B]dddd,ddd,mmmm,mmm,mmmmm,m")</f>
        <v/>
      </c>
      <c r="F156">
        <f>TEXT(43923, "[$-41B]dddd,ddd,mmmm,mmm,mmmmm,m")</f>
        <v/>
      </c>
      <c r="G156">
        <f>TEXT(43952, "[$-41B]dddd,ddd,mmmm,mmm,mmmmm,m")</f>
        <v/>
      </c>
      <c r="H156">
        <f>TEXT(43988, "[$-41B]dddd,ddd,mmmm,mmm,mmmmm,m")</f>
        <v/>
      </c>
      <c r="I156">
        <f>TEXT(44017, "[$-41B]dddd,ddd,mmmm,mmm,mmmmm,m")</f>
        <v/>
      </c>
      <c r="J156">
        <f>TEXT(44046, "[$-41B]dddd,ddd,mmmm,mmm,mmmmm,m")</f>
        <v/>
      </c>
      <c r="K156">
        <f>TEXT(44082, "[$-41B]dddd,ddd,mmmm,mmm,mmmmm,m")</f>
        <v/>
      </c>
      <c r="L156">
        <f>TEXT(44111, "[$-41B]dddd,ddd,mmmm,mmm,mmmmm,m")</f>
        <v/>
      </c>
      <c r="M156">
        <f>TEXT(44140, "[$-41B]dddd,ddd,mmmm,mmm,mmmmm,m")</f>
        <v/>
      </c>
      <c r="N156">
        <f>TEXT(44169, "[$-41B]dddd,ddd,mmmm,mmm,mmmmm,m")</f>
        <v/>
      </c>
      <c r="O156">
        <f>TEXT(44198, "[$-41B]dddd,ddd,mmmm,mmm,mmmmm,m")</f>
        <v/>
      </c>
    </row>
    <row r="157">
      <c r="A157" t="inlineStr">
        <is>
          <t>0x41C</t>
        </is>
      </c>
      <c r="B157" t="inlineStr">
        <is>
          <t>sq-AL</t>
        </is>
      </c>
      <c r="C157">
        <f>TEXT(43836, "[$-41C]dddd,ddd,mmmm,mmm,mmmmm,m")</f>
        <v/>
      </c>
      <c r="D157">
        <f>TEXT(43865, "[$-41C]dddd,ddd,mmmm,mmm,mmmmm,m")</f>
        <v/>
      </c>
      <c r="E157">
        <f>TEXT(43894, "[$-41C]dddd,ddd,mmmm,mmm,mmmmm,m")</f>
        <v/>
      </c>
      <c r="F157">
        <f>TEXT(43923, "[$-41C]dddd,ddd,mmmm,mmm,mmmmm,m")</f>
        <v/>
      </c>
      <c r="G157">
        <f>TEXT(43952, "[$-41C]dddd,ddd,mmmm,mmm,mmmmm,m")</f>
        <v/>
      </c>
      <c r="H157">
        <f>TEXT(43988, "[$-41C]dddd,ddd,mmmm,mmm,mmmmm,m")</f>
        <v/>
      </c>
      <c r="I157">
        <f>TEXT(44017, "[$-41C]dddd,ddd,mmmm,mmm,mmmmm,m")</f>
        <v/>
      </c>
      <c r="J157">
        <f>TEXT(44046, "[$-41C]dddd,ddd,mmmm,mmm,mmmmm,m")</f>
        <v/>
      </c>
      <c r="K157">
        <f>TEXT(44082, "[$-41C]dddd,ddd,mmmm,mmm,mmmmm,m")</f>
        <v/>
      </c>
      <c r="L157">
        <f>TEXT(44111, "[$-41C]dddd,ddd,mmmm,mmm,mmmmm,m")</f>
        <v/>
      </c>
      <c r="M157">
        <f>TEXT(44140, "[$-41C]dddd,ddd,mmmm,mmm,mmmmm,m")</f>
        <v/>
      </c>
      <c r="N157">
        <f>TEXT(44169, "[$-41C]dddd,ddd,mmmm,mmm,mmmmm,m")</f>
        <v/>
      </c>
      <c r="O157">
        <f>TEXT(44198, "[$-41C]dddd,ddd,mmmm,mmm,mmmmm,m")</f>
        <v/>
      </c>
    </row>
    <row r="158">
      <c r="A158" t="inlineStr">
        <is>
          <t>0x41D</t>
        </is>
      </c>
      <c r="B158" t="inlineStr">
        <is>
          <t>sv-SE</t>
        </is>
      </c>
      <c r="C158">
        <f>TEXT(43836, "[$-41D]dddd,ddd,mmmm,mmm,mmmmm,m")</f>
        <v/>
      </c>
      <c r="D158">
        <f>TEXT(43865, "[$-41D]dddd,ddd,mmmm,mmm,mmmmm,m")</f>
        <v/>
      </c>
      <c r="E158">
        <f>TEXT(43894, "[$-41D]dddd,ddd,mmmm,mmm,mmmmm,m")</f>
        <v/>
      </c>
      <c r="F158">
        <f>TEXT(43923, "[$-41D]dddd,ddd,mmmm,mmm,mmmmm,m")</f>
        <v/>
      </c>
      <c r="G158">
        <f>TEXT(43952, "[$-41D]dddd,ddd,mmmm,mmm,mmmmm,m")</f>
        <v/>
      </c>
      <c r="H158">
        <f>TEXT(43988, "[$-41D]dddd,ddd,mmmm,mmm,mmmmm,m")</f>
        <v/>
      </c>
      <c r="I158">
        <f>TEXT(44017, "[$-41D]dddd,ddd,mmmm,mmm,mmmmm,m")</f>
        <v/>
      </c>
      <c r="J158">
        <f>TEXT(44046, "[$-41D]dddd,ddd,mmmm,mmm,mmmmm,m")</f>
        <v/>
      </c>
      <c r="K158">
        <f>TEXT(44082, "[$-41D]dddd,ddd,mmmm,mmm,mmmmm,m")</f>
        <v/>
      </c>
      <c r="L158">
        <f>TEXT(44111, "[$-41D]dddd,ddd,mmmm,mmm,mmmmm,m")</f>
        <v/>
      </c>
      <c r="M158">
        <f>TEXT(44140, "[$-41D]dddd,ddd,mmmm,mmm,mmmmm,m")</f>
        <v/>
      </c>
      <c r="N158">
        <f>TEXT(44169, "[$-41D]dddd,ddd,mmmm,mmm,mmmmm,m")</f>
        <v/>
      </c>
      <c r="O158">
        <f>TEXT(44198, "[$-41D]dddd,ddd,mmmm,mmm,mmmmm,m")</f>
        <v/>
      </c>
    </row>
    <row r="159">
      <c r="A159" t="inlineStr">
        <is>
          <t>0xD00041E</t>
        </is>
      </c>
      <c r="B159" t="inlineStr">
        <is>
          <t>th-TH</t>
        </is>
      </c>
      <c r="C159">
        <f>TEXT(43836, "[$-D00041E]dddd,ddd,mmmm,mmm,mmmmm,m")</f>
        <v/>
      </c>
      <c r="D159">
        <f>TEXT(43865, "[$-D00041E]dddd,ddd,mmmm,mmm,mmmmm,m")</f>
        <v/>
      </c>
      <c r="E159">
        <f>TEXT(43894, "[$-D00041E]dddd,ddd,mmmm,mmm,mmmmm,m")</f>
        <v/>
      </c>
      <c r="F159">
        <f>TEXT(43923, "[$-D00041E]dddd,ddd,mmmm,mmm,mmmmm,m")</f>
        <v/>
      </c>
      <c r="G159">
        <f>TEXT(43952, "[$-D00041E]dddd,ddd,mmmm,mmm,mmmmm,m")</f>
        <v/>
      </c>
      <c r="H159">
        <f>TEXT(43988, "[$-D00041E]dddd,ddd,mmmm,mmm,mmmmm,m")</f>
        <v/>
      </c>
      <c r="I159">
        <f>TEXT(44017, "[$-D00041E]dddd,ddd,mmmm,mmm,mmmmm,m")</f>
        <v/>
      </c>
      <c r="J159">
        <f>TEXT(44046, "[$-D00041E]dddd,ddd,mmmm,mmm,mmmmm,m")</f>
        <v/>
      </c>
      <c r="K159">
        <f>TEXT(44082, "[$-D00041E]dddd,ddd,mmmm,mmm,mmmmm,m")</f>
        <v/>
      </c>
      <c r="L159">
        <f>TEXT(44111, "[$-D00041E]dddd,ddd,mmmm,mmm,mmmmm,m")</f>
        <v/>
      </c>
      <c r="M159">
        <f>TEXT(44140, "[$-D00041E]dddd,ddd,mmmm,mmm,mmmmm,m")</f>
        <v/>
      </c>
      <c r="N159">
        <f>TEXT(44169, "[$-D00041E]dddd,ddd,mmmm,mmm,mmmmm,m")</f>
        <v/>
      </c>
      <c r="O159">
        <f>TEXT(44198, "[$-D00041E]dddd,ddd,mmmm,mmm,mmmmm,m")</f>
        <v/>
      </c>
    </row>
    <row r="160">
      <c r="A160" t="inlineStr">
        <is>
          <t>0x41F</t>
        </is>
      </c>
      <c r="B160" t="inlineStr">
        <is>
          <t>tr-TR</t>
        </is>
      </c>
      <c r="C160">
        <f>TEXT(43836, "[$-41F]dddd,ddd,mmmm,mmm,mmmmm,m")</f>
        <v/>
      </c>
      <c r="D160">
        <f>TEXT(43865, "[$-41F]dddd,ddd,mmmm,mmm,mmmmm,m")</f>
        <v/>
      </c>
      <c r="E160">
        <f>TEXT(43894, "[$-41F]dddd,ddd,mmmm,mmm,mmmmm,m")</f>
        <v/>
      </c>
      <c r="F160">
        <f>TEXT(43923, "[$-41F]dddd,ddd,mmmm,mmm,mmmmm,m")</f>
        <v/>
      </c>
      <c r="G160">
        <f>TEXT(43952, "[$-41F]dddd,ddd,mmmm,mmm,mmmmm,m")</f>
        <v/>
      </c>
      <c r="H160">
        <f>TEXT(43988, "[$-41F]dddd,ddd,mmmm,mmm,mmmmm,m")</f>
        <v/>
      </c>
      <c r="I160">
        <f>TEXT(44017, "[$-41F]dddd,ddd,mmmm,mmm,mmmmm,m")</f>
        <v/>
      </c>
      <c r="J160">
        <f>TEXT(44046, "[$-41F]dddd,ddd,mmmm,mmm,mmmmm,m")</f>
        <v/>
      </c>
      <c r="K160">
        <f>TEXT(44082, "[$-41F]dddd,ddd,mmmm,mmm,mmmmm,m")</f>
        <v/>
      </c>
      <c r="L160">
        <f>TEXT(44111, "[$-41F]dddd,ddd,mmmm,mmm,mmmmm,m")</f>
        <v/>
      </c>
      <c r="M160">
        <f>TEXT(44140, "[$-41F]dddd,ddd,mmmm,mmm,mmmmm,m")</f>
        <v/>
      </c>
      <c r="N160">
        <f>TEXT(44169, "[$-41F]dddd,ddd,mmmm,mmm,mmmmm,m")</f>
        <v/>
      </c>
      <c r="O160">
        <f>TEXT(44198, "[$-41F]dddd,ddd,mmmm,mmm,mmmmm,m")</f>
        <v/>
      </c>
    </row>
    <row r="161">
      <c r="A161" t="inlineStr">
        <is>
          <t>0x420</t>
        </is>
      </c>
      <c r="B161" t="inlineStr">
        <is>
          <t>ur-PK</t>
        </is>
      </c>
      <c r="C161">
        <f>TEXT(43836, "[$-420]dddd,ddd,mmmm,mmm,mmmmm,m")</f>
        <v/>
      </c>
      <c r="D161">
        <f>TEXT(43865, "[$-420]dddd,ddd,mmmm,mmm,mmmmm,m")</f>
        <v/>
      </c>
      <c r="E161">
        <f>TEXT(43894, "[$-420]dddd,ddd,mmmm,mmm,mmmmm,m")</f>
        <v/>
      </c>
      <c r="F161">
        <f>TEXT(43923, "[$-420]dddd,ddd,mmmm,mmm,mmmmm,m")</f>
        <v/>
      </c>
      <c r="G161">
        <f>TEXT(43952, "[$-420]dddd,ddd,mmmm,mmm,mmmmm,m")</f>
        <v/>
      </c>
      <c r="H161">
        <f>TEXT(43988, "[$-420]dddd,ddd,mmmm,mmm,mmmmm,m")</f>
        <v/>
      </c>
      <c r="I161">
        <f>TEXT(44017, "[$-420]dddd,ddd,mmmm,mmm,mmmmm,m")</f>
        <v/>
      </c>
      <c r="J161">
        <f>TEXT(44046, "[$-420]dddd,ddd,mmmm,mmm,mmmmm,m")</f>
        <v/>
      </c>
      <c r="K161">
        <f>TEXT(44082, "[$-420]dddd,ddd,mmmm,mmm,mmmmm,m")</f>
        <v/>
      </c>
      <c r="L161">
        <f>TEXT(44111, "[$-420]dddd,ddd,mmmm,mmm,mmmmm,m")</f>
        <v/>
      </c>
      <c r="M161">
        <f>TEXT(44140, "[$-420]dddd,ddd,mmmm,mmm,mmmmm,m")</f>
        <v/>
      </c>
      <c r="N161">
        <f>TEXT(44169, "[$-420]dddd,ddd,mmmm,mmm,mmmmm,m")</f>
        <v/>
      </c>
      <c r="O161">
        <f>TEXT(44198, "[$-420]dddd,ddd,mmmm,mmm,mmmmm,m")</f>
        <v/>
      </c>
    </row>
    <row r="162">
      <c r="A162" t="inlineStr">
        <is>
          <t>0x421</t>
        </is>
      </c>
      <c r="B162" t="inlineStr">
        <is>
          <t>id-ID</t>
        </is>
      </c>
      <c r="C162">
        <f>TEXT(43836, "[$-421]dddd,ddd,mmmm,mmm,mmmmm,m")</f>
        <v/>
      </c>
      <c r="D162">
        <f>TEXT(43865, "[$-421]dddd,ddd,mmmm,mmm,mmmmm,m")</f>
        <v/>
      </c>
      <c r="E162">
        <f>TEXT(43894, "[$-421]dddd,ddd,mmmm,mmm,mmmmm,m")</f>
        <v/>
      </c>
      <c r="F162">
        <f>TEXT(43923, "[$-421]dddd,ddd,mmmm,mmm,mmmmm,m")</f>
        <v/>
      </c>
      <c r="G162">
        <f>TEXT(43952, "[$-421]dddd,ddd,mmmm,mmm,mmmmm,m")</f>
        <v/>
      </c>
      <c r="H162">
        <f>TEXT(43988, "[$-421]dddd,ddd,mmmm,mmm,mmmmm,m")</f>
        <v/>
      </c>
      <c r="I162">
        <f>TEXT(44017, "[$-421]dddd,ddd,mmmm,mmm,mmmmm,m")</f>
        <v/>
      </c>
      <c r="J162">
        <f>TEXT(44046, "[$-421]dddd,ddd,mmmm,mmm,mmmmm,m")</f>
        <v/>
      </c>
      <c r="K162">
        <f>TEXT(44082, "[$-421]dddd,ddd,mmmm,mmm,mmmmm,m")</f>
        <v/>
      </c>
      <c r="L162">
        <f>TEXT(44111, "[$-421]dddd,ddd,mmmm,mmm,mmmmm,m")</f>
        <v/>
      </c>
      <c r="M162">
        <f>TEXT(44140, "[$-421]dddd,ddd,mmmm,mmm,mmmmm,m")</f>
        <v/>
      </c>
      <c r="N162">
        <f>TEXT(44169, "[$-421]dddd,ddd,mmmm,mmm,mmmmm,m")</f>
        <v/>
      </c>
      <c r="O162">
        <f>TEXT(44198, "[$-421]dddd,ddd,mmmm,mmm,mmmmm,m")</f>
        <v/>
      </c>
    </row>
    <row r="163">
      <c r="A163" t="inlineStr">
        <is>
          <t>0x422</t>
        </is>
      </c>
      <c r="B163" t="inlineStr">
        <is>
          <t>uk-UA</t>
        </is>
      </c>
      <c r="C163">
        <f>TEXT(43836, "[$-422]dddd,ddd,mmmm,mmm,mmmmm,m")</f>
        <v/>
      </c>
      <c r="D163">
        <f>TEXT(43865, "[$-422]dddd,ddd,mmmm,mmm,mmmmm,m")</f>
        <v/>
      </c>
      <c r="E163">
        <f>TEXT(43894, "[$-422]dddd,ddd,mmmm,mmm,mmmmm,m")</f>
        <v/>
      </c>
      <c r="F163">
        <f>TEXT(43923, "[$-422]dddd,ddd,mmmm,mmm,mmmmm,m")</f>
        <v/>
      </c>
      <c r="G163">
        <f>TEXT(43952, "[$-422]dddd,ddd,mmmm,mmm,mmmmm,m")</f>
        <v/>
      </c>
      <c r="H163">
        <f>TEXT(43988, "[$-422]dddd,ddd,mmmm,mmm,mmmmm,m")</f>
        <v/>
      </c>
      <c r="I163">
        <f>TEXT(44017, "[$-422]dddd,ddd,mmmm,mmm,mmmmm,m")</f>
        <v/>
      </c>
      <c r="J163">
        <f>TEXT(44046, "[$-422]dddd,ddd,mmmm,mmm,mmmmm,m")</f>
        <v/>
      </c>
      <c r="K163">
        <f>TEXT(44082, "[$-422]dddd,ddd,mmmm,mmm,mmmmm,m")</f>
        <v/>
      </c>
      <c r="L163">
        <f>TEXT(44111, "[$-422]dddd,ddd,mmmm,mmm,mmmmm,m")</f>
        <v/>
      </c>
      <c r="M163">
        <f>TEXT(44140, "[$-422]dddd,ddd,mmmm,mmm,mmmmm,m")</f>
        <v/>
      </c>
      <c r="N163">
        <f>TEXT(44169, "[$-422]dddd,ddd,mmmm,mmm,mmmmm,m")</f>
        <v/>
      </c>
      <c r="O163">
        <f>TEXT(44198, "[$-422]dddd,ddd,mmmm,mmm,mmmmm,m")</f>
        <v/>
      </c>
    </row>
    <row r="164">
      <c r="A164" t="inlineStr">
        <is>
          <t>0x423</t>
        </is>
      </c>
      <c r="B164" t="inlineStr">
        <is>
          <t>be-BY</t>
        </is>
      </c>
      <c r="C164">
        <f>TEXT(43836, "[$-423]dddd,ddd,mmmm,mmm,mmmmm,m")</f>
        <v/>
      </c>
      <c r="D164">
        <f>TEXT(43865, "[$-423]dddd,ddd,mmmm,mmm,mmmmm,m")</f>
        <v/>
      </c>
      <c r="E164">
        <f>TEXT(43894, "[$-423]dddd,ddd,mmmm,mmm,mmmmm,m")</f>
        <v/>
      </c>
      <c r="F164">
        <f>TEXT(43923, "[$-423]dddd,ddd,mmmm,mmm,mmmmm,m")</f>
        <v/>
      </c>
      <c r="G164">
        <f>TEXT(43952, "[$-423]dddd,ddd,mmmm,mmm,mmmmm,m")</f>
        <v/>
      </c>
      <c r="H164">
        <f>TEXT(43988, "[$-423]dddd,ddd,mmmm,mmm,mmmmm,m")</f>
        <v/>
      </c>
      <c r="I164">
        <f>TEXT(44017, "[$-423]dddd,ddd,mmmm,mmm,mmmmm,m")</f>
        <v/>
      </c>
      <c r="J164">
        <f>TEXT(44046, "[$-423]dddd,ddd,mmmm,mmm,mmmmm,m")</f>
        <v/>
      </c>
      <c r="K164">
        <f>TEXT(44082, "[$-423]dddd,ddd,mmmm,mmm,mmmmm,m")</f>
        <v/>
      </c>
      <c r="L164">
        <f>TEXT(44111, "[$-423]dddd,ddd,mmmm,mmm,mmmmm,m")</f>
        <v/>
      </c>
      <c r="M164">
        <f>TEXT(44140, "[$-423]dddd,ddd,mmmm,mmm,mmmmm,m")</f>
        <v/>
      </c>
      <c r="N164">
        <f>TEXT(44169, "[$-423]dddd,ddd,mmmm,mmm,mmmmm,m")</f>
        <v/>
      </c>
      <c r="O164">
        <f>TEXT(44198, "[$-423]dddd,ddd,mmmm,mmm,mmmmm,m")</f>
        <v/>
      </c>
    </row>
    <row r="165">
      <c r="A165" t="inlineStr">
        <is>
          <t>0x424</t>
        </is>
      </c>
      <c r="B165" t="inlineStr">
        <is>
          <t>sl-SI</t>
        </is>
      </c>
      <c r="C165">
        <f>TEXT(43836, "[$-424]dddd,ddd,mmmm,mmm,mmmmm,m")</f>
        <v/>
      </c>
      <c r="D165">
        <f>TEXT(43865, "[$-424]dddd,ddd,mmmm,mmm,mmmmm,m")</f>
        <v/>
      </c>
      <c r="E165">
        <f>TEXT(43894, "[$-424]dddd,ddd,mmmm,mmm,mmmmm,m")</f>
        <v/>
      </c>
      <c r="F165">
        <f>TEXT(43923, "[$-424]dddd,ddd,mmmm,mmm,mmmmm,m")</f>
        <v/>
      </c>
      <c r="G165">
        <f>TEXT(43952, "[$-424]dddd,ddd,mmmm,mmm,mmmmm,m")</f>
        <v/>
      </c>
      <c r="H165">
        <f>TEXT(43988, "[$-424]dddd,ddd,mmmm,mmm,mmmmm,m")</f>
        <v/>
      </c>
      <c r="I165">
        <f>TEXT(44017, "[$-424]dddd,ddd,mmmm,mmm,mmmmm,m")</f>
        <v/>
      </c>
      <c r="J165">
        <f>TEXT(44046, "[$-424]dddd,ddd,mmmm,mmm,mmmmm,m")</f>
        <v/>
      </c>
      <c r="K165">
        <f>TEXT(44082, "[$-424]dddd,ddd,mmmm,mmm,mmmmm,m")</f>
        <v/>
      </c>
      <c r="L165">
        <f>TEXT(44111, "[$-424]dddd,ddd,mmmm,mmm,mmmmm,m")</f>
        <v/>
      </c>
      <c r="M165">
        <f>TEXT(44140, "[$-424]dddd,ddd,mmmm,mmm,mmmmm,m")</f>
        <v/>
      </c>
      <c r="N165">
        <f>TEXT(44169, "[$-424]dddd,ddd,mmmm,mmm,mmmmm,m")</f>
        <v/>
      </c>
      <c r="O165">
        <f>TEXT(44198, "[$-424]dddd,ddd,mmmm,mmm,mmmmm,m")</f>
        <v/>
      </c>
    </row>
    <row r="166">
      <c r="A166" t="inlineStr">
        <is>
          <t>0x425</t>
        </is>
      </c>
      <c r="B166" t="inlineStr">
        <is>
          <t>et-EE</t>
        </is>
      </c>
      <c r="C166">
        <f>TEXT(43836, "[$-425]dddd,ddd,mmmm,mmm,mmmmm,m")</f>
        <v/>
      </c>
      <c r="D166">
        <f>TEXT(43865, "[$-425]dddd,ddd,mmmm,mmm,mmmmm,m")</f>
        <v/>
      </c>
      <c r="E166">
        <f>TEXT(43894, "[$-425]dddd,ddd,mmmm,mmm,mmmmm,m")</f>
        <v/>
      </c>
      <c r="F166">
        <f>TEXT(43923, "[$-425]dddd,ddd,mmmm,mmm,mmmmm,m")</f>
        <v/>
      </c>
      <c r="G166">
        <f>TEXT(43952, "[$-425]dddd,ddd,mmmm,mmm,mmmmm,m")</f>
        <v/>
      </c>
      <c r="H166">
        <f>TEXT(43988, "[$-425]dddd,ddd,mmmm,mmm,mmmmm,m")</f>
        <v/>
      </c>
      <c r="I166">
        <f>TEXT(44017, "[$-425]dddd,ddd,mmmm,mmm,mmmmm,m")</f>
        <v/>
      </c>
      <c r="J166">
        <f>TEXT(44046, "[$-425]dddd,ddd,mmmm,mmm,mmmmm,m")</f>
        <v/>
      </c>
      <c r="K166">
        <f>TEXT(44082, "[$-425]dddd,ddd,mmmm,mmm,mmmmm,m")</f>
        <v/>
      </c>
      <c r="L166">
        <f>TEXT(44111, "[$-425]dddd,ddd,mmmm,mmm,mmmmm,m")</f>
        <v/>
      </c>
      <c r="M166">
        <f>TEXT(44140, "[$-425]dddd,ddd,mmmm,mmm,mmmmm,m")</f>
        <v/>
      </c>
      <c r="N166">
        <f>TEXT(44169, "[$-425]dddd,ddd,mmmm,mmm,mmmmm,m")</f>
        <v/>
      </c>
      <c r="O166">
        <f>TEXT(44198, "[$-425]dddd,ddd,mmmm,mmm,mmmmm,m")</f>
        <v/>
      </c>
    </row>
    <row r="167">
      <c r="A167" t="inlineStr">
        <is>
          <t>0x426</t>
        </is>
      </c>
      <c r="B167" t="inlineStr">
        <is>
          <t>lv-LV</t>
        </is>
      </c>
      <c r="C167">
        <f>TEXT(43836, "[$-426]dddd,ddd,mmmm,mmm,mmmmm,m")</f>
        <v/>
      </c>
      <c r="D167">
        <f>TEXT(43865, "[$-426]dddd,ddd,mmmm,mmm,mmmmm,m")</f>
        <v/>
      </c>
      <c r="E167">
        <f>TEXT(43894, "[$-426]dddd,ddd,mmmm,mmm,mmmmm,m")</f>
        <v/>
      </c>
      <c r="F167">
        <f>TEXT(43923, "[$-426]dddd,ddd,mmmm,mmm,mmmmm,m")</f>
        <v/>
      </c>
      <c r="G167">
        <f>TEXT(43952, "[$-426]dddd,ddd,mmmm,mmm,mmmmm,m")</f>
        <v/>
      </c>
      <c r="H167">
        <f>TEXT(43988, "[$-426]dddd,ddd,mmmm,mmm,mmmmm,m")</f>
        <v/>
      </c>
      <c r="I167">
        <f>TEXT(44017, "[$-426]dddd,ddd,mmmm,mmm,mmmmm,m")</f>
        <v/>
      </c>
      <c r="J167">
        <f>TEXT(44046, "[$-426]dddd,ddd,mmmm,mmm,mmmmm,m")</f>
        <v/>
      </c>
      <c r="K167">
        <f>TEXT(44082, "[$-426]dddd,ddd,mmmm,mmm,mmmmm,m")</f>
        <v/>
      </c>
      <c r="L167">
        <f>TEXT(44111, "[$-426]dddd,ddd,mmmm,mmm,mmmmm,m")</f>
        <v/>
      </c>
      <c r="M167">
        <f>TEXT(44140, "[$-426]dddd,ddd,mmmm,mmm,mmmmm,m")</f>
        <v/>
      </c>
      <c r="N167">
        <f>TEXT(44169, "[$-426]dddd,ddd,mmmm,mmm,mmmmm,m")</f>
        <v/>
      </c>
      <c r="O167">
        <f>TEXT(44198, "[$-426]dddd,ddd,mmmm,mmm,mmmmm,m")</f>
        <v/>
      </c>
    </row>
    <row r="168">
      <c r="A168" t="inlineStr">
        <is>
          <t>0x427</t>
        </is>
      </c>
      <c r="B168" t="inlineStr">
        <is>
          <t>lt-LT</t>
        </is>
      </c>
      <c r="C168">
        <f>TEXT(43836, "[$-427]dddd,ddd,mmmm,mmm,mmmmm,m")</f>
        <v/>
      </c>
      <c r="D168">
        <f>TEXT(43865, "[$-427]dddd,ddd,mmmm,mmm,mmmmm,m")</f>
        <v/>
      </c>
      <c r="E168">
        <f>TEXT(43894, "[$-427]dddd,ddd,mmmm,mmm,mmmmm,m")</f>
        <v/>
      </c>
      <c r="F168">
        <f>TEXT(43923, "[$-427]dddd,ddd,mmmm,mmm,mmmmm,m")</f>
        <v/>
      </c>
      <c r="G168">
        <f>TEXT(43952, "[$-427]dddd,ddd,mmmm,mmm,mmmmm,m")</f>
        <v/>
      </c>
      <c r="H168">
        <f>TEXT(43988, "[$-427]dddd,ddd,mmmm,mmm,mmmmm,m")</f>
        <v/>
      </c>
      <c r="I168">
        <f>TEXT(44017, "[$-427]dddd,ddd,mmmm,mmm,mmmmm,m")</f>
        <v/>
      </c>
      <c r="J168">
        <f>TEXT(44046, "[$-427]dddd,ddd,mmmm,mmm,mmmmm,m")</f>
        <v/>
      </c>
      <c r="K168">
        <f>TEXT(44082, "[$-427]dddd,ddd,mmmm,mmm,mmmmm,m")</f>
        <v/>
      </c>
      <c r="L168">
        <f>TEXT(44111, "[$-427]dddd,ddd,mmmm,mmm,mmmmm,m")</f>
        <v/>
      </c>
      <c r="M168">
        <f>TEXT(44140, "[$-427]dddd,ddd,mmmm,mmm,mmmmm,m")</f>
        <v/>
      </c>
      <c r="N168">
        <f>TEXT(44169, "[$-427]dddd,ddd,mmmm,mmm,mmmmm,m")</f>
        <v/>
      </c>
      <c r="O168">
        <f>TEXT(44198, "[$-427]dddd,ddd,mmmm,mmm,mmmmm,m")</f>
        <v/>
      </c>
    </row>
    <row r="169">
      <c r="A169" t="inlineStr">
        <is>
          <t>0x428</t>
        </is>
      </c>
      <c r="B169" t="inlineStr">
        <is>
          <t>tg-Cyrl_TJ</t>
        </is>
      </c>
      <c r="C169">
        <f>TEXT(43836, "[$-428]dddd,ddd,mmmm,mmm,mmmmm,m")</f>
        <v/>
      </c>
      <c r="D169">
        <f>TEXT(43865, "[$-428]dddd,ddd,mmmm,mmm,mmmmm,m")</f>
        <v/>
      </c>
      <c r="E169">
        <f>TEXT(43894, "[$-428]dddd,ddd,mmmm,mmm,mmmmm,m")</f>
        <v/>
      </c>
      <c r="F169">
        <f>TEXT(43923, "[$-428]dddd,ddd,mmmm,mmm,mmmmm,m")</f>
        <v/>
      </c>
      <c r="G169">
        <f>TEXT(43952, "[$-428]dddd,ddd,mmmm,mmm,mmmmm,m")</f>
        <v/>
      </c>
      <c r="H169">
        <f>TEXT(43988, "[$-428]dddd,ddd,mmmm,mmm,mmmmm,m")</f>
        <v/>
      </c>
      <c r="I169">
        <f>TEXT(44017, "[$-428]dddd,ddd,mmmm,mmm,mmmmm,m")</f>
        <v/>
      </c>
      <c r="J169">
        <f>TEXT(44046, "[$-428]dddd,ddd,mmmm,mmm,mmmmm,m")</f>
        <v/>
      </c>
      <c r="K169">
        <f>TEXT(44082, "[$-428]dddd,ddd,mmmm,mmm,mmmmm,m")</f>
        <v/>
      </c>
      <c r="L169">
        <f>TEXT(44111, "[$-428]dddd,ddd,mmmm,mmm,mmmmm,m")</f>
        <v/>
      </c>
      <c r="M169">
        <f>TEXT(44140, "[$-428]dddd,ddd,mmmm,mmm,mmmmm,m")</f>
        <v/>
      </c>
      <c r="N169">
        <f>TEXT(44169, "[$-428]dddd,ddd,mmmm,mmm,mmmmm,m")</f>
        <v/>
      </c>
      <c r="O169">
        <f>TEXT(44198, "[$-428]dddd,ddd,mmmm,mmm,mmmmm,m")</f>
        <v/>
      </c>
    </row>
    <row r="170">
      <c r="A170" t="inlineStr">
        <is>
          <t>0x429</t>
        </is>
      </c>
      <c r="B170" t="inlineStr">
        <is>
          <t>fa-IR</t>
        </is>
      </c>
      <c r="C170">
        <f>TEXT(43836, "[$-429]dddd,ddd,mmmm,mmm,mmmmm,m")</f>
        <v/>
      </c>
      <c r="D170">
        <f>TEXT(43865, "[$-429]dddd,ddd,mmmm,mmm,mmmmm,m")</f>
        <v/>
      </c>
      <c r="E170">
        <f>TEXT(43894, "[$-429]dddd,ddd,mmmm,mmm,mmmmm,m")</f>
        <v/>
      </c>
      <c r="F170">
        <f>TEXT(43923, "[$-429]dddd,ddd,mmmm,mmm,mmmmm,m")</f>
        <v/>
      </c>
      <c r="G170">
        <f>TEXT(43952, "[$-429]dddd,ddd,mmmm,mmm,mmmmm,m")</f>
        <v/>
      </c>
      <c r="H170">
        <f>TEXT(43988, "[$-429]dddd,ddd,mmmm,mmm,mmmmm,m")</f>
        <v/>
      </c>
      <c r="I170">
        <f>TEXT(44017, "[$-429]dddd,ddd,mmmm,mmm,mmmmm,m")</f>
        <v/>
      </c>
      <c r="J170">
        <f>TEXT(44046, "[$-429]dddd,ddd,mmmm,mmm,mmmmm,m")</f>
        <v/>
      </c>
      <c r="K170">
        <f>TEXT(44082, "[$-429]dddd,ddd,mmmm,mmm,mmmmm,m")</f>
        <v/>
      </c>
      <c r="L170">
        <f>TEXT(44111, "[$-429]dddd,ddd,mmmm,mmm,mmmmm,m")</f>
        <v/>
      </c>
      <c r="M170">
        <f>TEXT(44140, "[$-429]dddd,ddd,mmmm,mmm,mmmmm,m")</f>
        <v/>
      </c>
      <c r="N170">
        <f>TEXT(44169, "[$-429]dddd,ddd,mmmm,mmm,mmmmm,m")</f>
        <v/>
      </c>
      <c r="O170">
        <f>TEXT(44198, "[$-429]dddd,ddd,mmmm,mmm,mmmmm,m")</f>
        <v/>
      </c>
    </row>
    <row r="171">
      <c r="A171" t="inlineStr">
        <is>
          <t>0x42A</t>
        </is>
      </c>
      <c r="B171" t="inlineStr">
        <is>
          <t>vi-VN</t>
        </is>
      </c>
      <c r="C171">
        <f>TEXT(43836, "[$-42A]dddd,ddd,mmmm,mmm,mmmmm,m")</f>
        <v/>
      </c>
      <c r="D171">
        <f>TEXT(43865, "[$-42A]dddd,ddd,mmmm,mmm,mmmmm,m")</f>
        <v/>
      </c>
      <c r="E171">
        <f>TEXT(43894, "[$-42A]dddd,ddd,mmmm,mmm,mmmmm,m")</f>
        <v/>
      </c>
      <c r="F171">
        <f>TEXT(43923, "[$-42A]dddd,ddd,mmmm,mmm,mmmmm,m")</f>
        <v/>
      </c>
      <c r="G171">
        <f>TEXT(43952, "[$-42A]dddd,ddd,mmmm,mmm,mmmmm,m")</f>
        <v/>
      </c>
      <c r="H171">
        <f>TEXT(43988, "[$-42A]dddd,ddd,mmmm,mmm,mmmmm,m")</f>
        <v/>
      </c>
      <c r="I171">
        <f>TEXT(44017, "[$-42A]dddd,ddd,mmmm,mmm,mmmmm,m")</f>
        <v/>
      </c>
      <c r="J171">
        <f>TEXT(44046, "[$-42A]dddd,ddd,mmmm,mmm,mmmmm,m")</f>
        <v/>
      </c>
      <c r="K171">
        <f>TEXT(44082, "[$-42A]dddd,ddd,mmmm,mmm,mmmmm,m")</f>
        <v/>
      </c>
      <c r="L171">
        <f>TEXT(44111, "[$-42A]dddd,ddd,mmmm,mmm,mmmmm,m")</f>
        <v/>
      </c>
      <c r="M171">
        <f>TEXT(44140, "[$-42A]dddd,ddd,mmmm,mmm,mmmmm,m")</f>
        <v/>
      </c>
      <c r="N171">
        <f>TEXT(44169, "[$-42A]dddd,ddd,mmmm,mmm,mmmmm,m")</f>
        <v/>
      </c>
      <c r="O171">
        <f>TEXT(44198, "[$-42A]dddd,ddd,mmmm,mmm,mmmmm,m")</f>
        <v/>
      </c>
    </row>
    <row r="172">
      <c r="A172" t="inlineStr">
        <is>
          <t>0x42B</t>
        </is>
      </c>
      <c r="B172" t="inlineStr">
        <is>
          <t>hy-AM</t>
        </is>
      </c>
      <c r="C172">
        <f>TEXT(43836, "[$-42B]dddd,ddd,mmmm,mmm,mmmmm,m")</f>
        <v/>
      </c>
      <c r="D172">
        <f>TEXT(43865, "[$-42B]dddd,ddd,mmmm,mmm,mmmmm,m")</f>
        <v/>
      </c>
      <c r="E172">
        <f>TEXT(43894, "[$-42B]dddd,ddd,mmmm,mmm,mmmmm,m")</f>
        <v/>
      </c>
      <c r="F172">
        <f>TEXT(43923, "[$-42B]dddd,ddd,mmmm,mmm,mmmmm,m")</f>
        <v/>
      </c>
      <c r="G172">
        <f>TEXT(43952, "[$-42B]dddd,ddd,mmmm,mmm,mmmmm,m")</f>
        <v/>
      </c>
      <c r="H172">
        <f>TEXT(43988, "[$-42B]dddd,ddd,mmmm,mmm,mmmmm,m")</f>
        <v/>
      </c>
      <c r="I172">
        <f>TEXT(44017, "[$-42B]dddd,ddd,mmmm,mmm,mmmmm,m")</f>
        <v/>
      </c>
      <c r="J172">
        <f>TEXT(44046, "[$-42B]dddd,ddd,mmmm,mmm,mmmmm,m")</f>
        <v/>
      </c>
      <c r="K172">
        <f>TEXT(44082, "[$-42B]dddd,ddd,mmmm,mmm,mmmmm,m")</f>
        <v/>
      </c>
      <c r="L172">
        <f>TEXT(44111, "[$-42B]dddd,ddd,mmmm,mmm,mmmmm,m")</f>
        <v/>
      </c>
      <c r="M172">
        <f>TEXT(44140, "[$-42B]dddd,ddd,mmmm,mmm,mmmmm,m")</f>
        <v/>
      </c>
      <c r="N172">
        <f>TEXT(44169, "[$-42B]dddd,ddd,mmmm,mmm,mmmmm,m")</f>
        <v/>
      </c>
      <c r="O172">
        <f>TEXT(44198, "[$-42B]dddd,ddd,mmmm,mmm,mmmmm,m")</f>
        <v/>
      </c>
    </row>
    <row r="173">
      <c r="A173" t="inlineStr">
        <is>
          <t>0x42C</t>
        </is>
      </c>
      <c r="B173" t="inlineStr">
        <is>
          <t>az-Latn_AZ</t>
        </is>
      </c>
      <c r="C173">
        <f>TEXT(43836, "[$-42C]dddd,ddd,mmmm,mmm,mmmmm,m")</f>
        <v/>
      </c>
      <c r="D173">
        <f>TEXT(43865, "[$-42C]dddd,ddd,mmmm,mmm,mmmmm,m")</f>
        <v/>
      </c>
      <c r="E173">
        <f>TEXT(43894, "[$-42C]dddd,ddd,mmmm,mmm,mmmmm,m")</f>
        <v/>
      </c>
      <c r="F173">
        <f>TEXT(43923, "[$-42C]dddd,ddd,mmmm,mmm,mmmmm,m")</f>
        <v/>
      </c>
      <c r="G173">
        <f>TEXT(43952, "[$-42C]dddd,ddd,mmmm,mmm,mmmmm,m")</f>
        <v/>
      </c>
      <c r="H173">
        <f>TEXT(43988, "[$-42C]dddd,ddd,mmmm,mmm,mmmmm,m")</f>
        <v/>
      </c>
      <c r="I173">
        <f>TEXT(44017, "[$-42C]dddd,ddd,mmmm,mmm,mmmmm,m")</f>
        <v/>
      </c>
      <c r="J173">
        <f>TEXT(44046, "[$-42C]dddd,ddd,mmmm,mmm,mmmmm,m")</f>
        <v/>
      </c>
      <c r="K173">
        <f>TEXT(44082, "[$-42C]dddd,ddd,mmmm,mmm,mmmmm,m")</f>
        <v/>
      </c>
      <c r="L173">
        <f>TEXT(44111, "[$-42C]dddd,ddd,mmmm,mmm,mmmmm,m")</f>
        <v/>
      </c>
      <c r="M173">
        <f>TEXT(44140, "[$-42C]dddd,ddd,mmmm,mmm,mmmmm,m")</f>
        <v/>
      </c>
      <c r="N173">
        <f>TEXT(44169, "[$-42C]dddd,ddd,mmmm,mmm,mmmmm,m")</f>
        <v/>
      </c>
      <c r="O173">
        <f>TEXT(44198, "[$-42C]dddd,ddd,mmmm,mmm,mmmmm,m")</f>
        <v/>
      </c>
    </row>
    <row r="174">
      <c r="A174" t="inlineStr">
        <is>
          <t>0x42D</t>
        </is>
      </c>
      <c r="B174" t="inlineStr">
        <is>
          <t>eu-ES</t>
        </is>
      </c>
      <c r="C174">
        <f>TEXT(43836, "[$-42D]dddd,ddd,mmmm,mmm,mmmmm,m")</f>
        <v/>
      </c>
      <c r="D174">
        <f>TEXT(43865, "[$-42D]dddd,ddd,mmmm,mmm,mmmmm,m")</f>
        <v/>
      </c>
      <c r="E174">
        <f>TEXT(43894, "[$-42D]dddd,ddd,mmmm,mmm,mmmmm,m")</f>
        <v/>
      </c>
      <c r="F174">
        <f>TEXT(43923, "[$-42D]dddd,ddd,mmmm,mmm,mmmmm,m")</f>
        <v/>
      </c>
      <c r="G174">
        <f>TEXT(43952, "[$-42D]dddd,ddd,mmmm,mmm,mmmmm,m")</f>
        <v/>
      </c>
      <c r="H174">
        <f>TEXT(43988, "[$-42D]dddd,ddd,mmmm,mmm,mmmmm,m")</f>
        <v/>
      </c>
      <c r="I174">
        <f>TEXT(44017, "[$-42D]dddd,ddd,mmmm,mmm,mmmmm,m")</f>
        <v/>
      </c>
      <c r="J174">
        <f>TEXT(44046, "[$-42D]dddd,ddd,mmmm,mmm,mmmmm,m")</f>
        <v/>
      </c>
      <c r="K174">
        <f>TEXT(44082, "[$-42D]dddd,ddd,mmmm,mmm,mmmmm,m")</f>
        <v/>
      </c>
      <c r="L174">
        <f>TEXT(44111, "[$-42D]dddd,ddd,mmmm,mmm,mmmmm,m")</f>
        <v/>
      </c>
      <c r="M174">
        <f>TEXT(44140, "[$-42D]dddd,ddd,mmmm,mmm,mmmmm,m")</f>
        <v/>
      </c>
      <c r="N174">
        <f>TEXT(44169, "[$-42D]dddd,ddd,mmmm,mmm,mmmmm,m")</f>
        <v/>
      </c>
      <c r="O174">
        <f>TEXT(44198, "[$-42D]dddd,ddd,mmmm,mmm,mmmmm,m")</f>
        <v/>
      </c>
    </row>
    <row r="175">
      <c r="A175" t="inlineStr">
        <is>
          <t>0x42E</t>
        </is>
      </c>
      <c r="B175" t="inlineStr">
        <is>
          <t>hsb-DE</t>
        </is>
      </c>
      <c r="C175">
        <f>TEXT(43836, "[$-42E]dddd,ddd,mmmm,mmm,mmmmm,m")</f>
        <v/>
      </c>
      <c r="D175">
        <f>TEXT(43865, "[$-42E]dddd,ddd,mmmm,mmm,mmmmm,m")</f>
        <v/>
      </c>
      <c r="E175">
        <f>TEXT(43894, "[$-42E]dddd,ddd,mmmm,mmm,mmmmm,m")</f>
        <v/>
      </c>
      <c r="F175">
        <f>TEXT(43923, "[$-42E]dddd,ddd,mmmm,mmm,mmmmm,m")</f>
        <v/>
      </c>
      <c r="G175">
        <f>TEXT(43952, "[$-42E]dddd,ddd,mmmm,mmm,mmmmm,m")</f>
        <v/>
      </c>
      <c r="H175">
        <f>TEXT(43988, "[$-42E]dddd,ddd,mmmm,mmm,mmmmm,m")</f>
        <v/>
      </c>
      <c r="I175">
        <f>TEXT(44017, "[$-42E]dddd,ddd,mmmm,mmm,mmmmm,m")</f>
        <v/>
      </c>
      <c r="J175">
        <f>TEXT(44046, "[$-42E]dddd,ddd,mmmm,mmm,mmmmm,m")</f>
        <v/>
      </c>
      <c r="K175">
        <f>TEXT(44082, "[$-42E]dddd,ddd,mmmm,mmm,mmmmm,m")</f>
        <v/>
      </c>
      <c r="L175">
        <f>TEXT(44111, "[$-42E]dddd,ddd,mmmm,mmm,mmmmm,m")</f>
        <v/>
      </c>
      <c r="M175">
        <f>TEXT(44140, "[$-42E]dddd,ddd,mmmm,mmm,mmmmm,m")</f>
        <v/>
      </c>
      <c r="N175">
        <f>TEXT(44169, "[$-42E]dddd,ddd,mmmm,mmm,mmmmm,m")</f>
        <v/>
      </c>
      <c r="O175">
        <f>TEXT(44198, "[$-42E]dddd,ddd,mmmm,mmm,mmmmm,m")</f>
        <v/>
      </c>
    </row>
    <row r="176">
      <c r="A176" t="inlineStr">
        <is>
          <t>0x42F</t>
        </is>
      </c>
      <c r="B176" t="inlineStr">
        <is>
          <t>mk-MK</t>
        </is>
      </c>
      <c r="C176">
        <f>TEXT(43836, "[$-42F]dddd,ddd,mmmm,mmm,mmmmm,m")</f>
        <v/>
      </c>
      <c r="D176">
        <f>TEXT(43865, "[$-42F]dddd,ddd,mmmm,mmm,mmmmm,m")</f>
        <v/>
      </c>
      <c r="E176">
        <f>TEXT(43894, "[$-42F]dddd,ddd,mmmm,mmm,mmmmm,m")</f>
        <v/>
      </c>
      <c r="F176">
        <f>TEXT(43923, "[$-42F]dddd,ddd,mmmm,mmm,mmmmm,m")</f>
        <v/>
      </c>
      <c r="G176">
        <f>TEXT(43952, "[$-42F]dddd,ddd,mmmm,mmm,mmmmm,m")</f>
        <v/>
      </c>
      <c r="H176">
        <f>TEXT(43988, "[$-42F]dddd,ddd,mmmm,mmm,mmmmm,m")</f>
        <v/>
      </c>
      <c r="I176">
        <f>TEXT(44017, "[$-42F]dddd,ddd,mmmm,mmm,mmmmm,m")</f>
        <v/>
      </c>
      <c r="J176">
        <f>TEXT(44046, "[$-42F]dddd,ddd,mmmm,mmm,mmmmm,m")</f>
        <v/>
      </c>
      <c r="K176">
        <f>TEXT(44082, "[$-42F]dddd,ddd,mmmm,mmm,mmmmm,m")</f>
        <v/>
      </c>
      <c r="L176">
        <f>TEXT(44111, "[$-42F]dddd,ddd,mmmm,mmm,mmmmm,m")</f>
        <v/>
      </c>
      <c r="M176">
        <f>TEXT(44140, "[$-42F]dddd,ddd,mmmm,mmm,mmmmm,m")</f>
        <v/>
      </c>
      <c r="N176">
        <f>TEXT(44169, "[$-42F]dddd,ddd,mmmm,mmm,mmmmm,m")</f>
        <v/>
      </c>
      <c r="O176">
        <f>TEXT(44198, "[$-42F]dddd,ddd,mmmm,mmm,mmmmm,m")</f>
        <v/>
      </c>
    </row>
    <row r="177">
      <c r="A177" t="inlineStr">
        <is>
          <t>0x430</t>
        </is>
      </c>
      <c r="B177" t="inlineStr">
        <is>
          <t>st-ZA</t>
        </is>
      </c>
      <c r="C177">
        <f>TEXT(43836, "[$-430]dddd,ddd,mmmm,mmm,mmmmm,m")</f>
        <v/>
      </c>
      <c r="D177">
        <f>TEXT(43865, "[$-430]dddd,ddd,mmmm,mmm,mmmmm,m")</f>
        <v/>
      </c>
      <c r="E177">
        <f>TEXT(43894, "[$-430]dddd,ddd,mmmm,mmm,mmmmm,m")</f>
        <v/>
      </c>
      <c r="F177">
        <f>TEXT(43923, "[$-430]dddd,ddd,mmmm,mmm,mmmmm,m")</f>
        <v/>
      </c>
      <c r="G177">
        <f>TEXT(43952, "[$-430]dddd,ddd,mmmm,mmm,mmmmm,m")</f>
        <v/>
      </c>
      <c r="H177">
        <f>TEXT(43988, "[$-430]dddd,ddd,mmmm,mmm,mmmmm,m")</f>
        <v/>
      </c>
      <c r="I177">
        <f>TEXT(44017, "[$-430]dddd,ddd,mmmm,mmm,mmmmm,m")</f>
        <v/>
      </c>
      <c r="J177">
        <f>TEXT(44046, "[$-430]dddd,ddd,mmmm,mmm,mmmmm,m")</f>
        <v/>
      </c>
      <c r="K177">
        <f>TEXT(44082, "[$-430]dddd,ddd,mmmm,mmm,mmmmm,m")</f>
        <v/>
      </c>
      <c r="L177">
        <f>TEXT(44111, "[$-430]dddd,ddd,mmmm,mmm,mmmmm,m")</f>
        <v/>
      </c>
      <c r="M177">
        <f>TEXT(44140, "[$-430]dddd,ddd,mmmm,mmm,mmmmm,m")</f>
        <v/>
      </c>
      <c r="N177">
        <f>TEXT(44169, "[$-430]dddd,ddd,mmmm,mmm,mmmmm,m")</f>
        <v/>
      </c>
      <c r="O177">
        <f>TEXT(44198, "[$-430]dddd,ddd,mmmm,mmm,mmmmm,m")</f>
        <v/>
      </c>
    </row>
    <row r="178">
      <c r="A178" t="inlineStr">
        <is>
          <t>0x431</t>
        </is>
      </c>
      <c r="B178" t="inlineStr">
        <is>
          <t>ts-ZA</t>
        </is>
      </c>
      <c r="C178">
        <f>TEXT(43836, "[$-431]dddd,ddd,mmmm,mmm,mmmmm,m")</f>
        <v/>
      </c>
      <c r="D178">
        <f>TEXT(43865, "[$-431]dddd,ddd,mmmm,mmm,mmmmm,m")</f>
        <v/>
      </c>
      <c r="E178">
        <f>TEXT(43894, "[$-431]dddd,ddd,mmmm,mmm,mmmmm,m")</f>
        <v/>
      </c>
      <c r="F178">
        <f>TEXT(43923, "[$-431]dddd,ddd,mmmm,mmm,mmmmm,m")</f>
        <v/>
      </c>
      <c r="G178">
        <f>TEXT(43952, "[$-431]dddd,ddd,mmmm,mmm,mmmmm,m")</f>
        <v/>
      </c>
      <c r="H178">
        <f>TEXT(43988, "[$-431]dddd,ddd,mmmm,mmm,mmmmm,m")</f>
        <v/>
      </c>
      <c r="I178">
        <f>TEXT(44017, "[$-431]dddd,ddd,mmmm,mmm,mmmmm,m")</f>
        <v/>
      </c>
      <c r="J178">
        <f>TEXT(44046, "[$-431]dddd,ddd,mmmm,mmm,mmmmm,m")</f>
        <v/>
      </c>
      <c r="K178">
        <f>TEXT(44082, "[$-431]dddd,ddd,mmmm,mmm,mmmmm,m")</f>
        <v/>
      </c>
      <c r="L178">
        <f>TEXT(44111, "[$-431]dddd,ddd,mmmm,mmm,mmmmm,m")</f>
        <v/>
      </c>
      <c r="M178">
        <f>TEXT(44140, "[$-431]dddd,ddd,mmmm,mmm,mmmmm,m")</f>
        <v/>
      </c>
      <c r="N178">
        <f>TEXT(44169, "[$-431]dddd,ddd,mmmm,mmm,mmmmm,m")</f>
        <v/>
      </c>
      <c r="O178">
        <f>TEXT(44198, "[$-431]dddd,ddd,mmmm,mmm,mmmmm,m")</f>
        <v/>
      </c>
    </row>
    <row r="179">
      <c r="A179" t="inlineStr">
        <is>
          <t>0x432</t>
        </is>
      </c>
      <c r="B179" t="inlineStr">
        <is>
          <t>tn-ZA</t>
        </is>
      </c>
      <c r="C179">
        <f>TEXT(43836, "[$-432]dddd,ddd,mmmm,mmm,mmmmm,m")</f>
        <v/>
      </c>
      <c r="D179">
        <f>TEXT(43865, "[$-432]dddd,ddd,mmmm,mmm,mmmmm,m")</f>
        <v/>
      </c>
      <c r="E179">
        <f>TEXT(43894, "[$-432]dddd,ddd,mmmm,mmm,mmmmm,m")</f>
        <v/>
      </c>
      <c r="F179">
        <f>TEXT(43923, "[$-432]dddd,ddd,mmmm,mmm,mmmmm,m")</f>
        <v/>
      </c>
      <c r="G179">
        <f>TEXT(43952, "[$-432]dddd,ddd,mmmm,mmm,mmmmm,m")</f>
        <v/>
      </c>
      <c r="H179">
        <f>TEXT(43988, "[$-432]dddd,ddd,mmmm,mmm,mmmmm,m")</f>
        <v/>
      </c>
      <c r="I179">
        <f>TEXT(44017, "[$-432]dddd,ddd,mmmm,mmm,mmmmm,m")</f>
        <v/>
      </c>
      <c r="J179">
        <f>TEXT(44046, "[$-432]dddd,ddd,mmmm,mmm,mmmmm,m")</f>
        <v/>
      </c>
      <c r="K179">
        <f>TEXT(44082, "[$-432]dddd,ddd,mmmm,mmm,mmmmm,m")</f>
        <v/>
      </c>
      <c r="L179">
        <f>TEXT(44111, "[$-432]dddd,ddd,mmmm,mmm,mmmmm,m")</f>
        <v/>
      </c>
      <c r="M179">
        <f>TEXT(44140, "[$-432]dddd,ddd,mmmm,mmm,mmmmm,m")</f>
        <v/>
      </c>
      <c r="N179">
        <f>TEXT(44169, "[$-432]dddd,ddd,mmmm,mmm,mmmmm,m")</f>
        <v/>
      </c>
      <c r="O179">
        <f>TEXT(44198, "[$-432]dddd,ddd,mmmm,mmm,mmmmm,m")</f>
        <v/>
      </c>
    </row>
    <row r="180">
      <c r="A180" t="inlineStr">
        <is>
          <t>0x433</t>
        </is>
      </c>
      <c r="B180" t="inlineStr">
        <is>
          <t>ve-ZA</t>
        </is>
      </c>
      <c r="C180">
        <f>TEXT(43836, "[$-433]dddd,ddd,mmmm,mmm,mmmmm,m")</f>
        <v/>
      </c>
      <c r="D180">
        <f>TEXT(43865, "[$-433]dddd,ddd,mmmm,mmm,mmmmm,m")</f>
        <v/>
      </c>
      <c r="E180">
        <f>TEXT(43894, "[$-433]dddd,ddd,mmmm,mmm,mmmmm,m")</f>
        <v/>
      </c>
      <c r="F180">
        <f>TEXT(43923, "[$-433]dddd,ddd,mmmm,mmm,mmmmm,m")</f>
        <v/>
      </c>
      <c r="G180">
        <f>TEXT(43952, "[$-433]dddd,ddd,mmmm,mmm,mmmmm,m")</f>
        <v/>
      </c>
      <c r="H180">
        <f>TEXT(43988, "[$-433]dddd,ddd,mmmm,mmm,mmmmm,m")</f>
        <v/>
      </c>
      <c r="I180">
        <f>TEXT(44017, "[$-433]dddd,ddd,mmmm,mmm,mmmmm,m")</f>
        <v/>
      </c>
      <c r="J180">
        <f>TEXT(44046, "[$-433]dddd,ddd,mmmm,mmm,mmmmm,m")</f>
        <v/>
      </c>
      <c r="K180">
        <f>TEXT(44082, "[$-433]dddd,ddd,mmmm,mmm,mmmmm,m")</f>
        <v/>
      </c>
      <c r="L180">
        <f>TEXT(44111, "[$-433]dddd,ddd,mmmm,mmm,mmmmm,m")</f>
        <v/>
      </c>
      <c r="M180">
        <f>TEXT(44140, "[$-433]dddd,ddd,mmmm,mmm,mmmmm,m")</f>
        <v/>
      </c>
      <c r="N180">
        <f>TEXT(44169, "[$-433]dddd,ddd,mmmm,mmm,mmmmm,m")</f>
        <v/>
      </c>
      <c r="O180">
        <f>TEXT(44198, "[$-433]dddd,ddd,mmmm,mmm,mmmmm,m")</f>
        <v/>
      </c>
    </row>
    <row r="181">
      <c r="A181" t="inlineStr">
        <is>
          <t>0x434</t>
        </is>
      </c>
      <c r="B181" t="inlineStr">
        <is>
          <t>xh-ZA</t>
        </is>
      </c>
      <c r="C181">
        <f>TEXT(43836, "[$-434]dddd,ddd,mmmm,mmm,mmmmm,m")</f>
        <v/>
      </c>
      <c r="D181">
        <f>TEXT(43865, "[$-434]dddd,ddd,mmmm,mmm,mmmmm,m")</f>
        <v/>
      </c>
      <c r="E181">
        <f>TEXT(43894, "[$-434]dddd,ddd,mmmm,mmm,mmmmm,m")</f>
        <v/>
      </c>
      <c r="F181">
        <f>TEXT(43923, "[$-434]dddd,ddd,mmmm,mmm,mmmmm,m")</f>
        <v/>
      </c>
      <c r="G181">
        <f>TEXT(43952, "[$-434]dddd,ddd,mmmm,mmm,mmmmm,m")</f>
        <v/>
      </c>
      <c r="H181">
        <f>TEXT(43988, "[$-434]dddd,ddd,mmmm,mmm,mmmmm,m")</f>
        <v/>
      </c>
      <c r="I181">
        <f>TEXT(44017, "[$-434]dddd,ddd,mmmm,mmm,mmmmm,m")</f>
        <v/>
      </c>
      <c r="J181">
        <f>TEXT(44046, "[$-434]dddd,ddd,mmmm,mmm,mmmmm,m")</f>
        <v/>
      </c>
      <c r="K181">
        <f>TEXT(44082, "[$-434]dddd,ddd,mmmm,mmm,mmmmm,m")</f>
        <v/>
      </c>
      <c r="L181">
        <f>TEXT(44111, "[$-434]dddd,ddd,mmmm,mmm,mmmmm,m")</f>
        <v/>
      </c>
      <c r="M181">
        <f>TEXT(44140, "[$-434]dddd,ddd,mmmm,mmm,mmmmm,m")</f>
        <v/>
      </c>
      <c r="N181">
        <f>TEXT(44169, "[$-434]dddd,ddd,mmmm,mmm,mmmmm,m")</f>
        <v/>
      </c>
      <c r="O181">
        <f>TEXT(44198, "[$-434]dddd,ddd,mmmm,mmm,mmmmm,m")</f>
        <v/>
      </c>
    </row>
    <row r="182">
      <c r="A182" t="inlineStr">
        <is>
          <t>0x435</t>
        </is>
      </c>
      <c r="B182" t="inlineStr">
        <is>
          <t>zu-ZA</t>
        </is>
      </c>
      <c r="C182">
        <f>TEXT(43836, "[$-435]dddd,ddd,mmmm,mmm,mmmmm,m")</f>
        <v/>
      </c>
      <c r="D182">
        <f>TEXT(43865, "[$-435]dddd,ddd,mmmm,mmm,mmmmm,m")</f>
        <v/>
      </c>
      <c r="E182">
        <f>TEXT(43894, "[$-435]dddd,ddd,mmmm,mmm,mmmmm,m")</f>
        <v/>
      </c>
      <c r="F182">
        <f>TEXT(43923, "[$-435]dddd,ddd,mmmm,mmm,mmmmm,m")</f>
        <v/>
      </c>
      <c r="G182">
        <f>TEXT(43952, "[$-435]dddd,ddd,mmmm,mmm,mmmmm,m")</f>
        <v/>
      </c>
      <c r="H182">
        <f>TEXT(43988, "[$-435]dddd,ddd,mmmm,mmm,mmmmm,m")</f>
        <v/>
      </c>
      <c r="I182">
        <f>TEXT(44017, "[$-435]dddd,ddd,mmmm,mmm,mmmmm,m")</f>
        <v/>
      </c>
      <c r="J182">
        <f>TEXT(44046, "[$-435]dddd,ddd,mmmm,mmm,mmmmm,m")</f>
        <v/>
      </c>
      <c r="K182">
        <f>TEXT(44082, "[$-435]dddd,ddd,mmmm,mmm,mmmmm,m")</f>
        <v/>
      </c>
      <c r="L182">
        <f>TEXT(44111, "[$-435]dddd,ddd,mmmm,mmm,mmmmm,m")</f>
        <v/>
      </c>
      <c r="M182">
        <f>TEXT(44140, "[$-435]dddd,ddd,mmmm,mmm,mmmmm,m")</f>
        <v/>
      </c>
      <c r="N182">
        <f>TEXT(44169, "[$-435]dddd,ddd,mmmm,mmm,mmmmm,m")</f>
        <v/>
      </c>
      <c r="O182">
        <f>TEXT(44198, "[$-435]dddd,ddd,mmmm,mmm,mmmmm,m")</f>
        <v/>
      </c>
    </row>
    <row r="183">
      <c r="A183" t="inlineStr">
        <is>
          <t>0x436</t>
        </is>
      </c>
      <c r="B183" t="inlineStr">
        <is>
          <t>af-ZA</t>
        </is>
      </c>
      <c r="C183">
        <f>TEXT(43836, "[$-436]dddd,ddd,mmmm,mmm,mmmmm,m")</f>
        <v/>
      </c>
      <c r="D183">
        <f>TEXT(43865, "[$-436]dddd,ddd,mmmm,mmm,mmmmm,m")</f>
        <v/>
      </c>
      <c r="E183">
        <f>TEXT(43894, "[$-436]dddd,ddd,mmmm,mmm,mmmmm,m")</f>
        <v/>
      </c>
      <c r="F183">
        <f>TEXT(43923, "[$-436]dddd,ddd,mmmm,mmm,mmmmm,m")</f>
        <v/>
      </c>
      <c r="G183">
        <f>TEXT(43952, "[$-436]dddd,ddd,mmmm,mmm,mmmmm,m")</f>
        <v/>
      </c>
      <c r="H183">
        <f>TEXT(43988, "[$-436]dddd,ddd,mmmm,mmm,mmmmm,m")</f>
        <v/>
      </c>
      <c r="I183">
        <f>TEXT(44017, "[$-436]dddd,ddd,mmmm,mmm,mmmmm,m")</f>
        <v/>
      </c>
      <c r="J183">
        <f>TEXT(44046, "[$-436]dddd,ddd,mmmm,mmm,mmmmm,m")</f>
        <v/>
      </c>
      <c r="K183">
        <f>TEXT(44082, "[$-436]dddd,ddd,mmmm,mmm,mmmmm,m")</f>
        <v/>
      </c>
      <c r="L183">
        <f>TEXT(44111, "[$-436]dddd,ddd,mmmm,mmm,mmmmm,m")</f>
        <v/>
      </c>
      <c r="M183">
        <f>TEXT(44140, "[$-436]dddd,ddd,mmmm,mmm,mmmmm,m")</f>
        <v/>
      </c>
      <c r="N183">
        <f>TEXT(44169, "[$-436]dddd,ddd,mmmm,mmm,mmmmm,m")</f>
        <v/>
      </c>
      <c r="O183">
        <f>TEXT(44198, "[$-436]dddd,ddd,mmmm,mmm,mmmmm,m")</f>
        <v/>
      </c>
    </row>
    <row r="184">
      <c r="A184" t="inlineStr">
        <is>
          <t>0x437</t>
        </is>
      </c>
      <c r="B184" t="inlineStr">
        <is>
          <t>ka-GE</t>
        </is>
      </c>
      <c r="C184">
        <f>TEXT(43836, "[$-437]dddd,ddd,mmmm,mmm,mmmmm,m")</f>
        <v/>
      </c>
      <c r="D184">
        <f>TEXT(43865, "[$-437]dddd,ddd,mmmm,mmm,mmmmm,m")</f>
        <v/>
      </c>
      <c r="E184">
        <f>TEXT(43894, "[$-437]dddd,ddd,mmmm,mmm,mmmmm,m")</f>
        <v/>
      </c>
      <c r="F184">
        <f>TEXT(43923, "[$-437]dddd,ddd,mmmm,mmm,mmmmm,m")</f>
        <v/>
      </c>
      <c r="G184">
        <f>TEXT(43952, "[$-437]dddd,ddd,mmmm,mmm,mmmmm,m")</f>
        <v/>
      </c>
      <c r="H184">
        <f>TEXT(43988, "[$-437]dddd,ddd,mmmm,mmm,mmmmm,m")</f>
        <v/>
      </c>
      <c r="I184">
        <f>TEXT(44017, "[$-437]dddd,ddd,mmmm,mmm,mmmmm,m")</f>
        <v/>
      </c>
      <c r="J184">
        <f>TEXT(44046, "[$-437]dddd,ddd,mmmm,mmm,mmmmm,m")</f>
        <v/>
      </c>
      <c r="K184">
        <f>TEXT(44082, "[$-437]dddd,ddd,mmmm,mmm,mmmmm,m")</f>
        <v/>
      </c>
      <c r="L184">
        <f>TEXT(44111, "[$-437]dddd,ddd,mmmm,mmm,mmmmm,m")</f>
        <v/>
      </c>
      <c r="M184">
        <f>TEXT(44140, "[$-437]dddd,ddd,mmmm,mmm,mmmmm,m")</f>
        <v/>
      </c>
      <c r="N184">
        <f>TEXT(44169, "[$-437]dddd,ddd,mmmm,mmm,mmmmm,m")</f>
        <v/>
      </c>
      <c r="O184">
        <f>TEXT(44198, "[$-437]dddd,ddd,mmmm,mmm,mmmmm,m")</f>
        <v/>
      </c>
    </row>
    <row r="185">
      <c r="A185" t="inlineStr">
        <is>
          <t>0x438</t>
        </is>
      </c>
      <c r="B185" t="inlineStr">
        <is>
          <t>fo-FO</t>
        </is>
      </c>
      <c r="C185">
        <f>TEXT(43836, "[$-438]dddd,ddd,mmmm,mmm,mmmmm,m")</f>
        <v/>
      </c>
      <c r="D185">
        <f>TEXT(43865, "[$-438]dddd,ddd,mmmm,mmm,mmmmm,m")</f>
        <v/>
      </c>
      <c r="E185">
        <f>TEXT(43894, "[$-438]dddd,ddd,mmmm,mmm,mmmmm,m")</f>
        <v/>
      </c>
      <c r="F185">
        <f>TEXT(43923, "[$-438]dddd,ddd,mmmm,mmm,mmmmm,m")</f>
        <v/>
      </c>
      <c r="G185">
        <f>TEXT(43952, "[$-438]dddd,ddd,mmmm,mmm,mmmmm,m")</f>
        <v/>
      </c>
      <c r="H185">
        <f>TEXT(43988, "[$-438]dddd,ddd,mmmm,mmm,mmmmm,m")</f>
        <v/>
      </c>
      <c r="I185">
        <f>TEXT(44017, "[$-438]dddd,ddd,mmmm,mmm,mmmmm,m")</f>
        <v/>
      </c>
      <c r="J185">
        <f>TEXT(44046, "[$-438]dddd,ddd,mmmm,mmm,mmmmm,m")</f>
        <v/>
      </c>
      <c r="K185">
        <f>TEXT(44082, "[$-438]dddd,ddd,mmmm,mmm,mmmmm,m")</f>
        <v/>
      </c>
      <c r="L185">
        <f>TEXT(44111, "[$-438]dddd,ddd,mmmm,mmm,mmmmm,m")</f>
        <v/>
      </c>
      <c r="M185">
        <f>TEXT(44140, "[$-438]dddd,ddd,mmmm,mmm,mmmmm,m")</f>
        <v/>
      </c>
      <c r="N185">
        <f>TEXT(44169, "[$-438]dddd,ddd,mmmm,mmm,mmmmm,m")</f>
        <v/>
      </c>
      <c r="O185">
        <f>TEXT(44198, "[$-438]dddd,ddd,mmmm,mmm,mmmmm,m")</f>
        <v/>
      </c>
    </row>
    <row r="186">
      <c r="A186" t="inlineStr">
        <is>
          <t>0x2000439</t>
        </is>
      </c>
      <c r="B186" t="inlineStr">
        <is>
          <t>hi-IN</t>
        </is>
      </c>
      <c r="C186">
        <f>TEXT(43836, "[$-2000439]dddd,ddd,mmmm,mmm,mmmmm,m")</f>
        <v/>
      </c>
      <c r="D186">
        <f>TEXT(43865, "[$-2000439]dddd,ddd,mmmm,mmm,mmmmm,m")</f>
        <v/>
      </c>
      <c r="E186">
        <f>TEXT(43894, "[$-2000439]dddd,ddd,mmmm,mmm,mmmmm,m")</f>
        <v/>
      </c>
      <c r="F186">
        <f>TEXT(43923, "[$-2000439]dddd,ddd,mmmm,mmm,mmmmm,m")</f>
        <v/>
      </c>
      <c r="G186">
        <f>TEXT(43952, "[$-2000439]dddd,ddd,mmmm,mmm,mmmmm,m")</f>
        <v/>
      </c>
      <c r="H186">
        <f>TEXT(43988, "[$-2000439]dddd,ddd,mmmm,mmm,mmmmm,m")</f>
        <v/>
      </c>
      <c r="I186">
        <f>TEXT(44017, "[$-2000439]dddd,ddd,mmmm,mmm,mmmmm,m")</f>
        <v/>
      </c>
      <c r="J186">
        <f>TEXT(44046, "[$-2000439]dddd,ddd,mmmm,mmm,mmmmm,m")</f>
        <v/>
      </c>
      <c r="K186">
        <f>TEXT(44082, "[$-2000439]dddd,ddd,mmmm,mmm,mmmmm,m")</f>
        <v/>
      </c>
      <c r="L186">
        <f>TEXT(44111, "[$-2000439]dddd,ddd,mmmm,mmm,mmmmm,m")</f>
        <v/>
      </c>
      <c r="M186">
        <f>TEXT(44140, "[$-2000439]dddd,ddd,mmmm,mmm,mmmmm,m")</f>
        <v/>
      </c>
      <c r="N186">
        <f>TEXT(44169, "[$-2000439]dddd,ddd,mmmm,mmm,mmmmm,m")</f>
        <v/>
      </c>
      <c r="O186">
        <f>TEXT(44198, "[$-2000439]dddd,ddd,mmmm,mmm,mmmmm,m")</f>
        <v/>
      </c>
    </row>
    <row r="187">
      <c r="A187" t="inlineStr">
        <is>
          <t>0x43A</t>
        </is>
      </c>
      <c r="B187" t="inlineStr">
        <is>
          <t>mt-MT</t>
        </is>
      </c>
      <c r="C187">
        <f>TEXT(43836, "[$-43A]dddd,ddd,mmmm,mmm,mmmmm,m")</f>
        <v/>
      </c>
      <c r="D187">
        <f>TEXT(43865, "[$-43A]dddd,ddd,mmmm,mmm,mmmmm,m")</f>
        <v/>
      </c>
      <c r="E187">
        <f>TEXT(43894, "[$-43A]dddd,ddd,mmmm,mmm,mmmmm,m")</f>
        <v/>
      </c>
      <c r="F187">
        <f>TEXT(43923, "[$-43A]dddd,ddd,mmmm,mmm,mmmmm,m")</f>
        <v/>
      </c>
      <c r="G187">
        <f>TEXT(43952, "[$-43A]dddd,ddd,mmmm,mmm,mmmmm,m")</f>
        <v/>
      </c>
      <c r="H187">
        <f>TEXT(43988, "[$-43A]dddd,ddd,mmmm,mmm,mmmmm,m")</f>
        <v/>
      </c>
      <c r="I187">
        <f>TEXT(44017, "[$-43A]dddd,ddd,mmmm,mmm,mmmmm,m")</f>
        <v/>
      </c>
      <c r="J187">
        <f>TEXT(44046, "[$-43A]dddd,ddd,mmmm,mmm,mmmmm,m")</f>
        <v/>
      </c>
      <c r="K187">
        <f>TEXT(44082, "[$-43A]dddd,ddd,mmmm,mmm,mmmmm,m")</f>
        <v/>
      </c>
      <c r="L187">
        <f>TEXT(44111, "[$-43A]dddd,ddd,mmmm,mmm,mmmmm,m")</f>
        <v/>
      </c>
      <c r="M187">
        <f>TEXT(44140, "[$-43A]dddd,ddd,mmmm,mmm,mmmmm,m")</f>
        <v/>
      </c>
      <c r="N187">
        <f>TEXT(44169, "[$-43A]dddd,ddd,mmmm,mmm,mmmmm,m")</f>
        <v/>
      </c>
      <c r="O187">
        <f>TEXT(44198, "[$-43A]dddd,ddd,mmmm,mmm,mmmmm,m")</f>
        <v/>
      </c>
    </row>
    <row r="188">
      <c r="A188" t="inlineStr">
        <is>
          <t>0x43B</t>
        </is>
      </c>
      <c r="B188" t="inlineStr">
        <is>
          <t>se-NO</t>
        </is>
      </c>
      <c r="C188">
        <f>TEXT(43836, "[$-43B]dddd,ddd,mmmm,mmm,mmmmm,m")</f>
        <v/>
      </c>
      <c r="D188">
        <f>TEXT(43865, "[$-43B]dddd,ddd,mmmm,mmm,mmmmm,m")</f>
        <v/>
      </c>
      <c r="E188">
        <f>TEXT(43894, "[$-43B]dddd,ddd,mmmm,mmm,mmmmm,m")</f>
        <v/>
      </c>
      <c r="F188">
        <f>TEXT(43923, "[$-43B]dddd,ddd,mmmm,mmm,mmmmm,m")</f>
        <v/>
      </c>
      <c r="G188">
        <f>TEXT(43952, "[$-43B]dddd,ddd,mmmm,mmm,mmmmm,m")</f>
        <v/>
      </c>
      <c r="H188">
        <f>TEXT(43988, "[$-43B]dddd,ddd,mmmm,mmm,mmmmm,m")</f>
        <v/>
      </c>
      <c r="I188">
        <f>TEXT(44017, "[$-43B]dddd,ddd,mmmm,mmm,mmmmm,m")</f>
        <v/>
      </c>
      <c r="J188">
        <f>TEXT(44046, "[$-43B]dddd,ddd,mmmm,mmm,mmmmm,m")</f>
        <v/>
      </c>
      <c r="K188">
        <f>TEXT(44082, "[$-43B]dddd,ddd,mmmm,mmm,mmmmm,m")</f>
        <v/>
      </c>
      <c r="L188">
        <f>TEXT(44111, "[$-43B]dddd,ddd,mmmm,mmm,mmmmm,m")</f>
        <v/>
      </c>
      <c r="M188">
        <f>TEXT(44140, "[$-43B]dddd,ddd,mmmm,mmm,mmmmm,m")</f>
        <v/>
      </c>
      <c r="N188">
        <f>TEXT(44169, "[$-43B]dddd,ddd,mmmm,mmm,mmmmm,m")</f>
        <v/>
      </c>
      <c r="O188">
        <f>TEXT(44198, "[$-43B]dddd,ddd,mmmm,mmm,mmmmm,m")</f>
        <v/>
      </c>
    </row>
    <row r="189">
      <c r="A189" t="inlineStr">
        <is>
          <t>0x43E</t>
        </is>
      </c>
      <c r="B189" t="inlineStr">
        <is>
          <t>ms-MY</t>
        </is>
      </c>
      <c r="C189">
        <f>TEXT(43836, "[$-43E]dddd,ddd,mmmm,mmm,mmmmm,m")</f>
        <v/>
      </c>
      <c r="D189">
        <f>TEXT(43865, "[$-43E]dddd,ddd,mmmm,mmm,mmmmm,m")</f>
        <v/>
      </c>
      <c r="E189">
        <f>TEXT(43894, "[$-43E]dddd,ddd,mmmm,mmm,mmmmm,m")</f>
        <v/>
      </c>
      <c r="F189">
        <f>TEXT(43923, "[$-43E]dddd,ddd,mmmm,mmm,mmmmm,m")</f>
        <v/>
      </c>
      <c r="G189">
        <f>TEXT(43952, "[$-43E]dddd,ddd,mmmm,mmm,mmmmm,m")</f>
        <v/>
      </c>
      <c r="H189">
        <f>TEXT(43988, "[$-43E]dddd,ddd,mmmm,mmm,mmmmm,m")</f>
        <v/>
      </c>
      <c r="I189">
        <f>TEXT(44017, "[$-43E]dddd,ddd,mmmm,mmm,mmmmm,m")</f>
        <v/>
      </c>
      <c r="J189">
        <f>TEXT(44046, "[$-43E]dddd,ddd,mmmm,mmm,mmmmm,m")</f>
        <v/>
      </c>
      <c r="K189">
        <f>TEXT(44082, "[$-43E]dddd,ddd,mmmm,mmm,mmmmm,m")</f>
        <v/>
      </c>
      <c r="L189">
        <f>TEXT(44111, "[$-43E]dddd,ddd,mmmm,mmm,mmmmm,m")</f>
        <v/>
      </c>
      <c r="M189">
        <f>TEXT(44140, "[$-43E]dddd,ddd,mmmm,mmm,mmmmm,m")</f>
        <v/>
      </c>
      <c r="N189">
        <f>TEXT(44169, "[$-43E]dddd,ddd,mmmm,mmm,mmmmm,m")</f>
        <v/>
      </c>
      <c r="O189">
        <f>TEXT(44198, "[$-43E]dddd,ddd,mmmm,mmm,mmmmm,m")</f>
        <v/>
      </c>
    </row>
    <row r="190">
      <c r="A190" t="inlineStr">
        <is>
          <t>0x43F</t>
        </is>
      </c>
      <c r="B190" t="inlineStr">
        <is>
          <t>kk-KZ</t>
        </is>
      </c>
      <c r="C190">
        <f>TEXT(43836, "[$-43F]dddd,ddd,mmmm,mmm,mmmmm,m")</f>
        <v/>
      </c>
      <c r="D190">
        <f>TEXT(43865, "[$-43F]dddd,ddd,mmmm,mmm,mmmmm,m")</f>
        <v/>
      </c>
      <c r="E190">
        <f>TEXT(43894, "[$-43F]dddd,ddd,mmmm,mmm,mmmmm,m")</f>
        <v/>
      </c>
      <c r="F190">
        <f>TEXT(43923, "[$-43F]dddd,ddd,mmmm,mmm,mmmmm,m")</f>
        <v/>
      </c>
      <c r="G190">
        <f>TEXT(43952, "[$-43F]dddd,ddd,mmmm,mmm,mmmmm,m")</f>
        <v/>
      </c>
      <c r="H190">
        <f>TEXT(43988, "[$-43F]dddd,ddd,mmmm,mmm,mmmmm,m")</f>
        <v/>
      </c>
      <c r="I190">
        <f>TEXT(44017, "[$-43F]dddd,ddd,mmmm,mmm,mmmmm,m")</f>
        <v/>
      </c>
      <c r="J190">
        <f>TEXT(44046, "[$-43F]dddd,ddd,mmmm,mmm,mmmmm,m")</f>
        <v/>
      </c>
      <c r="K190">
        <f>TEXT(44082, "[$-43F]dddd,ddd,mmmm,mmm,mmmmm,m")</f>
        <v/>
      </c>
      <c r="L190">
        <f>TEXT(44111, "[$-43F]dddd,ddd,mmmm,mmm,mmmmm,m")</f>
        <v/>
      </c>
      <c r="M190">
        <f>TEXT(44140, "[$-43F]dddd,ddd,mmmm,mmm,mmmmm,m")</f>
        <v/>
      </c>
      <c r="N190">
        <f>TEXT(44169, "[$-43F]dddd,ddd,mmmm,mmm,mmmmm,m")</f>
        <v/>
      </c>
      <c r="O190">
        <f>TEXT(44198, "[$-43F]dddd,ddd,mmmm,mmm,mmmmm,m")</f>
        <v/>
      </c>
    </row>
    <row r="191">
      <c r="A191" t="inlineStr">
        <is>
          <t>0x440</t>
        </is>
      </c>
      <c r="B191" t="inlineStr">
        <is>
          <t>ky-KG</t>
        </is>
      </c>
      <c r="C191">
        <f>TEXT(43836, "[$-440]dddd,ddd,mmmm,mmm,mmmmm,m")</f>
        <v/>
      </c>
      <c r="D191">
        <f>TEXT(43865, "[$-440]dddd,ddd,mmmm,mmm,mmmmm,m")</f>
        <v/>
      </c>
      <c r="E191">
        <f>TEXT(43894, "[$-440]dddd,ddd,mmmm,mmm,mmmmm,m")</f>
        <v/>
      </c>
      <c r="F191">
        <f>TEXT(43923, "[$-440]dddd,ddd,mmmm,mmm,mmmmm,m")</f>
        <v/>
      </c>
      <c r="G191">
        <f>TEXT(43952, "[$-440]dddd,ddd,mmmm,mmm,mmmmm,m")</f>
        <v/>
      </c>
      <c r="H191">
        <f>TEXT(43988, "[$-440]dddd,ddd,mmmm,mmm,mmmmm,m")</f>
        <v/>
      </c>
      <c r="I191">
        <f>TEXT(44017, "[$-440]dddd,ddd,mmmm,mmm,mmmmm,m")</f>
        <v/>
      </c>
      <c r="J191">
        <f>TEXT(44046, "[$-440]dddd,ddd,mmmm,mmm,mmmmm,m")</f>
        <v/>
      </c>
      <c r="K191">
        <f>TEXT(44082, "[$-440]dddd,ddd,mmmm,mmm,mmmmm,m")</f>
        <v/>
      </c>
      <c r="L191">
        <f>TEXT(44111, "[$-440]dddd,ddd,mmmm,mmm,mmmmm,m")</f>
        <v/>
      </c>
      <c r="M191">
        <f>TEXT(44140, "[$-440]dddd,ddd,mmmm,mmm,mmmmm,m")</f>
        <v/>
      </c>
      <c r="N191">
        <f>TEXT(44169, "[$-440]dddd,ddd,mmmm,mmm,mmmmm,m")</f>
        <v/>
      </c>
      <c r="O191">
        <f>TEXT(44198, "[$-440]dddd,ddd,mmmm,mmm,mmmmm,m")</f>
        <v/>
      </c>
    </row>
    <row r="192">
      <c r="A192" t="inlineStr">
        <is>
          <t>0x441</t>
        </is>
      </c>
      <c r="B192" t="inlineStr">
        <is>
          <t>sw-KE</t>
        </is>
      </c>
      <c r="C192">
        <f>TEXT(43836, "[$-441]dddd,ddd,mmmm,mmm,mmmmm,m")</f>
        <v/>
      </c>
      <c r="D192">
        <f>TEXT(43865, "[$-441]dddd,ddd,mmmm,mmm,mmmmm,m")</f>
        <v/>
      </c>
      <c r="E192">
        <f>TEXT(43894, "[$-441]dddd,ddd,mmmm,mmm,mmmmm,m")</f>
        <v/>
      </c>
      <c r="F192">
        <f>TEXT(43923, "[$-441]dddd,ddd,mmmm,mmm,mmmmm,m")</f>
        <v/>
      </c>
      <c r="G192">
        <f>TEXT(43952, "[$-441]dddd,ddd,mmmm,mmm,mmmmm,m")</f>
        <v/>
      </c>
      <c r="H192">
        <f>TEXT(43988, "[$-441]dddd,ddd,mmmm,mmm,mmmmm,m")</f>
        <v/>
      </c>
      <c r="I192">
        <f>TEXT(44017, "[$-441]dddd,ddd,mmmm,mmm,mmmmm,m")</f>
        <v/>
      </c>
      <c r="J192">
        <f>TEXT(44046, "[$-441]dddd,ddd,mmmm,mmm,mmmmm,m")</f>
        <v/>
      </c>
      <c r="K192">
        <f>TEXT(44082, "[$-441]dddd,ddd,mmmm,mmm,mmmmm,m")</f>
        <v/>
      </c>
      <c r="L192">
        <f>TEXT(44111, "[$-441]dddd,ddd,mmmm,mmm,mmmmm,m")</f>
        <v/>
      </c>
      <c r="M192">
        <f>TEXT(44140, "[$-441]dddd,ddd,mmmm,mmm,mmmmm,m")</f>
        <v/>
      </c>
      <c r="N192">
        <f>TEXT(44169, "[$-441]dddd,ddd,mmmm,mmm,mmmmm,m")</f>
        <v/>
      </c>
      <c r="O192">
        <f>TEXT(44198, "[$-441]dddd,ddd,mmmm,mmm,mmmmm,m")</f>
        <v/>
      </c>
    </row>
    <row r="193">
      <c r="A193" t="inlineStr">
        <is>
          <t>0x442</t>
        </is>
      </c>
      <c r="B193" t="inlineStr">
        <is>
          <t>tk-TM</t>
        </is>
      </c>
      <c r="C193">
        <f>TEXT(43836, "[$-442]dddd,ddd,mmmm,mmm,mmmmm,m")</f>
        <v/>
      </c>
      <c r="D193">
        <f>TEXT(43865, "[$-442]dddd,ddd,mmmm,mmm,mmmmm,m")</f>
        <v/>
      </c>
      <c r="E193">
        <f>TEXT(43894, "[$-442]dddd,ddd,mmmm,mmm,mmmmm,m")</f>
        <v/>
      </c>
      <c r="F193">
        <f>TEXT(43923, "[$-442]dddd,ddd,mmmm,mmm,mmmmm,m")</f>
        <v/>
      </c>
      <c r="G193">
        <f>TEXT(43952, "[$-442]dddd,ddd,mmmm,mmm,mmmmm,m")</f>
        <v/>
      </c>
      <c r="H193">
        <f>TEXT(43988, "[$-442]dddd,ddd,mmmm,mmm,mmmmm,m")</f>
        <v/>
      </c>
      <c r="I193">
        <f>TEXT(44017, "[$-442]dddd,ddd,mmmm,mmm,mmmmm,m")</f>
        <v/>
      </c>
      <c r="J193">
        <f>TEXT(44046, "[$-442]dddd,ddd,mmmm,mmm,mmmmm,m")</f>
        <v/>
      </c>
      <c r="K193">
        <f>TEXT(44082, "[$-442]dddd,ddd,mmmm,mmm,mmmmm,m")</f>
        <v/>
      </c>
      <c r="L193">
        <f>TEXT(44111, "[$-442]dddd,ddd,mmmm,mmm,mmmmm,m")</f>
        <v/>
      </c>
      <c r="M193">
        <f>TEXT(44140, "[$-442]dddd,ddd,mmmm,mmm,mmmmm,m")</f>
        <v/>
      </c>
      <c r="N193">
        <f>TEXT(44169, "[$-442]dddd,ddd,mmmm,mmm,mmmmm,m")</f>
        <v/>
      </c>
      <c r="O193">
        <f>TEXT(44198, "[$-442]dddd,ddd,mmmm,mmm,mmmmm,m")</f>
        <v/>
      </c>
    </row>
    <row r="194">
      <c r="A194" t="inlineStr">
        <is>
          <t>0x443</t>
        </is>
      </c>
      <c r="B194" t="inlineStr">
        <is>
          <t>uz-Latn_UZ</t>
        </is>
      </c>
      <c r="C194">
        <f>TEXT(43836, "[$-443]dddd,ddd,mmmm,mmm,mmmmm,m")</f>
        <v/>
      </c>
      <c r="D194">
        <f>TEXT(43865, "[$-443]dddd,ddd,mmmm,mmm,mmmmm,m")</f>
        <v/>
      </c>
      <c r="E194">
        <f>TEXT(43894, "[$-443]dddd,ddd,mmmm,mmm,mmmmm,m")</f>
        <v/>
      </c>
      <c r="F194">
        <f>TEXT(43923, "[$-443]dddd,ddd,mmmm,mmm,mmmmm,m")</f>
        <v/>
      </c>
      <c r="G194">
        <f>TEXT(43952, "[$-443]dddd,ddd,mmmm,mmm,mmmmm,m")</f>
        <v/>
      </c>
      <c r="H194">
        <f>TEXT(43988, "[$-443]dddd,ddd,mmmm,mmm,mmmmm,m")</f>
        <v/>
      </c>
      <c r="I194">
        <f>TEXT(44017, "[$-443]dddd,ddd,mmmm,mmm,mmmmm,m")</f>
        <v/>
      </c>
      <c r="J194">
        <f>TEXT(44046, "[$-443]dddd,ddd,mmmm,mmm,mmmmm,m")</f>
        <v/>
      </c>
      <c r="K194">
        <f>TEXT(44082, "[$-443]dddd,ddd,mmmm,mmm,mmmmm,m")</f>
        <v/>
      </c>
      <c r="L194">
        <f>TEXT(44111, "[$-443]dddd,ddd,mmmm,mmm,mmmmm,m")</f>
        <v/>
      </c>
      <c r="M194">
        <f>TEXT(44140, "[$-443]dddd,ddd,mmmm,mmm,mmmmm,m")</f>
        <v/>
      </c>
      <c r="N194">
        <f>TEXT(44169, "[$-443]dddd,ddd,mmmm,mmm,mmmmm,m")</f>
        <v/>
      </c>
      <c r="O194">
        <f>TEXT(44198, "[$-443]dddd,ddd,mmmm,mmm,mmmmm,m")</f>
        <v/>
      </c>
    </row>
    <row r="195">
      <c r="A195" t="inlineStr">
        <is>
          <t>0x444</t>
        </is>
      </c>
      <c r="B195" t="inlineStr">
        <is>
          <t>tt-RU</t>
        </is>
      </c>
      <c r="C195">
        <f>TEXT(43836, "[$-444]dddd,ddd,mmmm,mmm,mmmmm,m")</f>
        <v/>
      </c>
      <c r="D195">
        <f>TEXT(43865, "[$-444]dddd,ddd,mmmm,mmm,mmmmm,m")</f>
        <v/>
      </c>
      <c r="E195">
        <f>TEXT(43894, "[$-444]dddd,ddd,mmmm,mmm,mmmmm,m")</f>
        <v/>
      </c>
      <c r="F195">
        <f>TEXT(43923, "[$-444]dddd,ddd,mmmm,mmm,mmmmm,m")</f>
        <v/>
      </c>
      <c r="G195">
        <f>TEXT(43952, "[$-444]dddd,ddd,mmmm,mmm,mmmmm,m")</f>
        <v/>
      </c>
      <c r="H195">
        <f>TEXT(43988, "[$-444]dddd,ddd,mmmm,mmm,mmmmm,m")</f>
        <v/>
      </c>
      <c r="I195">
        <f>TEXT(44017, "[$-444]dddd,ddd,mmmm,mmm,mmmmm,m")</f>
        <v/>
      </c>
      <c r="J195">
        <f>TEXT(44046, "[$-444]dddd,ddd,mmmm,mmm,mmmmm,m")</f>
        <v/>
      </c>
      <c r="K195">
        <f>TEXT(44082, "[$-444]dddd,ddd,mmmm,mmm,mmmmm,m")</f>
        <v/>
      </c>
      <c r="L195">
        <f>TEXT(44111, "[$-444]dddd,ddd,mmmm,mmm,mmmmm,m")</f>
        <v/>
      </c>
      <c r="M195">
        <f>TEXT(44140, "[$-444]dddd,ddd,mmmm,mmm,mmmmm,m")</f>
        <v/>
      </c>
      <c r="N195">
        <f>TEXT(44169, "[$-444]dddd,ddd,mmmm,mmm,mmmmm,m")</f>
        <v/>
      </c>
      <c r="O195">
        <f>TEXT(44198, "[$-444]dddd,ddd,mmmm,mmm,mmmmm,m")</f>
        <v/>
      </c>
    </row>
    <row r="196">
      <c r="A196" t="inlineStr">
        <is>
          <t>0x5000445</t>
        </is>
      </c>
      <c r="B196" t="inlineStr">
        <is>
          <t>bn-IN</t>
        </is>
      </c>
      <c r="C196">
        <f>TEXT(43836, "[$-5000445]dddd,ddd,mmmm,mmm,mmmmm,m")</f>
        <v/>
      </c>
      <c r="D196">
        <f>TEXT(43865, "[$-5000445]dddd,ddd,mmmm,mmm,mmmmm,m")</f>
        <v/>
      </c>
      <c r="E196">
        <f>TEXT(43894, "[$-5000445]dddd,ddd,mmmm,mmm,mmmmm,m")</f>
        <v/>
      </c>
      <c r="F196">
        <f>TEXT(43923, "[$-5000445]dddd,ddd,mmmm,mmm,mmmmm,m")</f>
        <v/>
      </c>
      <c r="G196">
        <f>TEXT(43952, "[$-5000445]dddd,ddd,mmmm,mmm,mmmmm,m")</f>
        <v/>
      </c>
      <c r="H196">
        <f>TEXT(43988, "[$-5000445]dddd,ddd,mmmm,mmm,mmmmm,m")</f>
        <v/>
      </c>
      <c r="I196">
        <f>TEXT(44017, "[$-5000445]dddd,ddd,mmmm,mmm,mmmmm,m")</f>
        <v/>
      </c>
      <c r="J196">
        <f>TEXT(44046, "[$-5000445]dddd,ddd,mmmm,mmm,mmmmm,m")</f>
        <v/>
      </c>
      <c r="K196">
        <f>TEXT(44082, "[$-5000445]dddd,ddd,mmmm,mmm,mmmmm,m")</f>
        <v/>
      </c>
      <c r="L196">
        <f>TEXT(44111, "[$-5000445]dddd,ddd,mmmm,mmm,mmmmm,m")</f>
        <v/>
      </c>
      <c r="M196">
        <f>TEXT(44140, "[$-5000445]dddd,ddd,mmmm,mmm,mmmmm,m")</f>
        <v/>
      </c>
      <c r="N196">
        <f>TEXT(44169, "[$-5000445]dddd,ddd,mmmm,mmm,mmmmm,m")</f>
        <v/>
      </c>
      <c r="O196">
        <f>TEXT(44198, "[$-5000445]dddd,ddd,mmmm,mmm,mmmmm,m")</f>
        <v/>
      </c>
    </row>
    <row r="197">
      <c r="A197" t="inlineStr">
        <is>
          <t>0x446</t>
        </is>
      </c>
      <c r="B197" t="inlineStr">
        <is>
          <t>pa-IN</t>
        </is>
      </c>
      <c r="C197">
        <f>TEXT(43836, "[$-446]dddd,ddd,mmmm,mmm,mmmmm,m")</f>
        <v/>
      </c>
      <c r="D197">
        <f>TEXT(43865, "[$-446]dddd,ddd,mmmm,mmm,mmmmm,m")</f>
        <v/>
      </c>
      <c r="E197">
        <f>TEXT(43894, "[$-446]dddd,ddd,mmmm,mmm,mmmmm,m")</f>
        <v/>
      </c>
      <c r="F197">
        <f>TEXT(43923, "[$-446]dddd,ddd,mmmm,mmm,mmmmm,m")</f>
        <v/>
      </c>
      <c r="G197">
        <f>TEXT(43952, "[$-446]dddd,ddd,mmmm,mmm,mmmmm,m")</f>
        <v/>
      </c>
      <c r="H197">
        <f>TEXT(43988, "[$-446]dddd,ddd,mmmm,mmm,mmmmm,m")</f>
        <v/>
      </c>
      <c r="I197">
        <f>TEXT(44017, "[$-446]dddd,ddd,mmmm,mmm,mmmmm,m")</f>
        <v/>
      </c>
      <c r="J197">
        <f>TEXT(44046, "[$-446]dddd,ddd,mmmm,mmm,mmmmm,m")</f>
        <v/>
      </c>
      <c r="K197">
        <f>TEXT(44082, "[$-446]dddd,ddd,mmmm,mmm,mmmmm,m")</f>
        <v/>
      </c>
      <c r="L197">
        <f>TEXT(44111, "[$-446]dddd,ddd,mmmm,mmm,mmmmm,m")</f>
        <v/>
      </c>
      <c r="M197">
        <f>TEXT(44140, "[$-446]dddd,ddd,mmmm,mmm,mmmmm,m")</f>
        <v/>
      </c>
      <c r="N197">
        <f>TEXT(44169, "[$-446]dddd,ddd,mmmm,mmm,mmmmm,m")</f>
        <v/>
      </c>
      <c r="O197">
        <f>TEXT(44198, "[$-446]dddd,ddd,mmmm,mmm,mmmmm,m")</f>
        <v/>
      </c>
    </row>
    <row r="198">
      <c r="A198" t="inlineStr">
        <is>
          <t>0x7000447</t>
        </is>
      </c>
      <c r="B198" t="inlineStr">
        <is>
          <t>gu-IN</t>
        </is>
      </c>
      <c r="C198">
        <f>TEXT(43836, "[$-7000447]dddd,ddd,mmmm,mmm,mmmmm,m")</f>
        <v/>
      </c>
      <c r="D198">
        <f>TEXT(43865, "[$-7000447]dddd,ddd,mmmm,mmm,mmmmm,m")</f>
        <v/>
      </c>
      <c r="E198">
        <f>TEXT(43894, "[$-7000447]dddd,ddd,mmmm,mmm,mmmmm,m")</f>
        <v/>
      </c>
      <c r="F198">
        <f>TEXT(43923, "[$-7000447]dddd,ddd,mmmm,mmm,mmmmm,m")</f>
        <v/>
      </c>
      <c r="G198">
        <f>TEXT(43952, "[$-7000447]dddd,ddd,mmmm,mmm,mmmmm,m")</f>
        <v/>
      </c>
      <c r="H198">
        <f>TEXT(43988, "[$-7000447]dddd,ddd,mmmm,mmm,mmmmm,m")</f>
        <v/>
      </c>
      <c r="I198">
        <f>TEXT(44017, "[$-7000447]dddd,ddd,mmmm,mmm,mmmmm,m")</f>
        <v/>
      </c>
      <c r="J198">
        <f>TEXT(44046, "[$-7000447]dddd,ddd,mmmm,mmm,mmmmm,m")</f>
        <v/>
      </c>
      <c r="K198">
        <f>TEXT(44082, "[$-7000447]dddd,ddd,mmmm,mmm,mmmmm,m")</f>
        <v/>
      </c>
      <c r="L198">
        <f>TEXT(44111, "[$-7000447]dddd,ddd,mmmm,mmm,mmmmm,m")</f>
        <v/>
      </c>
      <c r="M198">
        <f>TEXT(44140, "[$-7000447]dddd,ddd,mmmm,mmm,mmmmm,m")</f>
        <v/>
      </c>
      <c r="N198">
        <f>TEXT(44169, "[$-7000447]dddd,ddd,mmmm,mmm,mmmmm,m")</f>
        <v/>
      </c>
      <c r="O198">
        <f>TEXT(44198, "[$-7000447]dddd,ddd,mmmm,mmm,mmmmm,m")</f>
        <v/>
      </c>
    </row>
    <row r="199">
      <c r="A199" t="inlineStr">
        <is>
          <t>0x8000448</t>
        </is>
      </c>
      <c r="B199" t="inlineStr">
        <is>
          <t>or-IN</t>
        </is>
      </c>
      <c r="C199">
        <f>TEXT(43836, "[$-8000448]dddd,ddd,mmmm,mmm,mmmmm,m")</f>
        <v/>
      </c>
      <c r="D199">
        <f>TEXT(43865, "[$-8000448]dddd,ddd,mmmm,mmm,mmmmm,m")</f>
        <v/>
      </c>
      <c r="E199">
        <f>TEXT(43894, "[$-8000448]dddd,ddd,mmmm,mmm,mmmmm,m")</f>
        <v/>
      </c>
      <c r="F199">
        <f>TEXT(43923, "[$-8000448]dddd,ddd,mmmm,mmm,mmmmm,m")</f>
        <v/>
      </c>
      <c r="G199">
        <f>TEXT(43952, "[$-8000448]dddd,ddd,mmmm,mmm,mmmmm,m")</f>
        <v/>
      </c>
      <c r="H199">
        <f>TEXT(43988, "[$-8000448]dddd,ddd,mmmm,mmm,mmmmm,m")</f>
        <v/>
      </c>
      <c r="I199">
        <f>TEXT(44017, "[$-8000448]dddd,ddd,mmmm,mmm,mmmmm,m")</f>
        <v/>
      </c>
      <c r="J199">
        <f>TEXT(44046, "[$-8000448]dddd,ddd,mmmm,mmm,mmmmm,m")</f>
        <v/>
      </c>
      <c r="K199">
        <f>TEXT(44082, "[$-8000448]dddd,ddd,mmmm,mmm,mmmmm,m")</f>
        <v/>
      </c>
      <c r="L199">
        <f>TEXT(44111, "[$-8000448]dddd,ddd,mmmm,mmm,mmmmm,m")</f>
        <v/>
      </c>
      <c r="M199">
        <f>TEXT(44140, "[$-8000448]dddd,ddd,mmmm,mmm,mmmmm,m")</f>
        <v/>
      </c>
      <c r="N199">
        <f>TEXT(44169, "[$-8000448]dddd,ddd,mmmm,mmm,mmmmm,m")</f>
        <v/>
      </c>
      <c r="O199">
        <f>TEXT(44198, "[$-8000448]dddd,ddd,mmmm,mmm,mmmmm,m")</f>
        <v/>
      </c>
    </row>
    <row r="200">
      <c r="A200" t="inlineStr">
        <is>
          <t>0x9000449</t>
        </is>
      </c>
      <c r="B200" t="inlineStr">
        <is>
          <t>ta-IN</t>
        </is>
      </c>
      <c r="C200">
        <f>TEXT(43836, "[$-9000449]dddd,ddd,mmmm,mmm,mmmmm,m")</f>
        <v/>
      </c>
      <c r="D200">
        <f>TEXT(43865, "[$-9000449]dddd,ddd,mmmm,mmm,mmmmm,m")</f>
        <v/>
      </c>
      <c r="E200">
        <f>TEXT(43894, "[$-9000449]dddd,ddd,mmmm,mmm,mmmmm,m")</f>
        <v/>
      </c>
      <c r="F200">
        <f>TEXT(43923, "[$-9000449]dddd,ddd,mmmm,mmm,mmmmm,m")</f>
        <v/>
      </c>
      <c r="G200">
        <f>TEXT(43952, "[$-9000449]dddd,ddd,mmmm,mmm,mmmmm,m")</f>
        <v/>
      </c>
      <c r="H200">
        <f>TEXT(43988, "[$-9000449]dddd,ddd,mmmm,mmm,mmmmm,m")</f>
        <v/>
      </c>
      <c r="I200">
        <f>TEXT(44017, "[$-9000449]dddd,ddd,mmmm,mmm,mmmmm,m")</f>
        <v/>
      </c>
      <c r="J200">
        <f>TEXT(44046, "[$-9000449]dddd,ddd,mmmm,mmm,mmmmm,m")</f>
        <v/>
      </c>
      <c r="K200">
        <f>TEXT(44082, "[$-9000449]dddd,ddd,mmmm,mmm,mmmmm,m")</f>
        <v/>
      </c>
      <c r="L200">
        <f>TEXT(44111, "[$-9000449]dddd,ddd,mmmm,mmm,mmmmm,m")</f>
        <v/>
      </c>
      <c r="M200">
        <f>TEXT(44140, "[$-9000449]dddd,ddd,mmmm,mmm,mmmmm,m")</f>
        <v/>
      </c>
      <c r="N200">
        <f>TEXT(44169, "[$-9000449]dddd,ddd,mmmm,mmm,mmmmm,m")</f>
        <v/>
      </c>
      <c r="O200">
        <f>TEXT(44198, "[$-9000449]dddd,ddd,mmmm,mmm,mmmmm,m")</f>
        <v/>
      </c>
    </row>
    <row r="201">
      <c r="A201" t="inlineStr">
        <is>
          <t>0xA00044A</t>
        </is>
      </c>
      <c r="B201" t="inlineStr">
        <is>
          <t>te-IN</t>
        </is>
      </c>
      <c r="C201">
        <f>TEXT(43836, "[$-A00044A]dddd,ddd,mmmm,mmm,mmmmm,m")</f>
        <v/>
      </c>
      <c r="D201">
        <f>TEXT(43865, "[$-A00044A]dddd,ddd,mmmm,mmm,mmmmm,m")</f>
        <v/>
      </c>
      <c r="E201">
        <f>TEXT(43894, "[$-A00044A]dddd,ddd,mmmm,mmm,mmmmm,m")</f>
        <v/>
      </c>
      <c r="F201">
        <f>TEXT(43923, "[$-A00044A]dddd,ddd,mmmm,mmm,mmmmm,m")</f>
        <v/>
      </c>
      <c r="G201">
        <f>TEXT(43952, "[$-A00044A]dddd,ddd,mmmm,mmm,mmmmm,m")</f>
        <v/>
      </c>
      <c r="H201">
        <f>TEXT(43988, "[$-A00044A]dddd,ddd,mmmm,mmm,mmmmm,m")</f>
        <v/>
      </c>
      <c r="I201">
        <f>TEXT(44017, "[$-A00044A]dddd,ddd,mmmm,mmm,mmmmm,m")</f>
        <v/>
      </c>
      <c r="J201">
        <f>TEXT(44046, "[$-A00044A]dddd,ddd,mmmm,mmm,mmmmm,m")</f>
        <v/>
      </c>
      <c r="K201">
        <f>TEXT(44082, "[$-A00044A]dddd,ddd,mmmm,mmm,mmmmm,m")</f>
        <v/>
      </c>
      <c r="L201">
        <f>TEXT(44111, "[$-A00044A]dddd,ddd,mmmm,mmm,mmmmm,m")</f>
        <v/>
      </c>
      <c r="M201">
        <f>TEXT(44140, "[$-A00044A]dddd,ddd,mmmm,mmm,mmmmm,m")</f>
        <v/>
      </c>
      <c r="N201">
        <f>TEXT(44169, "[$-A00044A]dddd,ddd,mmmm,mmm,mmmmm,m")</f>
        <v/>
      </c>
      <c r="O201">
        <f>TEXT(44198, "[$-A00044A]dddd,ddd,mmmm,mmm,mmmmm,m")</f>
        <v/>
      </c>
    </row>
    <row r="202">
      <c r="A202" t="inlineStr">
        <is>
          <t>0xB00044B</t>
        </is>
      </c>
      <c r="B202" t="inlineStr">
        <is>
          <t>kn-IN</t>
        </is>
      </c>
      <c r="C202">
        <f>TEXT(43836, "[$-B00044B]dddd,ddd,mmmm,mmm,mmmmm,m")</f>
        <v/>
      </c>
      <c r="D202">
        <f>TEXT(43865, "[$-B00044B]dddd,ddd,mmmm,mmm,mmmmm,m")</f>
        <v/>
      </c>
      <c r="E202">
        <f>TEXT(43894, "[$-B00044B]dddd,ddd,mmmm,mmm,mmmmm,m")</f>
        <v/>
      </c>
      <c r="F202">
        <f>TEXT(43923, "[$-B00044B]dddd,ddd,mmmm,mmm,mmmmm,m")</f>
        <v/>
      </c>
      <c r="G202">
        <f>TEXT(43952, "[$-B00044B]dddd,ddd,mmmm,mmm,mmmmm,m")</f>
        <v/>
      </c>
      <c r="H202">
        <f>TEXT(43988, "[$-B00044B]dddd,ddd,mmmm,mmm,mmmmm,m")</f>
        <v/>
      </c>
      <c r="I202">
        <f>TEXT(44017, "[$-B00044B]dddd,ddd,mmmm,mmm,mmmmm,m")</f>
        <v/>
      </c>
      <c r="J202">
        <f>TEXT(44046, "[$-B00044B]dddd,ddd,mmmm,mmm,mmmmm,m")</f>
        <v/>
      </c>
      <c r="K202">
        <f>TEXT(44082, "[$-B00044B]dddd,ddd,mmmm,mmm,mmmmm,m")</f>
        <v/>
      </c>
      <c r="L202">
        <f>TEXT(44111, "[$-B00044B]dddd,ddd,mmmm,mmm,mmmmm,m")</f>
        <v/>
      </c>
      <c r="M202">
        <f>TEXT(44140, "[$-B00044B]dddd,ddd,mmmm,mmm,mmmmm,m")</f>
        <v/>
      </c>
      <c r="N202">
        <f>TEXT(44169, "[$-B00044B]dddd,ddd,mmmm,mmm,mmmmm,m")</f>
        <v/>
      </c>
      <c r="O202">
        <f>TEXT(44198, "[$-B00044B]dddd,ddd,mmmm,mmm,mmmmm,m")</f>
        <v/>
      </c>
    </row>
    <row r="203">
      <c r="A203" t="inlineStr">
        <is>
          <t>0xC00044C</t>
        </is>
      </c>
      <c r="B203" t="inlineStr">
        <is>
          <t>ml-IN</t>
        </is>
      </c>
      <c r="C203">
        <f>TEXT(43836, "[$-C00044C]dddd,ddd,mmmm,mmm,mmmmm,m")</f>
        <v/>
      </c>
      <c r="D203">
        <f>TEXT(43865, "[$-C00044C]dddd,ddd,mmmm,mmm,mmmmm,m")</f>
        <v/>
      </c>
      <c r="E203">
        <f>TEXT(43894, "[$-C00044C]dddd,ddd,mmmm,mmm,mmmmm,m")</f>
        <v/>
      </c>
      <c r="F203">
        <f>TEXT(43923, "[$-C00044C]dddd,ddd,mmmm,mmm,mmmmm,m")</f>
        <v/>
      </c>
      <c r="G203">
        <f>TEXT(43952, "[$-C00044C]dddd,ddd,mmmm,mmm,mmmmm,m")</f>
        <v/>
      </c>
      <c r="H203">
        <f>TEXT(43988, "[$-C00044C]dddd,ddd,mmmm,mmm,mmmmm,m")</f>
        <v/>
      </c>
      <c r="I203">
        <f>TEXT(44017, "[$-C00044C]dddd,ddd,mmmm,mmm,mmmmm,m")</f>
        <v/>
      </c>
      <c r="J203">
        <f>TEXT(44046, "[$-C00044C]dddd,ddd,mmmm,mmm,mmmmm,m")</f>
        <v/>
      </c>
      <c r="K203">
        <f>TEXT(44082, "[$-C00044C]dddd,ddd,mmmm,mmm,mmmmm,m")</f>
        <v/>
      </c>
      <c r="L203">
        <f>TEXT(44111, "[$-C00044C]dddd,ddd,mmmm,mmm,mmmmm,m")</f>
        <v/>
      </c>
      <c r="M203">
        <f>TEXT(44140, "[$-C00044C]dddd,ddd,mmmm,mmm,mmmmm,m")</f>
        <v/>
      </c>
      <c r="N203">
        <f>TEXT(44169, "[$-C00044C]dddd,ddd,mmmm,mmm,mmmmm,m")</f>
        <v/>
      </c>
      <c r="O203">
        <f>TEXT(44198, "[$-C00044C]dddd,ddd,mmmm,mmm,mmmmm,m")</f>
        <v/>
      </c>
    </row>
    <row r="204">
      <c r="A204" t="inlineStr">
        <is>
          <t>0x44D</t>
        </is>
      </c>
      <c r="B204" t="inlineStr">
        <is>
          <t>as-IN</t>
        </is>
      </c>
      <c r="C204">
        <f>TEXT(43836, "[$-44D]dddd,ddd,mmmm,mmm,mmmmm,m")</f>
        <v/>
      </c>
      <c r="D204">
        <f>TEXT(43865, "[$-44D]dddd,ddd,mmmm,mmm,mmmmm,m")</f>
        <v/>
      </c>
      <c r="E204">
        <f>TEXT(43894, "[$-44D]dddd,ddd,mmmm,mmm,mmmmm,m")</f>
        <v/>
      </c>
      <c r="F204">
        <f>TEXT(43923, "[$-44D]dddd,ddd,mmmm,mmm,mmmmm,m")</f>
        <v/>
      </c>
      <c r="G204">
        <f>TEXT(43952, "[$-44D]dddd,ddd,mmmm,mmm,mmmmm,m")</f>
        <v/>
      </c>
      <c r="H204">
        <f>TEXT(43988, "[$-44D]dddd,ddd,mmmm,mmm,mmmmm,m")</f>
        <v/>
      </c>
      <c r="I204">
        <f>TEXT(44017, "[$-44D]dddd,ddd,mmmm,mmm,mmmmm,m")</f>
        <v/>
      </c>
      <c r="J204">
        <f>TEXT(44046, "[$-44D]dddd,ddd,mmmm,mmm,mmmmm,m")</f>
        <v/>
      </c>
      <c r="K204">
        <f>TEXT(44082, "[$-44D]dddd,ddd,mmmm,mmm,mmmmm,m")</f>
        <v/>
      </c>
      <c r="L204">
        <f>TEXT(44111, "[$-44D]dddd,ddd,mmmm,mmm,mmmmm,m")</f>
        <v/>
      </c>
      <c r="M204">
        <f>TEXT(44140, "[$-44D]dddd,ddd,mmmm,mmm,mmmmm,m")</f>
        <v/>
      </c>
      <c r="N204">
        <f>TEXT(44169, "[$-44D]dddd,ddd,mmmm,mmm,mmmmm,m")</f>
        <v/>
      </c>
      <c r="O204">
        <f>TEXT(44198, "[$-44D]dddd,ddd,mmmm,mmm,mmmmm,m")</f>
        <v/>
      </c>
    </row>
    <row r="205">
      <c r="A205" t="inlineStr">
        <is>
          <t>0x44E</t>
        </is>
      </c>
      <c r="B205" t="inlineStr">
        <is>
          <t>mr-IN</t>
        </is>
      </c>
      <c r="C205">
        <f>TEXT(43836, "[$-44E]dddd,ddd,mmmm,mmm,mmmmm,m")</f>
        <v/>
      </c>
      <c r="D205">
        <f>TEXT(43865, "[$-44E]dddd,ddd,mmmm,mmm,mmmmm,m")</f>
        <v/>
      </c>
      <c r="E205">
        <f>TEXT(43894, "[$-44E]dddd,ddd,mmmm,mmm,mmmmm,m")</f>
        <v/>
      </c>
      <c r="F205">
        <f>TEXT(43923, "[$-44E]dddd,ddd,mmmm,mmm,mmmmm,m")</f>
        <v/>
      </c>
      <c r="G205">
        <f>TEXT(43952, "[$-44E]dddd,ddd,mmmm,mmm,mmmmm,m")</f>
        <v/>
      </c>
      <c r="H205">
        <f>TEXT(43988, "[$-44E]dddd,ddd,mmmm,mmm,mmmmm,m")</f>
        <v/>
      </c>
      <c r="I205">
        <f>TEXT(44017, "[$-44E]dddd,ddd,mmmm,mmm,mmmmm,m")</f>
        <v/>
      </c>
      <c r="J205">
        <f>TEXT(44046, "[$-44E]dddd,ddd,mmmm,mmm,mmmmm,m")</f>
        <v/>
      </c>
      <c r="K205">
        <f>TEXT(44082, "[$-44E]dddd,ddd,mmmm,mmm,mmmmm,m")</f>
        <v/>
      </c>
      <c r="L205">
        <f>TEXT(44111, "[$-44E]dddd,ddd,mmmm,mmm,mmmmm,m")</f>
        <v/>
      </c>
      <c r="M205">
        <f>TEXT(44140, "[$-44E]dddd,ddd,mmmm,mmm,mmmmm,m")</f>
        <v/>
      </c>
      <c r="N205">
        <f>TEXT(44169, "[$-44E]dddd,ddd,mmmm,mmm,mmmmm,m")</f>
        <v/>
      </c>
      <c r="O205">
        <f>TEXT(44198, "[$-44E]dddd,ddd,mmmm,mmm,mmmmm,m")</f>
        <v/>
      </c>
    </row>
    <row r="206">
      <c r="A206" t="inlineStr">
        <is>
          <t>0x400044F</t>
        </is>
      </c>
      <c r="B206" t="inlineStr">
        <is>
          <t>sa-IN</t>
        </is>
      </c>
      <c r="C206">
        <f>TEXT(43836, "[$-400044F]dddd,ddd,mmmm,mmm,mmmmm,m")</f>
        <v/>
      </c>
      <c r="D206">
        <f>TEXT(43865, "[$-400044F]dddd,ddd,mmmm,mmm,mmmmm,m")</f>
        <v/>
      </c>
      <c r="E206">
        <f>TEXT(43894, "[$-400044F]dddd,ddd,mmmm,mmm,mmmmm,m")</f>
        <v/>
      </c>
      <c r="F206">
        <f>TEXT(43923, "[$-400044F]dddd,ddd,mmmm,mmm,mmmmm,m")</f>
        <v/>
      </c>
      <c r="G206">
        <f>TEXT(43952, "[$-400044F]dddd,ddd,mmmm,mmm,mmmmm,m")</f>
        <v/>
      </c>
      <c r="H206">
        <f>TEXT(43988, "[$-400044F]dddd,ddd,mmmm,mmm,mmmmm,m")</f>
        <v/>
      </c>
      <c r="I206">
        <f>TEXT(44017, "[$-400044F]dddd,ddd,mmmm,mmm,mmmmm,m")</f>
        <v/>
      </c>
      <c r="J206">
        <f>TEXT(44046, "[$-400044F]dddd,ddd,mmmm,mmm,mmmmm,m")</f>
        <v/>
      </c>
      <c r="K206">
        <f>TEXT(44082, "[$-400044F]dddd,ddd,mmmm,mmm,mmmmm,m")</f>
        <v/>
      </c>
      <c r="L206">
        <f>TEXT(44111, "[$-400044F]dddd,ddd,mmmm,mmm,mmmmm,m")</f>
        <v/>
      </c>
      <c r="M206">
        <f>TEXT(44140, "[$-400044F]dddd,ddd,mmmm,mmm,mmmmm,m")</f>
        <v/>
      </c>
      <c r="N206">
        <f>TEXT(44169, "[$-400044F]dddd,ddd,mmmm,mmm,mmmmm,m")</f>
        <v/>
      </c>
      <c r="O206">
        <f>TEXT(44198, "[$-400044F]dddd,ddd,mmmm,mmm,mmmmm,m")</f>
        <v/>
      </c>
    </row>
    <row r="207">
      <c r="A207" t="inlineStr">
        <is>
          <t>0x13000450</t>
        </is>
      </c>
      <c r="B207" t="inlineStr">
        <is>
          <t>mn-MN</t>
        </is>
      </c>
      <c r="C207">
        <f>TEXT(43836, "[$-13000450]dddd,ddd,mmmm,mmm,mmmmm,m")</f>
        <v/>
      </c>
      <c r="D207">
        <f>TEXT(43865, "[$-13000450]dddd,ddd,mmmm,mmm,mmmmm,m")</f>
        <v/>
      </c>
      <c r="E207">
        <f>TEXT(43894, "[$-13000450]dddd,ddd,mmmm,mmm,mmmmm,m")</f>
        <v/>
      </c>
      <c r="F207">
        <f>TEXT(43923, "[$-13000450]dddd,ddd,mmmm,mmm,mmmmm,m")</f>
        <v/>
      </c>
      <c r="G207">
        <f>TEXT(43952, "[$-13000450]dddd,ddd,mmmm,mmm,mmmmm,m")</f>
        <v/>
      </c>
      <c r="H207">
        <f>TEXT(43988, "[$-13000450]dddd,ddd,mmmm,mmm,mmmmm,m")</f>
        <v/>
      </c>
      <c r="I207">
        <f>TEXT(44017, "[$-13000450]dddd,ddd,mmmm,mmm,mmmmm,m")</f>
        <v/>
      </c>
      <c r="J207">
        <f>TEXT(44046, "[$-13000450]dddd,ddd,mmmm,mmm,mmmmm,m")</f>
        <v/>
      </c>
      <c r="K207">
        <f>TEXT(44082, "[$-13000450]dddd,ddd,mmmm,mmm,mmmmm,m")</f>
        <v/>
      </c>
      <c r="L207">
        <f>TEXT(44111, "[$-13000450]dddd,ddd,mmmm,mmm,mmmmm,m")</f>
        <v/>
      </c>
      <c r="M207">
        <f>TEXT(44140, "[$-13000450]dddd,ddd,mmmm,mmm,mmmmm,m")</f>
        <v/>
      </c>
      <c r="N207">
        <f>TEXT(44169, "[$-13000450]dddd,ddd,mmmm,mmm,mmmmm,m")</f>
        <v/>
      </c>
      <c r="O207">
        <f>TEXT(44198, "[$-13000450]dddd,ddd,mmmm,mmm,mmmmm,m")</f>
        <v/>
      </c>
    </row>
    <row r="208">
      <c r="A208" t="inlineStr">
        <is>
          <t>0xF000451</t>
        </is>
      </c>
      <c r="B208" t="inlineStr">
        <is>
          <t>bo-CN</t>
        </is>
      </c>
      <c r="C208">
        <f>TEXT(43836, "[$-F000451]dddd,ddd,mmmm,mmm,mmmmm,m")</f>
        <v/>
      </c>
      <c r="D208">
        <f>TEXT(43865, "[$-F000451]dddd,ddd,mmmm,mmm,mmmmm,m")</f>
        <v/>
      </c>
      <c r="E208">
        <f>TEXT(43894, "[$-F000451]dddd,ddd,mmmm,mmm,mmmmm,m")</f>
        <v/>
      </c>
      <c r="F208">
        <f>TEXT(43923, "[$-F000451]dddd,ddd,mmmm,mmm,mmmmm,m")</f>
        <v/>
      </c>
      <c r="G208">
        <f>TEXT(43952, "[$-F000451]dddd,ddd,mmmm,mmm,mmmmm,m")</f>
        <v/>
      </c>
      <c r="H208">
        <f>TEXT(43988, "[$-F000451]dddd,ddd,mmmm,mmm,mmmmm,m")</f>
        <v/>
      </c>
      <c r="I208">
        <f>TEXT(44017, "[$-F000451]dddd,ddd,mmmm,mmm,mmmmm,m")</f>
        <v/>
      </c>
      <c r="J208">
        <f>TEXT(44046, "[$-F000451]dddd,ddd,mmmm,mmm,mmmmm,m")</f>
        <v/>
      </c>
      <c r="K208">
        <f>TEXT(44082, "[$-F000451]dddd,ddd,mmmm,mmm,mmmmm,m")</f>
        <v/>
      </c>
      <c r="L208">
        <f>TEXT(44111, "[$-F000451]dddd,ddd,mmmm,mmm,mmmmm,m")</f>
        <v/>
      </c>
      <c r="M208">
        <f>TEXT(44140, "[$-F000451]dddd,ddd,mmmm,mmm,mmmmm,m")</f>
        <v/>
      </c>
      <c r="N208">
        <f>TEXT(44169, "[$-F000451]dddd,ddd,mmmm,mmm,mmmmm,m")</f>
        <v/>
      </c>
      <c r="O208">
        <f>TEXT(44198, "[$-F000451]dddd,ddd,mmmm,mmm,mmmmm,m")</f>
        <v/>
      </c>
    </row>
    <row r="209">
      <c r="A209" t="inlineStr">
        <is>
          <t>0x452</t>
        </is>
      </c>
      <c r="B209" t="inlineStr">
        <is>
          <t>cy-GB</t>
        </is>
      </c>
      <c r="C209">
        <f>TEXT(43836, "[$-452]dddd,ddd,mmmm,mmm,mmmmm,m")</f>
        <v/>
      </c>
      <c r="D209">
        <f>TEXT(43865, "[$-452]dddd,ddd,mmmm,mmm,mmmmm,m")</f>
        <v/>
      </c>
      <c r="E209">
        <f>TEXT(43894, "[$-452]dddd,ddd,mmmm,mmm,mmmmm,m")</f>
        <v/>
      </c>
      <c r="F209">
        <f>TEXT(43923, "[$-452]dddd,ddd,mmmm,mmm,mmmmm,m")</f>
        <v/>
      </c>
      <c r="G209">
        <f>TEXT(43952, "[$-452]dddd,ddd,mmmm,mmm,mmmmm,m")</f>
        <v/>
      </c>
      <c r="H209">
        <f>TEXT(43988, "[$-452]dddd,ddd,mmmm,mmm,mmmmm,m")</f>
        <v/>
      </c>
      <c r="I209">
        <f>TEXT(44017, "[$-452]dddd,ddd,mmmm,mmm,mmmmm,m")</f>
        <v/>
      </c>
      <c r="J209">
        <f>TEXT(44046, "[$-452]dddd,ddd,mmmm,mmm,mmmmm,m")</f>
        <v/>
      </c>
      <c r="K209">
        <f>TEXT(44082, "[$-452]dddd,ddd,mmmm,mmm,mmmmm,m")</f>
        <v/>
      </c>
      <c r="L209">
        <f>TEXT(44111, "[$-452]dddd,ddd,mmmm,mmm,mmmmm,m")</f>
        <v/>
      </c>
      <c r="M209">
        <f>TEXT(44140, "[$-452]dddd,ddd,mmmm,mmm,mmmmm,m")</f>
        <v/>
      </c>
      <c r="N209">
        <f>TEXT(44169, "[$-452]dddd,ddd,mmmm,mmm,mmmmm,m")</f>
        <v/>
      </c>
      <c r="O209">
        <f>TEXT(44198, "[$-452]dddd,ddd,mmmm,mmm,mmmmm,m")</f>
        <v/>
      </c>
    </row>
    <row r="210">
      <c r="A210" t="inlineStr">
        <is>
          <t>0x12000453</t>
        </is>
      </c>
      <c r="B210" t="inlineStr">
        <is>
          <t>km-KH</t>
        </is>
      </c>
      <c r="C210">
        <f>TEXT(43836, "[$-12000453]dddd,ddd,mmmm,mmm,mmmmm,m")</f>
        <v/>
      </c>
      <c r="D210">
        <f>TEXT(43865, "[$-12000453]dddd,ddd,mmmm,mmm,mmmmm,m")</f>
        <v/>
      </c>
      <c r="E210">
        <f>TEXT(43894, "[$-12000453]dddd,ddd,mmmm,mmm,mmmmm,m")</f>
        <v/>
      </c>
      <c r="F210">
        <f>TEXT(43923, "[$-12000453]dddd,ddd,mmmm,mmm,mmmmm,m")</f>
        <v/>
      </c>
      <c r="G210">
        <f>TEXT(43952, "[$-12000453]dddd,ddd,mmmm,mmm,mmmmm,m")</f>
        <v/>
      </c>
      <c r="H210">
        <f>TEXT(43988, "[$-12000453]dddd,ddd,mmmm,mmm,mmmmm,m")</f>
        <v/>
      </c>
      <c r="I210">
        <f>TEXT(44017, "[$-12000453]dddd,ddd,mmmm,mmm,mmmmm,m")</f>
        <v/>
      </c>
      <c r="J210">
        <f>TEXT(44046, "[$-12000453]dddd,ddd,mmmm,mmm,mmmmm,m")</f>
        <v/>
      </c>
      <c r="K210">
        <f>TEXT(44082, "[$-12000453]dddd,ddd,mmmm,mmm,mmmmm,m")</f>
        <v/>
      </c>
      <c r="L210">
        <f>TEXT(44111, "[$-12000453]dddd,ddd,mmmm,mmm,mmmmm,m")</f>
        <v/>
      </c>
      <c r="M210">
        <f>TEXT(44140, "[$-12000453]dddd,ddd,mmmm,mmm,mmmmm,m")</f>
        <v/>
      </c>
      <c r="N210">
        <f>TEXT(44169, "[$-12000453]dddd,ddd,mmmm,mmm,mmmmm,m")</f>
        <v/>
      </c>
      <c r="O210">
        <f>TEXT(44198, "[$-12000453]dddd,ddd,mmmm,mmm,mmmmm,m")</f>
        <v/>
      </c>
    </row>
    <row r="211">
      <c r="A211" t="inlineStr">
        <is>
          <t>0xE000454</t>
        </is>
      </c>
      <c r="B211" t="inlineStr">
        <is>
          <t>lo-LA</t>
        </is>
      </c>
      <c r="C211">
        <f>TEXT(43836, "[$-E000454]dddd,ddd,mmmm,mmm,mmmmm,m")</f>
        <v/>
      </c>
      <c r="D211">
        <f>TEXT(43865, "[$-E000454]dddd,ddd,mmmm,mmm,mmmmm,m")</f>
        <v/>
      </c>
      <c r="E211">
        <f>TEXT(43894, "[$-E000454]dddd,ddd,mmmm,mmm,mmmmm,m")</f>
        <v/>
      </c>
      <c r="F211">
        <f>TEXT(43923, "[$-E000454]dddd,ddd,mmmm,mmm,mmmmm,m")</f>
        <v/>
      </c>
      <c r="G211">
        <f>TEXT(43952, "[$-E000454]dddd,ddd,mmmm,mmm,mmmmm,m")</f>
        <v/>
      </c>
      <c r="H211">
        <f>TEXT(43988, "[$-E000454]dddd,ddd,mmmm,mmm,mmmmm,m")</f>
        <v/>
      </c>
      <c r="I211">
        <f>TEXT(44017, "[$-E000454]dddd,ddd,mmmm,mmm,mmmmm,m")</f>
        <v/>
      </c>
      <c r="J211">
        <f>TEXT(44046, "[$-E000454]dddd,ddd,mmmm,mmm,mmmmm,m")</f>
        <v/>
      </c>
      <c r="K211">
        <f>TEXT(44082, "[$-E000454]dddd,ddd,mmmm,mmm,mmmmm,m")</f>
        <v/>
      </c>
      <c r="L211">
        <f>TEXT(44111, "[$-E000454]dddd,ddd,mmmm,mmm,mmmmm,m")</f>
        <v/>
      </c>
      <c r="M211">
        <f>TEXT(44140, "[$-E000454]dddd,ddd,mmmm,mmm,mmmmm,m")</f>
        <v/>
      </c>
      <c r="N211">
        <f>TEXT(44169, "[$-E000454]dddd,ddd,mmmm,mmm,mmmmm,m")</f>
        <v/>
      </c>
      <c r="O211">
        <f>TEXT(44198, "[$-E000454]dddd,ddd,mmmm,mmm,mmmmm,m")</f>
        <v/>
      </c>
    </row>
    <row r="212">
      <c r="A212" t="inlineStr">
        <is>
          <t>0x10000455</t>
        </is>
      </c>
      <c r="B212" t="inlineStr">
        <is>
          <t>my-MM</t>
        </is>
      </c>
      <c r="C212">
        <f>TEXT(43836, "[$-10000455]dddd,ddd,mmmm,mmm,mmmmm,m")</f>
        <v/>
      </c>
      <c r="D212">
        <f>TEXT(43865, "[$-10000455]dddd,ddd,mmmm,mmm,mmmmm,m")</f>
        <v/>
      </c>
      <c r="E212">
        <f>TEXT(43894, "[$-10000455]dddd,ddd,mmmm,mmm,mmmmm,m")</f>
        <v/>
      </c>
      <c r="F212">
        <f>TEXT(43923, "[$-10000455]dddd,ddd,mmmm,mmm,mmmmm,m")</f>
        <v/>
      </c>
      <c r="G212">
        <f>TEXT(43952, "[$-10000455]dddd,ddd,mmmm,mmm,mmmmm,m")</f>
        <v/>
      </c>
      <c r="H212">
        <f>TEXT(43988, "[$-10000455]dddd,ddd,mmmm,mmm,mmmmm,m")</f>
        <v/>
      </c>
      <c r="I212">
        <f>TEXT(44017, "[$-10000455]dddd,ddd,mmmm,mmm,mmmmm,m")</f>
        <v/>
      </c>
      <c r="J212">
        <f>TEXT(44046, "[$-10000455]dddd,ddd,mmmm,mmm,mmmmm,m")</f>
        <v/>
      </c>
      <c r="K212">
        <f>TEXT(44082, "[$-10000455]dddd,ddd,mmmm,mmm,mmmmm,m")</f>
        <v/>
      </c>
      <c r="L212">
        <f>TEXT(44111, "[$-10000455]dddd,ddd,mmmm,mmm,mmmmm,m")</f>
        <v/>
      </c>
      <c r="M212">
        <f>TEXT(44140, "[$-10000455]dddd,ddd,mmmm,mmm,mmmmm,m")</f>
        <v/>
      </c>
      <c r="N212">
        <f>TEXT(44169, "[$-10000455]dddd,ddd,mmmm,mmm,mmmmm,m")</f>
        <v/>
      </c>
      <c r="O212">
        <f>TEXT(44198, "[$-10000455]dddd,ddd,mmmm,mmm,mmmmm,m")</f>
        <v/>
      </c>
    </row>
    <row r="213">
      <c r="A213" t="inlineStr">
        <is>
          <t>0x456</t>
        </is>
      </c>
      <c r="B213" t="inlineStr">
        <is>
          <t>gl-ES</t>
        </is>
      </c>
      <c r="C213">
        <f>TEXT(43836, "[$-456]dddd,ddd,mmmm,mmm,mmmmm,m")</f>
        <v/>
      </c>
      <c r="D213">
        <f>TEXT(43865, "[$-456]dddd,ddd,mmmm,mmm,mmmmm,m")</f>
        <v/>
      </c>
      <c r="E213">
        <f>TEXT(43894, "[$-456]dddd,ddd,mmmm,mmm,mmmmm,m")</f>
        <v/>
      </c>
      <c r="F213">
        <f>TEXT(43923, "[$-456]dddd,ddd,mmmm,mmm,mmmmm,m")</f>
        <v/>
      </c>
      <c r="G213">
        <f>TEXT(43952, "[$-456]dddd,ddd,mmmm,mmm,mmmmm,m")</f>
        <v/>
      </c>
      <c r="H213">
        <f>TEXT(43988, "[$-456]dddd,ddd,mmmm,mmm,mmmmm,m")</f>
        <v/>
      </c>
      <c r="I213">
        <f>TEXT(44017, "[$-456]dddd,ddd,mmmm,mmm,mmmmm,m")</f>
        <v/>
      </c>
      <c r="J213">
        <f>TEXT(44046, "[$-456]dddd,ddd,mmmm,mmm,mmmmm,m")</f>
        <v/>
      </c>
      <c r="K213">
        <f>TEXT(44082, "[$-456]dddd,ddd,mmmm,mmm,mmmmm,m")</f>
        <v/>
      </c>
      <c r="L213">
        <f>TEXT(44111, "[$-456]dddd,ddd,mmmm,mmm,mmmmm,m")</f>
        <v/>
      </c>
      <c r="M213">
        <f>TEXT(44140, "[$-456]dddd,ddd,mmmm,mmm,mmmmm,m")</f>
        <v/>
      </c>
      <c r="N213">
        <f>TEXT(44169, "[$-456]dddd,ddd,mmmm,mmm,mmmmm,m")</f>
        <v/>
      </c>
      <c r="O213">
        <f>TEXT(44198, "[$-456]dddd,ddd,mmmm,mmm,mmmmm,m")</f>
        <v/>
      </c>
    </row>
    <row r="214">
      <c r="A214" t="inlineStr">
        <is>
          <t>0x457</t>
        </is>
      </c>
      <c r="B214" t="inlineStr">
        <is>
          <t>kok-IN</t>
        </is>
      </c>
      <c r="C214">
        <f>TEXT(43836, "[$-457]dddd,ddd,mmmm,mmm,mmmmm,m")</f>
        <v/>
      </c>
      <c r="D214">
        <f>TEXT(43865, "[$-457]dddd,ddd,mmmm,mmm,mmmmm,m")</f>
        <v/>
      </c>
      <c r="E214">
        <f>TEXT(43894, "[$-457]dddd,ddd,mmmm,mmm,mmmmm,m")</f>
        <v/>
      </c>
      <c r="F214">
        <f>TEXT(43923, "[$-457]dddd,ddd,mmmm,mmm,mmmmm,m")</f>
        <v/>
      </c>
      <c r="G214">
        <f>TEXT(43952, "[$-457]dddd,ddd,mmmm,mmm,mmmmm,m")</f>
        <v/>
      </c>
      <c r="H214">
        <f>TEXT(43988, "[$-457]dddd,ddd,mmmm,mmm,mmmmm,m")</f>
        <v/>
      </c>
      <c r="I214">
        <f>TEXT(44017, "[$-457]dddd,ddd,mmmm,mmm,mmmmm,m")</f>
        <v/>
      </c>
      <c r="J214">
        <f>TEXT(44046, "[$-457]dddd,ddd,mmmm,mmm,mmmmm,m")</f>
        <v/>
      </c>
      <c r="K214">
        <f>TEXT(44082, "[$-457]dddd,ddd,mmmm,mmm,mmmmm,m")</f>
        <v/>
      </c>
      <c r="L214">
        <f>TEXT(44111, "[$-457]dddd,ddd,mmmm,mmm,mmmmm,m")</f>
        <v/>
      </c>
      <c r="M214">
        <f>TEXT(44140, "[$-457]dddd,ddd,mmmm,mmm,mmmmm,m")</f>
        <v/>
      </c>
      <c r="N214">
        <f>TEXT(44169, "[$-457]dddd,ddd,mmmm,mmm,mmmmm,m")</f>
        <v/>
      </c>
      <c r="O214">
        <f>TEXT(44198, "[$-457]dddd,ddd,mmmm,mmm,mmmmm,m")</f>
        <v/>
      </c>
    </row>
    <row r="215">
      <c r="A215" t="inlineStr">
        <is>
          <t>0x45A</t>
        </is>
      </c>
      <c r="B215" t="inlineStr">
        <is>
          <t>syr-SY</t>
        </is>
      </c>
      <c r="C215">
        <f>TEXT(43836, "[$-45A]dddd,ddd,mmmm,mmm,mmmmm,m")</f>
        <v/>
      </c>
      <c r="D215">
        <f>TEXT(43865, "[$-45A]dddd,ddd,mmmm,mmm,mmmmm,m")</f>
        <v/>
      </c>
      <c r="E215">
        <f>TEXT(43894, "[$-45A]dddd,ddd,mmmm,mmm,mmmmm,m")</f>
        <v/>
      </c>
      <c r="F215">
        <f>TEXT(43923, "[$-45A]dddd,ddd,mmmm,mmm,mmmmm,m")</f>
        <v/>
      </c>
      <c r="G215">
        <f>TEXT(43952, "[$-45A]dddd,ddd,mmmm,mmm,mmmmm,m")</f>
        <v/>
      </c>
      <c r="H215">
        <f>TEXT(43988, "[$-45A]dddd,ddd,mmmm,mmm,mmmmm,m")</f>
        <v/>
      </c>
      <c r="I215">
        <f>TEXT(44017, "[$-45A]dddd,ddd,mmmm,mmm,mmmmm,m")</f>
        <v/>
      </c>
      <c r="J215">
        <f>TEXT(44046, "[$-45A]dddd,ddd,mmmm,mmm,mmmmm,m")</f>
        <v/>
      </c>
      <c r="K215">
        <f>TEXT(44082, "[$-45A]dddd,ddd,mmmm,mmm,mmmmm,m")</f>
        <v/>
      </c>
      <c r="L215">
        <f>TEXT(44111, "[$-45A]dddd,ddd,mmmm,mmm,mmmmm,m")</f>
        <v/>
      </c>
      <c r="M215">
        <f>TEXT(44140, "[$-45A]dddd,ddd,mmmm,mmm,mmmmm,m")</f>
        <v/>
      </c>
      <c r="N215">
        <f>TEXT(44169, "[$-45A]dddd,ddd,mmmm,mmm,mmmmm,m")</f>
        <v/>
      </c>
      <c r="O215">
        <f>TEXT(44198, "[$-45A]dddd,ddd,mmmm,mmm,mmmmm,m")</f>
        <v/>
      </c>
    </row>
    <row r="216">
      <c r="A216" t="inlineStr">
        <is>
          <t>0x45B</t>
        </is>
      </c>
      <c r="B216" t="inlineStr">
        <is>
          <t>si-LK</t>
        </is>
      </c>
      <c r="C216">
        <f>TEXT(43836, "[$-45B]dddd,ddd,mmmm,mmm,mmmmm,m")</f>
        <v/>
      </c>
      <c r="D216">
        <f>TEXT(43865, "[$-45B]dddd,ddd,mmmm,mmm,mmmmm,m")</f>
        <v/>
      </c>
      <c r="E216">
        <f>TEXT(43894, "[$-45B]dddd,ddd,mmmm,mmm,mmmmm,m")</f>
        <v/>
      </c>
      <c r="F216">
        <f>TEXT(43923, "[$-45B]dddd,ddd,mmmm,mmm,mmmmm,m")</f>
        <v/>
      </c>
      <c r="G216">
        <f>TEXT(43952, "[$-45B]dddd,ddd,mmmm,mmm,mmmmm,m")</f>
        <v/>
      </c>
      <c r="H216">
        <f>TEXT(43988, "[$-45B]dddd,ddd,mmmm,mmm,mmmmm,m")</f>
        <v/>
      </c>
      <c r="I216">
        <f>TEXT(44017, "[$-45B]dddd,ddd,mmmm,mmm,mmmmm,m")</f>
        <v/>
      </c>
      <c r="J216">
        <f>TEXT(44046, "[$-45B]dddd,ddd,mmmm,mmm,mmmmm,m")</f>
        <v/>
      </c>
      <c r="K216">
        <f>TEXT(44082, "[$-45B]dddd,ddd,mmmm,mmm,mmmmm,m")</f>
        <v/>
      </c>
      <c r="L216">
        <f>TEXT(44111, "[$-45B]dddd,ddd,mmmm,mmm,mmmmm,m")</f>
        <v/>
      </c>
      <c r="M216">
        <f>TEXT(44140, "[$-45B]dddd,ddd,mmmm,mmm,mmmmm,m")</f>
        <v/>
      </c>
      <c r="N216">
        <f>TEXT(44169, "[$-45B]dddd,ddd,mmmm,mmm,mmmmm,m")</f>
        <v/>
      </c>
      <c r="O216">
        <f>TEXT(44198, "[$-45B]dddd,ddd,mmmm,mmm,mmmmm,m")</f>
        <v/>
      </c>
    </row>
    <row r="217">
      <c r="A217" t="inlineStr">
        <is>
          <t>0x45C</t>
        </is>
      </c>
      <c r="B217" t="inlineStr">
        <is>
          <t>chr-Cher_US</t>
        </is>
      </c>
      <c r="C217">
        <f>TEXT(43836, "[$-45C]dddd,ddd,mmmm,mmm,mmmmm,m")</f>
        <v/>
      </c>
      <c r="D217">
        <f>TEXT(43865, "[$-45C]dddd,ddd,mmmm,mmm,mmmmm,m")</f>
        <v/>
      </c>
      <c r="E217">
        <f>TEXT(43894, "[$-45C]dddd,ddd,mmmm,mmm,mmmmm,m")</f>
        <v/>
      </c>
      <c r="F217">
        <f>TEXT(43923, "[$-45C]dddd,ddd,mmmm,mmm,mmmmm,m")</f>
        <v/>
      </c>
      <c r="G217">
        <f>TEXT(43952, "[$-45C]dddd,ddd,mmmm,mmm,mmmmm,m")</f>
        <v/>
      </c>
      <c r="H217">
        <f>TEXT(43988, "[$-45C]dddd,ddd,mmmm,mmm,mmmmm,m")</f>
        <v/>
      </c>
      <c r="I217">
        <f>TEXT(44017, "[$-45C]dddd,ddd,mmmm,mmm,mmmmm,m")</f>
        <v/>
      </c>
      <c r="J217">
        <f>TEXT(44046, "[$-45C]dddd,ddd,mmmm,mmm,mmmmm,m")</f>
        <v/>
      </c>
      <c r="K217">
        <f>TEXT(44082, "[$-45C]dddd,ddd,mmmm,mmm,mmmmm,m")</f>
        <v/>
      </c>
      <c r="L217">
        <f>TEXT(44111, "[$-45C]dddd,ddd,mmmm,mmm,mmmmm,m")</f>
        <v/>
      </c>
      <c r="M217">
        <f>TEXT(44140, "[$-45C]dddd,ddd,mmmm,mmm,mmmmm,m")</f>
        <v/>
      </c>
      <c r="N217">
        <f>TEXT(44169, "[$-45C]dddd,ddd,mmmm,mmm,mmmmm,m")</f>
        <v/>
      </c>
      <c r="O217">
        <f>TEXT(44198, "[$-45C]dddd,ddd,mmmm,mmm,mmmmm,m")</f>
        <v/>
      </c>
    </row>
    <row r="218">
      <c r="A218" t="inlineStr">
        <is>
          <t>0x45D</t>
        </is>
      </c>
      <c r="B218" t="inlineStr">
        <is>
          <t>iu-Cans_CA</t>
        </is>
      </c>
      <c r="C218">
        <f>TEXT(43836, "[$-45D]dddd,ddd,mmmm,mmm,mmmmm,m")</f>
        <v/>
      </c>
      <c r="D218">
        <f>TEXT(43865, "[$-45D]dddd,ddd,mmmm,mmm,mmmmm,m")</f>
        <v/>
      </c>
      <c r="E218">
        <f>TEXT(43894, "[$-45D]dddd,ddd,mmmm,mmm,mmmmm,m")</f>
        <v/>
      </c>
      <c r="F218">
        <f>TEXT(43923, "[$-45D]dddd,ddd,mmmm,mmm,mmmmm,m")</f>
        <v/>
      </c>
      <c r="G218">
        <f>TEXT(43952, "[$-45D]dddd,ddd,mmmm,mmm,mmmmm,m")</f>
        <v/>
      </c>
      <c r="H218">
        <f>TEXT(43988, "[$-45D]dddd,ddd,mmmm,mmm,mmmmm,m")</f>
        <v/>
      </c>
      <c r="I218">
        <f>TEXT(44017, "[$-45D]dddd,ddd,mmmm,mmm,mmmmm,m")</f>
        <v/>
      </c>
      <c r="J218">
        <f>TEXT(44046, "[$-45D]dddd,ddd,mmmm,mmm,mmmmm,m")</f>
        <v/>
      </c>
      <c r="K218">
        <f>TEXT(44082, "[$-45D]dddd,ddd,mmmm,mmm,mmmmm,m")</f>
        <v/>
      </c>
      <c r="L218">
        <f>TEXT(44111, "[$-45D]dddd,ddd,mmmm,mmm,mmmmm,m")</f>
        <v/>
      </c>
      <c r="M218">
        <f>TEXT(44140, "[$-45D]dddd,ddd,mmmm,mmm,mmmmm,m")</f>
        <v/>
      </c>
      <c r="N218">
        <f>TEXT(44169, "[$-45D]dddd,ddd,mmmm,mmm,mmmmm,m")</f>
        <v/>
      </c>
      <c r="O218">
        <f>TEXT(44198, "[$-45D]dddd,ddd,mmmm,mmm,mmmmm,m")</f>
        <v/>
      </c>
    </row>
    <row r="219">
      <c r="A219" t="inlineStr">
        <is>
          <t>0x1100045E</t>
        </is>
      </c>
      <c r="B219" t="inlineStr">
        <is>
          <t>am-ET</t>
        </is>
      </c>
      <c r="C219">
        <f>TEXT(43836, "[$-1100045E]dddd,ddd,mmmm,mmm,mmmmm,m")</f>
        <v/>
      </c>
      <c r="D219">
        <f>TEXT(43865, "[$-1100045E]dddd,ddd,mmmm,mmm,mmmmm,m")</f>
        <v/>
      </c>
      <c r="E219">
        <f>TEXT(43894, "[$-1100045E]dddd,ddd,mmmm,mmm,mmmmm,m")</f>
        <v/>
      </c>
      <c r="F219">
        <f>TEXT(43923, "[$-1100045E]dddd,ddd,mmmm,mmm,mmmmm,m")</f>
        <v/>
      </c>
      <c r="G219">
        <f>TEXT(43952, "[$-1100045E]dddd,ddd,mmmm,mmm,mmmmm,m")</f>
        <v/>
      </c>
      <c r="H219">
        <f>TEXT(43988, "[$-1100045E]dddd,ddd,mmmm,mmm,mmmmm,m")</f>
        <v/>
      </c>
      <c r="I219">
        <f>TEXT(44017, "[$-1100045E]dddd,ddd,mmmm,mmm,mmmmm,m")</f>
        <v/>
      </c>
      <c r="J219">
        <f>TEXT(44046, "[$-1100045E]dddd,ddd,mmmm,mmm,mmmmm,m")</f>
        <v/>
      </c>
      <c r="K219">
        <f>TEXT(44082, "[$-1100045E]dddd,ddd,mmmm,mmm,mmmmm,m")</f>
        <v/>
      </c>
      <c r="L219">
        <f>TEXT(44111, "[$-1100045E]dddd,ddd,mmmm,mmm,mmmmm,m")</f>
        <v/>
      </c>
      <c r="M219">
        <f>TEXT(44140, "[$-1100045E]dddd,ddd,mmmm,mmm,mmmmm,m")</f>
        <v/>
      </c>
      <c r="N219">
        <f>TEXT(44169, "[$-1100045E]dddd,ddd,mmmm,mmm,mmmmm,m")</f>
        <v/>
      </c>
      <c r="O219">
        <f>TEXT(44198, "[$-1100045E]dddd,ddd,mmmm,mmm,mmmmm,m")</f>
        <v/>
      </c>
    </row>
    <row r="220">
      <c r="A220" t="inlineStr">
        <is>
          <t>0x460</t>
        </is>
      </c>
      <c r="B220" t="inlineStr">
        <is>
          <t>ks-Arab</t>
        </is>
      </c>
      <c r="C220">
        <f>TEXT(43836, "[$-460]dddd,ddd,mmmm,mmm,mmmmm,m")</f>
        <v/>
      </c>
      <c r="D220">
        <f>TEXT(43865, "[$-460]dddd,ddd,mmmm,mmm,mmmmm,m")</f>
        <v/>
      </c>
      <c r="E220">
        <f>TEXT(43894, "[$-460]dddd,ddd,mmmm,mmm,mmmmm,m")</f>
        <v/>
      </c>
      <c r="F220">
        <f>TEXT(43923, "[$-460]dddd,ddd,mmmm,mmm,mmmmm,m")</f>
        <v/>
      </c>
      <c r="G220">
        <f>TEXT(43952, "[$-460]dddd,ddd,mmmm,mmm,mmmmm,m")</f>
        <v/>
      </c>
      <c r="H220">
        <f>TEXT(43988, "[$-460]dddd,ddd,mmmm,mmm,mmmmm,m")</f>
        <v/>
      </c>
      <c r="I220">
        <f>TEXT(44017, "[$-460]dddd,ddd,mmmm,mmm,mmmmm,m")</f>
        <v/>
      </c>
      <c r="J220">
        <f>TEXT(44046, "[$-460]dddd,ddd,mmmm,mmm,mmmmm,m")</f>
        <v/>
      </c>
      <c r="K220">
        <f>TEXT(44082, "[$-460]dddd,ddd,mmmm,mmm,mmmmm,m")</f>
        <v/>
      </c>
      <c r="L220">
        <f>TEXT(44111, "[$-460]dddd,ddd,mmmm,mmm,mmmmm,m")</f>
        <v/>
      </c>
      <c r="M220">
        <f>TEXT(44140, "[$-460]dddd,ddd,mmmm,mmm,mmmmm,m")</f>
        <v/>
      </c>
      <c r="N220">
        <f>TEXT(44169, "[$-460]dddd,ddd,mmmm,mmm,mmmmm,m")</f>
        <v/>
      </c>
      <c r="O220">
        <f>TEXT(44198, "[$-460]dddd,ddd,mmmm,mmm,mmmmm,m")</f>
        <v/>
      </c>
    </row>
    <row r="221">
      <c r="A221" t="inlineStr">
        <is>
          <t>0x461</t>
        </is>
      </c>
      <c r="B221" t="inlineStr">
        <is>
          <t>ne-NP</t>
        </is>
      </c>
      <c r="C221">
        <f>TEXT(43836, "[$-461]dddd,ddd,mmmm,mmm,mmmmm,m")</f>
        <v/>
      </c>
      <c r="D221">
        <f>TEXT(43865, "[$-461]dddd,ddd,mmmm,mmm,mmmmm,m")</f>
        <v/>
      </c>
      <c r="E221">
        <f>TEXT(43894, "[$-461]dddd,ddd,mmmm,mmm,mmmmm,m")</f>
        <v/>
      </c>
      <c r="F221">
        <f>TEXT(43923, "[$-461]dddd,ddd,mmmm,mmm,mmmmm,m")</f>
        <v/>
      </c>
      <c r="G221">
        <f>TEXT(43952, "[$-461]dddd,ddd,mmmm,mmm,mmmmm,m")</f>
        <v/>
      </c>
      <c r="H221">
        <f>TEXT(43988, "[$-461]dddd,ddd,mmmm,mmm,mmmmm,m")</f>
        <v/>
      </c>
      <c r="I221">
        <f>TEXT(44017, "[$-461]dddd,ddd,mmmm,mmm,mmmmm,m")</f>
        <v/>
      </c>
      <c r="J221">
        <f>TEXT(44046, "[$-461]dddd,ddd,mmmm,mmm,mmmmm,m")</f>
        <v/>
      </c>
      <c r="K221">
        <f>TEXT(44082, "[$-461]dddd,ddd,mmmm,mmm,mmmmm,m")</f>
        <v/>
      </c>
      <c r="L221">
        <f>TEXT(44111, "[$-461]dddd,ddd,mmmm,mmm,mmmmm,m")</f>
        <v/>
      </c>
      <c r="M221">
        <f>TEXT(44140, "[$-461]dddd,ddd,mmmm,mmm,mmmmm,m")</f>
        <v/>
      </c>
      <c r="N221">
        <f>TEXT(44169, "[$-461]dddd,ddd,mmmm,mmm,mmmmm,m")</f>
        <v/>
      </c>
      <c r="O221">
        <f>TEXT(44198, "[$-461]dddd,ddd,mmmm,mmm,mmmmm,m")</f>
        <v/>
      </c>
    </row>
    <row r="222">
      <c r="A222" t="inlineStr">
        <is>
          <t>0x462</t>
        </is>
      </c>
      <c r="B222" t="inlineStr">
        <is>
          <t>fy-NL</t>
        </is>
      </c>
      <c r="C222">
        <f>TEXT(43836, "[$-462]dddd,ddd,mmmm,mmm,mmmmm,m")</f>
        <v/>
      </c>
      <c r="D222">
        <f>TEXT(43865, "[$-462]dddd,ddd,mmmm,mmm,mmmmm,m")</f>
        <v/>
      </c>
      <c r="E222">
        <f>TEXT(43894, "[$-462]dddd,ddd,mmmm,mmm,mmmmm,m")</f>
        <v/>
      </c>
      <c r="F222">
        <f>TEXT(43923, "[$-462]dddd,ddd,mmmm,mmm,mmmmm,m")</f>
        <v/>
      </c>
      <c r="G222">
        <f>TEXT(43952, "[$-462]dddd,ddd,mmmm,mmm,mmmmm,m")</f>
        <v/>
      </c>
      <c r="H222">
        <f>TEXT(43988, "[$-462]dddd,ddd,mmmm,mmm,mmmmm,m")</f>
        <v/>
      </c>
      <c r="I222">
        <f>TEXT(44017, "[$-462]dddd,ddd,mmmm,mmm,mmmmm,m")</f>
        <v/>
      </c>
      <c r="J222">
        <f>TEXT(44046, "[$-462]dddd,ddd,mmmm,mmm,mmmmm,m")</f>
        <v/>
      </c>
      <c r="K222">
        <f>TEXT(44082, "[$-462]dddd,ddd,mmmm,mmm,mmmmm,m")</f>
        <v/>
      </c>
      <c r="L222">
        <f>TEXT(44111, "[$-462]dddd,ddd,mmmm,mmm,mmmmm,m")</f>
        <v/>
      </c>
      <c r="M222">
        <f>TEXT(44140, "[$-462]dddd,ddd,mmmm,mmm,mmmmm,m")</f>
        <v/>
      </c>
      <c r="N222">
        <f>TEXT(44169, "[$-462]dddd,ddd,mmmm,mmm,mmmmm,m")</f>
        <v/>
      </c>
      <c r="O222">
        <f>TEXT(44198, "[$-462]dddd,ddd,mmmm,mmm,mmmmm,m")</f>
        <v/>
      </c>
    </row>
    <row r="223">
      <c r="A223" t="inlineStr">
        <is>
          <t>0x463</t>
        </is>
      </c>
      <c r="B223" t="inlineStr">
        <is>
          <t>ps-AF</t>
        </is>
      </c>
      <c r="C223">
        <f>TEXT(43836, "[$-463]dddd,ddd,mmmm,mmm,mmmmm,m")</f>
        <v/>
      </c>
      <c r="D223">
        <f>TEXT(43865, "[$-463]dddd,ddd,mmmm,mmm,mmmmm,m")</f>
        <v/>
      </c>
      <c r="E223">
        <f>TEXT(43894, "[$-463]dddd,ddd,mmmm,mmm,mmmmm,m")</f>
        <v/>
      </c>
      <c r="F223">
        <f>TEXT(43923, "[$-463]dddd,ddd,mmmm,mmm,mmmmm,m")</f>
        <v/>
      </c>
      <c r="G223">
        <f>TEXT(43952, "[$-463]dddd,ddd,mmmm,mmm,mmmmm,m")</f>
        <v/>
      </c>
      <c r="H223">
        <f>TEXT(43988, "[$-463]dddd,ddd,mmmm,mmm,mmmmm,m")</f>
        <v/>
      </c>
      <c r="I223">
        <f>TEXT(44017, "[$-463]dddd,ddd,mmmm,mmm,mmmmm,m")</f>
        <v/>
      </c>
      <c r="J223">
        <f>TEXT(44046, "[$-463]dddd,ddd,mmmm,mmm,mmmmm,m")</f>
        <v/>
      </c>
      <c r="K223">
        <f>TEXT(44082, "[$-463]dddd,ddd,mmmm,mmm,mmmmm,m")</f>
        <v/>
      </c>
      <c r="L223">
        <f>TEXT(44111, "[$-463]dddd,ddd,mmmm,mmm,mmmmm,m")</f>
        <v/>
      </c>
      <c r="M223">
        <f>TEXT(44140, "[$-463]dddd,ddd,mmmm,mmm,mmmmm,m")</f>
        <v/>
      </c>
      <c r="N223">
        <f>TEXT(44169, "[$-463]dddd,ddd,mmmm,mmm,mmmmm,m")</f>
        <v/>
      </c>
      <c r="O223">
        <f>TEXT(44198, "[$-463]dddd,ddd,mmmm,mmm,mmmmm,m")</f>
        <v/>
      </c>
    </row>
    <row r="224">
      <c r="A224" t="inlineStr">
        <is>
          <t>0x464</t>
        </is>
      </c>
      <c r="B224" t="inlineStr">
        <is>
          <t>fil-PH</t>
        </is>
      </c>
      <c r="C224">
        <f>TEXT(43836, "[$-464]dddd,ddd,mmmm,mmm,mmmmm,m")</f>
        <v/>
      </c>
      <c r="D224">
        <f>TEXT(43865, "[$-464]dddd,ddd,mmmm,mmm,mmmmm,m")</f>
        <v/>
      </c>
      <c r="E224">
        <f>TEXT(43894, "[$-464]dddd,ddd,mmmm,mmm,mmmmm,m")</f>
        <v/>
      </c>
      <c r="F224">
        <f>TEXT(43923, "[$-464]dddd,ddd,mmmm,mmm,mmmmm,m")</f>
        <v/>
      </c>
      <c r="G224">
        <f>TEXT(43952, "[$-464]dddd,ddd,mmmm,mmm,mmmmm,m")</f>
        <v/>
      </c>
      <c r="H224">
        <f>TEXT(43988, "[$-464]dddd,ddd,mmmm,mmm,mmmmm,m")</f>
        <v/>
      </c>
      <c r="I224">
        <f>TEXT(44017, "[$-464]dddd,ddd,mmmm,mmm,mmmmm,m")</f>
        <v/>
      </c>
      <c r="J224">
        <f>TEXT(44046, "[$-464]dddd,ddd,mmmm,mmm,mmmmm,m")</f>
        <v/>
      </c>
      <c r="K224">
        <f>TEXT(44082, "[$-464]dddd,ddd,mmmm,mmm,mmmmm,m")</f>
        <v/>
      </c>
      <c r="L224">
        <f>TEXT(44111, "[$-464]dddd,ddd,mmmm,mmm,mmmmm,m")</f>
        <v/>
      </c>
      <c r="M224">
        <f>TEXT(44140, "[$-464]dddd,ddd,mmmm,mmm,mmmmm,m")</f>
        <v/>
      </c>
      <c r="N224">
        <f>TEXT(44169, "[$-464]dddd,ddd,mmmm,mmm,mmmmm,m")</f>
        <v/>
      </c>
      <c r="O224">
        <f>TEXT(44198, "[$-464]dddd,ddd,mmmm,mmm,mmmmm,m")</f>
        <v/>
      </c>
    </row>
    <row r="225">
      <c r="A225" t="inlineStr">
        <is>
          <t>0x465</t>
        </is>
      </c>
      <c r="B225" t="inlineStr">
        <is>
          <t>dv-MV</t>
        </is>
      </c>
      <c r="C225">
        <f>TEXT(43836, "[$-465]dddd,ddd,mmmm,mmm,mmmmm,m")</f>
        <v/>
      </c>
      <c r="D225">
        <f>TEXT(43865, "[$-465]dddd,ddd,mmmm,mmm,mmmmm,m")</f>
        <v/>
      </c>
      <c r="E225">
        <f>TEXT(43894, "[$-465]dddd,ddd,mmmm,mmm,mmmmm,m")</f>
        <v/>
      </c>
      <c r="F225">
        <f>TEXT(43923, "[$-465]dddd,ddd,mmmm,mmm,mmmmm,m")</f>
        <v/>
      </c>
      <c r="G225">
        <f>TEXT(43952, "[$-465]dddd,ddd,mmmm,mmm,mmmmm,m")</f>
        <v/>
      </c>
      <c r="H225">
        <f>TEXT(43988, "[$-465]dddd,ddd,mmmm,mmm,mmmmm,m")</f>
        <v/>
      </c>
      <c r="I225">
        <f>TEXT(44017, "[$-465]dddd,ddd,mmmm,mmm,mmmmm,m")</f>
        <v/>
      </c>
      <c r="J225">
        <f>TEXT(44046, "[$-465]dddd,ddd,mmmm,mmm,mmmmm,m")</f>
        <v/>
      </c>
      <c r="K225">
        <f>TEXT(44082, "[$-465]dddd,ddd,mmmm,mmm,mmmmm,m")</f>
        <v/>
      </c>
      <c r="L225">
        <f>TEXT(44111, "[$-465]dddd,ddd,mmmm,mmm,mmmmm,m")</f>
        <v/>
      </c>
      <c r="M225">
        <f>TEXT(44140, "[$-465]dddd,ddd,mmmm,mmm,mmmmm,m")</f>
        <v/>
      </c>
      <c r="N225">
        <f>TEXT(44169, "[$-465]dddd,ddd,mmmm,mmm,mmmmm,m")</f>
        <v/>
      </c>
      <c r="O225">
        <f>TEXT(44198, "[$-465]dddd,ddd,mmmm,mmm,mmmmm,m")</f>
        <v/>
      </c>
    </row>
    <row r="226">
      <c r="A226" t="inlineStr">
        <is>
          <t>0x468</t>
        </is>
      </c>
      <c r="B226" t="inlineStr">
        <is>
          <t>ha-Latn_NG</t>
        </is>
      </c>
      <c r="C226">
        <f>TEXT(43836, "[$-468]dddd,ddd,mmmm,mmm,mmmmm,m")</f>
        <v/>
      </c>
      <c r="D226">
        <f>TEXT(43865, "[$-468]dddd,ddd,mmmm,mmm,mmmmm,m")</f>
        <v/>
      </c>
      <c r="E226">
        <f>TEXT(43894, "[$-468]dddd,ddd,mmmm,mmm,mmmmm,m")</f>
        <v/>
      </c>
      <c r="F226">
        <f>TEXT(43923, "[$-468]dddd,ddd,mmmm,mmm,mmmmm,m")</f>
        <v/>
      </c>
      <c r="G226">
        <f>TEXT(43952, "[$-468]dddd,ddd,mmmm,mmm,mmmmm,m")</f>
        <v/>
      </c>
      <c r="H226">
        <f>TEXT(43988, "[$-468]dddd,ddd,mmmm,mmm,mmmmm,m")</f>
        <v/>
      </c>
      <c r="I226">
        <f>TEXT(44017, "[$-468]dddd,ddd,mmmm,mmm,mmmmm,m")</f>
        <v/>
      </c>
      <c r="J226">
        <f>TEXT(44046, "[$-468]dddd,ddd,mmmm,mmm,mmmmm,m")</f>
        <v/>
      </c>
      <c r="K226">
        <f>TEXT(44082, "[$-468]dddd,ddd,mmmm,mmm,mmmmm,m")</f>
        <v/>
      </c>
      <c r="L226">
        <f>TEXT(44111, "[$-468]dddd,ddd,mmmm,mmm,mmmmm,m")</f>
        <v/>
      </c>
      <c r="M226">
        <f>TEXT(44140, "[$-468]dddd,ddd,mmmm,mmm,mmmmm,m")</f>
        <v/>
      </c>
      <c r="N226">
        <f>TEXT(44169, "[$-468]dddd,ddd,mmmm,mmm,mmmmm,m")</f>
        <v/>
      </c>
      <c r="O226">
        <f>TEXT(44198, "[$-468]dddd,ddd,mmmm,mmm,mmmmm,m")</f>
        <v/>
      </c>
    </row>
    <row r="227">
      <c r="A227" t="inlineStr">
        <is>
          <t>0x46A</t>
        </is>
      </c>
      <c r="B227" t="inlineStr">
        <is>
          <t>yo-NG</t>
        </is>
      </c>
      <c r="C227">
        <f>TEXT(43836, "[$-46A]dddd,ddd,mmmm,mmm,mmmmm,m")</f>
        <v/>
      </c>
      <c r="D227">
        <f>TEXT(43865, "[$-46A]dddd,ddd,mmmm,mmm,mmmmm,m")</f>
        <v/>
      </c>
      <c r="E227">
        <f>TEXT(43894, "[$-46A]dddd,ddd,mmmm,mmm,mmmmm,m")</f>
        <v/>
      </c>
      <c r="F227">
        <f>TEXT(43923, "[$-46A]dddd,ddd,mmmm,mmm,mmmmm,m")</f>
        <v/>
      </c>
      <c r="G227">
        <f>TEXT(43952, "[$-46A]dddd,ddd,mmmm,mmm,mmmmm,m")</f>
        <v/>
      </c>
      <c r="H227">
        <f>TEXT(43988, "[$-46A]dddd,ddd,mmmm,mmm,mmmmm,m")</f>
        <v/>
      </c>
      <c r="I227">
        <f>TEXT(44017, "[$-46A]dddd,ddd,mmmm,mmm,mmmmm,m")</f>
        <v/>
      </c>
      <c r="J227">
        <f>TEXT(44046, "[$-46A]dddd,ddd,mmmm,mmm,mmmmm,m")</f>
        <v/>
      </c>
      <c r="K227">
        <f>TEXT(44082, "[$-46A]dddd,ddd,mmmm,mmm,mmmmm,m")</f>
        <v/>
      </c>
      <c r="L227">
        <f>TEXT(44111, "[$-46A]dddd,ddd,mmmm,mmm,mmmmm,m")</f>
        <v/>
      </c>
      <c r="M227">
        <f>TEXT(44140, "[$-46A]dddd,ddd,mmmm,mmm,mmmmm,m")</f>
        <v/>
      </c>
      <c r="N227">
        <f>TEXT(44169, "[$-46A]dddd,ddd,mmmm,mmm,mmmmm,m")</f>
        <v/>
      </c>
      <c r="O227">
        <f>TEXT(44198, "[$-46A]dddd,ddd,mmmm,mmm,mmmmm,m")</f>
        <v/>
      </c>
    </row>
    <row r="228">
      <c r="A228" t="inlineStr">
        <is>
          <t>0x46B</t>
        </is>
      </c>
      <c r="B228" t="inlineStr">
        <is>
          <t>quz-BO</t>
        </is>
      </c>
      <c r="C228">
        <f>TEXT(43836, "[$-46B]dddd,ddd,mmmm,mmm,mmmmm,m")</f>
        <v/>
      </c>
      <c r="D228">
        <f>TEXT(43865, "[$-46B]dddd,ddd,mmmm,mmm,mmmmm,m")</f>
        <v/>
      </c>
      <c r="E228">
        <f>TEXT(43894, "[$-46B]dddd,ddd,mmmm,mmm,mmmmm,m")</f>
        <v/>
      </c>
      <c r="F228">
        <f>TEXT(43923, "[$-46B]dddd,ddd,mmmm,mmm,mmmmm,m")</f>
        <v/>
      </c>
      <c r="G228">
        <f>TEXT(43952, "[$-46B]dddd,ddd,mmmm,mmm,mmmmm,m")</f>
        <v/>
      </c>
      <c r="H228">
        <f>TEXT(43988, "[$-46B]dddd,ddd,mmmm,mmm,mmmmm,m")</f>
        <v/>
      </c>
      <c r="I228">
        <f>TEXT(44017, "[$-46B]dddd,ddd,mmmm,mmm,mmmmm,m")</f>
        <v/>
      </c>
      <c r="J228">
        <f>TEXT(44046, "[$-46B]dddd,ddd,mmmm,mmm,mmmmm,m")</f>
        <v/>
      </c>
      <c r="K228">
        <f>TEXT(44082, "[$-46B]dddd,ddd,mmmm,mmm,mmmmm,m")</f>
        <v/>
      </c>
      <c r="L228">
        <f>TEXT(44111, "[$-46B]dddd,ddd,mmmm,mmm,mmmmm,m")</f>
        <v/>
      </c>
      <c r="M228">
        <f>TEXT(44140, "[$-46B]dddd,ddd,mmmm,mmm,mmmmm,m")</f>
        <v/>
      </c>
      <c r="N228">
        <f>TEXT(44169, "[$-46B]dddd,ddd,mmmm,mmm,mmmmm,m")</f>
        <v/>
      </c>
      <c r="O228">
        <f>TEXT(44198, "[$-46B]dddd,ddd,mmmm,mmm,mmmmm,m")</f>
        <v/>
      </c>
    </row>
    <row r="229">
      <c r="A229" t="inlineStr">
        <is>
          <t>0x46C</t>
        </is>
      </c>
      <c r="B229" t="inlineStr">
        <is>
          <t>nso-ZA</t>
        </is>
      </c>
      <c r="C229">
        <f>TEXT(43836, "[$-46C]dddd,ddd,mmmm,mmm,mmmmm,m")</f>
        <v/>
      </c>
      <c r="D229">
        <f>TEXT(43865, "[$-46C]dddd,ddd,mmmm,mmm,mmmmm,m")</f>
        <v/>
      </c>
      <c r="E229">
        <f>TEXT(43894, "[$-46C]dddd,ddd,mmmm,mmm,mmmmm,m")</f>
        <v/>
      </c>
      <c r="F229">
        <f>TEXT(43923, "[$-46C]dddd,ddd,mmmm,mmm,mmmmm,m")</f>
        <v/>
      </c>
      <c r="G229">
        <f>TEXT(43952, "[$-46C]dddd,ddd,mmmm,mmm,mmmmm,m")</f>
        <v/>
      </c>
      <c r="H229">
        <f>TEXT(43988, "[$-46C]dddd,ddd,mmmm,mmm,mmmmm,m")</f>
        <v/>
      </c>
      <c r="I229">
        <f>TEXT(44017, "[$-46C]dddd,ddd,mmmm,mmm,mmmmm,m")</f>
        <v/>
      </c>
      <c r="J229">
        <f>TEXT(44046, "[$-46C]dddd,ddd,mmmm,mmm,mmmmm,m")</f>
        <v/>
      </c>
      <c r="K229">
        <f>TEXT(44082, "[$-46C]dddd,ddd,mmmm,mmm,mmmmm,m")</f>
        <v/>
      </c>
      <c r="L229">
        <f>TEXT(44111, "[$-46C]dddd,ddd,mmmm,mmm,mmmmm,m")</f>
        <v/>
      </c>
      <c r="M229">
        <f>TEXT(44140, "[$-46C]dddd,ddd,mmmm,mmm,mmmmm,m")</f>
        <v/>
      </c>
      <c r="N229">
        <f>TEXT(44169, "[$-46C]dddd,ddd,mmmm,mmm,mmmmm,m")</f>
        <v/>
      </c>
      <c r="O229">
        <f>TEXT(44198, "[$-46C]dddd,ddd,mmmm,mmm,mmmmm,m")</f>
        <v/>
      </c>
    </row>
    <row r="230">
      <c r="A230" t="inlineStr">
        <is>
          <t>0x46D</t>
        </is>
      </c>
      <c r="B230" t="inlineStr">
        <is>
          <t>ba-RU</t>
        </is>
      </c>
      <c r="C230">
        <f>TEXT(43836, "[$-46D]dddd,ddd,mmmm,mmm,mmmmm,m")</f>
        <v/>
      </c>
      <c r="D230">
        <f>TEXT(43865, "[$-46D]dddd,ddd,mmmm,mmm,mmmmm,m")</f>
        <v/>
      </c>
      <c r="E230">
        <f>TEXT(43894, "[$-46D]dddd,ddd,mmmm,mmm,mmmmm,m")</f>
        <v/>
      </c>
      <c r="F230">
        <f>TEXT(43923, "[$-46D]dddd,ddd,mmmm,mmm,mmmmm,m")</f>
        <v/>
      </c>
      <c r="G230">
        <f>TEXT(43952, "[$-46D]dddd,ddd,mmmm,mmm,mmmmm,m")</f>
        <v/>
      </c>
      <c r="H230">
        <f>TEXT(43988, "[$-46D]dddd,ddd,mmmm,mmm,mmmmm,m")</f>
        <v/>
      </c>
      <c r="I230">
        <f>TEXT(44017, "[$-46D]dddd,ddd,mmmm,mmm,mmmmm,m")</f>
        <v/>
      </c>
      <c r="J230">
        <f>TEXT(44046, "[$-46D]dddd,ddd,mmmm,mmm,mmmmm,m")</f>
        <v/>
      </c>
      <c r="K230">
        <f>TEXT(44082, "[$-46D]dddd,ddd,mmmm,mmm,mmmmm,m")</f>
        <v/>
      </c>
      <c r="L230">
        <f>TEXT(44111, "[$-46D]dddd,ddd,mmmm,mmm,mmmmm,m")</f>
        <v/>
      </c>
      <c r="M230">
        <f>TEXT(44140, "[$-46D]dddd,ddd,mmmm,mmm,mmmmm,m")</f>
        <v/>
      </c>
      <c r="N230">
        <f>TEXT(44169, "[$-46D]dddd,ddd,mmmm,mmm,mmmmm,m")</f>
        <v/>
      </c>
      <c r="O230">
        <f>TEXT(44198, "[$-46D]dddd,ddd,mmmm,mmm,mmmmm,m")</f>
        <v/>
      </c>
    </row>
    <row r="231">
      <c r="A231" t="inlineStr">
        <is>
          <t>0x46E</t>
        </is>
      </c>
      <c r="B231" t="inlineStr">
        <is>
          <t>lb-LU</t>
        </is>
      </c>
      <c r="C231">
        <f>TEXT(43836, "[$-46E]dddd,ddd,mmmm,mmm,mmmmm,m")</f>
        <v/>
      </c>
      <c r="D231">
        <f>TEXT(43865, "[$-46E]dddd,ddd,mmmm,mmm,mmmmm,m")</f>
        <v/>
      </c>
      <c r="E231">
        <f>TEXT(43894, "[$-46E]dddd,ddd,mmmm,mmm,mmmmm,m")</f>
        <v/>
      </c>
      <c r="F231">
        <f>TEXT(43923, "[$-46E]dddd,ddd,mmmm,mmm,mmmmm,m")</f>
        <v/>
      </c>
      <c r="G231">
        <f>TEXT(43952, "[$-46E]dddd,ddd,mmmm,mmm,mmmmm,m")</f>
        <v/>
      </c>
      <c r="H231">
        <f>TEXT(43988, "[$-46E]dddd,ddd,mmmm,mmm,mmmmm,m")</f>
        <v/>
      </c>
      <c r="I231">
        <f>TEXT(44017, "[$-46E]dddd,ddd,mmmm,mmm,mmmmm,m")</f>
        <v/>
      </c>
      <c r="J231">
        <f>TEXT(44046, "[$-46E]dddd,ddd,mmmm,mmm,mmmmm,m")</f>
        <v/>
      </c>
      <c r="K231">
        <f>TEXT(44082, "[$-46E]dddd,ddd,mmmm,mmm,mmmmm,m")</f>
        <v/>
      </c>
      <c r="L231">
        <f>TEXT(44111, "[$-46E]dddd,ddd,mmmm,mmm,mmmmm,m")</f>
        <v/>
      </c>
      <c r="M231">
        <f>TEXT(44140, "[$-46E]dddd,ddd,mmmm,mmm,mmmmm,m")</f>
        <v/>
      </c>
      <c r="N231">
        <f>TEXT(44169, "[$-46E]dddd,ddd,mmmm,mmm,mmmmm,m")</f>
        <v/>
      </c>
      <c r="O231">
        <f>TEXT(44198, "[$-46E]dddd,ddd,mmmm,mmm,mmmmm,m")</f>
        <v/>
      </c>
    </row>
    <row r="232">
      <c r="A232" t="inlineStr">
        <is>
          <t>0x46F</t>
        </is>
      </c>
      <c r="B232" t="inlineStr">
        <is>
          <t>kl-GL</t>
        </is>
      </c>
      <c r="C232">
        <f>TEXT(43836, "[$-46F]dddd,ddd,mmmm,mmm,mmmmm,m")</f>
        <v/>
      </c>
      <c r="D232">
        <f>TEXT(43865, "[$-46F]dddd,ddd,mmmm,mmm,mmmmm,m")</f>
        <v/>
      </c>
      <c r="E232">
        <f>TEXT(43894, "[$-46F]dddd,ddd,mmmm,mmm,mmmmm,m")</f>
        <v/>
      </c>
      <c r="F232">
        <f>TEXT(43923, "[$-46F]dddd,ddd,mmmm,mmm,mmmmm,m")</f>
        <v/>
      </c>
      <c r="G232">
        <f>TEXT(43952, "[$-46F]dddd,ddd,mmmm,mmm,mmmmm,m")</f>
        <v/>
      </c>
      <c r="H232">
        <f>TEXT(43988, "[$-46F]dddd,ddd,mmmm,mmm,mmmmm,m")</f>
        <v/>
      </c>
      <c r="I232">
        <f>TEXT(44017, "[$-46F]dddd,ddd,mmmm,mmm,mmmmm,m")</f>
        <v/>
      </c>
      <c r="J232">
        <f>TEXT(44046, "[$-46F]dddd,ddd,mmmm,mmm,mmmmm,m")</f>
        <v/>
      </c>
      <c r="K232">
        <f>TEXT(44082, "[$-46F]dddd,ddd,mmmm,mmm,mmmmm,m")</f>
        <v/>
      </c>
      <c r="L232">
        <f>TEXT(44111, "[$-46F]dddd,ddd,mmmm,mmm,mmmmm,m")</f>
        <v/>
      </c>
      <c r="M232">
        <f>TEXT(44140, "[$-46F]dddd,ddd,mmmm,mmm,mmmmm,m")</f>
        <v/>
      </c>
      <c r="N232">
        <f>TEXT(44169, "[$-46F]dddd,ddd,mmmm,mmm,mmmmm,m")</f>
        <v/>
      </c>
      <c r="O232">
        <f>TEXT(44198, "[$-46F]dddd,ddd,mmmm,mmm,mmmmm,m")</f>
        <v/>
      </c>
    </row>
    <row r="233">
      <c r="A233" t="inlineStr">
        <is>
          <t>0x470</t>
        </is>
      </c>
      <c r="B233" t="inlineStr">
        <is>
          <t>ig-NG</t>
        </is>
      </c>
      <c r="C233">
        <f>TEXT(43836, "[$-470]dddd,ddd,mmmm,mmm,mmmmm,m")</f>
        <v/>
      </c>
      <c r="D233">
        <f>TEXT(43865, "[$-470]dddd,ddd,mmmm,mmm,mmmmm,m")</f>
        <v/>
      </c>
      <c r="E233">
        <f>TEXT(43894, "[$-470]dddd,ddd,mmmm,mmm,mmmmm,m")</f>
        <v/>
      </c>
      <c r="F233">
        <f>TEXT(43923, "[$-470]dddd,ddd,mmmm,mmm,mmmmm,m")</f>
        <v/>
      </c>
      <c r="G233">
        <f>TEXT(43952, "[$-470]dddd,ddd,mmmm,mmm,mmmmm,m")</f>
        <v/>
      </c>
      <c r="H233">
        <f>TEXT(43988, "[$-470]dddd,ddd,mmmm,mmm,mmmmm,m")</f>
        <v/>
      </c>
      <c r="I233">
        <f>TEXT(44017, "[$-470]dddd,ddd,mmmm,mmm,mmmmm,m")</f>
        <v/>
      </c>
      <c r="J233">
        <f>TEXT(44046, "[$-470]dddd,ddd,mmmm,mmm,mmmmm,m")</f>
        <v/>
      </c>
      <c r="K233">
        <f>TEXT(44082, "[$-470]dddd,ddd,mmmm,mmm,mmmmm,m")</f>
        <v/>
      </c>
      <c r="L233">
        <f>TEXT(44111, "[$-470]dddd,ddd,mmmm,mmm,mmmmm,m")</f>
        <v/>
      </c>
      <c r="M233">
        <f>TEXT(44140, "[$-470]dddd,ddd,mmmm,mmm,mmmmm,m")</f>
        <v/>
      </c>
      <c r="N233">
        <f>TEXT(44169, "[$-470]dddd,ddd,mmmm,mmm,mmmmm,m")</f>
        <v/>
      </c>
      <c r="O233">
        <f>TEXT(44198, "[$-470]dddd,ddd,mmmm,mmm,mmmmm,m")</f>
        <v/>
      </c>
    </row>
    <row r="234">
      <c r="A234" t="inlineStr">
        <is>
          <t>0x472</t>
        </is>
      </c>
      <c r="B234" t="inlineStr">
        <is>
          <t>om-ET</t>
        </is>
      </c>
      <c r="C234">
        <f>TEXT(43836, "[$-472]dddd,ddd,mmmm,mmm,mmmmm,m")</f>
        <v/>
      </c>
      <c r="D234">
        <f>TEXT(43865, "[$-472]dddd,ddd,mmmm,mmm,mmmmm,m")</f>
        <v/>
      </c>
      <c r="E234">
        <f>TEXT(43894, "[$-472]dddd,ddd,mmmm,mmm,mmmmm,m")</f>
        <v/>
      </c>
      <c r="F234">
        <f>TEXT(43923, "[$-472]dddd,ddd,mmmm,mmm,mmmmm,m")</f>
        <v/>
      </c>
      <c r="G234">
        <f>TEXT(43952, "[$-472]dddd,ddd,mmmm,mmm,mmmmm,m")</f>
        <v/>
      </c>
      <c r="H234">
        <f>TEXT(43988, "[$-472]dddd,ddd,mmmm,mmm,mmmmm,m")</f>
        <v/>
      </c>
      <c r="I234">
        <f>TEXT(44017, "[$-472]dddd,ddd,mmmm,mmm,mmmmm,m")</f>
        <v/>
      </c>
      <c r="J234">
        <f>TEXT(44046, "[$-472]dddd,ddd,mmmm,mmm,mmmmm,m")</f>
        <v/>
      </c>
      <c r="K234">
        <f>TEXT(44082, "[$-472]dddd,ddd,mmmm,mmm,mmmmm,m")</f>
        <v/>
      </c>
      <c r="L234">
        <f>TEXT(44111, "[$-472]dddd,ddd,mmmm,mmm,mmmmm,m")</f>
        <v/>
      </c>
      <c r="M234">
        <f>TEXT(44140, "[$-472]dddd,ddd,mmmm,mmm,mmmmm,m")</f>
        <v/>
      </c>
      <c r="N234">
        <f>TEXT(44169, "[$-472]dddd,ddd,mmmm,mmm,mmmmm,m")</f>
        <v/>
      </c>
      <c r="O234">
        <f>TEXT(44198, "[$-472]dddd,ddd,mmmm,mmm,mmmmm,m")</f>
        <v/>
      </c>
    </row>
    <row r="235">
      <c r="A235" t="inlineStr">
        <is>
          <t>0x473</t>
        </is>
      </c>
      <c r="B235" t="inlineStr">
        <is>
          <t>ti-ET</t>
        </is>
      </c>
      <c r="C235">
        <f>TEXT(43836, "[$-473]dddd,ddd,mmmm,mmm,mmmmm,m")</f>
        <v/>
      </c>
      <c r="D235">
        <f>TEXT(43865, "[$-473]dddd,ddd,mmmm,mmm,mmmmm,m")</f>
        <v/>
      </c>
      <c r="E235">
        <f>TEXT(43894, "[$-473]dddd,ddd,mmmm,mmm,mmmmm,m")</f>
        <v/>
      </c>
      <c r="F235">
        <f>TEXT(43923, "[$-473]dddd,ddd,mmmm,mmm,mmmmm,m")</f>
        <v/>
      </c>
      <c r="G235">
        <f>TEXT(43952, "[$-473]dddd,ddd,mmmm,mmm,mmmmm,m")</f>
        <v/>
      </c>
      <c r="H235">
        <f>TEXT(43988, "[$-473]dddd,ddd,mmmm,mmm,mmmmm,m")</f>
        <v/>
      </c>
      <c r="I235">
        <f>TEXT(44017, "[$-473]dddd,ddd,mmmm,mmm,mmmmm,m")</f>
        <v/>
      </c>
      <c r="J235">
        <f>TEXT(44046, "[$-473]dddd,ddd,mmmm,mmm,mmmmm,m")</f>
        <v/>
      </c>
      <c r="K235">
        <f>TEXT(44082, "[$-473]dddd,ddd,mmmm,mmm,mmmmm,m")</f>
        <v/>
      </c>
      <c r="L235">
        <f>TEXT(44111, "[$-473]dddd,ddd,mmmm,mmm,mmmmm,m")</f>
        <v/>
      </c>
      <c r="M235">
        <f>TEXT(44140, "[$-473]dddd,ddd,mmmm,mmm,mmmmm,m")</f>
        <v/>
      </c>
      <c r="N235">
        <f>TEXT(44169, "[$-473]dddd,ddd,mmmm,mmm,mmmmm,m")</f>
        <v/>
      </c>
      <c r="O235">
        <f>TEXT(44198, "[$-473]dddd,ddd,mmmm,mmm,mmmmm,m")</f>
        <v/>
      </c>
    </row>
    <row r="236">
      <c r="A236" t="inlineStr">
        <is>
          <t>0x474</t>
        </is>
      </c>
      <c r="B236" t="inlineStr">
        <is>
          <t>gn-PY</t>
        </is>
      </c>
      <c r="C236">
        <f>TEXT(43836, "[$-474]dddd,ddd,mmmm,mmm,mmmmm,m")</f>
        <v/>
      </c>
      <c r="D236">
        <f>TEXT(43865, "[$-474]dddd,ddd,mmmm,mmm,mmmmm,m")</f>
        <v/>
      </c>
      <c r="E236">
        <f>TEXT(43894, "[$-474]dddd,ddd,mmmm,mmm,mmmmm,m")</f>
        <v/>
      </c>
      <c r="F236">
        <f>TEXT(43923, "[$-474]dddd,ddd,mmmm,mmm,mmmmm,m")</f>
        <v/>
      </c>
      <c r="G236">
        <f>TEXT(43952, "[$-474]dddd,ddd,mmmm,mmm,mmmmm,m")</f>
        <v/>
      </c>
      <c r="H236">
        <f>TEXT(43988, "[$-474]dddd,ddd,mmmm,mmm,mmmmm,m")</f>
        <v/>
      </c>
      <c r="I236">
        <f>TEXT(44017, "[$-474]dddd,ddd,mmmm,mmm,mmmmm,m")</f>
        <v/>
      </c>
      <c r="J236">
        <f>TEXT(44046, "[$-474]dddd,ddd,mmmm,mmm,mmmmm,m")</f>
        <v/>
      </c>
      <c r="K236">
        <f>TEXT(44082, "[$-474]dddd,ddd,mmmm,mmm,mmmmm,m")</f>
        <v/>
      </c>
      <c r="L236">
        <f>TEXT(44111, "[$-474]dddd,ddd,mmmm,mmm,mmmmm,m")</f>
        <v/>
      </c>
      <c r="M236">
        <f>TEXT(44140, "[$-474]dddd,ddd,mmmm,mmm,mmmmm,m")</f>
        <v/>
      </c>
      <c r="N236">
        <f>TEXT(44169, "[$-474]dddd,ddd,mmmm,mmm,mmmmm,m")</f>
        <v/>
      </c>
      <c r="O236">
        <f>TEXT(44198, "[$-474]dddd,ddd,mmmm,mmm,mmmmm,m")</f>
        <v/>
      </c>
    </row>
    <row r="237">
      <c r="A237" t="inlineStr">
        <is>
          <t>0x475</t>
        </is>
      </c>
      <c r="B237" t="inlineStr">
        <is>
          <t>haw-US</t>
        </is>
      </c>
      <c r="C237">
        <f>TEXT(43836, "[$-475]dddd,ddd,mmmm,mmm,mmmmm,m")</f>
        <v/>
      </c>
      <c r="D237">
        <f>TEXT(43865, "[$-475]dddd,ddd,mmmm,mmm,mmmmm,m")</f>
        <v/>
      </c>
      <c r="E237">
        <f>TEXT(43894, "[$-475]dddd,ddd,mmmm,mmm,mmmmm,m")</f>
        <v/>
      </c>
      <c r="F237">
        <f>TEXT(43923, "[$-475]dddd,ddd,mmmm,mmm,mmmmm,m")</f>
        <v/>
      </c>
      <c r="G237">
        <f>TEXT(43952, "[$-475]dddd,ddd,mmmm,mmm,mmmmm,m")</f>
        <v/>
      </c>
      <c r="H237">
        <f>TEXT(43988, "[$-475]dddd,ddd,mmmm,mmm,mmmmm,m")</f>
        <v/>
      </c>
      <c r="I237">
        <f>TEXT(44017, "[$-475]dddd,ddd,mmmm,mmm,mmmmm,m")</f>
        <v/>
      </c>
      <c r="J237">
        <f>TEXT(44046, "[$-475]dddd,ddd,mmmm,mmm,mmmmm,m")</f>
        <v/>
      </c>
      <c r="K237">
        <f>TEXT(44082, "[$-475]dddd,ddd,mmmm,mmm,mmmmm,m")</f>
        <v/>
      </c>
      <c r="L237">
        <f>TEXT(44111, "[$-475]dddd,ddd,mmmm,mmm,mmmmm,m")</f>
        <v/>
      </c>
      <c r="M237">
        <f>TEXT(44140, "[$-475]dddd,ddd,mmmm,mmm,mmmmm,m")</f>
        <v/>
      </c>
      <c r="N237">
        <f>TEXT(44169, "[$-475]dddd,ddd,mmmm,mmm,mmmmm,m")</f>
        <v/>
      </c>
      <c r="O237">
        <f>TEXT(44198, "[$-475]dddd,ddd,mmmm,mmm,mmmmm,m")</f>
        <v/>
      </c>
    </row>
    <row r="238">
      <c r="A238" t="inlineStr">
        <is>
          <t>0x477</t>
        </is>
      </c>
      <c r="B238" t="inlineStr">
        <is>
          <t>so-SO</t>
        </is>
      </c>
      <c r="C238">
        <f>TEXT(43836, "[$-477]dddd,ddd,mmmm,mmm,mmmmm,m")</f>
        <v/>
      </c>
      <c r="D238">
        <f>TEXT(43865, "[$-477]dddd,ddd,mmmm,mmm,mmmmm,m")</f>
        <v/>
      </c>
      <c r="E238">
        <f>TEXT(43894, "[$-477]dddd,ddd,mmmm,mmm,mmmmm,m")</f>
        <v/>
      </c>
      <c r="F238">
        <f>TEXT(43923, "[$-477]dddd,ddd,mmmm,mmm,mmmmm,m")</f>
        <v/>
      </c>
      <c r="G238">
        <f>TEXT(43952, "[$-477]dddd,ddd,mmmm,mmm,mmmmm,m")</f>
        <v/>
      </c>
      <c r="H238">
        <f>TEXT(43988, "[$-477]dddd,ddd,mmmm,mmm,mmmmm,m")</f>
        <v/>
      </c>
      <c r="I238">
        <f>TEXT(44017, "[$-477]dddd,ddd,mmmm,mmm,mmmmm,m")</f>
        <v/>
      </c>
      <c r="J238">
        <f>TEXT(44046, "[$-477]dddd,ddd,mmmm,mmm,mmmmm,m")</f>
        <v/>
      </c>
      <c r="K238">
        <f>TEXT(44082, "[$-477]dddd,ddd,mmmm,mmm,mmmmm,m")</f>
        <v/>
      </c>
      <c r="L238">
        <f>TEXT(44111, "[$-477]dddd,ddd,mmmm,mmm,mmmmm,m")</f>
        <v/>
      </c>
      <c r="M238">
        <f>TEXT(44140, "[$-477]dddd,ddd,mmmm,mmm,mmmmm,m")</f>
        <v/>
      </c>
      <c r="N238">
        <f>TEXT(44169, "[$-477]dddd,ddd,mmmm,mmm,mmmmm,m")</f>
        <v/>
      </c>
      <c r="O238">
        <f>TEXT(44198, "[$-477]dddd,ddd,mmmm,mmm,mmmmm,m")</f>
        <v/>
      </c>
    </row>
    <row r="239">
      <c r="A239" t="inlineStr">
        <is>
          <t>0x478</t>
        </is>
      </c>
      <c r="B239" t="inlineStr">
        <is>
          <t>ii-CN</t>
        </is>
      </c>
      <c r="C239">
        <f>TEXT(43836, "[$-478]dddd,ddd,mmmm,mmm,mmmmm,m")</f>
        <v/>
      </c>
      <c r="D239">
        <f>TEXT(43865, "[$-478]dddd,ddd,mmmm,mmm,mmmmm,m")</f>
        <v/>
      </c>
      <c r="E239">
        <f>TEXT(43894, "[$-478]dddd,ddd,mmmm,mmm,mmmmm,m")</f>
        <v/>
      </c>
      <c r="F239">
        <f>TEXT(43923, "[$-478]dddd,ddd,mmmm,mmm,mmmmm,m")</f>
        <v/>
      </c>
      <c r="G239">
        <f>TEXT(43952, "[$-478]dddd,ddd,mmmm,mmm,mmmmm,m")</f>
        <v/>
      </c>
      <c r="H239">
        <f>TEXT(43988, "[$-478]dddd,ddd,mmmm,mmm,mmmmm,m")</f>
        <v/>
      </c>
      <c r="I239">
        <f>TEXT(44017, "[$-478]dddd,ddd,mmmm,mmm,mmmmm,m")</f>
        <v/>
      </c>
      <c r="J239">
        <f>TEXT(44046, "[$-478]dddd,ddd,mmmm,mmm,mmmmm,m")</f>
        <v/>
      </c>
      <c r="K239">
        <f>TEXT(44082, "[$-478]dddd,ddd,mmmm,mmm,mmmmm,m")</f>
        <v/>
      </c>
      <c r="L239">
        <f>TEXT(44111, "[$-478]dddd,ddd,mmmm,mmm,mmmmm,m")</f>
        <v/>
      </c>
      <c r="M239">
        <f>TEXT(44140, "[$-478]dddd,ddd,mmmm,mmm,mmmmm,m")</f>
        <v/>
      </c>
      <c r="N239">
        <f>TEXT(44169, "[$-478]dddd,ddd,mmmm,mmm,mmmmm,m")</f>
        <v/>
      </c>
      <c r="O239">
        <f>TEXT(44198, "[$-478]dddd,ddd,mmmm,mmm,mmmmm,m")</f>
        <v/>
      </c>
    </row>
    <row r="240">
      <c r="A240" t="inlineStr">
        <is>
          <t>0x47A</t>
        </is>
      </c>
      <c r="B240" t="inlineStr">
        <is>
          <t>arn-CL</t>
        </is>
      </c>
      <c r="C240">
        <f>TEXT(43836, "[$-47A]dddd,ddd,mmmm,mmm,mmmmm,m")</f>
        <v/>
      </c>
      <c r="D240">
        <f>TEXT(43865, "[$-47A]dddd,ddd,mmmm,mmm,mmmmm,m")</f>
        <v/>
      </c>
      <c r="E240">
        <f>TEXT(43894, "[$-47A]dddd,ddd,mmmm,mmm,mmmmm,m")</f>
        <v/>
      </c>
      <c r="F240">
        <f>TEXT(43923, "[$-47A]dddd,ddd,mmmm,mmm,mmmmm,m")</f>
        <v/>
      </c>
      <c r="G240">
        <f>TEXT(43952, "[$-47A]dddd,ddd,mmmm,mmm,mmmmm,m")</f>
        <v/>
      </c>
      <c r="H240">
        <f>TEXT(43988, "[$-47A]dddd,ddd,mmmm,mmm,mmmmm,m")</f>
        <v/>
      </c>
      <c r="I240">
        <f>TEXT(44017, "[$-47A]dddd,ddd,mmmm,mmm,mmmmm,m")</f>
        <v/>
      </c>
      <c r="J240">
        <f>TEXT(44046, "[$-47A]dddd,ddd,mmmm,mmm,mmmmm,m")</f>
        <v/>
      </c>
      <c r="K240">
        <f>TEXT(44082, "[$-47A]dddd,ddd,mmmm,mmm,mmmmm,m")</f>
        <v/>
      </c>
      <c r="L240">
        <f>TEXT(44111, "[$-47A]dddd,ddd,mmmm,mmm,mmmmm,m")</f>
        <v/>
      </c>
      <c r="M240">
        <f>TEXT(44140, "[$-47A]dddd,ddd,mmmm,mmm,mmmmm,m")</f>
        <v/>
      </c>
      <c r="N240">
        <f>TEXT(44169, "[$-47A]dddd,ddd,mmmm,mmm,mmmmm,m")</f>
        <v/>
      </c>
      <c r="O240">
        <f>TEXT(44198, "[$-47A]dddd,ddd,mmmm,mmm,mmmmm,m")</f>
        <v/>
      </c>
    </row>
    <row r="241">
      <c r="A241" t="inlineStr">
        <is>
          <t>0x47C</t>
        </is>
      </c>
      <c r="B241" t="inlineStr">
        <is>
          <t>moh-CA</t>
        </is>
      </c>
      <c r="C241">
        <f>TEXT(43836, "[$-47C]dddd,ddd,mmmm,mmm,mmmmm,m")</f>
        <v/>
      </c>
      <c r="D241">
        <f>TEXT(43865, "[$-47C]dddd,ddd,mmmm,mmm,mmmmm,m")</f>
        <v/>
      </c>
      <c r="E241">
        <f>TEXT(43894, "[$-47C]dddd,ddd,mmmm,mmm,mmmmm,m")</f>
        <v/>
      </c>
      <c r="F241">
        <f>TEXT(43923, "[$-47C]dddd,ddd,mmmm,mmm,mmmmm,m")</f>
        <v/>
      </c>
      <c r="G241">
        <f>TEXT(43952, "[$-47C]dddd,ddd,mmmm,mmm,mmmmm,m")</f>
        <v/>
      </c>
      <c r="H241">
        <f>TEXT(43988, "[$-47C]dddd,ddd,mmmm,mmm,mmmmm,m")</f>
        <v/>
      </c>
      <c r="I241">
        <f>TEXT(44017, "[$-47C]dddd,ddd,mmmm,mmm,mmmmm,m")</f>
        <v/>
      </c>
      <c r="J241">
        <f>TEXT(44046, "[$-47C]dddd,ddd,mmmm,mmm,mmmmm,m")</f>
        <v/>
      </c>
      <c r="K241">
        <f>TEXT(44082, "[$-47C]dddd,ddd,mmmm,mmm,mmmmm,m")</f>
        <v/>
      </c>
      <c r="L241">
        <f>TEXT(44111, "[$-47C]dddd,ddd,mmmm,mmm,mmmmm,m")</f>
        <v/>
      </c>
      <c r="M241">
        <f>TEXT(44140, "[$-47C]dddd,ddd,mmmm,mmm,mmmmm,m")</f>
        <v/>
      </c>
      <c r="N241">
        <f>TEXT(44169, "[$-47C]dddd,ddd,mmmm,mmm,mmmmm,m")</f>
        <v/>
      </c>
      <c r="O241">
        <f>TEXT(44198, "[$-47C]dddd,ddd,mmmm,mmm,mmmmm,m")</f>
        <v/>
      </c>
    </row>
    <row r="242">
      <c r="A242" t="inlineStr">
        <is>
          <t>0x47E</t>
        </is>
      </c>
      <c r="B242" t="inlineStr">
        <is>
          <t>br-FR</t>
        </is>
      </c>
      <c r="C242">
        <f>TEXT(43836, "[$-47E]dddd,ddd,mmmm,mmm,mmmmm,m")</f>
        <v/>
      </c>
      <c r="D242">
        <f>TEXT(43865, "[$-47E]dddd,ddd,mmmm,mmm,mmmmm,m")</f>
        <v/>
      </c>
      <c r="E242">
        <f>TEXT(43894, "[$-47E]dddd,ddd,mmmm,mmm,mmmmm,m")</f>
        <v/>
      </c>
      <c r="F242">
        <f>TEXT(43923, "[$-47E]dddd,ddd,mmmm,mmm,mmmmm,m")</f>
        <v/>
      </c>
      <c r="G242">
        <f>TEXT(43952, "[$-47E]dddd,ddd,mmmm,mmm,mmmmm,m")</f>
        <v/>
      </c>
      <c r="H242">
        <f>TEXT(43988, "[$-47E]dddd,ddd,mmmm,mmm,mmmmm,m")</f>
        <v/>
      </c>
      <c r="I242">
        <f>TEXT(44017, "[$-47E]dddd,ddd,mmmm,mmm,mmmmm,m")</f>
        <v/>
      </c>
      <c r="J242">
        <f>TEXT(44046, "[$-47E]dddd,ddd,mmmm,mmm,mmmmm,m")</f>
        <v/>
      </c>
      <c r="K242">
        <f>TEXT(44082, "[$-47E]dddd,ddd,mmmm,mmm,mmmmm,m")</f>
        <v/>
      </c>
      <c r="L242">
        <f>TEXT(44111, "[$-47E]dddd,ddd,mmmm,mmm,mmmmm,m")</f>
        <v/>
      </c>
      <c r="M242">
        <f>TEXT(44140, "[$-47E]dddd,ddd,mmmm,mmm,mmmmm,m")</f>
        <v/>
      </c>
      <c r="N242">
        <f>TEXT(44169, "[$-47E]dddd,ddd,mmmm,mmm,mmmmm,m")</f>
        <v/>
      </c>
      <c r="O242">
        <f>TEXT(44198, "[$-47E]dddd,ddd,mmmm,mmm,mmmmm,m")</f>
        <v/>
      </c>
    </row>
    <row r="243">
      <c r="A243" t="inlineStr">
        <is>
          <t>0x480</t>
        </is>
      </c>
      <c r="B243" t="inlineStr">
        <is>
          <t>ug-CN</t>
        </is>
      </c>
      <c r="C243">
        <f>TEXT(43836, "[$-480]dddd,ddd,mmmm,mmm,mmmmm,m")</f>
        <v/>
      </c>
      <c r="D243">
        <f>TEXT(43865, "[$-480]dddd,ddd,mmmm,mmm,mmmmm,m")</f>
        <v/>
      </c>
      <c r="E243">
        <f>TEXT(43894, "[$-480]dddd,ddd,mmmm,mmm,mmmmm,m")</f>
        <v/>
      </c>
      <c r="F243">
        <f>TEXT(43923, "[$-480]dddd,ddd,mmmm,mmm,mmmmm,m")</f>
        <v/>
      </c>
      <c r="G243">
        <f>TEXT(43952, "[$-480]dddd,ddd,mmmm,mmm,mmmmm,m")</f>
        <v/>
      </c>
      <c r="H243">
        <f>TEXT(43988, "[$-480]dddd,ddd,mmmm,mmm,mmmmm,m")</f>
        <v/>
      </c>
      <c r="I243">
        <f>TEXT(44017, "[$-480]dddd,ddd,mmmm,mmm,mmmmm,m")</f>
        <v/>
      </c>
      <c r="J243">
        <f>TEXT(44046, "[$-480]dddd,ddd,mmmm,mmm,mmmmm,m")</f>
        <v/>
      </c>
      <c r="K243">
        <f>TEXT(44082, "[$-480]dddd,ddd,mmmm,mmm,mmmmm,m")</f>
        <v/>
      </c>
      <c r="L243">
        <f>TEXT(44111, "[$-480]dddd,ddd,mmmm,mmm,mmmmm,m")</f>
        <v/>
      </c>
      <c r="M243">
        <f>TEXT(44140, "[$-480]dddd,ddd,mmmm,mmm,mmmmm,m")</f>
        <v/>
      </c>
      <c r="N243">
        <f>TEXT(44169, "[$-480]dddd,ddd,mmmm,mmm,mmmmm,m")</f>
        <v/>
      </c>
      <c r="O243">
        <f>TEXT(44198, "[$-480]dddd,ddd,mmmm,mmm,mmmmm,m")</f>
        <v/>
      </c>
    </row>
    <row r="244">
      <c r="A244" t="inlineStr">
        <is>
          <t>0x481</t>
        </is>
      </c>
      <c r="B244" t="inlineStr">
        <is>
          <t>mi-NZ</t>
        </is>
      </c>
      <c r="C244">
        <f>TEXT(43836, "[$-481]dddd,ddd,mmmm,mmm,mmmmm,m")</f>
        <v/>
      </c>
      <c r="D244">
        <f>TEXT(43865, "[$-481]dddd,ddd,mmmm,mmm,mmmmm,m")</f>
        <v/>
      </c>
      <c r="E244">
        <f>TEXT(43894, "[$-481]dddd,ddd,mmmm,mmm,mmmmm,m")</f>
        <v/>
      </c>
      <c r="F244">
        <f>TEXT(43923, "[$-481]dddd,ddd,mmmm,mmm,mmmmm,m")</f>
        <v/>
      </c>
      <c r="G244">
        <f>TEXT(43952, "[$-481]dddd,ddd,mmmm,mmm,mmmmm,m")</f>
        <v/>
      </c>
      <c r="H244">
        <f>TEXT(43988, "[$-481]dddd,ddd,mmmm,mmm,mmmmm,m")</f>
        <v/>
      </c>
      <c r="I244">
        <f>TEXT(44017, "[$-481]dddd,ddd,mmmm,mmm,mmmmm,m")</f>
        <v/>
      </c>
      <c r="J244">
        <f>TEXT(44046, "[$-481]dddd,ddd,mmmm,mmm,mmmmm,m")</f>
        <v/>
      </c>
      <c r="K244">
        <f>TEXT(44082, "[$-481]dddd,ddd,mmmm,mmm,mmmmm,m")</f>
        <v/>
      </c>
      <c r="L244">
        <f>TEXT(44111, "[$-481]dddd,ddd,mmmm,mmm,mmmmm,m")</f>
        <v/>
      </c>
      <c r="M244">
        <f>TEXT(44140, "[$-481]dddd,ddd,mmmm,mmm,mmmmm,m")</f>
        <v/>
      </c>
      <c r="N244">
        <f>TEXT(44169, "[$-481]dddd,ddd,mmmm,mmm,mmmmm,m")</f>
        <v/>
      </c>
      <c r="O244">
        <f>TEXT(44198, "[$-481]dddd,ddd,mmmm,mmm,mmmmm,m")</f>
        <v/>
      </c>
    </row>
    <row r="245">
      <c r="A245" t="inlineStr">
        <is>
          <t>0x482</t>
        </is>
      </c>
      <c r="B245" t="inlineStr">
        <is>
          <t>oc-FR</t>
        </is>
      </c>
      <c r="C245">
        <f>TEXT(43836, "[$-482]dddd,ddd,mmmm,mmm,mmmmm,m")</f>
        <v/>
      </c>
      <c r="D245">
        <f>TEXT(43865, "[$-482]dddd,ddd,mmmm,mmm,mmmmm,m")</f>
        <v/>
      </c>
      <c r="E245">
        <f>TEXT(43894, "[$-482]dddd,ddd,mmmm,mmm,mmmmm,m")</f>
        <v/>
      </c>
      <c r="F245">
        <f>TEXT(43923, "[$-482]dddd,ddd,mmmm,mmm,mmmmm,m")</f>
        <v/>
      </c>
      <c r="G245">
        <f>TEXT(43952, "[$-482]dddd,ddd,mmmm,mmm,mmmmm,m")</f>
        <v/>
      </c>
      <c r="H245">
        <f>TEXT(43988, "[$-482]dddd,ddd,mmmm,mmm,mmmmm,m")</f>
        <v/>
      </c>
      <c r="I245">
        <f>TEXT(44017, "[$-482]dddd,ddd,mmmm,mmm,mmmmm,m")</f>
        <v/>
      </c>
      <c r="J245">
        <f>TEXT(44046, "[$-482]dddd,ddd,mmmm,mmm,mmmmm,m")</f>
        <v/>
      </c>
      <c r="K245">
        <f>TEXT(44082, "[$-482]dddd,ddd,mmmm,mmm,mmmmm,m")</f>
        <v/>
      </c>
      <c r="L245">
        <f>TEXT(44111, "[$-482]dddd,ddd,mmmm,mmm,mmmmm,m")</f>
        <v/>
      </c>
      <c r="M245">
        <f>TEXT(44140, "[$-482]dddd,ddd,mmmm,mmm,mmmmm,m")</f>
        <v/>
      </c>
      <c r="N245">
        <f>TEXT(44169, "[$-482]dddd,ddd,mmmm,mmm,mmmmm,m")</f>
        <v/>
      </c>
      <c r="O245">
        <f>TEXT(44198, "[$-482]dddd,ddd,mmmm,mmm,mmmmm,m")</f>
        <v/>
      </c>
    </row>
    <row r="246">
      <c r="A246" t="inlineStr">
        <is>
          <t>0x483</t>
        </is>
      </c>
      <c r="B246" t="inlineStr">
        <is>
          <t>co-FR</t>
        </is>
      </c>
      <c r="C246">
        <f>TEXT(43836, "[$-483]dddd,ddd,mmmm,mmm,mmmmm,m")</f>
        <v/>
      </c>
      <c r="D246">
        <f>TEXT(43865, "[$-483]dddd,ddd,mmmm,mmm,mmmmm,m")</f>
        <v/>
      </c>
      <c r="E246">
        <f>TEXT(43894, "[$-483]dddd,ddd,mmmm,mmm,mmmmm,m")</f>
        <v/>
      </c>
      <c r="F246">
        <f>TEXT(43923, "[$-483]dddd,ddd,mmmm,mmm,mmmmm,m")</f>
        <v/>
      </c>
      <c r="G246">
        <f>TEXT(43952, "[$-483]dddd,ddd,mmmm,mmm,mmmmm,m")</f>
        <v/>
      </c>
      <c r="H246">
        <f>TEXT(43988, "[$-483]dddd,ddd,mmmm,mmm,mmmmm,m")</f>
        <v/>
      </c>
      <c r="I246">
        <f>TEXT(44017, "[$-483]dddd,ddd,mmmm,mmm,mmmmm,m")</f>
        <v/>
      </c>
      <c r="J246">
        <f>TEXT(44046, "[$-483]dddd,ddd,mmmm,mmm,mmmmm,m")</f>
        <v/>
      </c>
      <c r="K246">
        <f>TEXT(44082, "[$-483]dddd,ddd,mmmm,mmm,mmmmm,m")</f>
        <v/>
      </c>
      <c r="L246">
        <f>TEXT(44111, "[$-483]dddd,ddd,mmmm,mmm,mmmmm,m")</f>
        <v/>
      </c>
      <c r="M246">
        <f>TEXT(44140, "[$-483]dddd,ddd,mmmm,mmm,mmmmm,m")</f>
        <v/>
      </c>
      <c r="N246">
        <f>TEXT(44169, "[$-483]dddd,ddd,mmmm,mmm,mmmmm,m")</f>
        <v/>
      </c>
      <c r="O246">
        <f>TEXT(44198, "[$-483]dddd,ddd,mmmm,mmm,mmmmm,m")</f>
        <v/>
      </c>
    </row>
    <row r="247">
      <c r="A247" t="inlineStr">
        <is>
          <t>0x484</t>
        </is>
      </c>
      <c r="B247" t="inlineStr">
        <is>
          <t>gsw-FR</t>
        </is>
      </c>
      <c r="C247">
        <f>TEXT(43836, "[$-484]dddd,ddd,mmmm,mmm,mmmmm,m")</f>
        <v/>
      </c>
      <c r="D247">
        <f>TEXT(43865, "[$-484]dddd,ddd,mmmm,mmm,mmmmm,m")</f>
        <v/>
      </c>
      <c r="E247">
        <f>TEXT(43894, "[$-484]dddd,ddd,mmmm,mmm,mmmmm,m")</f>
        <v/>
      </c>
      <c r="F247">
        <f>TEXT(43923, "[$-484]dddd,ddd,mmmm,mmm,mmmmm,m")</f>
        <v/>
      </c>
      <c r="G247">
        <f>TEXT(43952, "[$-484]dddd,ddd,mmmm,mmm,mmmmm,m")</f>
        <v/>
      </c>
      <c r="H247">
        <f>TEXT(43988, "[$-484]dddd,ddd,mmmm,mmm,mmmmm,m")</f>
        <v/>
      </c>
      <c r="I247">
        <f>TEXT(44017, "[$-484]dddd,ddd,mmmm,mmm,mmmmm,m")</f>
        <v/>
      </c>
      <c r="J247">
        <f>TEXT(44046, "[$-484]dddd,ddd,mmmm,mmm,mmmmm,m")</f>
        <v/>
      </c>
      <c r="K247">
        <f>TEXT(44082, "[$-484]dddd,ddd,mmmm,mmm,mmmmm,m")</f>
        <v/>
      </c>
      <c r="L247">
        <f>TEXT(44111, "[$-484]dddd,ddd,mmmm,mmm,mmmmm,m")</f>
        <v/>
      </c>
      <c r="M247">
        <f>TEXT(44140, "[$-484]dddd,ddd,mmmm,mmm,mmmmm,m")</f>
        <v/>
      </c>
      <c r="N247">
        <f>TEXT(44169, "[$-484]dddd,ddd,mmmm,mmm,mmmmm,m")</f>
        <v/>
      </c>
      <c r="O247">
        <f>TEXT(44198, "[$-484]dddd,ddd,mmmm,mmm,mmmmm,m")</f>
        <v/>
      </c>
    </row>
    <row r="248">
      <c r="A248" t="inlineStr">
        <is>
          <t>0x485</t>
        </is>
      </c>
      <c r="B248" t="inlineStr">
        <is>
          <t>sah-RU</t>
        </is>
      </c>
      <c r="C248">
        <f>TEXT(43836, "[$-485]dddd,ddd,mmmm,mmm,mmmmm,m")</f>
        <v/>
      </c>
      <c r="D248">
        <f>TEXT(43865, "[$-485]dddd,ddd,mmmm,mmm,mmmmm,m")</f>
        <v/>
      </c>
      <c r="E248">
        <f>TEXT(43894, "[$-485]dddd,ddd,mmmm,mmm,mmmmm,m")</f>
        <v/>
      </c>
      <c r="F248">
        <f>TEXT(43923, "[$-485]dddd,ddd,mmmm,mmm,mmmmm,m")</f>
        <v/>
      </c>
      <c r="G248">
        <f>TEXT(43952, "[$-485]dddd,ddd,mmmm,mmm,mmmmm,m")</f>
        <v/>
      </c>
      <c r="H248">
        <f>TEXT(43988, "[$-485]dddd,ddd,mmmm,mmm,mmmmm,m")</f>
        <v/>
      </c>
      <c r="I248">
        <f>TEXT(44017, "[$-485]dddd,ddd,mmmm,mmm,mmmmm,m")</f>
        <v/>
      </c>
      <c r="J248">
        <f>TEXT(44046, "[$-485]dddd,ddd,mmmm,mmm,mmmmm,m")</f>
        <v/>
      </c>
      <c r="K248">
        <f>TEXT(44082, "[$-485]dddd,ddd,mmmm,mmm,mmmmm,m")</f>
        <v/>
      </c>
      <c r="L248">
        <f>TEXT(44111, "[$-485]dddd,ddd,mmmm,mmm,mmmmm,m")</f>
        <v/>
      </c>
      <c r="M248">
        <f>TEXT(44140, "[$-485]dddd,ddd,mmmm,mmm,mmmmm,m")</f>
        <v/>
      </c>
      <c r="N248">
        <f>TEXT(44169, "[$-485]dddd,ddd,mmmm,mmm,mmmmm,m")</f>
        <v/>
      </c>
      <c r="O248">
        <f>TEXT(44198, "[$-485]dddd,ddd,mmmm,mmm,mmmmm,m")</f>
        <v/>
      </c>
    </row>
    <row r="249">
      <c r="A249" t="inlineStr">
        <is>
          <t>0x486</t>
        </is>
      </c>
      <c r="B249" t="inlineStr">
        <is>
          <t>qut-GT</t>
        </is>
      </c>
      <c r="C249">
        <f>TEXT(43836, "[$-486]dddd,ddd,mmmm,mmm,mmmmm,m")</f>
        <v/>
      </c>
      <c r="D249">
        <f>TEXT(43865, "[$-486]dddd,ddd,mmmm,mmm,mmmmm,m")</f>
        <v/>
      </c>
      <c r="E249">
        <f>TEXT(43894, "[$-486]dddd,ddd,mmmm,mmm,mmmmm,m")</f>
        <v/>
      </c>
      <c r="F249">
        <f>TEXT(43923, "[$-486]dddd,ddd,mmmm,mmm,mmmmm,m")</f>
        <v/>
      </c>
      <c r="G249">
        <f>TEXT(43952, "[$-486]dddd,ddd,mmmm,mmm,mmmmm,m")</f>
        <v/>
      </c>
      <c r="H249">
        <f>TEXT(43988, "[$-486]dddd,ddd,mmmm,mmm,mmmmm,m")</f>
        <v/>
      </c>
      <c r="I249">
        <f>TEXT(44017, "[$-486]dddd,ddd,mmmm,mmm,mmmmm,m")</f>
        <v/>
      </c>
      <c r="J249">
        <f>TEXT(44046, "[$-486]dddd,ddd,mmmm,mmm,mmmmm,m")</f>
        <v/>
      </c>
      <c r="K249">
        <f>TEXT(44082, "[$-486]dddd,ddd,mmmm,mmm,mmmmm,m")</f>
        <v/>
      </c>
      <c r="L249">
        <f>TEXT(44111, "[$-486]dddd,ddd,mmmm,mmm,mmmmm,m")</f>
        <v/>
      </c>
      <c r="M249">
        <f>TEXT(44140, "[$-486]dddd,ddd,mmmm,mmm,mmmmm,m")</f>
        <v/>
      </c>
      <c r="N249">
        <f>TEXT(44169, "[$-486]dddd,ddd,mmmm,mmm,mmmmm,m")</f>
        <v/>
      </c>
      <c r="O249">
        <f>TEXT(44198, "[$-486]dddd,ddd,mmmm,mmm,mmmmm,m")</f>
        <v/>
      </c>
    </row>
    <row r="250">
      <c r="A250" t="inlineStr">
        <is>
          <t>0x487</t>
        </is>
      </c>
      <c r="B250" t="inlineStr">
        <is>
          <t>rw-RW</t>
        </is>
      </c>
      <c r="C250">
        <f>TEXT(43836, "[$-487]dddd,ddd,mmmm,mmm,mmmmm,m")</f>
        <v/>
      </c>
      <c r="D250">
        <f>TEXT(43865, "[$-487]dddd,ddd,mmmm,mmm,mmmmm,m")</f>
        <v/>
      </c>
      <c r="E250">
        <f>TEXT(43894, "[$-487]dddd,ddd,mmmm,mmm,mmmmm,m")</f>
        <v/>
      </c>
      <c r="F250">
        <f>TEXT(43923, "[$-487]dddd,ddd,mmmm,mmm,mmmmm,m")</f>
        <v/>
      </c>
      <c r="G250">
        <f>TEXT(43952, "[$-487]dddd,ddd,mmmm,mmm,mmmmm,m")</f>
        <v/>
      </c>
      <c r="H250">
        <f>TEXT(43988, "[$-487]dddd,ddd,mmmm,mmm,mmmmm,m")</f>
        <v/>
      </c>
      <c r="I250">
        <f>TEXT(44017, "[$-487]dddd,ddd,mmmm,mmm,mmmmm,m")</f>
        <v/>
      </c>
      <c r="J250">
        <f>TEXT(44046, "[$-487]dddd,ddd,mmmm,mmm,mmmmm,m")</f>
        <v/>
      </c>
      <c r="K250">
        <f>TEXT(44082, "[$-487]dddd,ddd,mmmm,mmm,mmmmm,m")</f>
        <v/>
      </c>
      <c r="L250">
        <f>TEXT(44111, "[$-487]dddd,ddd,mmmm,mmm,mmmmm,m")</f>
        <v/>
      </c>
      <c r="M250">
        <f>TEXT(44140, "[$-487]dddd,ddd,mmmm,mmm,mmmmm,m")</f>
        <v/>
      </c>
      <c r="N250">
        <f>TEXT(44169, "[$-487]dddd,ddd,mmmm,mmm,mmmmm,m")</f>
        <v/>
      </c>
      <c r="O250">
        <f>TEXT(44198, "[$-487]dddd,ddd,mmmm,mmm,mmmmm,m")</f>
        <v/>
      </c>
    </row>
    <row r="251">
      <c r="A251" t="inlineStr">
        <is>
          <t>0x488</t>
        </is>
      </c>
      <c r="B251" t="inlineStr">
        <is>
          <t>wo-SN</t>
        </is>
      </c>
      <c r="C251">
        <f>TEXT(43836, "[$-488]dddd,ddd,mmmm,mmm,mmmmm,m")</f>
        <v/>
      </c>
      <c r="D251">
        <f>TEXT(43865, "[$-488]dddd,ddd,mmmm,mmm,mmmmm,m")</f>
        <v/>
      </c>
      <c r="E251">
        <f>TEXT(43894, "[$-488]dddd,ddd,mmmm,mmm,mmmmm,m")</f>
        <v/>
      </c>
      <c r="F251">
        <f>TEXT(43923, "[$-488]dddd,ddd,mmmm,mmm,mmmmm,m")</f>
        <v/>
      </c>
      <c r="G251">
        <f>TEXT(43952, "[$-488]dddd,ddd,mmmm,mmm,mmmmm,m")</f>
        <v/>
      </c>
      <c r="H251">
        <f>TEXT(43988, "[$-488]dddd,ddd,mmmm,mmm,mmmmm,m")</f>
        <v/>
      </c>
      <c r="I251">
        <f>TEXT(44017, "[$-488]dddd,ddd,mmmm,mmm,mmmmm,m")</f>
        <v/>
      </c>
      <c r="J251">
        <f>TEXT(44046, "[$-488]dddd,ddd,mmmm,mmm,mmmmm,m")</f>
        <v/>
      </c>
      <c r="K251">
        <f>TEXT(44082, "[$-488]dddd,ddd,mmmm,mmm,mmmmm,m")</f>
        <v/>
      </c>
      <c r="L251">
        <f>TEXT(44111, "[$-488]dddd,ddd,mmmm,mmm,mmmmm,m")</f>
        <v/>
      </c>
      <c r="M251">
        <f>TEXT(44140, "[$-488]dddd,ddd,mmmm,mmm,mmmmm,m")</f>
        <v/>
      </c>
      <c r="N251">
        <f>TEXT(44169, "[$-488]dddd,ddd,mmmm,mmm,mmmmm,m")</f>
        <v/>
      </c>
      <c r="O251">
        <f>TEXT(44198, "[$-488]dddd,ddd,mmmm,mmm,mmmmm,m")</f>
        <v/>
      </c>
    </row>
    <row r="252">
      <c r="A252" t="inlineStr">
        <is>
          <t>0x48C</t>
        </is>
      </c>
      <c r="B252" t="inlineStr">
        <is>
          <t>prs-AF</t>
        </is>
      </c>
      <c r="C252">
        <f>TEXT(43836, "[$-48C]dddd,ddd,mmmm,mmm,mmmmm,m")</f>
        <v/>
      </c>
      <c r="D252">
        <f>TEXT(43865, "[$-48C]dddd,ddd,mmmm,mmm,mmmmm,m")</f>
        <v/>
      </c>
      <c r="E252">
        <f>TEXT(43894, "[$-48C]dddd,ddd,mmmm,mmm,mmmmm,m")</f>
        <v/>
      </c>
      <c r="F252">
        <f>TEXT(43923, "[$-48C]dddd,ddd,mmmm,mmm,mmmmm,m")</f>
        <v/>
      </c>
      <c r="G252">
        <f>TEXT(43952, "[$-48C]dddd,ddd,mmmm,mmm,mmmmm,m")</f>
        <v/>
      </c>
      <c r="H252">
        <f>TEXT(43988, "[$-48C]dddd,ddd,mmmm,mmm,mmmmm,m")</f>
        <v/>
      </c>
      <c r="I252">
        <f>TEXT(44017, "[$-48C]dddd,ddd,mmmm,mmm,mmmmm,m")</f>
        <v/>
      </c>
      <c r="J252">
        <f>TEXT(44046, "[$-48C]dddd,ddd,mmmm,mmm,mmmmm,m")</f>
        <v/>
      </c>
      <c r="K252">
        <f>TEXT(44082, "[$-48C]dddd,ddd,mmmm,mmm,mmmmm,m")</f>
        <v/>
      </c>
      <c r="L252">
        <f>TEXT(44111, "[$-48C]dddd,ddd,mmmm,mmm,mmmmm,m")</f>
        <v/>
      </c>
      <c r="M252">
        <f>TEXT(44140, "[$-48C]dddd,ddd,mmmm,mmm,mmmmm,m")</f>
        <v/>
      </c>
      <c r="N252">
        <f>TEXT(44169, "[$-48C]dddd,ddd,mmmm,mmm,mmmmm,m")</f>
        <v/>
      </c>
      <c r="O252">
        <f>TEXT(44198, "[$-48C]dddd,ddd,mmmm,mmm,mmmmm,m")</f>
        <v/>
      </c>
    </row>
    <row r="253">
      <c r="A253" t="inlineStr">
        <is>
          <t>0x491</t>
        </is>
      </c>
      <c r="B253" t="inlineStr">
        <is>
          <t>gd-GB</t>
        </is>
      </c>
      <c r="C253">
        <f>TEXT(43836, "[$-491]dddd,ddd,mmmm,mmm,mmmmm,m")</f>
        <v/>
      </c>
      <c r="D253">
        <f>TEXT(43865, "[$-491]dddd,ddd,mmmm,mmm,mmmmm,m")</f>
        <v/>
      </c>
      <c r="E253">
        <f>TEXT(43894, "[$-491]dddd,ddd,mmmm,mmm,mmmmm,m")</f>
        <v/>
      </c>
      <c r="F253">
        <f>TEXT(43923, "[$-491]dddd,ddd,mmmm,mmm,mmmmm,m")</f>
        <v/>
      </c>
      <c r="G253">
        <f>TEXT(43952, "[$-491]dddd,ddd,mmmm,mmm,mmmmm,m")</f>
        <v/>
      </c>
      <c r="H253">
        <f>TEXT(43988, "[$-491]dddd,ddd,mmmm,mmm,mmmmm,m")</f>
        <v/>
      </c>
      <c r="I253">
        <f>TEXT(44017, "[$-491]dddd,ddd,mmmm,mmm,mmmmm,m")</f>
        <v/>
      </c>
      <c r="J253">
        <f>TEXT(44046, "[$-491]dddd,ddd,mmmm,mmm,mmmmm,m")</f>
        <v/>
      </c>
      <c r="K253">
        <f>TEXT(44082, "[$-491]dddd,ddd,mmmm,mmm,mmmmm,m")</f>
        <v/>
      </c>
      <c r="L253">
        <f>TEXT(44111, "[$-491]dddd,ddd,mmmm,mmm,mmmmm,m")</f>
        <v/>
      </c>
      <c r="M253">
        <f>TEXT(44140, "[$-491]dddd,ddd,mmmm,mmm,mmmmm,m")</f>
        <v/>
      </c>
      <c r="N253">
        <f>TEXT(44169, "[$-491]dddd,ddd,mmmm,mmm,mmmmm,m")</f>
        <v/>
      </c>
      <c r="O253">
        <f>TEXT(44198, "[$-491]dddd,ddd,mmmm,mmm,mmmmm,m")</f>
        <v/>
      </c>
    </row>
    <row r="254">
      <c r="A254" t="inlineStr">
        <is>
          <t>0x492</t>
        </is>
      </c>
      <c r="B254" t="inlineStr">
        <is>
          <t>ku-Arab_IQ</t>
        </is>
      </c>
      <c r="C254">
        <f>TEXT(43836, "[$-492]dddd,ddd,mmmm,mmm,mmmmm,m")</f>
        <v/>
      </c>
      <c r="D254">
        <f>TEXT(43865, "[$-492]dddd,ddd,mmmm,mmm,mmmmm,m")</f>
        <v/>
      </c>
      <c r="E254">
        <f>TEXT(43894, "[$-492]dddd,ddd,mmmm,mmm,mmmmm,m")</f>
        <v/>
      </c>
      <c r="F254">
        <f>TEXT(43923, "[$-492]dddd,ddd,mmmm,mmm,mmmmm,m")</f>
        <v/>
      </c>
      <c r="G254">
        <f>TEXT(43952, "[$-492]dddd,ddd,mmmm,mmm,mmmmm,m")</f>
        <v/>
      </c>
      <c r="H254">
        <f>TEXT(43988, "[$-492]dddd,ddd,mmmm,mmm,mmmmm,m")</f>
        <v/>
      </c>
      <c r="I254">
        <f>TEXT(44017, "[$-492]dddd,ddd,mmmm,mmm,mmmmm,m")</f>
        <v/>
      </c>
      <c r="J254">
        <f>TEXT(44046, "[$-492]dddd,ddd,mmmm,mmm,mmmmm,m")</f>
        <v/>
      </c>
      <c r="K254">
        <f>TEXT(44082, "[$-492]dddd,ddd,mmmm,mmm,mmmmm,m")</f>
        <v/>
      </c>
      <c r="L254">
        <f>TEXT(44111, "[$-492]dddd,ddd,mmmm,mmm,mmmmm,m")</f>
        <v/>
      </c>
      <c r="M254">
        <f>TEXT(44140, "[$-492]dddd,ddd,mmmm,mmm,mmmmm,m")</f>
        <v/>
      </c>
      <c r="N254">
        <f>TEXT(44169, "[$-492]dddd,ddd,mmmm,mmm,mmmmm,m")</f>
        <v/>
      </c>
      <c r="O254">
        <f>TEXT(44198, "[$-492]dddd,ddd,mmmm,mmm,mmmmm,m")</f>
        <v/>
      </c>
    </row>
    <row r="255">
      <c r="A255" t="inlineStr">
        <is>
          <t>0x501</t>
        </is>
      </c>
      <c r="B255" t="inlineStr">
        <is>
          <t>qps-ploc</t>
        </is>
      </c>
      <c r="C255">
        <f>TEXT(43836, "[$-501]dddd,ddd,mmmm,mmm,mmmmm,m")</f>
        <v/>
      </c>
      <c r="D255">
        <f>TEXT(43865, "[$-501]dddd,ddd,mmmm,mmm,mmmmm,m")</f>
        <v/>
      </c>
      <c r="E255">
        <f>TEXT(43894, "[$-501]dddd,ddd,mmmm,mmm,mmmmm,m")</f>
        <v/>
      </c>
      <c r="F255">
        <f>TEXT(43923, "[$-501]dddd,ddd,mmmm,mmm,mmmmm,m")</f>
        <v/>
      </c>
      <c r="G255">
        <f>TEXT(43952, "[$-501]dddd,ddd,mmmm,mmm,mmmmm,m")</f>
        <v/>
      </c>
      <c r="H255">
        <f>TEXT(43988, "[$-501]dddd,ddd,mmmm,mmm,mmmmm,m")</f>
        <v/>
      </c>
      <c r="I255">
        <f>TEXT(44017, "[$-501]dddd,ddd,mmmm,mmm,mmmmm,m")</f>
        <v/>
      </c>
      <c r="J255">
        <f>TEXT(44046, "[$-501]dddd,ddd,mmmm,mmm,mmmmm,m")</f>
        <v/>
      </c>
      <c r="K255">
        <f>TEXT(44082, "[$-501]dddd,ddd,mmmm,mmm,mmmmm,m")</f>
        <v/>
      </c>
      <c r="L255">
        <f>TEXT(44111, "[$-501]dddd,ddd,mmmm,mmm,mmmmm,m")</f>
        <v/>
      </c>
      <c r="M255">
        <f>TEXT(44140, "[$-501]dddd,ddd,mmmm,mmm,mmmmm,m")</f>
        <v/>
      </c>
      <c r="N255">
        <f>TEXT(44169, "[$-501]dddd,ddd,mmmm,mmm,mmmmm,m")</f>
        <v/>
      </c>
      <c r="O255">
        <f>TEXT(44198, "[$-501]dddd,ddd,mmmm,mmm,mmmmm,m")</f>
        <v/>
      </c>
    </row>
    <row r="256">
      <c r="A256" t="inlineStr">
        <is>
          <t>0x5FE</t>
        </is>
      </c>
      <c r="B256" t="inlineStr">
        <is>
          <t>qps-ploca</t>
        </is>
      </c>
      <c r="C256">
        <f>TEXT(43836, "[$-5FE]dddd,ddd,mmmm,mmm,mmmmm,m")</f>
        <v/>
      </c>
      <c r="D256">
        <f>TEXT(43865, "[$-5FE]dddd,ddd,mmmm,mmm,mmmmm,m")</f>
        <v/>
      </c>
      <c r="E256">
        <f>TEXT(43894, "[$-5FE]dddd,ddd,mmmm,mmm,mmmmm,m")</f>
        <v/>
      </c>
      <c r="F256">
        <f>TEXT(43923, "[$-5FE]dddd,ddd,mmmm,mmm,mmmmm,m")</f>
        <v/>
      </c>
      <c r="G256">
        <f>TEXT(43952, "[$-5FE]dddd,ddd,mmmm,mmm,mmmmm,m")</f>
        <v/>
      </c>
      <c r="H256">
        <f>TEXT(43988, "[$-5FE]dddd,ddd,mmmm,mmm,mmmmm,m")</f>
        <v/>
      </c>
      <c r="I256">
        <f>TEXT(44017, "[$-5FE]dddd,ddd,mmmm,mmm,mmmmm,m")</f>
        <v/>
      </c>
      <c r="J256">
        <f>TEXT(44046, "[$-5FE]dddd,ddd,mmmm,mmm,mmmmm,m")</f>
        <v/>
      </c>
      <c r="K256">
        <f>TEXT(44082, "[$-5FE]dddd,ddd,mmmm,mmm,mmmmm,m")</f>
        <v/>
      </c>
      <c r="L256">
        <f>TEXT(44111, "[$-5FE]dddd,ddd,mmmm,mmm,mmmmm,m")</f>
        <v/>
      </c>
      <c r="M256">
        <f>TEXT(44140, "[$-5FE]dddd,ddd,mmmm,mmm,mmmmm,m")</f>
        <v/>
      </c>
      <c r="N256">
        <f>TEXT(44169, "[$-5FE]dddd,ddd,mmmm,mmm,mmmmm,m")</f>
        <v/>
      </c>
      <c r="O256">
        <f>TEXT(44198, "[$-5FE]dddd,ddd,mmmm,mmm,mmmmm,m")</f>
        <v/>
      </c>
    </row>
    <row r="257">
      <c r="A257" t="inlineStr">
        <is>
          <t>0x801</t>
        </is>
      </c>
      <c r="B257" t="inlineStr">
        <is>
          <t>ar-IQ</t>
        </is>
      </c>
      <c r="C257">
        <f>TEXT(43836, "[$-801]dddd,ddd,mmmm,mmm,mmmmm,m")</f>
        <v/>
      </c>
      <c r="D257">
        <f>TEXT(43865, "[$-801]dddd,ddd,mmmm,mmm,mmmmm,m")</f>
        <v/>
      </c>
      <c r="E257">
        <f>TEXT(43894, "[$-801]dddd,ddd,mmmm,mmm,mmmmm,m")</f>
        <v/>
      </c>
      <c r="F257">
        <f>TEXT(43923, "[$-801]dddd,ddd,mmmm,mmm,mmmmm,m")</f>
        <v/>
      </c>
      <c r="G257">
        <f>TEXT(43952, "[$-801]dddd,ddd,mmmm,mmm,mmmmm,m")</f>
        <v/>
      </c>
      <c r="H257">
        <f>TEXT(43988, "[$-801]dddd,ddd,mmmm,mmm,mmmmm,m")</f>
        <v/>
      </c>
      <c r="I257">
        <f>TEXT(44017, "[$-801]dddd,ddd,mmmm,mmm,mmmmm,m")</f>
        <v/>
      </c>
      <c r="J257">
        <f>TEXT(44046, "[$-801]dddd,ddd,mmmm,mmm,mmmmm,m")</f>
        <v/>
      </c>
      <c r="K257">
        <f>TEXT(44082, "[$-801]dddd,ddd,mmmm,mmm,mmmmm,m")</f>
        <v/>
      </c>
      <c r="L257">
        <f>TEXT(44111, "[$-801]dddd,ddd,mmmm,mmm,mmmmm,m")</f>
        <v/>
      </c>
      <c r="M257">
        <f>TEXT(44140, "[$-801]dddd,ddd,mmmm,mmm,mmmmm,m")</f>
        <v/>
      </c>
      <c r="N257">
        <f>TEXT(44169, "[$-801]dddd,ddd,mmmm,mmm,mmmmm,m")</f>
        <v/>
      </c>
      <c r="O257">
        <f>TEXT(44198, "[$-801]dddd,ddd,mmmm,mmm,mmmmm,m")</f>
        <v/>
      </c>
    </row>
    <row r="258">
      <c r="A258" t="inlineStr">
        <is>
          <t>0x803</t>
        </is>
      </c>
      <c r="B258" t="inlineStr">
        <is>
          <t>ca-ES_valencia</t>
        </is>
      </c>
      <c r="C258">
        <f>TEXT(43836, "[$-803]dddd,ddd,mmmm,mmm,mmmmm,m")</f>
        <v/>
      </c>
      <c r="D258">
        <f>TEXT(43865, "[$-803]dddd,ddd,mmmm,mmm,mmmmm,m")</f>
        <v/>
      </c>
      <c r="E258">
        <f>TEXT(43894, "[$-803]dddd,ddd,mmmm,mmm,mmmmm,m")</f>
        <v/>
      </c>
      <c r="F258">
        <f>TEXT(43923, "[$-803]dddd,ddd,mmmm,mmm,mmmmm,m")</f>
        <v/>
      </c>
      <c r="G258">
        <f>TEXT(43952, "[$-803]dddd,ddd,mmmm,mmm,mmmmm,m")</f>
        <v/>
      </c>
      <c r="H258">
        <f>TEXT(43988, "[$-803]dddd,ddd,mmmm,mmm,mmmmm,m")</f>
        <v/>
      </c>
      <c r="I258">
        <f>TEXT(44017, "[$-803]dddd,ddd,mmmm,mmm,mmmmm,m")</f>
        <v/>
      </c>
      <c r="J258">
        <f>TEXT(44046, "[$-803]dddd,ddd,mmmm,mmm,mmmmm,m")</f>
        <v/>
      </c>
      <c r="K258">
        <f>TEXT(44082, "[$-803]dddd,ddd,mmmm,mmm,mmmmm,m")</f>
        <v/>
      </c>
      <c r="L258">
        <f>TEXT(44111, "[$-803]dddd,ddd,mmmm,mmm,mmmmm,m")</f>
        <v/>
      </c>
      <c r="M258">
        <f>TEXT(44140, "[$-803]dddd,ddd,mmmm,mmm,mmmmm,m")</f>
        <v/>
      </c>
      <c r="N258">
        <f>TEXT(44169, "[$-803]dddd,ddd,mmmm,mmm,mmmmm,m")</f>
        <v/>
      </c>
      <c r="O258">
        <f>TEXT(44198, "[$-803]dddd,ddd,mmmm,mmm,mmmmm,m")</f>
        <v/>
      </c>
    </row>
    <row r="259">
      <c r="A259" t="inlineStr">
        <is>
          <t>0x1E000804</t>
        </is>
      </c>
      <c r="B259" t="inlineStr">
        <is>
          <t>zh-CN</t>
        </is>
      </c>
      <c r="C259">
        <f>TEXT(43836, "[$-1E000804]dddd,ddd,mmmm,mmm,mmmmm,m")</f>
        <v/>
      </c>
      <c r="D259">
        <f>TEXT(43865, "[$-1E000804]dddd,ddd,mmmm,mmm,mmmmm,m")</f>
        <v/>
      </c>
      <c r="E259">
        <f>TEXT(43894, "[$-1E000804]dddd,ddd,mmmm,mmm,mmmmm,m")</f>
        <v/>
      </c>
      <c r="F259">
        <f>TEXT(43923, "[$-1E000804]dddd,ddd,mmmm,mmm,mmmmm,m")</f>
        <v/>
      </c>
      <c r="G259">
        <f>TEXT(43952, "[$-1E000804]dddd,ddd,mmmm,mmm,mmmmm,m")</f>
        <v/>
      </c>
      <c r="H259">
        <f>TEXT(43988, "[$-1E000804]dddd,ddd,mmmm,mmm,mmmmm,m")</f>
        <v/>
      </c>
      <c r="I259">
        <f>TEXT(44017, "[$-1E000804]dddd,ddd,mmmm,mmm,mmmmm,m")</f>
        <v/>
      </c>
      <c r="J259">
        <f>TEXT(44046, "[$-1E000804]dddd,ddd,mmmm,mmm,mmmmm,m")</f>
        <v/>
      </c>
      <c r="K259">
        <f>TEXT(44082, "[$-1E000804]dddd,ddd,mmmm,mmm,mmmmm,m")</f>
        <v/>
      </c>
      <c r="L259">
        <f>TEXT(44111, "[$-1E000804]dddd,ddd,mmmm,mmm,mmmmm,m")</f>
        <v/>
      </c>
      <c r="M259">
        <f>TEXT(44140, "[$-1E000804]dddd,ddd,mmmm,mmm,mmmmm,m")</f>
        <v/>
      </c>
      <c r="N259">
        <f>TEXT(44169, "[$-1E000804]dddd,ddd,mmmm,mmm,mmmmm,m")</f>
        <v/>
      </c>
      <c r="O259">
        <f>TEXT(44198, "[$-1E000804]dddd,ddd,mmmm,mmm,mmmmm,m")</f>
        <v/>
      </c>
    </row>
    <row r="260">
      <c r="A260" t="inlineStr">
        <is>
          <t>0x807</t>
        </is>
      </c>
      <c r="B260" t="inlineStr">
        <is>
          <t>de-CH</t>
        </is>
      </c>
      <c r="C260">
        <f>TEXT(43836, "[$-807]dddd,ddd,mmmm,mmm,mmmmm,m")</f>
        <v/>
      </c>
      <c r="D260">
        <f>TEXT(43865, "[$-807]dddd,ddd,mmmm,mmm,mmmmm,m")</f>
        <v/>
      </c>
      <c r="E260">
        <f>TEXT(43894, "[$-807]dddd,ddd,mmmm,mmm,mmmmm,m")</f>
        <v/>
      </c>
      <c r="F260">
        <f>TEXT(43923, "[$-807]dddd,ddd,mmmm,mmm,mmmmm,m")</f>
        <v/>
      </c>
      <c r="G260">
        <f>TEXT(43952, "[$-807]dddd,ddd,mmmm,mmm,mmmmm,m")</f>
        <v/>
      </c>
      <c r="H260">
        <f>TEXT(43988, "[$-807]dddd,ddd,mmmm,mmm,mmmmm,m")</f>
        <v/>
      </c>
      <c r="I260">
        <f>TEXT(44017, "[$-807]dddd,ddd,mmmm,mmm,mmmmm,m")</f>
        <v/>
      </c>
      <c r="J260">
        <f>TEXT(44046, "[$-807]dddd,ddd,mmmm,mmm,mmmmm,m")</f>
        <v/>
      </c>
      <c r="K260">
        <f>TEXT(44082, "[$-807]dddd,ddd,mmmm,mmm,mmmmm,m")</f>
        <v/>
      </c>
      <c r="L260">
        <f>TEXT(44111, "[$-807]dddd,ddd,mmmm,mmm,mmmmm,m")</f>
        <v/>
      </c>
      <c r="M260">
        <f>TEXT(44140, "[$-807]dddd,ddd,mmmm,mmm,mmmmm,m")</f>
        <v/>
      </c>
      <c r="N260">
        <f>TEXT(44169, "[$-807]dddd,ddd,mmmm,mmm,mmmmm,m")</f>
        <v/>
      </c>
      <c r="O260">
        <f>TEXT(44198, "[$-807]dddd,ddd,mmmm,mmm,mmmmm,m")</f>
        <v/>
      </c>
    </row>
    <row r="261">
      <c r="A261" t="inlineStr">
        <is>
          <t>0x809</t>
        </is>
      </c>
      <c r="B261" t="inlineStr">
        <is>
          <t>en-GB</t>
        </is>
      </c>
      <c r="C261">
        <f>TEXT(43836, "[$-809]dddd,ddd,mmmm,mmm,mmmmm,m")</f>
        <v/>
      </c>
      <c r="D261">
        <f>TEXT(43865, "[$-809]dddd,ddd,mmmm,mmm,mmmmm,m")</f>
        <v/>
      </c>
      <c r="E261">
        <f>TEXT(43894, "[$-809]dddd,ddd,mmmm,mmm,mmmmm,m")</f>
        <v/>
      </c>
      <c r="F261">
        <f>TEXT(43923, "[$-809]dddd,ddd,mmmm,mmm,mmmmm,m")</f>
        <v/>
      </c>
      <c r="G261">
        <f>TEXT(43952, "[$-809]dddd,ddd,mmmm,mmm,mmmmm,m")</f>
        <v/>
      </c>
      <c r="H261">
        <f>TEXT(43988, "[$-809]dddd,ddd,mmmm,mmm,mmmmm,m")</f>
        <v/>
      </c>
      <c r="I261">
        <f>TEXT(44017, "[$-809]dddd,ddd,mmmm,mmm,mmmmm,m")</f>
        <v/>
      </c>
      <c r="J261">
        <f>TEXT(44046, "[$-809]dddd,ddd,mmmm,mmm,mmmmm,m")</f>
        <v/>
      </c>
      <c r="K261">
        <f>TEXT(44082, "[$-809]dddd,ddd,mmmm,mmm,mmmmm,m")</f>
        <v/>
      </c>
      <c r="L261">
        <f>TEXT(44111, "[$-809]dddd,ddd,mmmm,mmm,mmmmm,m")</f>
        <v/>
      </c>
      <c r="M261">
        <f>TEXT(44140, "[$-809]dddd,ddd,mmmm,mmm,mmmmm,m")</f>
        <v/>
      </c>
      <c r="N261">
        <f>TEXT(44169, "[$-809]dddd,ddd,mmmm,mmm,mmmmm,m")</f>
        <v/>
      </c>
      <c r="O261">
        <f>TEXT(44198, "[$-809]dddd,ddd,mmmm,mmm,mmmmm,m")</f>
        <v/>
      </c>
    </row>
    <row r="262">
      <c r="A262" t="inlineStr">
        <is>
          <t>0x80A</t>
        </is>
      </c>
      <c r="B262" t="inlineStr">
        <is>
          <t>es-MX</t>
        </is>
      </c>
      <c r="C262">
        <f>TEXT(43836, "[$-80A]dddd,ddd,mmmm,mmm,mmmmm,m")</f>
        <v/>
      </c>
      <c r="D262">
        <f>TEXT(43865, "[$-80A]dddd,ddd,mmmm,mmm,mmmmm,m")</f>
        <v/>
      </c>
      <c r="E262">
        <f>TEXT(43894, "[$-80A]dddd,ddd,mmmm,mmm,mmmmm,m")</f>
        <v/>
      </c>
      <c r="F262">
        <f>TEXT(43923, "[$-80A]dddd,ddd,mmmm,mmm,mmmmm,m")</f>
        <v/>
      </c>
      <c r="G262">
        <f>TEXT(43952, "[$-80A]dddd,ddd,mmmm,mmm,mmmmm,m")</f>
        <v/>
      </c>
      <c r="H262">
        <f>TEXT(43988, "[$-80A]dddd,ddd,mmmm,mmm,mmmmm,m")</f>
        <v/>
      </c>
      <c r="I262">
        <f>TEXT(44017, "[$-80A]dddd,ddd,mmmm,mmm,mmmmm,m")</f>
        <v/>
      </c>
      <c r="J262">
        <f>TEXT(44046, "[$-80A]dddd,ddd,mmmm,mmm,mmmmm,m")</f>
        <v/>
      </c>
      <c r="K262">
        <f>TEXT(44082, "[$-80A]dddd,ddd,mmmm,mmm,mmmmm,m")</f>
        <v/>
      </c>
      <c r="L262">
        <f>TEXT(44111, "[$-80A]dddd,ddd,mmmm,mmm,mmmmm,m")</f>
        <v/>
      </c>
      <c r="M262">
        <f>TEXT(44140, "[$-80A]dddd,ddd,mmmm,mmm,mmmmm,m")</f>
        <v/>
      </c>
      <c r="N262">
        <f>TEXT(44169, "[$-80A]dddd,ddd,mmmm,mmm,mmmmm,m")</f>
        <v/>
      </c>
      <c r="O262">
        <f>TEXT(44198, "[$-80A]dddd,ddd,mmmm,mmm,mmmmm,m")</f>
        <v/>
      </c>
    </row>
    <row r="263">
      <c r="A263" t="inlineStr">
        <is>
          <t>0x80C</t>
        </is>
      </c>
      <c r="B263" t="inlineStr">
        <is>
          <t>fr-BE</t>
        </is>
      </c>
      <c r="C263">
        <f>TEXT(43836, "[$-80C]dddd,ddd,mmmm,mmm,mmmmm,m")</f>
        <v/>
      </c>
      <c r="D263">
        <f>TEXT(43865, "[$-80C]dddd,ddd,mmmm,mmm,mmmmm,m")</f>
        <v/>
      </c>
      <c r="E263">
        <f>TEXT(43894, "[$-80C]dddd,ddd,mmmm,mmm,mmmmm,m")</f>
        <v/>
      </c>
      <c r="F263">
        <f>TEXT(43923, "[$-80C]dddd,ddd,mmmm,mmm,mmmmm,m")</f>
        <v/>
      </c>
      <c r="G263">
        <f>TEXT(43952, "[$-80C]dddd,ddd,mmmm,mmm,mmmmm,m")</f>
        <v/>
      </c>
      <c r="H263">
        <f>TEXT(43988, "[$-80C]dddd,ddd,mmmm,mmm,mmmmm,m")</f>
        <v/>
      </c>
      <c r="I263">
        <f>TEXT(44017, "[$-80C]dddd,ddd,mmmm,mmm,mmmmm,m")</f>
        <v/>
      </c>
      <c r="J263">
        <f>TEXT(44046, "[$-80C]dddd,ddd,mmmm,mmm,mmmmm,m")</f>
        <v/>
      </c>
      <c r="K263">
        <f>TEXT(44082, "[$-80C]dddd,ddd,mmmm,mmm,mmmmm,m")</f>
        <v/>
      </c>
      <c r="L263">
        <f>TEXT(44111, "[$-80C]dddd,ddd,mmmm,mmm,mmmmm,m")</f>
        <v/>
      </c>
      <c r="M263">
        <f>TEXT(44140, "[$-80C]dddd,ddd,mmmm,mmm,mmmmm,m")</f>
        <v/>
      </c>
      <c r="N263">
        <f>TEXT(44169, "[$-80C]dddd,ddd,mmmm,mmm,mmmmm,m")</f>
        <v/>
      </c>
      <c r="O263">
        <f>TEXT(44198, "[$-80C]dddd,ddd,mmmm,mmm,mmmmm,m")</f>
        <v/>
      </c>
    </row>
    <row r="264">
      <c r="A264" t="inlineStr">
        <is>
          <t>0x810</t>
        </is>
      </c>
      <c r="B264" t="inlineStr">
        <is>
          <t>it-CH</t>
        </is>
      </c>
      <c r="C264">
        <f>TEXT(43836, "[$-810]dddd,ddd,mmmm,mmm,mmmmm,m")</f>
        <v/>
      </c>
      <c r="D264">
        <f>TEXT(43865, "[$-810]dddd,ddd,mmmm,mmm,mmmmm,m")</f>
        <v/>
      </c>
      <c r="E264">
        <f>TEXT(43894, "[$-810]dddd,ddd,mmmm,mmm,mmmmm,m")</f>
        <v/>
      </c>
      <c r="F264">
        <f>TEXT(43923, "[$-810]dddd,ddd,mmmm,mmm,mmmmm,m")</f>
        <v/>
      </c>
      <c r="G264">
        <f>TEXT(43952, "[$-810]dddd,ddd,mmmm,mmm,mmmmm,m")</f>
        <v/>
      </c>
      <c r="H264">
        <f>TEXT(43988, "[$-810]dddd,ddd,mmmm,mmm,mmmmm,m")</f>
        <v/>
      </c>
      <c r="I264">
        <f>TEXT(44017, "[$-810]dddd,ddd,mmmm,mmm,mmmmm,m")</f>
        <v/>
      </c>
      <c r="J264">
        <f>TEXT(44046, "[$-810]dddd,ddd,mmmm,mmm,mmmmm,m")</f>
        <v/>
      </c>
      <c r="K264">
        <f>TEXT(44082, "[$-810]dddd,ddd,mmmm,mmm,mmmmm,m")</f>
        <v/>
      </c>
      <c r="L264">
        <f>TEXT(44111, "[$-810]dddd,ddd,mmmm,mmm,mmmmm,m")</f>
        <v/>
      </c>
      <c r="M264">
        <f>TEXT(44140, "[$-810]dddd,ddd,mmmm,mmm,mmmmm,m")</f>
        <v/>
      </c>
      <c r="N264">
        <f>TEXT(44169, "[$-810]dddd,ddd,mmmm,mmm,mmmmm,m")</f>
        <v/>
      </c>
      <c r="O264">
        <f>TEXT(44198, "[$-810]dddd,ddd,mmmm,mmm,mmmmm,m")</f>
        <v/>
      </c>
    </row>
    <row r="265">
      <c r="A265" t="inlineStr">
        <is>
          <t>0x813</t>
        </is>
      </c>
      <c r="B265" t="inlineStr">
        <is>
          <t>nl-BE</t>
        </is>
      </c>
      <c r="C265">
        <f>TEXT(43836, "[$-813]dddd,ddd,mmmm,mmm,mmmmm,m")</f>
        <v/>
      </c>
      <c r="D265">
        <f>TEXT(43865, "[$-813]dddd,ddd,mmmm,mmm,mmmmm,m")</f>
        <v/>
      </c>
      <c r="E265">
        <f>TEXT(43894, "[$-813]dddd,ddd,mmmm,mmm,mmmmm,m")</f>
        <v/>
      </c>
      <c r="F265">
        <f>TEXT(43923, "[$-813]dddd,ddd,mmmm,mmm,mmmmm,m")</f>
        <v/>
      </c>
      <c r="G265">
        <f>TEXT(43952, "[$-813]dddd,ddd,mmmm,mmm,mmmmm,m")</f>
        <v/>
      </c>
      <c r="H265">
        <f>TEXT(43988, "[$-813]dddd,ddd,mmmm,mmm,mmmmm,m")</f>
        <v/>
      </c>
      <c r="I265">
        <f>TEXT(44017, "[$-813]dddd,ddd,mmmm,mmm,mmmmm,m")</f>
        <v/>
      </c>
      <c r="J265">
        <f>TEXT(44046, "[$-813]dddd,ddd,mmmm,mmm,mmmmm,m")</f>
        <v/>
      </c>
      <c r="K265">
        <f>TEXT(44082, "[$-813]dddd,ddd,mmmm,mmm,mmmmm,m")</f>
        <v/>
      </c>
      <c r="L265">
        <f>TEXT(44111, "[$-813]dddd,ddd,mmmm,mmm,mmmmm,m")</f>
        <v/>
      </c>
      <c r="M265">
        <f>TEXT(44140, "[$-813]dddd,ddd,mmmm,mmm,mmmmm,m")</f>
        <v/>
      </c>
      <c r="N265">
        <f>TEXT(44169, "[$-813]dddd,ddd,mmmm,mmm,mmmmm,m")</f>
        <v/>
      </c>
      <c r="O265">
        <f>TEXT(44198, "[$-813]dddd,ddd,mmmm,mmm,mmmmm,m")</f>
        <v/>
      </c>
    </row>
    <row r="266">
      <c r="A266" t="inlineStr">
        <is>
          <t>0x814</t>
        </is>
      </c>
      <c r="B266" t="inlineStr">
        <is>
          <t>nn-NO</t>
        </is>
      </c>
      <c r="C266">
        <f>TEXT(43836, "[$-814]dddd,ddd,mmmm,mmm,mmmmm,m")</f>
        <v/>
      </c>
      <c r="D266">
        <f>TEXT(43865, "[$-814]dddd,ddd,mmmm,mmm,mmmmm,m")</f>
        <v/>
      </c>
      <c r="E266">
        <f>TEXT(43894, "[$-814]dddd,ddd,mmmm,mmm,mmmmm,m")</f>
        <v/>
      </c>
      <c r="F266">
        <f>TEXT(43923, "[$-814]dddd,ddd,mmmm,mmm,mmmmm,m")</f>
        <v/>
      </c>
      <c r="G266">
        <f>TEXT(43952, "[$-814]dddd,ddd,mmmm,mmm,mmmmm,m")</f>
        <v/>
      </c>
      <c r="H266">
        <f>TEXT(43988, "[$-814]dddd,ddd,mmmm,mmm,mmmmm,m")</f>
        <v/>
      </c>
      <c r="I266">
        <f>TEXT(44017, "[$-814]dddd,ddd,mmmm,mmm,mmmmm,m")</f>
        <v/>
      </c>
      <c r="J266">
        <f>TEXT(44046, "[$-814]dddd,ddd,mmmm,mmm,mmmmm,m")</f>
        <v/>
      </c>
      <c r="K266">
        <f>TEXT(44082, "[$-814]dddd,ddd,mmmm,mmm,mmmmm,m")</f>
        <v/>
      </c>
      <c r="L266">
        <f>TEXT(44111, "[$-814]dddd,ddd,mmmm,mmm,mmmmm,m")</f>
        <v/>
      </c>
      <c r="M266">
        <f>TEXT(44140, "[$-814]dddd,ddd,mmmm,mmm,mmmmm,m")</f>
        <v/>
      </c>
      <c r="N266">
        <f>TEXT(44169, "[$-814]dddd,ddd,mmmm,mmm,mmmmm,m")</f>
        <v/>
      </c>
      <c r="O266">
        <f>TEXT(44198, "[$-814]dddd,ddd,mmmm,mmm,mmmmm,m")</f>
        <v/>
      </c>
    </row>
    <row r="267">
      <c r="A267" t="inlineStr">
        <is>
          <t>0x816</t>
        </is>
      </c>
      <c r="B267" t="inlineStr">
        <is>
          <t>pt-PT</t>
        </is>
      </c>
      <c r="C267">
        <f>TEXT(43836, "[$-816]dddd,ddd,mmmm,mmm,mmmmm,m")</f>
        <v/>
      </c>
      <c r="D267">
        <f>TEXT(43865, "[$-816]dddd,ddd,mmmm,mmm,mmmmm,m")</f>
        <v/>
      </c>
      <c r="E267">
        <f>TEXT(43894, "[$-816]dddd,ddd,mmmm,mmm,mmmmm,m")</f>
        <v/>
      </c>
      <c r="F267">
        <f>TEXT(43923, "[$-816]dddd,ddd,mmmm,mmm,mmmmm,m")</f>
        <v/>
      </c>
      <c r="G267">
        <f>TEXT(43952, "[$-816]dddd,ddd,mmmm,mmm,mmmmm,m")</f>
        <v/>
      </c>
      <c r="H267">
        <f>TEXT(43988, "[$-816]dddd,ddd,mmmm,mmm,mmmmm,m")</f>
        <v/>
      </c>
      <c r="I267">
        <f>TEXT(44017, "[$-816]dddd,ddd,mmmm,mmm,mmmmm,m")</f>
        <v/>
      </c>
      <c r="J267">
        <f>TEXT(44046, "[$-816]dddd,ddd,mmmm,mmm,mmmmm,m")</f>
        <v/>
      </c>
      <c r="K267">
        <f>TEXT(44082, "[$-816]dddd,ddd,mmmm,mmm,mmmmm,m")</f>
        <v/>
      </c>
      <c r="L267">
        <f>TEXT(44111, "[$-816]dddd,ddd,mmmm,mmm,mmmmm,m")</f>
        <v/>
      </c>
      <c r="M267">
        <f>TEXT(44140, "[$-816]dddd,ddd,mmmm,mmm,mmmmm,m")</f>
        <v/>
      </c>
      <c r="N267">
        <f>TEXT(44169, "[$-816]dddd,ddd,mmmm,mmm,mmmmm,m")</f>
        <v/>
      </c>
      <c r="O267">
        <f>TEXT(44198, "[$-816]dddd,ddd,mmmm,mmm,mmmmm,m")</f>
        <v/>
      </c>
    </row>
    <row r="268">
      <c r="A268" t="inlineStr">
        <is>
          <t>0x818</t>
        </is>
      </c>
      <c r="B268" t="inlineStr">
        <is>
          <t>ro-MD</t>
        </is>
      </c>
      <c r="C268">
        <f>TEXT(43836, "[$-818]dddd,ddd,mmmm,mmm,mmmmm,m")</f>
        <v/>
      </c>
      <c r="D268">
        <f>TEXT(43865, "[$-818]dddd,ddd,mmmm,mmm,mmmmm,m")</f>
        <v/>
      </c>
      <c r="E268">
        <f>TEXT(43894, "[$-818]dddd,ddd,mmmm,mmm,mmmmm,m")</f>
        <v/>
      </c>
      <c r="F268">
        <f>TEXT(43923, "[$-818]dddd,ddd,mmmm,mmm,mmmmm,m")</f>
        <v/>
      </c>
      <c r="G268">
        <f>TEXT(43952, "[$-818]dddd,ddd,mmmm,mmm,mmmmm,m")</f>
        <v/>
      </c>
      <c r="H268">
        <f>TEXT(43988, "[$-818]dddd,ddd,mmmm,mmm,mmmmm,m")</f>
        <v/>
      </c>
      <c r="I268">
        <f>TEXT(44017, "[$-818]dddd,ddd,mmmm,mmm,mmmmm,m")</f>
        <v/>
      </c>
      <c r="J268">
        <f>TEXT(44046, "[$-818]dddd,ddd,mmmm,mmm,mmmmm,m")</f>
        <v/>
      </c>
      <c r="K268">
        <f>TEXT(44082, "[$-818]dddd,ddd,mmmm,mmm,mmmmm,m")</f>
        <v/>
      </c>
      <c r="L268">
        <f>TEXT(44111, "[$-818]dddd,ddd,mmmm,mmm,mmmmm,m")</f>
        <v/>
      </c>
      <c r="M268">
        <f>TEXT(44140, "[$-818]dddd,ddd,mmmm,mmm,mmmmm,m")</f>
        <v/>
      </c>
      <c r="N268">
        <f>TEXT(44169, "[$-818]dddd,ddd,mmmm,mmm,mmmmm,m")</f>
        <v/>
      </c>
      <c r="O268">
        <f>TEXT(44198, "[$-818]dddd,ddd,mmmm,mmm,mmmmm,m")</f>
        <v/>
      </c>
    </row>
    <row r="269">
      <c r="A269" t="inlineStr">
        <is>
          <t>0x819</t>
        </is>
      </c>
      <c r="B269" t="inlineStr">
        <is>
          <t>ru-MD</t>
        </is>
      </c>
      <c r="C269">
        <f>TEXT(43836, "[$-819]dddd,ddd,mmmm,mmm,mmmmm,m")</f>
        <v/>
      </c>
      <c r="D269">
        <f>TEXT(43865, "[$-819]dddd,ddd,mmmm,mmm,mmmmm,m")</f>
        <v/>
      </c>
      <c r="E269">
        <f>TEXT(43894, "[$-819]dddd,ddd,mmmm,mmm,mmmmm,m")</f>
        <v/>
      </c>
      <c r="F269">
        <f>TEXT(43923, "[$-819]dddd,ddd,mmmm,mmm,mmmmm,m")</f>
        <v/>
      </c>
      <c r="G269">
        <f>TEXT(43952, "[$-819]dddd,ddd,mmmm,mmm,mmmmm,m")</f>
        <v/>
      </c>
      <c r="H269">
        <f>TEXT(43988, "[$-819]dddd,ddd,mmmm,mmm,mmmmm,m")</f>
        <v/>
      </c>
      <c r="I269">
        <f>TEXT(44017, "[$-819]dddd,ddd,mmmm,mmm,mmmmm,m")</f>
        <v/>
      </c>
      <c r="J269">
        <f>TEXT(44046, "[$-819]dddd,ddd,mmmm,mmm,mmmmm,m")</f>
        <v/>
      </c>
      <c r="K269">
        <f>TEXT(44082, "[$-819]dddd,ddd,mmmm,mmm,mmmmm,m")</f>
        <v/>
      </c>
      <c r="L269">
        <f>TEXT(44111, "[$-819]dddd,ddd,mmmm,mmm,mmmmm,m")</f>
        <v/>
      </c>
      <c r="M269">
        <f>TEXT(44140, "[$-819]dddd,ddd,mmmm,mmm,mmmmm,m")</f>
        <v/>
      </c>
      <c r="N269">
        <f>TEXT(44169, "[$-819]dddd,ddd,mmmm,mmm,mmmmm,m")</f>
        <v/>
      </c>
      <c r="O269">
        <f>TEXT(44198, "[$-819]dddd,ddd,mmmm,mmm,mmmmm,m")</f>
        <v/>
      </c>
    </row>
    <row r="270">
      <c r="A270" t="inlineStr">
        <is>
          <t>0x81A</t>
        </is>
      </c>
      <c r="B270" t="inlineStr">
        <is>
          <t>sr-Latn_CS</t>
        </is>
      </c>
      <c r="C270">
        <f>TEXT(43836, "[$-81A]dddd,ddd,mmmm,mmm,mmmmm,m")</f>
        <v/>
      </c>
      <c r="D270">
        <f>TEXT(43865, "[$-81A]dddd,ddd,mmmm,mmm,mmmmm,m")</f>
        <v/>
      </c>
      <c r="E270">
        <f>TEXT(43894, "[$-81A]dddd,ddd,mmmm,mmm,mmmmm,m")</f>
        <v/>
      </c>
      <c r="F270">
        <f>TEXT(43923, "[$-81A]dddd,ddd,mmmm,mmm,mmmmm,m")</f>
        <v/>
      </c>
      <c r="G270">
        <f>TEXT(43952, "[$-81A]dddd,ddd,mmmm,mmm,mmmmm,m")</f>
        <v/>
      </c>
      <c r="H270">
        <f>TEXT(43988, "[$-81A]dddd,ddd,mmmm,mmm,mmmmm,m")</f>
        <v/>
      </c>
      <c r="I270">
        <f>TEXT(44017, "[$-81A]dddd,ddd,mmmm,mmm,mmmmm,m")</f>
        <v/>
      </c>
      <c r="J270">
        <f>TEXT(44046, "[$-81A]dddd,ddd,mmmm,mmm,mmmmm,m")</f>
        <v/>
      </c>
      <c r="K270">
        <f>TEXT(44082, "[$-81A]dddd,ddd,mmmm,mmm,mmmmm,m")</f>
        <v/>
      </c>
      <c r="L270">
        <f>TEXT(44111, "[$-81A]dddd,ddd,mmmm,mmm,mmmmm,m")</f>
        <v/>
      </c>
      <c r="M270">
        <f>TEXT(44140, "[$-81A]dddd,ddd,mmmm,mmm,mmmmm,m")</f>
        <v/>
      </c>
      <c r="N270">
        <f>TEXT(44169, "[$-81A]dddd,ddd,mmmm,mmm,mmmmm,m")</f>
        <v/>
      </c>
      <c r="O270">
        <f>TEXT(44198, "[$-81A]dddd,ddd,mmmm,mmm,mmmmm,m")</f>
        <v/>
      </c>
    </row>
    <row r="271">
      <c r="A271" t="inlineStr">
        <is>
          <t>0x81D</t>
        </is>
      </c>
      <c r="B271" t="inlineStr">
        <is>
          <t>sv-FI</t>
        </is>
      </c>
      <c r="C271">
        <f>TEXT(43836, "[$-81D]dddd,ddd,mmmm,mmm,mmmmm,m")</f>
        <v/>
      </c>
      <c r="D271">
        <f>TEXT(43865, "[$-81D]dddd,ddd,mmmm,mmm,mmmmm,m")</f>
        <v/>
      </c>
      <c r="E271">
        <f>TEXT(43894, "[$-81D]dddd,ddd,mmmm,mmm,mmmmm,m")</f>
        <v/>
      </c>
      <c r="F271">
        <f>TEXT(43923, "[$-81D]dddd,ddd,mmmm,mmm,mmmmm,m")</f>
        <v/>
      </c>
      <c r="G271">
        <f>TEXT(43952, "[$-81D]dddd,ddd,mmmm,mmm,mmmmm,m")</f>
        <v/>
      </c>
      <c r="H271">
        <f>TEXT(43988, "[$-81D]dddd,ddd,mmmm,mmm,mmmmm,m")</f>
        <v/>
      </c>
      <c r="I271">
        <f>TEXT(44017, "[$-81D]dddd,ddd,mmmm,mmm,mmmmm,m")</f>
        <v/>
      </c>
      <c r="J271">
        <f>TEXT(44046, "[$-81D]dddd,ddd,mmmm,mmm,mmmmm,m")</f>
        <v/>
      </c>
      <c r="K271">
        <f>TEXT(44082, "[$-81D]dddd,ddd,mmmm,mmm,mmmmm,m")</f>
        <v/>
      </c>
      <c r="L271">
        <f>TEXT(44111, "[$-81D]dddd,ddd,mmmm,mmm,mmmmm,m")</f>
        <v/>
      </c>
      <c r="M271">
        <f>TEXT(44140, "[$-81D]dddd,ddd,mmmm,mmm,mmmmm,m")</f>
        <v/>
      </c>
      <c r="N271">
        <f>TEXT(44169, "[$-81D]dddd,ddd,mmmm,mmm,mmmmm,m")</f>
        <v/>
      </c>
      <c r="O271">
        <f>TEXT(44198, "[$-81D]dddd,ddd,mmmm,mmm,mmmmm,m")</f>
        <v/>
      </c>
    </row>
    <row r="272">
      <c r="A272" t="inlineStr">
        <is>
          <t>0x820</t>
        </is>
      </c>
      <c r="B272" t="inlineStr">
        <is>
          <t>ur-IN</t>
        </is>
      </c>
      <c r="C272">
        <f>TEXT(43836, "[$-820]dddd,ddd,mmmm,mmm,mmmmm,m")</f>
        <v/>
      </c>
      <c r="D272">
        <f>TEXT(43865, "[$-820]dddd,ddd,mmmm,mmm,mmmmm,m")</f>
        <v/>
      </c>
      <c r="E272">
        <f>TEXT(43894, "[$-820]dddd,ddd,mmmm,mmm,mmmmm,m")</f>
        <v/>
      </c>
      <c r="F272">
        <f>TEXT(43923, "[$-820]dddd,ddd,mmmm,mmm,mmmmm,m")</f>
        <v/>
      </c>
      <c r="G272">
        <f>TEXT(43952, "[$-820]dddd,ddd,mmmm,mmm,mmmmm,m")</f>
        <v/>
      </c>
      <c r="H272">
        <f>TEXT(43988, "[$-820]dddd,ddd,mmmm,mmm,mmmmm,m")</f>
        <v/>
      </c>
      <c r="I272">
        <f>TEXT(44017, "[$-820]dddd,ddd,mmmm,mmm,mmmmm,m")</f>
        <v/>
      </c>
      <c r="J272">
        <f>TEXT(44046, "[$-820]dddd,ddd,mmmm,mmm,mmmmm,m")</f>
        <v/>
      </c>
      <c r="K272">
        <f>TEXT(44082, "[$-820]dddd,ddd,mmmm,mmm,mmmmm,m")</f>
        <v/>
      </c>
      <c r="L272">
        <f>TEXT(44111, "[$-820]dddd,ddd,mmmm,mmm,mmmmm,m")</f>
        <v/>
      </c>
      <c r="M272">
        <f>TEXT(44140, "[$-820]dddd,ddd,mmmm,mmm,mmmmm,m")</f>
        <v/>
      </c>
      <c r="N272">
        <f>TEXT(44169, "[$-820]dddd,ddd,mmmm,mmm,mmmmm,m")</f>
        <v/>
      </c>
      <c r="O272">
        <f>TEXT(44198, "[$-820]dddd,ddd,mmmm,mmm,mmmmm,m")</f>
        <v/>
      </c>
    </row>
    <row r="273">
      <c r="A273" t="inlineStr">
        <is>
          <t>0x82C</t>
        </is>
      </c>
      <c r="B273" t="inlineStr">
        <is>
          <t>az-Cyrl_AZ</t>
        </is>
      </c>
      <c r="C273">
        <f>TEXT(43836, "[$-82C]dddd,ddd,mmmm,mmm,mmmmm,m")</f>
        <v/>
      </c>
      <c r="D273">
        <f>TEXT(43865, "[$-82C]dddd,ddd,mmmm,mmm,mmmmm,m")</f>
        <v/>
      </c>
      <c r="E273">
        <f>TEXT(43894, "[$-82C]dddd,ddd,mmmm,mmm,mmmmm,m")</f>
        <v/>
      </c>
      <c r="F273">
        <f>TEXT(43923, "[$-82C]dddd,ddd,mmmm,mmm,mmmmm,m")</f>
        <v/>
      </c>
      <c r="G273">
        <f>TEXT(43952, "[$-82C]dddd,ddd,mmmm,mmm,mmmmm,m")</f>
        <v/>
      </c>
      <c r="H273">
        <f>TEXT(43988, "[$-82C]dddd,ddd,mmmm,mmm,mmmmm,m")</f>
        <v/>
      </c>
      <c r="I273">
        <f>TEXT(44017, "[$-82C]dddd,ddd,mmmm,mmm,mmmmm,m")</f>
        <v/>
      </c>
      <c r="J273">
        <f>TEXT(44046, "[$-82C]dddd,ddd,mmmm,mmm,mmmmm,m")</f>
        <v/>
      </c>
      <c r="K273">
        <f>TEXT(44082, "[$-82C]dddd,ddd,mmmm,mmm,mmmmm,m")</f>
        <v/>
      </c>
      <c r="L273">
        <f>TEXT(44111, "[$-82C]dddd,ddd,mmmm,mmm,mmmmm,m")</f>
        <v/>
      </c>
      <c r="M273">
        <f>TEXT(44140, "[$-82C]dddd,ddd,mmmm,mmm,mmmmm,m")</f>
        <v/>
      </c>
      <c r="N273">
        <f>TEXT(44169, "[$-82C]dddd,ddd,mmmm,mmm,mmmmm,m")</f>
        <v/>
      </c>
      <c r="O273">
        <f>TEXT(44198, "[$-82C]dddd,ddd,mmmm,mmm,mmmmm,m")</f>
        <v/>
      </c>
    </row>
    <row r="274">
      <c r="A274" t="inlineStr">
        <is>
          <t>0x82E</t>
        </is>
      </c>
      <c r="B274" t="inlineStr">
        <is>
          <t>dsb-DE</t>
        </is>
      </c>
      <c r="C274">
        <f>TEXT(43836, "[$-82E]dddd,ddd,mmmm,mmm,mmmmm,m")</f>
        <v/>
      </c>
      <c r="D274">
        <f>TEXT(43865, "[$-82E]dddd,ddd,mmmm,mmm,mmmmm,m")</f>
        <v/>
      </c>
      <c r="E274">
        <f>TEXT(43894, "[$-82E]dddd,ddd,mmmm,mmm,mmmmm,m")</f>
        <v/>
      </c>
      <c r="F274">
        <f>TEXT(43923, "[$-82E]dddd,ddd,mmmm,mmm,mmmmm,m")</f>
        <v/>
      </c>
      <c r="G274">
        <f>TEXT(43952, "[$-82E]dddd,ddd,mmmm,mmm,mmmmm,m")</f>
        <v/>
      </c>
      <c r="H274">
        <f>TEXT(43988, "[$-82E]dddd,ddd,mmmm,mmm,mmmmm,m")</f>
        <v/>
      </c>
      <c r="I274">
        <f>TEXT(44017, "[$-82E]dddd,ddd,mmmm,mmm,mmmmm,m")</f>
        <v/>
      </c>
      <c r="J274">
        <f>TEXT(44046, "[$-82E]dddd,ddd,mmmm,mmm,mmmmm,m")</f>
        <v/>
      </c>
      <c r="K274">
        <f>TEXT(44082, "[$-82E]dddd,ddd,mmmm,mmm,mmmmm,m")</f>
        <v/>
      </c>
      <c r="L274">
        <f>TEXT(44111, "[$-82E]dddd,ddd,mmmm,mmm,mmmmm,m")</f>
        <v/>
      </c>
      <c r="M274">
        <f>TEXT(44140, "[$-82E]dddd,ddd,mmmm,mmm,mmmmm,m")</f>
        <v/>
      </c>
      <c r="N274">
        <f>TEXT(44169, "[$-82E]dddd,ddd,mmmm,mmm,mmmmm,m")</f>
        <v/>
      </c>
      <c r="O274">
        <f>TEXT(44198, "[$-82E]dddd,ddd,mmmm,mmm,mmmmm,m")</f>
        <v/>
      </c>
    </row>
    <row r="275">
      <c r="A275" t="inlineStr">
        <is>
          <t>0x832</t>
        </is>
      </c>
      <c r="B275" t="inlineStr">
        <is>
          <t>tn-BW</t>
        </is>
      </c>
      <c r="C275">
        <f>TEXT(43836, "[$-832]dddd,ddd,mmmm,mmm,mmmmm,m")</f>
        <v/>
      </c>
      <c r="D275">
        <f>TEXT(43865, "[$-832]dddd,ddd,mmmm,mmm,mmmmm,m")</f>
        <v/>
      </c>
      <c r="E275">
        <f>TEXT(43894, "[$-832]dddd,ddd,mmmm,mmm,mmmmm,m")</f>
        <v/>
      </c>
      <c r="F275">
        <f>TEXT(43923, "[$-832]dddd,ddd,mmmm,mmm,mmmmm,m")</f>
        <v/>
      </c>
      <c r="G275">
        <f>TEXT(43952, "[$-832]dddd,ddd,mmmm,mmm,mmmmm,m")</f>
        <v/>
      </c>
      <c r="H275">
        <f>TEXT(43988, "[$-832]dddd,ddd,mmmm,mmm,mmmmm,m")</f>
        <v/>
      </c>
      <c r="I275">
        <f>TEXT(44017, "[$-832]dddd,ddd,mmmm,mmm,mmmmm,m")</f>
        <v/>
      </c>
      <c r="J275">
        <f>TEXT(44046, "[$-832]dddd,ddd,mmmm,mmm,mmmmm,m")</f>
        <v/>
      </c>
      <c r="K275">
        <f>TEXT(44082, "[$-832]dddd,ddd,mmmm,mmm,mmmmm,m")</f>
        <v/>
      </c>
      <c r="L275">
        <f>TEXT(44111, "[$-832]dddd,ddd,mmmm,mmm,mmmmm,m")</f>
        <v/>
      </c>
      <c r="M275">
        <f>TEXT(44140, "[$-832]dddd,ddd,mmmm,mmm,mmmmm,m")</f>
        <v/>
      </c>
      <c r="N275">
        <f>TEXT(44169, "[$-832]dddd,ddd,mmmm,mmm,mmmmm,m")</f>
        <v/>
      </c>
      <c r="O275">
        <f>TEXT(44198, "[$-832]dddd,ddd,mmmm,mmm,mmmmm,m")</f>
        <v/>
      </c>
    </row>
    <row r="276">
      <c r="A276" t="inlineStr">
        <is>
          <t>0x83B</t>
        </is>
      </c>
      <c r="B276" t="inlineStr">
        <is>
          <t>se-SE</t>
        </is>
      </c>
      <c r="C276">
        <f>TEXT(43836, "[$-83B]dddd,ddd,mmmm,mmm,mmmmm,m")</f>
        <v/>
      </c>
      <c r="D276">
        <f>TEXT(43865, "[$-83B]dddd,ddd,mmmm,mmm,mmmmm,m")</f>
        <v/>
      </c>
      <c r="E276">
        <f>TEXT(43894, "[$-83B]dddd,ddd,mmmm,mmm,mmmmm,m")</f>
        <v/>
      </c>
      <c r="F276">
        <f>TEXT(43923, "[$-83B]dddd,ddd,mmmm,mmm,mmmmm,m")</f>
        <v/>
      </c>
      <c r="G276">
        <f>TEXT(43952, "[$-83B]dddd,ddd,mmmm,mmm,mmmmm,m")</f>
        <v/>
      </c>
      <c r="H276">
        <f>TEXT(43988, "[$-83B]dddd,ddd,mmmm,mmm,mmmmm,m")</f>
        <v/>
      </c>
      <c r="I276">
        <f>TEXT(44017, "[$-83B]dddd,ddd,mmmm,mmm,mmmmm,m")</f>
        <v/>
      </c>
      <c r="J276">
        <f>TEXT(44046, "[$-83B]dddd,ddd,mmmm,mmm,mmmmm,m")</f>
        <v/>
      </c>
      <c r="K276">
        <f>TEXT(44082, "[$-83B]dddd,ddd,mmmm,mmm,mmmmm,m")</f>
        <v/>
      </c>
      <c r="L276">
        <f>TEXT(44111, "[$-83B]dddd,ddd,mmmm,mmm,mmmmm,m")</f>
        <v/>
      </c>
      <c r="M276">
        <f>TEXT(44140, "[$-83B]dddd,ddd,mmmm,mmm,mmmmm,m")</f>
        <v/>
      </c>
      <c r="N276">
        <f>TEXT(44169, "[$-83B]dddd,ddd,mmmm,mmm,mmmmm,m")</f>
        <v/>
      </c>
      <c r="O276">
        <f>TEXT(44198, "[$-83B]dddd,ddd,mmmm,mmm,mmmmm,m")</f>
        <v/>
      </c>
    </row>
    <row r="277">
      <c r="A277" t="inlineStr">
        <is>
          <t>0x83C</t>
        </is>
      </c>
      <c r="B277" t="inlineStr">
        <is>
          <t>ga-IE</t>
        </is>
      </c>
      <c r="C277">
        <f>TEXT(43836, "[$-83C]dddd,ddd,mmmm,mmm,mmmmm,m")</f>
        <v/>
      </c>
      <c r="D277">
        <f>TEXT(43865, "[$-83C]dddd,ddd,mmmm,mmm,mmmmm,m")</f>
        <v/>
      </c>
      <c r="E277">
        <f>TEXT(43894, "[$-83C]dddd,ddd,mmmm,mmm,mmmmm,m")</f>
        <v/>
      </c>
      <c r="F277">
        <f>TEXT(43923, "[$-83C]dddd,ddd,mmmm,mmm,mmmmm,m")</f>
        <v/>
      </c>
      <c r="G277">
        <f>TEXT(43952, "[$-83C]dddd,ddd,mmmm,mmm,mmmmm,m")</f>
        <v/>
      </c>
      <c r="H277">
        <f>TEXT(43988, "[$-83C]dddd,ddd,mmmm,mmm,mmmmm,m")</f>
        <v/>
      </c>
      <c r="I277">
        <f>TEXT(44017, "[$-83C]dddd,ddd,mmmm,mmm,mmmmm,m")</f>
        <v/>
      </c>
      <c r="J277">
        <f>TEXT(44046, "[$-83C]dddd,ddd,mmmm,mmm,mmmmm,m")</f>
        <v/>
      </c>
      <c r="K277">
        <f>TEXT(44082, "[$-83C]dddd,ddd,mmmm,mmm,mmmmm,m")</f>
        <v/>
      </c>
      <c r="L277">
        <f>TEXT(44111, "[$-83C]dddd,ddd,mmmm,mmm,mmmmm,m")</f>
        <v/>
      </c>
      <c r="M277">
        <f>TEXT(44140, "[$-83C]dddd,ddd,mmmm,mmm,mmmmm,m")</f>
        <v/>
      </c>
      <c r="N277">
        <f>TEXT(44169, "[$-83C]dddd,ddd,mmmm,mmm,mmmmm,m")</f>
        <v/>
      </c>
      <c r="O277">
        <f>TEXT(44198, "[$-83C]dddd,ddd,mmmm,mmm,mmmmm,m")</f>
        <v/>
      </c>
    </row>
    <row r="278">
      <c r="A278" t="inlineStr">
        <is>
          <t>0x83E</t>
        </is>
      </c>
      <c r="B278" t="inlineStr">
        <is>
          <t>ms-BN</t>
        </is>
      </c>
      <c r="C278">
        <f>TEXT(43836, "[$-83E]dddd,ddd,mmmm,mmm,mmmmm,m")</f>
        <v/>
      </c>
      <c r="D278">
        <f>TEXT(43865, "[$-83E]dddd,ddd,mmmm,mmm,mmmmm,m")</f>
        <v/>
      </c>
      <c r="E278">
        <f>TEXT(43894, "[$-83E]dddd,ddd,mmmm,mmm,mmmmm,m")</f>
        <v/>
      </c>
      <c r="F278">
        <f>TEXT(43923, "[$-83E]dddd,ddd,mmmm,mmm,mmmmm,m")</f>
        <v/>
      </c>
      <c r="G278">
        <f>TEXT(43952, "[$-83E]dddd,ddd,mmmm,mmm,mmmmm,m")</f>
        <v/>
      </c>
      <c r="H278">
        <f>TEXT(43988, "[$-83E]dddd,ddd,mmmm,mmm,mmmmm,m")</f>
        <v/>
      </c>
      <c r="I278">
        <f>TEXT(44017, "[$-83E]dddd,ddd,mmmm,mmm,mmmmm,m")</f>
        <v/>
      </c>
      <c r="J278">
        <f>TEXT(44046, "[$-83E]dddd,ddd,mmmm,mmm,mmmmm,m")</f>
        <v/>
      </c>
      <c r="K278">
        <f>TEXT(44082, "[$-83E]dddd,ddd,mmmm,mmm,mmmmm,m")</f>
        <v/>
      </c>
      <c r="L278">
        <f>TEXT(44111, "[$-83E]dddd,ddd,mmmm,mmm,mmmmm,m")</f>
        <v/>
      </c>
      <c r="M278">
        <f>TEXT(44140, "[$-83E]dddd,ddd,mmmm,mmm,mmmmm,m")</f>
        <v/>
      </c>
      <c r="N278">
        <f>TEXT(44169, "[$-83E]dddd,ddd,mmmm,mmm,mmmmm,m")</f>
        <v/>
      </c>
      <c r="O278">
        <f>TEXT(44198, "[$-83E]dddd,ddd,mmmm,mmm,mmmmm,m")</f>
        <v/>
      </c>
    </row>
    <row r="279">
      <c r="A279" t="inlineStr">
        <is>
          <t>0x843</t>
        </is>
      </c>
      <c r="B279" t="inlineStr">
        <is>
          <t>uz-Cyrl_UZ</t>
        </is>
      </c>
      <c r="C279">
        <f>TEXT(43836, "[$-843]dddd,ddd,mmmm,mmm,mmmmm,m")</f>
        <v/>
      </c>
      <c r="D279">
        <f>TEXT(43865, "[$-843]dddd,ddd,mmmm,mmm,mmmmm,m")</f>
        <v/>
      </c>
      <c r="E279">
        <f>TEXT(43894, "[$-843]dddd,ddd,mmmm,mmm,mmmmm,m")</f>
        <v/>
      </c>
      <c r="F279">
        <f>TEXT(43923, "[$-843]dddd,ddd,mmmm,mmm,mmmmm,m")</f>
        <v/>
      </c>
      <c r="G279">
        <f>TEXT(43952, "[$-843]dddd,ddd,mmmm,mmm,mmmmm,m")</f>
        <v/>
      </c>
      <c r="H279">
        <f>TEXT(43988, "[$-843]dddd,ddd,mmmm,mmm,mmmmm,m")</f>
        <v/>
      </c>
      <c r="I279">
        <f>TEXT(44017, "[$-843]dddd,ddd,mmmm,mmm,mmmmm,m")</f>
        <v/>
      </c>
      <c r="J279">
        <f>TEXT(44046, "[$-843]dddd,ddd,mmmm,mmm,mmmmm,m")</f>
        <v/>
      </c>
      <c r="K279">
        <f>TEXT(44082, "[$-843]dddd,ddd,mmmm,mmm,mmmmm,m")</f>
        <v/>
      </c>
      <c r="L279">
        <f>TEXT(44111, "[$-843]dddd,ddd,mmmm,mmm,mmmmm,m")</f>
        <v/>
      </c>
      <c r="M279">
        <f>TEXT(44140, "[$-843]dddd,ddd,mmmm,mmm,mmmmm,m")</f>
        <v/>
      </c>
      <c r="N279">
        <f>TEXT(44169, "[$-843]dddd,ddd,mmmm,mmm,mmmmm,m")</f>
        <v/>
      </c>
      <c r="O279">
        <f>TEXT(44198, "[$-843]dddd,ddd,mmmm,mmm,mmmmm,m")</f>
        <v/>
      </c>
    </row>
    <row r="280">
      <c r="A280" t="inlineStr">
        <is>
          <t>0x5000845</t>
        </is>
      </c>
      <c r="B280" t="inlineStr">
        <is>
          <t>bn-BD</t>
        </is>
      </c>
      <c r="C280">
        <f>TEXT(43836, "[$-5000845]dddd,ddd,mmmm,mmm,mmmmm,m")</f>
        <v/>
      </c>
      <c r="D280">
        <f>TEXT(43865, "[$-5000845]dddd,ddd,mmmm,mmm,mmmmm,m")</f>
        <v/>
      </c>
      <c r="E280">
        <f>TEXT(43894, "[$-5000845]dddd,ddd,mmmm,mmm,mmmmm,m")</f>
        <v/>
      </c>
      <c r="F280">
        <f>TEXT(43923, "[$-5000845]dddd,ddd,mmmm,mmm,mmmmm,m")</f>
        <v/>
      </c>
      <c r="G280">
        <f>TEXT(43952, "[$-5000845]dddd,ddd,mmmm,mmm,mmmmm,m")</f>
        <v/>
      </c>
      <c r="H280">
        <f>TEXT(43988, "[$-5000845]dddd,ddd,mmmm,mmm,mmmmm,m")</f>
        <v/>
      </c>
      <c r="I280">
        <f>TEXT(44017, "[$-5000845]dddd,ddd,mmmm,mmm,mmmmm,m")</f>
        <v/>
      </c>
      <c r="J280">
        <f>TEXT(44046, "[$-5000845]dddd,ddd,mmmm,mmm,mmmmm,m")</f>
        <v/>
      </c>
      <c r="K280">
        <f>TEXT(44082, "[$-5000845]dddd,ddd,mmmm,mmm,mmmmm,m")</f>
        <v/>
      </c>
      <c r="L280">
        <f>TEXT(44111, "[$-5000845]dddd,ddd,mmmm,mmm,mmmmm,m")</f>
        <v/>
      </c>
      <c r="M280">
        <f>TEXT(44140, "[$-5000845]dddd,ddd,mmmm,mmm,mmmmm,m")</f>
        <v/>
      </c>
      <c r="N280">
        <f>TEXT(44169, "[$-5000845]dddd,ddd,mmmm,mmm,mmmmm,m")</f>
        <v/>
      </c>
      <c r="O280">
        <f>TEXT(44198, "[$-5000845]dddd,ddd,mmmm,mmm,mmmmm,m")</f>
        <v/>
      </c>
    </row>
    <row r="281">
      <c r="A281" t="inlineStr">
        <is>
          <t>0x846</t>
        </is>
      </c>
      <c r="B281" t="inlineStr">
        <is>
          <t>pa-Arab_PK</t>
        </is>
      </c>
      <c r="C281">
        <f>TEXT(43836, "[$-846]dddd,ddd,mmmm,mmm,mmmmm,m")</f>
        <v/>
      </c>
      <c r="D281">
        <f>TEXT(43865, "[$-846]dddd,ddd,mmmm,mmm,mmmmm,m")</f>
        <v/>
      </c>
      <c r="E281">
        <f>TEXT(43894, "[$-846]dddd,ddd,mmmm,mmm,mmmmm,m")</f>
        <v/>
      </c>
      <c r="F281">
        <f>TEXT(43923, "[$-846]dddd,ddd,mmmm,mmm,mmmmm,m")</f>
        <v/>
      </c>
      <c r="G281">
        <f>TEXT(43952, "[$-846]dddd,ddd,mmmm,mmm,mmmmm,m")</f>
        <v/>
      </c>
      <c r="H281">
        <f>TEXT(43988, "[$-846]dddd,ddd,mmmm,mmm,mmmmm,m")</f>
        <v/>
      </c>
      <c r="I281">
        <f>TEXT(44017, "[$-846]dddd,ddd,mmmm,mmm,mmmmm,m")</f>
        <v/>
      </c>
      <c r="J281">
        <f>TEXT(44046, "[$-846]dddd,ddd,mmmm,mmm,mmmmm,m")</f>
        <v/>
      </c>
      <c r="K281">
        <f>TEXT(44082, "[$-846]dddd,ddd,mmmm,mmm,mmmmm,m")</f>
        <v/>
      </c>
      <c r="L281">
        <f>TEXT(44111, "[$-846]dddd,ddd,mmmm,mmm,mmmmm,m")</f>
        <v/>
      </c>
      <c r="M281">
        <f>TEXT(44140, "[$-846]dddd,ddd,mmmm,mmm,mmmmm,m")</f>
        <v/>
      </c>
      <c r="N281">
        <f>TEXT(44169, "[$-846]dddd,ddd,mmmm,mmm,mmmmm,m")</f>
        <v/>
      </c>
      <c r="O281">
        <f>TEXT(44198, "[$-846]dddd,ddd,mmmm,mmm,mmmmm,m")</f>
        <v/>
      </c>
    </row>
    <row r="282">
      <c r="A282" t="inlineStr">
        <is>
          <t>0x9000849</t>
        </is>
      </c>
      <c r="B282" t="inlineStr">
        <is>
          <t>ta-LK</t>
        </is>
      </c>
      <c r="C282">
        <f>TEXT(43836, "[$-9000849]dddd,ddd,mmmm,mmm,mmmmm,m")</f>
        <v/>
      </c>
      <c r="D282">
        <f>TEXT(43865, "[$-9000849]dddd,ddd,mmmm,mmm,mmmmm,m")</f>
        <v/>
      </c>
      <c r="E282">
        <f>TEXT(43894, "[$-9000849]dddd,ddd,mmmm,mmm,mmmmm,m")</f>
        <v/>
      </c>
      <c r="F282">
        <f>TEXT(43923, "[$-9000849]dddd,ddd,mmmm,mmm,mmmmm,m")</f>
        <v/>
      </c>
      <c r="G282">
        <f>TEXT(43952, "[$-9000849]dddd,ddd,mmmm,mmm,mmmmm,m")</f>
        <v/>
      </c>
      <c r="H282">
        <f>TEXT(43988, "[$-9000849]dddd,ddd,mmmm,mmm,mmmmm,m")</f>
        <v/>
      </c>
      <c r="I282">
        <f>TEXT(44017, "[$-9000849]dddd,ddd,mmmm,mmm,mmmmm,m")</f>
        <v/>
      </c>
      <c r="J282">
        <f>TEXT(44046, "[$-9000849]dddd,ddd,mmmm,mmm,mmmmm,m")</f>
        <v/>
      </c>
      <c r="K282">
        <f>TEXT(44082, "[$-9000849]dddd,ddd,mmmm,mmm,mmmmm,m")</f>
        <v/>
      </c>
      <c r="L282">
        <f>TEXT(44111, "[$-9000849]dddd,ddd,mmmm,mmm,mmmmm,m")</f>
        <v/>
      </c>
      <c r="M282">
        <f>TEXT(44140, "[$-9000849]dddd,ddd,mmmm,mmm,mmmmm,m")</f>
        <v/>
      </c>
      <c r="N282">
        <f>TEXT(44169, "[$-9000849]dddd,ddd,mmmm,mmm,mmmmm,m")</f>
        <v/>
      </c>
      <c r="O282">
        <f>TEXT(44198, "[$-9000849]dddd,ddd,mmmm,mmm,mmmmm,m")</f>
        <v/>
      </c>
    </row>
    <row r="283">
      <c r="A283" t="inlineStr">
        <is>
          <t>0x13000850</t>
        </is>
      </c>
      <c r="B283" t="inlineStr">
        <is>
          <t>mn-Mong_CN</t>
        </is>
      </c>
      <c r="C283">
        <f>TEXT(43836, "[$-13000850]dddd,ddd,mmmm,mmm,mmmmm,m")</f>
        <v/>
      </c>
      <c r="D283">
        <f>TEXT(43865, "[$-13000850]dddd,ddd,mmmm,mmm,mmmmm,m")</f>
        <v/>
      </c>
      <c r="E283">
        <f>TEXT(43894, "[$-13000850]dddd,ddd,mmmm,mmm,mmmmm,m")</f>
        <v/>
      </c>
      <c r="F283">
        <f>TEXT(43923, "[$-13000850]dddd,ddd,mmmm,mmm,mmmmm,m")</f>
        <v/>
      </c>
      <c r="G283">
        <f>TEXT(43952, "[$-13000850]dddd,ddd,mmmm,mmm,mmmmm,m")</f>
        <v/>
      </c>
      <c r="H283">
        <f>TEXT(43988, "[$-13000850]dddd,ddd,mmmm,mmm,mmmmm,m")</f>
        <v/>
      </c>
      <c r="I283">
        <f>TEXT(44017, "[$-13000850]dddd,ddd,mmmm,mmm,mmmmm,m")</f>
        <v/>
      </c>
      <c r="J283">
        <f>TEXT(44046, "[$-13000850]dddd,ddd,mmmm,mmm,mmmmm,m")</f>
        <v/>
      </c>
      <c r="K283">
        <f>TEXT(44082, "[$-13000850]dddd,ddd,mmmm,mmm,mmmmm,m")</f>
        <v/>
      </c>
      <c r="L283">
        <f>TEXT(44111, "[$-13000850]dddd,ddd,mmmm,mmm,mmmmm,m")</f>
        <v/>
      </c>
      <c r="M283">
        <f>TEXT(44140, "[$-13000850]dddd,ddd,mmmm,mmm,mmmmm,m")</f>
        <v/>
      </c>
      <c r="N283">
        <f>TEXT(44169, "[$-13000850]dddd,ddd,mmmm,mmm,mmmmm,m")</f>
        <v/>
      </c>
      <c r="O283">
        <f>TEXT(44198, "[$-13000850]dddd,ddd,mmmm,mmm,mmmmm,m")</f>
        <v/>
      </c>
    </row>
    <row r="284">
      <c r="A284" t="inlineStr">
        <is>
          <t>0x859</t>
        </is>
      </c>
      <c r="B284" t="inlineStr">
        <is>
          <t>sd-Arab_PK</t>
        </is>
      </c>
      <c r="C284">
        <f>TEXT(43836, "[$-859]dddd,ddd,mmmm,mmm,mmmmm,m")</f>
        <v/>
      </c>
      <c r="D284">
        <f>TEXT(43865, "[$-859]dddd,ddd,mmmm,mmm,mmmmm,m")</f>
        <v/>
      </c>
      <c r="E284">
        <f>TEXT(43894, "[$-859]dddd,ddd,mmmm,mmm,mmmmm,m")</f>
        <v/>
      </c>
      <c r="F284">
        <f>TEXT(43923, "[$-859]dddd,ddd,mmmm,mmm,mmmmm,m")</f>
        <v/>
      </c>
      <c r="G284">
        <f>TEXT(43952, "[$-859]dddd,ddd,mmmm,mmm,mmmmm,m")</f>
        <v/>
      </c>
      <c r="H284">
        <f>TEXT(43988, "[$-859]dddd,ddd,mmmm,mmm,mmmmm,m")</f>
        <v/>
      </c>
      <c r="I284">
        <f>TEXT(44017, "[$-859]dddd,ddd,mmmm,mmm,mmmmm,m")</f>
        <v/>
      </c>
      <c r="J284">
        <f>TEXT(44046, "[$-859]dddd,ddd,mmmm,mmm,mmmmm,m")</f>
        <v/>
      </c>
      <c r="K284">
        <f>TEXT(44082, "[$-859]dddd,ddd,mmmm,mmm,mmmmm,m")</f>
        <v/>
      </c>
      <c r="L284">
        <f>TEXT(44111, "[$-859]dddd,ddd,mmmm,mmm,mmmmm,m")</f>
        <v/>
      </c>
      <c r="M284">
        <f>TEXT(44140, "[$-859]dddd,ddd,mmmm,mmm,mmmmm,m")</f>
        <v/>
      </c>
      <c r="N284">
        <f>TEXT(44169, "[$-859]dddd,ddd,mmmm,mmm,mmmmm,m")</f>
        <v/>
      </c>
      <c r="O284">
        <f>TEXT(44198, "[$-859]dddd,ddd,mmmm,mmm,mmmmm,m")</f>
        <v/>
      </c>
    </row>
    <row r="285">
      <c r="A285" t="inlineStr">
        <is>
          <t>0x85D</t>
        </is>
      </c>
      <c r="B285" t="inlineStr">
        <is>
          <t>iu-Latn_CA</t>
        </is>
      </c>
      <c r="C285">
        <f>TEXT(43836, "[$-85D]dddd,ddd,mmmm,mmm,mmmmm,m")</f>
        <v/>
      </c>
      <c r="D285">
        <f>TEXT(43865, "[$-85D]dddd,ddd,mmmm,mmm,mmmmm,m")</f>
        <v/>
      </c>
      <c r="E285">
        <f>TEXT(43894, "[$-85D]dddd,ddd,mmmm,mmm,mmmmm,m")</f>
        <v/>
      </c>
      <c r="F285">
        <f>TEXT(43923, "[$-85D]dddd,ddd,mmmm,mmm,mmmmm,m")</f>
        <v/>
      </c>
      <c r="G285">
        <f>TEXT(43952, "[$-85D]dddd,ddd,mmmm,mmm,mmmmm,m")</f>
        <v/>
      </c>
      <c r="H285">
        <f>TEXT(43988, "[$-85D]dddd,ddd,mmmm,mmm,mmmmm,m")</f>
        <v/>
      </c>
      <c r="I285">
        <f>TEXT(44017, "[$-85D]dddd,ddd,mmmm,mmm,mmmmm,m")</f>
        <v/>
      </c>
      <c r="J285">
        <f>TEXT(44046, "[$-85D]dddd,ddd,mmmm,mmm,mmmmm,m")</f>
        <v/>
      </c>
      <c r="K285">
        <f>TEXT(44082, "[$-85D]dddd,ddd,mmmm,mmm,mmmmm,m")</f>
        <v/>
      </c>
      <c r="L285">
        <f>TEXT(44111, "[$-85D]dddd,ddd,mmmm,mmm,mmmmm,m")</f>
        <v/>
      </c>
      <c r="M285">
        <f>TEXT(44140, "[$-85D]dddd,ddd,mmmm,mmm,mmmmm,m")</f>
        <v/>
      </c>
      <c r="N285">
        <f>TEXT(44169, "[$-85D]dddd,ddd,mmmm,mmm,mmmmm,m")</f>
        <v/>
      </c>
      <c r="O285">
        <f>TEXT(44198, "[$-85D]dddd,ddd,mmmm,mmm,mmmmm,m")</f>
        <v/>
      </c>
    </row>
    <row r="286">
      <c r="A286" t="inlineStr">
        <is>
          <t>0x85F</t>
        </is>
      </c>
      <c r="B286" t="inlineStr">
        <is>
          <t>tzm-Latn_DZ</t>
        </is>
      </c>
      <c r="C286">
        <f>TEXT(43836, "[$-85F]dddd,ddd,mmmm,mmm,mmmmm,m")</f>
        <v/>
      </c>
      <c r="D286">
        <f>TEXT(43865, "[$-85F]dddd,ddd,mmmm,mmm,mmmmm,m")</f>
        <v/>
      </c>
      <c r="E286">
        <f>TEXT(43894, "[$-85F]dddd,ddd,mmmm,mmm,mmmmm,m")</f>
        <v/>
      </c>
      <c r="F286">
        <f>TEXT(43923, "[$-85F]dddd,ddd,mmmm,mmm,mmmmm,m")</f>
        <v/>
      </c>
      <c r="G286">
        <f>TEXT(43952, "[$-85F]dddd,ddd,mmmm,mmm,mmmmm,m")</f>
        <v/>
      </c>
      <c r="H286">
        <f>TEXT(43988, "[$-85F]dddd,ddd,mmmm,mmm,mmmmm,m")</f>
        <v/>
      </c>
      <c r="I286">
        <f>TEXT(44017, "[$-85F]dddd,ddd,mmmm,mmm,mmmmm,m")</f>
        <v/>
      </c>
      <c r="J286">
        <f>TEXT(44046, "[$-85F]dddd,ddd,mmmm,mmm,mmmmm,m")</f>
        <v/>
      </c>
      <c r="K286">
        <f>TEXT(44082, "[$-85F]dddd,ddd,mmmm,mmm,mmmmm,m")</f>
        <v/>
      </c>
      <c r="L286">
        <f>TEXT(44111, "[$-85F]dddd,ddd,mmmm,mmm,mmmmm,m")</f>
        <v/>
      </c>
      <c r="M286">
        <f>TEXT(44140, "[$-85F]dddd,ddd,mmmm,mmm,mmmmm,m")</f>
        <v/>
      </c>
      <c r="N286">
        <f>TEXT(44169, "[$-85F]dddd,ddd,mmmm,mmm,mmmmm,m")</f>
        <v/>
      </c>
      <c r="O286">
        <f>TEXT(44198, "[$-85F]dddd,ddd,mmmm,mmm,mmmmm,m")</f>
        <v/>
      </c>
    </row>
    <row r="287">
      <c r="A287" t="inlineStr">
        <is>
          <t>0x861</t>
        </is>
      </c>
      <c r="B287" t="inlineStr">
        <is>
          <t>ne-IN</t>
        </is>
      </c>
      <c r="C287">
        <f>TEXT(43836, "[$-861]dddd,ddd,mmmm,mmm,mmmmm,m")</f>
        <v/>
      </c>
      <c r="D287">
        <f>TEXT(43865, "[$-861]dddd,ddd,mmmm,mmm,mmmmm,m")</f>
        <v/>
      </c>
      <c r="E287">
        <f>TEXT(43894, "[$-861]dddd,ddd,mmmm,mmm,mmmmm,m")</f>
        <v/>
      </c>
      <c r="F287">
        <f>TEXT(43923, "[$-861]dddd,ddd,mmmm,mmm,mmmmm,m")</f>
        <v/>
      </c>
      <c r="G287">
        <f>TEXT(43952, "[$-861]dddd,ddd,mmmm,mmm,mmmmm,m")</f>
        <v/>
      </c>
      <c r="H287">
        <f>TEXT(43988, "[$-861]dddd,ddd,mmmm,mmm,mmmmm,m")</f>
        <v/>
      </c>
      <c r="I287">
        <f>TEXT(44017, "[$-861]dddd,ddd,mmmm,mmm,mmmmm,m")</f>
        <v/>
      </c>
      <c r="J287">
        <f>TEXT(44046, "[$-861]dddd,ddd,mmmm,mmm,mmmmm,m")</f>
        <v/>
      </c>
      <c r="K287">
        <f>TEXT(44082, "[$-861]dddd,ddd,mmmm,mmm,mmmmm,m")</f>
        <v/>
      </c>
      <c r="L287">
        <f>TEXT(44111, "[$-861]dddd,ddd,mmmm,mmm,mmmmm,m")</f>
        <v/>
      </c>
      <c r="M287">
        <f>TEXT(44140, "[$-861]dddd,ddd,mmmm,mmm,mmmmm,m")</f>
        <v/>
      </c>
      <c r="N287">
        <f>TEXT(44169, "[$-861]dddd,ddd,mmmm,mmm,mmmmm,m")</f>
        <v/>
      </c>
      <c r="O287">
        <f>TEXT(44198, "[$-861]dddd,ddd,mmmm,mmm,mmmmm,m")</f>
        <v/>
      </c>
    </row>
    <row r="288">
      <c r="A288" t="inlineStr">
        <is>
          <t>0x867</t>
        </is>
      </c>
      <c r="B288" t="inlineStr">
        <is>
          <t>ff-Latn_SN</t>
        </is>
      </c>
      <c r="C288">
        <f>TEXT(43836, "[$-867]dddd,ddd,mmmm,mmm,mmmmm,m")</f>
        <v/>
      </c>
      <c r="D288">
        <f>TEXT(43865, "[$-867]dddd,ddd,mmmm,mmm,mmmmm,m")</f>
        <v/>
      </c>
      <c r="E288">
        <f>TEXT(43894, "[$-867]dddd,ddd,mmmm,mmm,mmmmm,m")</f>
        <v/>
      </c>
      <c r="F288">
        <f>TEXT(43923, "[$-867]dddd,ddd,mmmm,mmm,mmmmm,m")</f>
        <v/>
      </c>
      <c r="G288">
        <f>TEXT(43952, "[$-867]dddd,ddd,mmmm,mmm,mmmmm,m")</f>
        <v/>
      </c>
      <c r="H288">
        <f>TEXT(43988, "[$-867]dddd,ddd,mmmm,mmm,mmmmm,m")</f>
        <v/>
      </c>
      <c r="I288">
        <f>TEXT(44017, "[$-867]dddd,ddd,mmmm,mmm,mmmmm,m")</f>
        <v/>
      </c>
      <c r="J288">
        <f>TEXT(44046, "[$-867]dddd,ddd,mmmm,mmm,mmmmm,m")</f>
        <v/>
      </c>
      <c r="K288">
        <f>TEXT(44082, "[$-867]dddd,ddd,mmmm,mmm,mmmmm,m")</f>
        <v/>
      </c>
      <c r="L288">
        <f>TEXT(44111, "[$-867]dddd,ddd,mmmm,mmm,mmmmm,m")</f>
        <v/>
      </c>
      <c r="M288">
        <f>TEXT(44140, "[$-867]dddd,ddd,mmmm,mmm,mmmmm,m")</f>
        <v/>
      </c>
      <c r="N288">
        <f>TEXT(44169, "[$-867]dddd,ddd,mmmm,mmm,mmmmm,m")</f>
        <v/>
      </c>
      <c r="O288">
        <f>TEXT(44198, "[$-867]dddd,ddd,mmmm,mmm,mmmmm,m")</f>
        <v/>
      </c>
    </row>
    <row r="289">
      <c r="A289" t="inlineStr">
        <is>
          <t>0x86B</t>
        </is>
      </c>
      <c r="B289" t="inlineStr">
        <is>
          <t>quz-EC</t>
        </is>
      </c>
      <c r="C289">
        <f>TEXT(43836, "[$-86B]dddd,ddd,mmmm,mmm,mmmmm,m")</f>
        <v/>
      </c>
      <c r="D289">
        <f>TEXT(43865, "[$-86B]dddd,ddd,mmmm,mmm,mmmmm,m")</f>
        <v/>
      </c>
      <c r="E289">
        <f>TEXT(43894, "[$-86B]dddd,ddd,mmmm,mmm,mmmmm,m")</f>
        <v/>
      </c>
      <c r="F289">
        <f>TEXT(43923, "[$-86B]dddd,ddd,mmmm,mmm,mmmmm,m")</f>
        <v/>
      </c>
      <c r="G289">
        <f>TEXT(43952, "[$-86B]dddd,ddd,mmmm,mmm,mmmmm,m")</f>
        <v/>
      </c>
      <c r="H289">
        <f>TEXT(43988, "[$-86B]dddd,ddd,mmmm,mmm,mmmmm,m")</f>
        <v/>
      </c>
      <c r="I289">
        <f>TEXT(44017, "[$-86B]dddd,ddd,mmmm,mmm,mmmmm,m")</f>
        <v/>
      </c>
      <c r="J289">
        <f>TEXT(44046, "[$-86B]dddd,ddd,mmmm,mmm,mmmmm,m")</f>
        <v/>
      </c>
      <c r="K289">
        <f>TEXT(44082, "[$-86B]dddd,ddd,mmmm,mmm,mmmmm,m")</f>
        <v/>
      </c>
      <c r="L289">
        <f>TEXT(44111, "[$-86B]dddd,ddd,mmmm,mmm,mmmmm,m")</f>
        <v/>
      </c>
      <c r="M289">
        <f>TEXT(44140, "[$-86B]dddd,ddd,mmmm,mmm,mmmmm,m")</f>
        <v/>
      </c>
      <c r="N289">
        <f>TEXT(44169, "[$-86B]dddd,ddd,mmmm,mmm,mmmmm,m")</f>
        <v/>
      </c>
      <c r="O289">
        <f>TEXT(44198, "[$-86B]dddd,ddd,mmmm,mmm,mmmmm,m")</f>
        <v/>
      </c>
    </row>
    <row r="290">
      <c r="A290" t="inlineStr">
        <is>
          <t>0x873</t>
        </is>
      </c>
      <c r="B290" t="inlineStr">
        <is>
          <t>ti-ER</t>
        </is>
      </c>
      <c r="C290">
        <f>TEXT(43836, "[$-873]dddd,ddd,mmmm,mmm,mmmmm,m")</f>
        <v/>
      </c>
      <c r="D290">
        <f>TEXT(43865, "[$-873]dddd,ddd,mmmm,mmm,mmmmm,m")</f>
        <v/>
      </c>
      <c r="E290">
        <f>TEXT(43894, "[$-873]dddd,ddd,mmmm,mmm,mmmmm,m")</f>
        <v/>
      </c>
      <c r="F290">
        <f>TEXT(43923, "[$-873]dddd,ddd,mmmm,mmm,mmmmm,m")</f>
        <v/>
      </c>
      <c r="G290">
        <f>TEXT(43952, "[$-873]dddd,ddd,mmmm,mmm,mmmmm,m")</f>
        <v/>
      </c>
      <c r="H290">
        <f>TEXT(43988, "[$-873]dddd,ddd,mmmm,mmm,mmmmm,m")</f>
        <v/>
      </c>
      <c r="I290">
        <f>TEXT(44017, "[$-873]dddd,ddd,mmmm,mmm,mmmmm,m")</f>
        <v/>
      </c>
      <c r="J290">
        <f>TEXT(44046, "[$-873]dddd,ddd,mmmm,mmm,mmmmm,m")</f>
        <v/>
      </c>
      <c r="K290">
        <f>TEXT(44082, "[$-873]dddd,ddd,mmmm,mmm,mmmmm,m")</f>
        <v/>
      </c>
      <c r="L290">
        <f>TEXT(44111, "[$-873]dddd,ddd,mmmm,mmm,mmmmm,m")</f>
        <v/>
      </c>
      <c r="M290">
        <f>TEXT(44140, "[$-873]dddd,ddd,mmmm,mmm,mmmmm,m")</f>
        <v/>
      </c>
      <c r="N290">
        <f>TEXT(44169, "[$-873]dddd,ddd,mmmm,mmm,mmmmm,m")</f>
        <v/>
      </c>
      <c r="O290">
        <f>TEXT(44198, "[$-873]dddd,ddd,mmmm,mmm,mmmmm,m")</f>
        <v/>
      </c>
    </row>
    <row r="291">
      <c r="A291" t="inlineStr">
        <is>
          <t>0x9FF</t>
        </is>
      </c>
      <c r="B291" t="inlineStr">
        <is>
          <t>qps-plocm</t>
        </is>
      </c>
      <c r="C291">
        <f>TEXT(43836, "[$-9FF]dddd,ddd,mmmm,mmm,mmmmm,m")</f>
        <v/>
      </c>
      <c r="D291">
        <f>TEXT(43865, "[$-9FF]dddd,ddd,mmmm,mmm,mmmmm,m")</f>
        <v/>
      </c>
      <c r="E291">
        <f>TEXT(43894, "[$-9FF]dddd,ddd,mmmm,mmm,mmmmm,m")</f>
        <v/>
      </c>
      <c r="F291">
        <f>TEXT(43923, "[$-9FF]dddd,ddd,mmmm,mmm,mmmmm,m")</f>
        <v/>
      </c>
      <c r="G291">
        <f>TEXT(43952, "[$-9FF]dddd,ddd,mmmm,mmm,mmmmm,m")</f>
        <v/>
      </c>
      <c r="H291">
        <f>TEXT(43988, "[$-9FF]dddd,ddd,mmmm,mmm,mmmmm,m")</f>
        <v/>
      </c>
      <c r="I291">
        <f>TEXT(44017, "[$-9FF]dddd,ddd,mmmm,mmm,mmmmm,m")</f>
        <v/>
      </c>
      <c r="J291">
        <f>TEXT(44046, "[$-9FF]dddd,ddd,mmmm,mmm,mmmmm,m")</f>
        <v/>
      </c>
      <c r="K291">
        <f>TEXT(44082, "[$-9FF]dddd,ddd,mmmm,mmm,mmmmm,m")</f>
        <v/>
      </c>
      <c r="L291">
        <f>TEXT(44111, "[$-9FF]dddd,ddd,mmmm,mmm,mmmmm,m")</f>
        <v/>
      </c>
      <c r="M291">
        <f>TEXT(44140, "[$-9FF]dddd,ddd,mmmm,mmm,mmmmm,m")</f>
        <v/>
      </c>
      <c r="N291">
        <f>TEXT(44169, "[$-9FF]dddd,ddd,mmmm,mmm,mmmmm,m")</f>
        <v/>
      </c>
      <c r="O291">
        <f>TEXT(44198, "[$-9FF]dddd,ddd,mmmm,mmm,mmmmm,m")</f>
        <v/>
      </c>
    </row>
    <row r="292">
      <c r="A292" t="inlineStr">
        <is>
          <t>0xC01</t>
        </is>
      </c>
      <c r="B292" t="inlineStr">
        <is>
          <t>ar-EG</t>
        </is>
      </c>
      <c r="C292">
        <f>TEXT(43836, "[$-C01]dddd,ddd,mmmm,mmm,mmmmm,m")</f>
        <v/>
      </c>
      <c r="D292">
        <f>TEXT(43865, "[$-C01]dddd,ddd,mmmm,mmm,mmmmm,m")</f>
        <v/>
      </c>
      <c r="E292">
        <f>TEXT(43894, "[$-C01]dddd,ddd,mmmm,mmm,mmmmm,m")</f>
        <v/>
      </c>
      <c r="F292">
        <f>TEXT(43923, "[$-C01]dddd,ddd,mmmm,mmm,mmmmm,m")</f>
        <v/>
      </c>
      <c r="G292">
        <f>TEXT(43952, "[$-C01]dddd,ddd,mmmm,mmm,mmmmm,m")</f>
        <v/>
      </c>
      <c r="H292">
        <f>TEXT(43988, "[$-C01]dddd,ddd,mmmm,mmm,mmmmm,m")</f>
        <v/>
      </c>
      <c r="I292">
        <f>TEXT(44017, "[$-C01]dddd,ddd,mmmm,mmm,mmmmm,m")</f>
        <v/>
      </c>
      <c r="J292">
        <f>TEXT(44046, "[$-C01]dddd,ddd,mmmm,mmm,mmmmm,m")</f>
        <v/>
      </c>
      <c r="K292">
        <f>TEXT(44082, "[$-C01]dddd,ddd,mmmm,mmm,mmmmm,m")</f>
        <v/>
      </c>
      <c r="L292">
        <f>TEXT(44111, "[$-C01]dddd,ddd,mmmm,mmm,mmmmm,m")</f>
        <v/>
      </c>
      <c r="M292">
        <f>TEXT(44140, "[$-C01]dddd,ddd,mmmm,mmm,mmmmm,m")</f>
        <v/>
      </c>
      <c r="N292">
        <f>TEXT(44169, "[$-C01]dddd,ddd,mmmm,mmm,mmmmm,m")</f>
        <v/>
      </c>
      <c r="O292">
        <f>TEXT(44198, "[$-C01]dddd,ddd,mmmm,mmm,mmmmm,m")</f>
        <v/>
      </c>
    </row>
    <row r="293">
      <c r="A293" t="inlineStr">
        <is>
          <t>0x1E000C04</t>
        </is>
      </c>
      <c r="B293" t="inlineStr">
        <is>
          <t>zh-HK</t>
        </is>
      </c>
      <c r="C293">
        <f>TEXT(43836, "[$-1E000C04]dddd,ddd,mmmm,mmm,mmmmm,m")</f>
        <v/>
      </c>
      <c r="D293">
        <f>TEXT(43865, "[$-1E000C04]dddd,ddd,mmmm,mmm,mmmmm,m")</f>
        <v/>
      </c>
      <c r="E293">
        <f>TEXT(43894, "[$-1E000C04]dddd,ddd,mmmm,mmm,mmmmm,m")</f>
        <v/>
      </c>
      <c r="F293">
        <f>TEXT(43923, "[$-1E000C04]dddd,ddd,mmmm,mmm,mmmmm,m")</f>
        <v/>
      </c>
      <c r="G293">
        <f>TEXT(43952, "[$-1E000C04]dddd,ddd,mmmm,mmm,mmmmm,m")</f>
        <v/>
      </c>
      <c r="H293">
        <f>TEXT(43988, "[$-1E000C04]dddd,ddd,mmmm,mmm,mmmmm,m")</f>
        <v/>
      </c>
      <c r="I293">
        <f>TEXT(44017, "[$-1E000C04]dddd,ddd,mmmm,mmm,mmmmm,m")</f>
        <v/>
      </c>
      <c r="J293">
        <f>TEXT(44046, "[$-1E000C04]dddd,ddd,mmmm,mmm,mmmmm,m")</f>
        <v/>
      </c>
      <c r="K293">
        <f>TEXT(44082, "[$-1E000C04]dddd,ddd,mmmm,mmm,mmmmm,m")</f>
        <v/>
      </c>
      <c r="L293">
        <f>TEXT(44111, "[$-1E000C04]dddd,ddd,mmmm,mmm,mmmmm,m")</f>
        <v/>
      </c>
      <c r="M293">
        <f>TEXT(44140, "[$-1E000C04]dddd,ddd,mmmm,mmm,mmmmm,m")</f>
        <v/>
      </c>
      <c r="N293">
        <f>TEXT(44169, "[$-1E000C04]dddd,ddd,mmmm,mmm,mmmmm,m")</f>
        <v/>
      </c>
      <c r="O293">
        <f>TEXT(44198, "[$-1E000C04]dddd,ddd,mmmm,mmm,mmmmm,m")</f>
        <v/>
      </c>
    </row>
    <row r="294">
      <c r="A294" t="inlineStr">
        <is>
          <t>0xC07</t>
        </is>
      </c>
      <c r="B294" t="inlineStr">
        <is>
          <t>de-AT</t>
        </is>
      </c>
      <c r="C294">
        <f>TEXT(43836, "[$-C07]dddd,ddd,mmmm,mmm,mmmmm,m")</f>
        <v/>
      </c>
      <c r="D294">
        <f>TEXT(43865, "[$-C07]dddd,ddd,mmmm,mmm,mmmmm,m")</f>
        <v/>
      </c>
      <c r="E294">
        <f>TEXT(43894, "[$-C07]dddd,ddd,mmmm,mmm,mmmmm,m")</f>
        <v/>
      </c>
      <c r="F294">
        <f>TEXT(43923, "[$-C07]dddd,ddd,mmmm,mmm,mmmmm,m")</f>
        <v/>
      </c>
      <c r="G294">
        <f>TEXT(43952, "[$-C07]dddd,ddd,mmmm,mmm,mmmmm,m")</f>
        <v/>
      </c>
      <c r="H294">
        <f>TEXT(43988, "[$-C07]dddd,ddd,mmmm,mmm,mmmmm,m")</f>
        <v/>
      </c>
      <c r="I294">
        <f>TEXT(44017, "[$-C07]dddd,ddd,mmmm,mmm,mmmmm,m")</f>
        <v/>
      </c>
      <c r="J294">
        <f>TEXT(44046, "[$-C07]dddd,ddd,mmmm,mmm,mmmmm,m")</f>
        <v/>
      </c>
      <c r="K294">
        <f>TEXT(44082, "[$-C07]dddd,ddd,mmmm,mmm,mmmmm,m")</f>
        <v/>
      </c>
      <c r="L294">
        <f>TEXT(44111, "[$-C07]dddd,ddd,mmmm,mmm,mmmmm,m")</f>
        <v/>
      </c>
      <c r="M294">
        <f>TEXT(44140, "[$-C07]dddd,ddd,mmmm,mmm,mmmmm,m")</f>
        <v/>
      </c>
      <c r="N294">
        <f>TEXT(44169, "[$-C07]dddd,ddd,mmmm,mmm,mmmmm,m")</f>
        <v/>
      </c>
      <c r="O294">
        <f>TEXT(44198, "[$-C07]dddd,ddd,mmmm,mmm,mmmmm,m")</f>
        <v/>
      </c>
    </row>
    <row r="295">
      <c r="A295" t="inlineStr">
        <is>
          <t>0xC09</t>
        </is>
      </c>
      <c r="B295" t="inlineStr">
        <is>
          <t>en-AU</t>
        </is>
      </c>
      <c r="C295">
        <f>TEXT(43836, "[$-C09]dddd,ddd,mmmm,mmm,mmmmm,m")</f>
        <v/>
      </c>
      <c r="D295">
        <f>TEXT(43865, "[$-C09]dddd,ddd,mmmm,mmm,mmmmm,m")</f>
        <v/>
      </c>
      <c r="E295">
        <f>TEXT(43894, "[$-C09]dddd,ddd,mmmm,mmm,mmmmm,m")</f>
        <v/>
      </c>
      <c r="F295">
        <f>TEXT(43923, "[$-C09]dddd,ddd,mmmm,mmm,mmmmm,m")</f>
        <v/>
      </c>
      <c r="G295">
        <f>TEXT(43952, "[$-C09]dddd,ddd,mmmm,mmm,mmmmm,m")</f>
        <v/>
      </c>
      <c r="H295">
        <f>TEXT(43988, "[$-C09]dddd,ddd,mmmm,mmm,mmmmm,m")</f>
        <v/>
      </c>
      <c r="I295">
        <f>TEXT(44017, "[$-C09]dddd,ddd,mmmm,mmm,mmmmm,m")</f>
        <v/>
      </c>
      <c r="J295">
        <f>TEXT(44046, "[$-C09]dddd,ddd,mmmm,mmm,mmmmm,m")</f>
        <v/>
      </c>
      <c r="K295">
        <f>TEXT(44082, "[$-C09]dddd,ddd,mmmm,mmm,mmmmm,m")</f>
        <v/>
      </c>
      <c r="L295">
        <f>TEXT(44111, "[$-C09]dddd,ddd,mmmm,mmm,mmmmm,m")</f>
        <v/>
      </c>
      <c r="M295">
        <f>TEXT(44140, "[$-C09]dddd,ddd,mmmm,mmm,mmmmm,m")</f>
        <v/>
      </c>
      <c r="N295">
        <f>TEXT(44169, "[$-C09]dddd,ddd,mmmm,mmm,mmmmm,m")</f>
        <v/>
      </c>
      <c r="O295">
        <f>TEXT(44198, "[$-C09]dddd,ddd,mmmm,mmm,mmmmm,m")</f>
        <v/>
      </c>
    </row>
    <row r="296">
      <c r="A296" t="inlineStr">
        <is>
          <t>0xC0A</t>
        </is>
      </c>
      <c r="B296" t="inlineStr">
        <is>
          <t>es-ES</t>
        </is>
      </c>
      <c r="C296">
        <f>TEXT(43836, "[$-C0A]dddd,ddd,mmmm,mmm,mmmmm,m")</f>
        <v/>
      </c>
      <c r="D296">
        <f>TEXT(43865, "[$-C0A]dddd,ddd,mmmm,mmm,mmmmm,m")</f>
        <v/>
      </c>
      <c r="E296">
        <f>TEXT(43894, "[$-C0A]dddd,ddd,mmmm,mmm,mmmmm,m")</f>
        <v/>
      </c>
      <c r="F296">
        <f>TEXT(43923, "[$-C0A]dddd,ddd,mmmm,mmm,mmmmm,m")</f>
        <v/>
      </c>
      <c r="G296">
        <f>TEXT(43952, "[$-C0A]dddd,ddd,mmmm,mmm,mmmmm,m")</f>
        <v/>
      </c>
      <c r="H296">
        <f>TEXT(43988, "[$-C0A]dddd,ddd,mmmm,mmm,mmmmm,m")</f>
        <v/>
      </c>
      <c r="I296">
        <f>TEXT(44017, "[$-C0A]dddd,ddd,mmmm,mmm,mmmmm,m")</f>
        <v/>
      </c>
      <c r="J296">
        <f>TEXT(44046, "[$-C0A]dddd,ddd,mmmm,mmm,mmmmm,m")</f>
        <v/>
      </c>
      <c r="K296">
        <f>TEXT(44082, "[$-C0A]dddd,ddd,mmmm,mmm,mmmmm,m")</f>
        <v/>
      </c>
      <c r="L296">
        <f>TEXT(44111, "[$-C0A]dddd,ddd,mmmm,mmm,mmmmm,m")</f>
        <v/>
      </c>
      <c r="M296">
        <f>TEXT(44140, "[$-C0A]dddd,ddd,mmmm,mmm,mmmmm,m")</f>
        <v/>
      </c>
      <c r="N296">
        <f>TEXT(44169, "[$-C0A]dddd,ddd,mmmm,mmm,mmmmm,m")</f>
        <v/>
      </c>
      <c r="O296">
        <f>TEXT(44198, "[$-C0A]dddd,ddd,mmmm,mmm,mmmmm,m")</f>
        <v/>
      </c>
    </row>
    <row r="297">
      <c r="A297" t="inlineStr">
        <is>
          <t>0xC0C</t>
        </is>
      </c>
      <c r="B297" t="inlineStr">
        <is>
          <t>fr-CA</t>
        </is>
      </c>
      <c r="C297">
        <f>TEXT(43836, "[$-C0C]dddd,ddd,mmmm,mmm,mmmmm,m")</f>
        <v/>
      </c>
      <c r="D297">
        <f>TEXT(43865, "[$-C0C]dddd,ddd,mmmm,mmm,mmmmm,m")</f>
        <v/>
      </c>
      <c r="E297">
        <f>TEXT(43894, "[$-C0C]dddd,ddd,mmmm,mmm,mmmmm,m")</f>
        <v/>
      </c>
      <c r="F297">
        <f>TEXT(43923, "[$-C0C]dddd,ddd,mmmm,mmm,mmmmm,m")</f>
        <v/>
      </c>
      <c r="G297">
        <f>TEXT(43952, "[$-C0C]dddd,ddd,mmmm,mmm,mmmmm,m")</f>
        <v/>
      </c>
      <c r="H297">
        <f>TEXT(43988, "[$-C0C]dddd,ddd,mmmm,mmm,mmmmm,m")</f>
        <v/>
      </c>
      <c r="I297">
        <f>TEXT(44017, "[$-C0C]dddd,ddd,mmmm,mmm,mmmmm,m")</f>
        <v/>
      </c>
      <c r="J297">
        <f>TEXT(44046, "[$-C0C]dddd,ddd,mmmm,mmm,mmmmm,m")</f>
        <v/>
      </c>
      <c r="K297">
        <f>TEXT(44082, "[$-C0C]dddd,ddd,mmmm,mmm,mmmmm,m")</f>
        <v/>
      </c>
      <c r="L297">
        <f>TEXT(44111, "[$-C0C]dddd,ddd,mmmm,mmm,mmmmm,m")</f>
        <v/>
      </c>
      <c r="M297">
        <f>TEXT(44140, "[$-C0C]dddd,ddd,mmmm,mmm,mmmmm,m")</f>
        <v/>
      </c>
      <c r="N297">
        <f>TEXT(44169, "[$-C0C]dddd,ddd,mmmm,mmm,mmmmm,m")</f>
        <v/>
      </c>
      <c r="O297">
        <f>TEXT(44198, "[$-C0C]dddd,ddd,mmmm,mmm,mmmmm,m")</f>
        <v/>
      </c>
    </row>
    <row r="298">
      <c r="A298" t="inlineStr">
        <is>
          <t>0xC1A</t>
        </is>
      </c>
      <c r="B298" t="inlineStr">
        <is>
          <t>sr-Cyrl_CS</t>
        </is>
      </c>
      <c r="C298">
        <f>TEXT(43836, "[$-C1A]dddd,ddd,mmmm,mmm,mmmmm,m")</f>
        <v/>
      </c>
      <c r="D298">
        <f>TEXT(43865, "[$-C1A]dddd,ddd,mmmm,mmm,mmmmm,m")</f>
        <v/>
      </c>
      <c r="E298">
        <f>TEXT(43894, "[$-C1A]dddd,ddd,mmmm,mmm,mmmmm,m")</f>
        <v/>
      </c>
      <c r="F298">
        <f>TEXT(43923, "[$-C1A]dddd,ddd,mmmm,mmm,mmmmm,m")</f>
        <v/>
      </c>
      <c r="G298">
        <f>TEXT(43952, "[$-C1A]dddd,ddd,mmmm,mmm,mmmmm,m")</f>
        <v/>
      </c>
      <c r="H298">
        <f>TEXT(43988, "[$-C1A]dddd,ddd,mmmm,mmm,mmmmm,m")</f>
        <v/>
      </c>
      <c r="I298">
        <f>TEXT(44017, "[$-C1A]dddd,ddd,mmmm,mmm,mmmmm,m")</f>
        <v/>
      </c>
      <c r="J298">
        <f>TEXT(44046, "[$-C1A]dddd,ddd,mmmm,mmm,mmmmm,m")</f>
        <v/>
      </c>
      <c r="K298">
        <f>TEXT(44082, "[$-C1A]dddd,ddd,mmmm,mmm,mmmmm,m")</f>
        <v/>
      </c>
      <c r="L298">
        <f>TEXT(44111, "[$-C1A]dddd,ddd,mmmm,mmm,mmmmm,m")</f>
        <v/>
      </c>
      <c r="M298">
        <f>TEXT(44140, "[$-C1A]dddd,ddd,mmmm,mmm,mmmmm,m")</f>
        <v/>
      </c>
      <c r="N298">
        <f>TEXT(44169, "[$-C1A]dddd,ddd,mmmm,mmm,mmmmm,m")</f>
        <v/>
      </c>
      <c r="O298">
        <f>TEXT(44198, "[$-C1A]dddd,ddd,mmmm,mmm,mmmmm,m")</f>
        <v/>
      </c>
    </row>
    <row r="299">
      <c r="A299" t="inlineStr">
        <is>
          <t>0xC3B</t>
        </is>
      </c>
      <c r="B299" t="inlineStr">
        <is>
          <t>se-FI</t>
        </is>
      </c>
      <c r="C299">
        <f>TEXT(43836, "[$-C3B]dddd,ddd,mmmm,mmm,mmmmm,m")</f>
        <v/>
      </c>
      <c r="D299">
        <f>TEXT(43865, "[$-C3B]dddd,ddd,mmmm,mmm,mmmmm,m")</f>
        <v/>
      </c>
      <c r="E299">
        <f>TEXT(43894, "[$-C3B]dddd,ddd,mmmm,mmm,mmmmm,m")</f>
        <v/>
      </c>
      <c r="F299">
        <f>TEXT(43923, "[$-C3B]dddd,ddd,mmmm,mmm,mmmmm,m")</f>
        <v/>
      </c>
      <c r="G299">
        <f>TEXT(43952, "[$-C3B]dddd,ddd,mmmm,mmm,mmmmm,m")</f>
        <v/>
      </c>
      <c r="H299">
        <f>TEXT(43988, "[$-C3B]dddd,ddd,mmmm,mmm,mmmmm,m")</f>
        <v/>
      </c>
      <c r="I299">
        <f>TEXT(44017, "[$-C3B]dddd,ddd,mmmm,mmm,mmmmm,m")</f>
        <v/>
      </c>
      <c r="J299">
        <f>TEXT(44046, "[$-C3B]dddd,ddd,mmmm,mmm,mmmmm,m")</f>
        <v/>
      </c>
      <c r="K299">
        <f>TEXT(44082, "[$-C3B]dddd,ddd,mmmm,mmm,mmmmm,m")</f>
        <v/>
      </c>
      <c r="L299">
        <f>TEXT(44111, "[$-C3B]dddd,ddd,mmmm,mmm,mmmmm,m")</f>
        <v/>
      </c>
      <c r="M299">
        <f>TEXT(44140, "[$-C3B]dddd,ddd,mmmm,mmm,mmmmm,m")</f>
        <v/>
      </c>
      <c r="N299">
        <f>TEXT(44169, "[$-C3B]dddd,ddd,mmmm,mmm,mmmmm,m")</f>
        <v/>
      </c>
      <c r="O299">
        <f>TEXT(44198, "[$-C3B]dddd,ddd,mmmm,mmm,mmmmm,m")</f>
        <v/>
      </c>
    </row>
    <row r="300">
      <c r="A300" t="inlineStr">
        <is>
          <t>0x13000C50</t>
        </is>
      </c>
      <c r="B300" t="inlineStr">
        <is>
          <t>mn-Mong_MN</t>
        </is>
      </c>
      <c r="C300">
        <f>TEXT(43836, "[$-13000C50]dddd,ddd,mmmm,mmm,mmmmm,m")</f>
        <v/>
      </c>
      <c r="D300">
        <f>TEXT(43865, "[$-13000C50]dddd,ddd,mmmm,mmm,mmmmm,m")</f>
        <v/>
      </c>
      <c r="E300">
        <f>TEXT(43894, "[$-13000C50]dddd,ddd,mmmm,mmm,mmmmm,m")</f>
        <v/>
      </c>
      <c r="F300">
        <f>TEXT(43923, "[$-13000C50]dddd,ddd,mmmm,mmm,mmmmm,m")</f>
        <v/>
      </c>
      <c r="G300">
        <f>TEXT(43952, "[$-13000C50]dddd,ddd,mmmm,mmm,mmmmm,m")</f>
        <v/>
      </c>
      <c r="H300">
        <f>TEXT(43988, "[$-13000C50]dddd,ddd,mmmm,mmm,mmmmm,m")</f>
        <v/>
      </c>
      <c r="I300">
        <f>TEXT(44017, "[$-13000C50]dddd,ddd,mmmm,mmm,mmmmm,m")</f>
        <v/>
      </c>
      <c r="J300">
        <f>TEXT(44046, "[$-13000C50]dddd,ddd,mmmm,mmm,mmmmm,m")</f>
        <v/>
      </c>
      <c r="K300">
        <f>TEXT(44082, "[$-13000C50]dddd,ddd,mmmm,mmm,mmmmm,m")</f>
        <v/>
      </c>
      <c r="L300">
        <f>TEXT(44111, "[$-13000C50]dddd,ddd,mmmm,mmm,mmmmm,m")</f>
        <v/>
      </c>
      <c r="M300">
        <f>TEXT(44140, "[$-13000C50]dddd,ddd,mmmm,mmm,mmmmm,m")</f>
        <v/>
      </c>
      <c r="N300">
        <f>TEXT(44169, "[$-13000C50]dddd,ddd,mmmm,mmm,mmmmm,m")</f>
        <v/>
      </c>
      <c r="O300">
        <f>TEXT(44198, "[$-13000C50]dddd,ddd,mmmm,mmm,mmmmm,m")</f>
        <v/>
      </c>
    </row>
    <row r="301">
      <c r="A301" t="inlineStr">
        <is>
          <t>0xC51</t>
        </is>
      </c>
      <c r="B301" t="inlineStr">
        <is>
          <t>dz-BT</t>
        </is>
      </c>
      <c r="C301">
        <f>TEXT(43836, "[$-C51]dddd,ddd,mmmm,mmm,mmmmm,m")</f>
        <v/>
      </c>
      <c r="D301">
        <f>TEXT(43865, "[$-C51]dddd,ddd,mmmm,mmm,mmmmm,m")</f>
        <v/>
      </c>
      <c r="E301">
        <f>TEXT(43894, "[$-C51]dddd,ddd,mmmm,mmm,mmmmm,m")</f>
        <v/>
      </c>
      <c r="F301">
        <f>TEXT(43923, "[$-C51]dddd,ddd,mmmm,mmm,mmmmm,m")</f>
        <v/>
      </c>
      <c r="G301">
        <f>TEXT(43952, "[$-C51]dddd,ddd,mmmm,mmm,mmmmm,m")</f>
        <v/>
      </c>
      <c r="H301">
        <f>TEXT(43988, "[$-C51]dddd,ddd,mmmm,mmm,mmmmm,m")</f>
        <v/>
      </c>
      <c r="I301">
        <f>TEXT(44017, "[$-C51]dddd,ddd,mmmm,mmm,mmmmm,m")</f>
        <v/>
      </c>
      <c r="J301">
        <f>TEXT(44046, "[$-C51]dddd,ddd,mmmm,mmm,mmmmm,m")</f>
        <v/>
      </c>
      <c r="K301">
        <f>TEXT(44082, "[$-C51]dddd,ddd,mmmm,mmm,mmmmm,m")</f>
        <v/>
      </c>
      <c r="L301">
        <f>TEXT(44111, "[$-C51]dddd,ddd,mmmm,mmm,mmmmm,m")</f>
        <v/>
      </c>
      <c r="M301">
        <f>TEXT(44140, "[$-C51]dddd,ddd,mmmm,mmm,mmmmm,m")</f>
        <v/>
      </c>
      <c r="N301">
        <f>TEXT(44169, "[$-C51]dddd,ddd,mmmm,mmm,mmmmm,m")</f>
        <v/>
      </c>
      <c r="O301">
        <f>TEXT(44198, "[$-C51]dddd,ddd,mmmm,mmm,mmmmm,m")</f>
        <v/>
      </c>
    </row>
    <row r="302">
      <c r="A302" t="inlineStr">
        <is>
          <t>0xC6B</t>
        </is>
      </c>
      <c r="B302" t="inlineStr">
        <is>
          <t>quz-PE</t>
        </is>
      </c>
      <c r="C302">
        <f>TEXT(43836, "[$-C6B]dddd,ddd,mmmm,mmm,mmmmm,m")</f>
        <v/>
      </c>
      <c r="D302">
        <f>TEXT(43865, "[$-C6B]dddd,ddd,mmmm,mmm,mmmmm,m")</f>
        <v/>
      </c>
      <c r="E302">
        <f>TEXT(43894, "[$-C6B]dddd,ddd,mmmm,mmm,mmmmm,m")</f>
        <v/>
      </c>
      <c r="F302">
        <f>TEXT(43923, "[$-C6B]dddd,ddd,mmmm,mmm,mmmmm,m")</f>
        <v/>
      </c>
      <c r="G302">
        <f>TEXT(43952, "[$-C6B]dddd,ddd,mmmm,mmm,mmmmm,m")</f>
        <v/>
      </c>
      <c r="H302">
        <f>TEXT(43988, "[$-C6B]dddd,ddd,mmmm,mmm,mmmmm,m")</f>
        <v/>
      </c>
      <c r="I302">
        <f>TEXT(44017, "[$-C6B]dddd,ddd,mmmm,mmm,mmmmm,m")</f>
        <v/>
      </c>
      <c r="J302">
        <f>TEXT(44046, "[$-C6B]dddd,ddd,mmmm,mmm,mmmmm,m")</f>
        <v/>
      </c>
      <c r="K302">
        <f>TEXT(44082, "[$-C6B]dddd,ddd,mmmm,mmm,mmmmm,m")</f>
        <v/>
      </c>
      <c r="L302">
        <f>TEXT(44111, "[$-C6B]dddd,ddd,mmmm,mmm,mmmmm,m")</f>
        <v/>
      </c>
      <c r="M302">
        <f>TEXT(44140, "[$-C6B]dddd,ddd,mmmm,mmm,mmmmm,m")</f>
        <v/>
      </c>
      <c r="N302">
        <f>TEXT(44169, "[$-C6B]dddd,ddd,mmmm,mmm,mmmmm,m")</f>
        <v/>
      </c>
      <c r="O302">
        <f>TEXT(44198, "[$-C6B]dddd,ddd,mmmm,mmm,mmmmm,m")</f>
        <v/>
      </c>
    </row>
    <row r="303">
      <c r="A303" t="inlineStr">
        <is>
          <t>0x1001</t>
        </is>
      </c>
      <c r="B303" t="inlineStr">
        <is>
          <t>ar-LY</t>
        </is>
      </c>
      <c r="C303">
        <f>TEXT(43836, "[$-1001]dddd,ddd,mmmm,mmm,mmmmm,m")</f>
        <v/>
      </c>
      <c r="D303">
        <f>TEXT(43865, "[$-1001]dddd,ddd,mmmm,mmm,mmmmm,m")</f>
        <v/>
      </c>
      <c r="E303">
        <f>TEXT(43894, "[$-1001]dddd,ddd,mmmm,mmm,mmmmm,m")</f>
        <v/>
      </c>
      <c r="F303">
        <f>TEXT(43923, "[$-1001]dddd,ddd,mmmm,mmm,mmmmm,m")</f>
        <v/>
      </c>
      <c r="G303">
        <f>TEXT(43952, "[$-1001]dddd,ddd,mmmm,mmm,mmmmm,m")</f>
        <v/>
      </c>
      <c r="H303">
        <f>TEXT(43988, "[$-1001]dddd,ddd,mmmm,mmm,mmmmm,m")</f>
        <v/>
      </c>
      <c r="I303">
        <f>TEXT(44017, "[$-1001]dddd,ddd,mmmm,mmm,mmmmm,m")</f>
        <v/>
      </c>
      <c r="J303">
        <f>TEXT(44046, "[$-1001]dddd,ddd,mmmm,mmm,mmmmm,m")</f>
        <v/>
      </c>
      <c r="K303">
        <f>TEXT(44082, "[$-1001]dddd,ddd,mmmm,mmm,mmmmm,m")</f>
        <v/>
      </c>
      <c r="L303">
        <f>TEXT(44111, "[$-1001]dddd,ddd,mmmm,mmm,mmmmm,m")</f>
        <v/>
      </c>
      <c r="M303">
        <f>TEXT(44140, "[$-1001]dddd,ddd,mmmm,mmm,mmmmm,m")</f>
        <v/>
      </c>
      <c r="N303">
        <f>TEXT(44169, "[$-1001]dddd,ddd,mmmm,mmm,mmmmm,m")</f>
        <v/>
      </c>
      <c r="O303">
        <f>TEXT(44198, "[$-1001]dddd,ddd,mmmm,mmm,mmmmm,m")</f>
        <v/>
      </c>
    </row>
    <row r="304">
      <c r="A304" t="inlineStr">
        <is>
          <t>0x1E001004</t>
        </is>
      </c>
      <c r="B304" t="inlineStr">
        <is>
          <t>zh-SG</t>
        </is>
      </c>
      <c r="C304">
        <f>TEXT(43836, "[$-1E001004]dddd,ddd,mmmm,mmm,mmmmm,m")</f>
        <v/>
      </c>
      <c r="D304">
        <f>TEXT(43865, "[$-1E001004]dddd,ddd,mmmm,mmm,mmmmm,m")</f>
        <v/>
      </c>
      <c r="E304">
        <f>TEXT(43894, "[$-1E001004]dddd,ddd,mmmm,mmm,mmmmm,m")</f>
        <v/>
      </c>
      <c r="F304">
        <f>TEXT(43923, "[$-1E001004]dddd,ddd,mmmm,mmm,mmmmm,m")</f>
        <v/>
      </c>
      <c r="G304">
        <f>TEXT(43952, "[$-1E001004]dddd,ddd,mmmm,mmm,mmmmm,m")</f>
        <v/>
      </c>
      <c r="H304">
        <f>TEXT(43988, "[$-1E001004]dddd,ddd,mmmm,mmm,mmmmm,m")</f>
        <v/>
      </c>
      <c r="I304">
        <f>TEXT(44017, "[$-1E001004]dddd,ddd,mmmm,mmm,mmmmm,m")</f>
        <v/>
      </c>
      <c r="J304">
        <f>TEXT(44046, "[$-1E001004]dddd,ddd,mmmm,mmm,mmmmm,m")</f>
        <v/>
      </c>
      <c r="K304">
        <f>TEXT(44082, "[$-1E001004]dddd,ddd,mmmm,mmm,mmmmm,m")</f>
        <v/>
      </c>
      <c r="L304">
        <f>TEXT(44111, "[$-1E001004]dddd,ddd,mmmm,mmm,mmmmm,m")</f>
        <v/>
      </c>
      <c r="M304">
        <f>TEXT(44140, "[$-1E001004]dddd,ddd,mmmm,mmm,mmmmm,m")</f>
        <v/>
      </c>
      <c r="N304">
        <f>TEXT(44169, "[$-1E001004]dddd,ddd,mmmm,mmm,mmmmm,m")</f>
        <v/>
      </c>
      <c r="O304">
        <f>TEXT(44198, "[$-1E001004]dddd,ddd,mmmm,mmm,mmmmm,m")</f>
        <v/>
      </c>
    </row>
    <row r="305">
      <c r="A305" t="inlineStr">
        <is>
          <t>0x1007</t>
        </is>
      </c>
      <c r="B305" t="inlineStr">
        <is>
          <t>de-LU</t>
        </is>
      </c>
      <c r="C305">
        <f>TEXT(43836, "[$-1007]dddd,ddd,mmmm,mmm,mmmmm,m")</f>
        <v/>
      </c>
      <c r="D305">
        <f>TEXT(43865, "[$-1007]dddd,ddd,mmmm,mmm,mmmmm,m")</f>
        <v/>
      </c>
      <c r="E305">
        <f>TEXT(43894, "[$-1007]dddd,ddd,mmmm,mmm,mmmmm,m")</f>
        <v/>
      </c>
      <c r="F305">
        <f>TEXT(43923, "[$-1007]dddd,ddd,mmmm,mmm,mmmmm,m")</f>
        <v/>
      </c>
      <c r="G305">
        <f>TEXT(43952, "[$-1007]dddd,ddd,mmmm,mmm,mmmmm,m")</f>
        <v/>
      </c>
      <c r="H305">
        <f>TEXT(43988, "[$-1007]dddd,ddd,mmmm,mmm,mmmmm,m")</f>
        <v/>
      </c>
      <c r="I305">
        <f>TEXT(44017, "[$-1007]dddd,ddd,mmmm,mmm,mmmmm,m")</f>
        <v/>
      </c>
      <c r="J305">
        <f>TEXT(44046, "[$-1007]dddd,ddd,mmmm,mmm,mmmmm,m")</f>
        <v/>
      </c>
      <c r="K305">
        <f>TEXT(44082, "[$-1007]dddd,ddd,mmmm,mmm,mmmmm,m")</f>
        <v/>
      </c>
      <c r="L305">
        <f>TEXT(44111, "[$-1007]dddd,ddd,mmmm,mmm,mmmmm,m")</f>
        <v/>
      </c>
      <c r="M305">
        <f>TEXT(44140, "[$-1007]dddd,ddd,mmmm,mmm,mmmmm,m")</f>
        <v/>
      </c>
      <c r="N305">
        <f>TEXT(44169, "[$-1007]dddd,ddd,mmmm,mmm,mmmmm,m")</f>
        <v/>
      </c>
      <c r="O305">
        <f>TEXT(44198, "[$-1007]dddd,ddd,mmmm,mmm,mmmmm,m")</f>
        <v/>
      </c>
    </row>
    <row r="306">
      <c r="A306" t="inlineStr">
        <is>
          <t>0x1009</t>
        </is>
      </c>
      <c r="B306" t="inlineStr">
        <is>
          <t>en-CA</t>
        </is>
      </c>
      <c r="C306">
        <f>TEXT(43836, "[$-1009]dddd,ddd,mmmm,mmm,mmmmm,m")</f>
        <v/>
      </c>
      <c r="D306">
        <f>TEXT(43865, "[$-1009]dddd,ddd,mmmm,mmm,mmmmm,m")</f>
        <v/>
      </c>
      <c r="E306">
        <f>TEXT(43894, "[$-1009]dddd,ddd,mmmm,mmm,mmmmm,m")</f>
        <v/>
      </c>
      <c r="F306">
        <f>TEXT(43923, "[$-1009]dddd,ddd,mmmm,mmm,mmmmm,m")</f>
        <v/>
      </c>
      <c r="G306">
        <f>TEXT(43952, "[$-1009]dddd,ddd,mmmm,mmm,mmmmm,m")</f>
        <v/>
      </c>
      <c r="H306">
        <f>TEXT(43988, "[$-1009]dddd,ddd,mmmm,mmm,mmmmm,m")</f>
        <v/>
      </c>
      <c r="I306">
        <f>TEXT(44017, "[$-1009]dddd,ddd,mmmm,mmm,mmmmm,m")</f>
        <v/>
      </c>
      <c r="J306">
        <f>TEXT(44046, "[$-1009]dddd,ddd,mmmm,mmm,mmmmm,m")</f>
        <v/>
      </c>
      <c r="K306">
        <f>TEXT(44082, "[$-1009]dddd,ddd,mmmm,mmm,mmmmm,m")</f>
        <v/>
      </c>
      <c r="L306">
        <f>TEXT(44111, "[$-1009]dddd,ddd,mmmm,mmm,mmmmm,m")</f>
        <v/>
      </c>
      <c r="M306">
        <f>TEXT(44140, "[$-1009]dddd,ddd,mmmm,mmm,mmmmm,m")</f>
        <v/>
      </c>
      <c r="N306">
        <f>TEXT(44169, "[$-1009]dddd,ddd,mmmm,mmm,mmmmm,m")</f>
        <v/>
      </c>
      <c r="O306">
        <f>TEXT(44198, "[$-1009]dddd,ddd,mmmm,mmm,mmmmm,m")</f>
        <v/>
      </c>
    </row>
    <row r="307">
      <c r="A307" t="inlineStr">
        <is>
          <t>0x100A</t>
        </is>
      </c>
      <c r="B307" t="inlineStr">
        <is>
          <t>es-GT</t>
        </is>
      </c>
      <c r="C307">
        <f>TEXT(43836, "[$-100A]dddd,ddd,mmmm,mmm,mmmmm,m")</f>
        <v/>
      </c>
      <c r="D307">
        <f>TEXT(43865, "[$-100A]dddd,ddd,mmmm,mmm,mmmmm,m")</f>
        <v/>
      </c>
      <c r="E307">
        <f>TEXT(43894, "[$-100A]dddd,ddd,mmmm,mmm,mmmmm,m")</f>
        <v/>
      </c>
      <c r="F307">
        <f>TEXT(43923, "[$-100A]dddd,ddd,mmmm,mmm,mmmmm,m")</f>
        <v/>
      </c>
      <c r="G307">
        <f>TEXT(43952, "[$-100A]dddd,ddd,mmmm,mmm,mmmmm,m")</f>
        <v/>
      </c>
      <c r="H307">
        <f>TEXT(43988, "[$-100A]dddd,ddd,mmmm,mmm,mmmmm,m")</f>
        <v/>
      </c>
      <c r="I307">
        <f>TEXT(44017, "[$-100A]dddd,ddd,mmmm,mmm,mmmmm,m")</f>
        <v/>
      </c>
      <c r="J307">
        <f>TEXT(44046, "[$-100A]dddd,ddd,mmmm,mmm,mmmmm,m")</f>
        <v/>
      </c>
      <c r="K307">
        <f>TEXT(44082, "[$-100A]dddd,ddd,mmmm,mmm,mmmmm,m")</f>
        <v/>
      </c>
      <c r="L307">
        <f>TEXT(44111, "[$-100A]dddd,ddd,mmmm,mmm,mmmmm,m")</f>
        <v/>
      </c>
      <c r="M307">
        <f>TEXT(44140, "[$-100A]dddd,ddd,mmmm,mmm,mmmmm,m")</f>
        <v/>
      </c>
      <c r="N307">
        <f>TEXT(44169, "[$-100A]dddd,ddd,mmmm,mmm,mmmmm,m")</f>
        <v/>
      </c>
      <c r="O307">
        <f>TEXT(44198, "[$-100A]dddd,ddd,mmmm,mmm,mmmmm,m")</f>
        <v/>
      </c>
    </row>
    <row r="308">
      <c r="A308" t="inlineStr">
        <is>
          <t>0x100C</t>
        </is>
      </c>
      <c r="B308" t="inlineStr">
        <is>
          <t>fr-CH</t>
        </is>
      </c>
      <c r="C308">
        <f>TEXT(43836, "[$-100C]dddd,ddd,mmmm,mmm,mmmmm,m")</f>
        <v/>
      </c>
      <c r="D308">
        <f>TEXT(43865, "[$-100C]dddd,ddd,mmmm,mmm,mmmmm,m")</f>
        <v/>
      </c>
      <c r="E308">
        <f>TEXT(43894, "[$-100C]dddd,ddd,mmmm,mmm,mmmmm,m")</f>
        <v/>
      </c>
      <c r="F308">
        <f>TEXT(43923, "[$-100C]dddd,ddd,mmmm,mmm,mmmmm,m")</f>
        <v/>
      </c>
      <c r="G308">
        <f>TEXT(43952, "[$-100C]dddd,ddd,mmmm,mmm,mmmmm,m")</f>
        <v/>
      </c>
      <c r="H308">
        <f>TEXT(43988, "[$-100C]dddd,ddd,mmmm,mmm,mmmmm,m")</f>
        <v/>
      </c>
      <c r="I308">
        <f>TEXT(44017, "[$-100C]dddd,ddd,mmmm,mmm,mmmmm,m")</f>
        <v/>
      </c>
      <c r="J308">
        <f>TEXT(44046, "[$-100C]dddd,ddd,mmmm,mmm,mmmmm,m")</f>
        <v/>
      </c>
      <c r="K308">
        <f>TEXT(44082, "[$-100C]dddd,ddd,mmmm,mmm,mmmmm,m")</f>
        <v/>
      </c>
      <c r="L308">
        <f>TEXT(44111, "[$-100C]dddd,ddd,mmmm,mmm,mmmmm,m")</f>
        <v/>
      </c>
      <c r="M308">
        <f>TEXT(44140, "[$-100C]dddd,ddd,mmmm,mmm,mmmmm,m")</f>
        <v/>
      </c>
      <c r="N308">
        <f>TEXT(44169, "[$-100C]dddd,ddd,mmmm,mmm,mmmmm,m")</f>
        <v/>
      </c>
      <c r="O308">
        <f>TEXT(44198, "[$-100C]dddd,ddd,mmmm,mmm,mmmmm,m")</f>
        <v/>
      </c>
    </row>
    <row r="309">
      <c r="A309" t="inlineStr">
        <is>
          <t>0x101A</t>
        </is>
      </c>
      <c r="B309" t="inlineStr">
        <is>
          <t>hr-BA</t>
        </is>
      </c>
      <c r="C309">
        <f>TEXT(43836, "[$-101A]dddd,ddd,mmmm,mmm,mmmmm,m")</f>
        <v/>
      </c>
      <c r="D309">
        <f>TEXT(43865, "[$-101A]dddd,ddd,mmmm,mmm,mmmmm,m")</f>
        <v/>
      </c>
      <c r="E309">
        <f>TEXT(43894, "[$-101A]dddd,ddd,mmmm,mmm,mmmmm,m")</f>
        <v/>
      </c>
      <c r="F309">
        <f>TEXT(43923, "[$-101A]dddd,ddd,mmmm,mmm,mmmmm,m")</f>
        <v/>
      </c>
      <c r="G309">
        <f>TEXT(43952, "[$-101A]dddd,ddd,mmmm,mmm,mmmmm,m")</f>
        <v/>
      </c>
      <c r="H309">
        <f>TEXT(43988, "[$-101A]dddd,ddd,mmmm,mmm,mmmmm,m")</f>
        <v/>
      </c>
      <c r="I309">
        <f>TEXT(44017, "[$-101A]dddd,ddd,mmmm,mmm,mmmmm,m")</f>
        <v/>
      </c>
      <c r="J309">
        <f>TEXT(44046, "[$-101A]dddd,ddd,mmmm,mmm,mmmmm,m")</f>
        <v/>
      </c>
      <c r="K309">
        <f>TEXT(44082, "[$-101A]dddd,ddd,mmmm,mmm,mmmmm,m")</f>
        <v/>
      </c>
      <c r="L309">
        <f>TEXT(44111, "[$-101A]dddd,ddd,mmmm,mmm,mmmmm,m")</f>
        <v/>
      </c>
      <c r="M309">
        <f>TEXT(44140, "[$-101A]dddd,ddd,mmmm,mmm,mmmmm,m")</f>
        <v/>
      </c>
      <c r="N309">
        <f>TEXT(44169, "[$-101A]dddd,ddd,mmmm,mmm,mmmmm,m")</f>
        <v/>
      </c>
      <c r="O309">
        <f>TEXT(44198, "[$-101A]dddd,ddd,mmmm,mmm,mmmmm,m")</f>
        <v/>
      </c>
    </row>
    <row r="310">
      <c r="A310" t="inlineStr">
        <is>
          <t>0x103B</t>
        </is>
      </c>
      <c r="B310" t="inlineStr">
        <is>
          <t>smj-NO</t>
        </is>
      </c>
      <c r="C310">
        <f>TEXT(43836, "[$-103B]dddd,ddd,mmmm,mmm,mmmmm,m")</f>
        <v/>
      </c>
      <c r="D310">
        <f>TEXT(43865, "[$-103B]dddd,ddd,mmmm,mmm,mmmmm,m")</f>
        <v/>
      </c>
      <c r="E310">
        <f>TEXT(43894, "[$-103B]dddd,ddd,mmmm,mmm,mmmmm,m")</f>
        <v/>
      </c>
      <c r="F310">
        <f>TEXT(43923, "[$-103B]dddd,ddd,mmmm,mmm,mmmmm,m")</f>
        <v/>
      </c>
      <c r="G310">
        <f>TEXT(43952, "[$-103B]dddd,ddd,mmmm,mmm,mmmmm,m")</f>
        <v/>
      </c>
      <c r="H310">
        <f>TEXT(43988, "[$-103B]dddd,ddd,mmmm,mmm,mmmmm,m")</f>
        <v/>
      </c>
      <c r="I310">
        <f>TEXT(44017, "[$-103B]dddd,ddd,mmmm,mmm,mmmmm,m")</f>
        <v/>
      </c>
      <c r="J310">
        <f>TEXT(44046, "[$-103B]dddd,ddd,mmmm,mmm,mmmmm,m")</f>
        <v/>
      </c>
      <c r="K310">
        <f>TEXT(44082, "[$-103B]dddd,ddd,mmmm,mmm,mmmmm,m")</f>
        <v/>
      </c>
      <c r="L310">
        <f>TEXT(44111, "[$-103B]dddd,ddd,mmmm,mmm,mmmmm,m")</f>
        <v/>
      </c>
      <c r="M310">
        <f>TEXT(44140, "[$-103B]dddd,ddd,mmmm,mmm,mmmmm,m")</f>
        <v/>
      </c>
      <c r="N310">
        <f>TEXT(44169, "[$-103B]dddd,ddd,mmmm,mmm,mmmmm,m")</f>
        <v/>
      </c>
      <c r="O310">
        <f>TEXT(44198, "[$-103B]dddd,ddd,mmmm,mmm,mmmmm,m")</f>
        <v/>
      </c>
    </row>
    <row r="311">
      <c r="A311" t="inlineStr">
        <is>
          <t>0x105F</t>
        </is>
      </c>
      <c r="B311" t="inlineStr">
        <is>
          <t>tzm-Tfng_MA</t>
        </is>
      </c>
      <c r="C311">
        <f>TEXT(43836, "[$-105F]dddd,ddd,mmmm,mmm,mmmmm,m")</f>
        <v/>
      </c>
      <c r="D311">
        <f>TEXT(43865, "[$-105F]dddd,ddd,mmmm,mmm,mmmmm,m")</f>
        <v/>
      </c>
      <c r="E311">
        <f>TEXT(43894, "[$-105F]dddd,ddd,mmmm,mmm,mmmmm,m")</f>
        <v/>
      </c>
      <c r="F311">
        <f>TEXT(43923, "[$-105F]dddd,ddd,mmmm,mmm,mmmmm,m")</f>
        <v/>
      </c>
      <c r="G311">
        <f>TEXT(43952, "[$-105F]dddd,ddd,mmmm,mmm,mmmmm,m")</f>
        <v/>
      </c>
      <c r="H311">
        <f>TEXT(43988, "[$-105F]dddd,ddd,mmmm,mmm,mmmmm,m")</f>
        <v/>
      </c>
      <c r="I311">
        <f>TEXT(44017, "[$-105F]dddd,ddd,mmmm,mmm,mmmmm,m")</f>
        <v/>
      </c>
      <c r="J311">
        <f>TEXT(44046, "[$-105F]dddd,ddd,mmmm,mmm,mmmmm,m")</f>
        <v/>
      </c>
      <c r="K311">
        <f>TEXT(44082, "[$-105F]dddd,ddd,mmmm,mmm,mmmmm,m")</f>
        <v/>
      </c>
      <c r="L311">
        <f>TEXT(44111, "[$-105F]dddd,ddd,mmmm,mmm,mmmmm,m")</f>
        <v/>
      </c>
      <c r="M311">
        <f>TEXT(44140, "[$-105F]dddd,ddd,mmmm,mmm,mmmmm,m")</f>
        <v/>
      </c>
      <c r="N311">
        <f>TEXT(44169, "[$-105F]dddd,ddd,mmmm,mmm,mmmmm,m")</f>
        <v/>
      </c>
      <c r="O311">
        <f>TEXT(44198, "[$-105F]dddd,ddd,mmmm,mmm,mmmmm,m")</f>
        <v/>
      </c>
    </row>
    <row r="312">
      <c r="A312" t="inlineStr">
        <is>
          <t>0x1401</t>
        </is>
      </c>
      <c r="B312" t="inlineStr">
        <is>
          <t>ar-DZ</t>
        </is>
      </c>
      <c r="C312">
        <f>TEXT(43836, "[$-1401]dddd,ddd,mmmm,mmm,mmmmm,m")</f>
        <v/>
      </c>
      <c r="D312">
        <f>TEXT(43865, "[$-1401]dddd,ddd,mmmm,mmm,mmmmm,m")</f>
        <v/>
      </c>
      <c r="E312">
        <f>TEXT(43894, "[$-1401]dddd,ddd,mmmm,mmm,mmmmm,m")</f>
        <v/>
      </c>
      <c r="F312">
        <f>TEXT(43923, "[$-1401]dddd,ddd,mmmm,mmm,mmmmm,m")</f>
        <v/>
      </c>
      <c r="G312">
        <f>TEXT(43952, "[$-1401]dddd,ddd,mmmm,mmm,mmmmm,m")</f>
        <v/>
      </c>
      <c r="H312">
        <f>TEXT(43988, "[$-1401]dddd,ddd,mmmm,mmm,mmmmm,m")</f>
        <v/>
      </c>
      <c r="I312">
        <f>TEXT(44017, "[$-1401]dddd,ddd,mmmm,mmm,mmmmm,m")</f>
        <v/>
      </c>
      <c r="J312">
        <f>TEXT(44046, "[$-1401]dddd,ddd,mmmm,mmm,mmmmm,m")</f>
        <v/>
      </c>
      <c r="K312">
        <f>TEXT(44082, "[$-1401]dddd,ddd,mmmm,mmm,mmmmm,m")</f>
        <v/>
      </c>
      <c r="L312">
        <f>TEXT(44111, "[$-1401]dddd,ddd,mmmm,mmm,mmmmm,m")</f>
        <v/>
      </c>
      <c r="M312">
        <f>TEXT(44140, "[$-1401]dddd,ddd,mmmm,mmm,mmmmm,m")</f>
        <v/>
      </c>
      <c r="N312">
        <f>TEXT(44169, "[$-1401]dddd,ddd,mmmm,mmm,mmmmm,m")</f>
        <v/>
      </c>
      <c r="O312">
        <f>TEXT(44198, "[$-1401]dddd,ddd,mmmm,mmm,mmmmm,m")</f>
        <v/>
      </c>
    </row>
    <row r="313">
      <c r="A313" t="inlineStr">
        <is>
          <t>0x1E001404</t>
        </is>
      </c>
      <c r="B313" t="inlineStr">
        <is>
          <t>zh-MO</t>
        </is>
      </c>
      <c r="C313">
        <f>TEXT(43836, "[$-1E001404]dddd,ddd,mmmm,mmm,mmmmm,m")</f>
        <v/>
      </c>
      <c r="D313">
        <f>TEXT(43865, "[$-1E001404]dddd,ddd,mmmm,mmm,mmmmm,m")</f>
        <v/>
      </c>
      <c r="E313">
        <f>TEXT(43894, "[$-1E001404]dddd,ddd,mmmm,mmm,mmmmm,m")</f>
        <v/>
      </c>
      <c r="F313">
        <f>TEXT(43923, "[$-1E001404]dddd,ddd,mmmm,mmm,mmmmm,m")</f>
        <v/>
      </c>
      <c r="G313">
        <f>TEXT(43952, "[$-1E001404]dddd,ddd,mmmm,mmm,mmmmm,m")</f>
        <v/>
      </c>
      <c r="H313">
        <f>TEXT(43988, "[$-1E001404]dddd,ddd,mmmm,mmm,mmmmm,m")</f>
        <v/>
      </c>
      <c r="I313">
        <f>TEXT(44017, "[$-1E001404]dddd,ddd,mmmm,mmm,mmmmm,m")</f>
        <v/>
      </c>
      <c r="J313">
        <f>TEXT(44046, "[$-1E001404]dddd,ddd,mmmm,mmm,mmmmm,m")</f>
        <v/>
      </c>
      <c r="K313">
        <f>TEXT(44082, "[$-1E001404]dddd,ddd,mmmm,mmm,mmmmm,m")</f>
        <v/>
      </c>
      <c r="L313">
        <f>TEXT(44111, "[$-1E001404]dddd,ddd,mmmm,mmm,mmmmm,m")</f>
        <v/>
      </c>
      <c r="M313">
        <f>TEXT(44140, "[$-1E001404]dddd,ddd,mmmm,mmm,mmmmm,m")</f>
        <v/>
      </c>
      <c r="N313">
        <f>TEXT(44169, "[$-1E001404]dddd,ddd,mmmm,mmm,mmmmm,m")</f>
        <v/>
      </c>
      <c r="O313">
        <f>TEXT(44198, "[$-1E001404]dddd,ddd,mmmm,mmm,mmmmm,m")</f>
        <v/>
      </c>
    </row>
    <row r="314">
      <c r="A314" t="inlineStr">
        <is>
          <t>0x1407</t>
        </is>
      </c>
      <c r="B314" t="inlineStr">
        <is>
          <t>de-LI</t>
        </is>
      </c>
      <c r="C314">
        <f>TEXT(43836, "[$-1407]dddd,ddd,mmmm,mmm,mmmmm,m")</f>
        <v/>
      </c>
      <c r="D314">
        <f>TEXT(43865, "[$-1407]dddd,ddd,mmmm,mmm,mmmmm,m")</f>
        <v/>
      </c>
      <c r="E314">
        <f>TEXT(43894, "[$-1407]dddd,ddd,mmmm,mmm,mmmmm,m")</f>
        <v/>
      </c>
      <c r="F314">
        <f>TEXT(43923, "[$-1407]dddd,ddd,mmmm,mmm,mmmmm,m")</f>
        <v/>
      </c>
      <c r="G314">
        <f>TEXT(43952, "[$-1407]dddd,ddd,mmmm,mmm,mmmmm,m")</f>
        <v/>
      </c>
      <c r="H314">
        <f>TEXT(43988, "[$-1407]dddd,ddd,mmmm,mmm,mmmmm,m")</f>
        <v/>
      </c>
      <c r="I314">
        <f>TEXT(44017, "[$-1407]dddd,ddd,mmmm,mmm,mmmmm,m")</f>
        <v/>
      </c>
      <c r="J314">
        <f>TEXT(44046, "[$-1407]dddd,ddd,mmmm,mmm,mmmmm,m")</f>
        <v/>
      </c>
      <c r="K314">
        <f>TEXT(44082, "[$-1407]dddd,ddd,mmmm,mmm,mmmmm,m")</f>
        <v/>
      </c>
      <c r="L314">
        <f>TEXT(44111, "[$-1407]dddd,ddd,mmmm,mmm,mmmmm,m")</f>
        <v/>
      </c>
      <c r="M314">
        <f>TEXT(44140, "[$-1407]dddd,ddd,mmmm,mmm,mmmmm,m")</f>
        <v/>
      </c>
      <c r="N314">
        <f>TEXT(44169, "[$-1407]dddd,ddd,mmmm,mmm,mmmmm,m")</f>
        <v/>
      </c>
      <c r="O314">
        <f>TEXT(44198, "[$-1407]dddd,ddd,mmmm,mmm,mmmmm,m")</f>
        <v/>
      </c>
    </row>
    <row r="315">
      <c r="A315" t="inlineStr">
        <is>
          <t>0x1409</t>
        </is>
      </c>
      <c r="B315" t="inlineStr">
        <is>
          <t>en-NZ</t>
        </is>
      </c>
      <c r="C315">
        <f>TEXT(43836, "[$-1409]dddd,ddd,mmmm,mmm,mmmmm,m")</f>
        <v/>
      </c>
      <c r="D315">
        <f>TEXT(43865, "[$-1409]dddd,ddd,mmmm,mmm,mmmmm,m")</f>
        <v/>
      </c>
      <c r="E315">
        <f>TEXT(43894, "[$-1409]dddd,ddd,mmmm,mmm,mmmmm,m")</f>
        <v/>
      </c>
      <c r="F315">
        <f>TEXT(43923, "[$-1409]dddd,ddd,mmmm,mmm,mmmmm,m")</f>
        <v/>
      </c>
      <c r="G315">
        <f>TEXT(43952, "[$-1409]dddd,ddd,mmmm,mmm,mmmmm,m")</f>
        <v/>
      </c>
      <c r="H315">
        <f>TEXT(43988, "[$-1409]dddd,ddd,mmmm,mmm,mmmmm,m")</f>
        <v/>
      </c>
      <c r="I315">
        <f>TEXT(44017, "[$-1409]dddd,ddd,mmmm,mmm,mmmmm,m")</f>
        <v/>
      </c>
      <c r="J315">
        <f>TEXT(44046, "[$-1409]dddd,ddd,mmmm,mmm,mmmmm,m")</f>
        <v/>
      </c>
      <c r="K315">
        <f>TEXT(44082, "[$-1409]dddd,ddd,mmmm,mmm,mmmmm,m")</f>
        <v/>
      </c>
      <c r="L315">
        <f>TEXT(44111, "[$-1409]dddd,ddd,mmmm,mmm,mmmmm,m")</f>
        <v/>
      </c>
      <c r="M315">
        <f>TEXT(44140, "[$-1409]dddd,ddd,mmmm,mmm,mmmmm,m")</f>
        <v/>
      </c>
      <c r="N315">
        <f>TEXT(44169, "[$-1409]dddd,ddd,mmmm,mmm,mmmmm,m")</f>
        <v/>
      </c>
      <c r="O315">
        <f>TEXT(44198, "[$-1409]dddd,ddd,mmmm,mmm,mmmmm,m")</f>
        <v/>
      </c>
    </row>
    <row r="316">
      <c r="A316" t="inlineStr">
        <is>
          <t>0x140A</t>
        </is>
      </c>
      <c r="B316" t="inlineStr">
        <is>
          <t>es-CR</t>
        </is>
      </c>
      <c r="C316">
        <f>TEXT(43836, "[$-140A]dddd,ddd,mmmm,mmm,mmmmm,m")</f>
        <v/>
      </c>
      <c r="D316">
        <f>TEXT(43865, "[$-140A]dddd,ddd,mmmm,mmm,mmmmm,m")</f>
        <v/>
      </c>
      <c r="E316">
        <f>TEXT(43894, "[$-140A]dddd,ddd,mmmm,mmm,mmmmm,m")</f>
        <v/>
      </c>
      <c r="F316">
        <f>TEXT(43923, "[$-140A]dddd,ddd,mmmm,mmm,mmmmm,m")</f>
        <v/>
      </c>
      <c r="G316">
        <f>TEXT(43952, "[$-140A]dddd,ddd,mmmm,mmm,mmmmm,m")</f>
        <v/>
      </c>
      <c r="H316">
        <f>TEXT(43988, "[$-140A]dddd,ddd,mmmm,mmm,mmmmm,m")</f>
        <v/>
      </c>
      <c r="I316">
        <f>TEXT(44017, "[$-140A]dddd,ddd,mmmm,mmm,mmmmm,m")</f>
        <v/>
      </c>
      <c r="J316">
        <f>TEXT(44046, "[$-140A]dddd,ddd,mmmm,mmm,mmmmm,m")</f>
        <v/>
      </c>
      <c r="K316">
        <f>TEXT(44082, "[$-140A]dddd,ddd,mmmm,mmm,mmmmm,m")</f>
        <v/>
      </c>
      <c r="L316">
        <f>TEXT(44111, "[$-140A]dddd,ddd,mmmm,mmm,mmmmm,m")</f>
        <v/>
      </c>
      <c r="M316">
        <f>TEXT(44140, "[$-140A]dddd,ddd,mmmm,mmm,mmmmm,m")</f>
        <v/>
      </c>
      <c r="N316">
        <f>TEXT(44169, "[$-140A]dddd,ddd,mmmm,mmm,mmmmm,m")</f>
        <v/>
      </c>
      <c r="O316">
        <f>TEXT(44198, "[$-140A]dddd,ddd,mmmm,mmm,mmmmm,m")</f>
        <v/>
      </c>
    </row>
    <row r="317">
      <c r="A317" t="inlineStr">
        <is>
          <t>0x140C</t>
        </is>
      </c>
      <c r="B317" t="inlineStr">
        <is>
          <t>fr-LU</t>
        </is>
      </c>
      <c r="C317">
        <f>TEXT(43836, "[$-140C]dddd,ddd,mmmm,mmm,mmmmm,m")</f>
        <v/>
      </c>
      <c r="D317">
        <f>TEXT(43865, "[$-140C]dddd,ddd,mmmm,mmm,mmmmm,m")</f>
        <v/>
      </c>
      <c r="E317">
        <f>TEXT(43894, "[$-140C]dddd,ddd,mmmm,mmm,mmmmm,m")</f>
        <v/>
      </c>
      <c r="F317">
        <f>TEXT(43923, "[$-140C]dddd,ddd,mmmm,mmm,mmmmm,m")</f>
        <v/>
      </c>
      <c r="G317">
        <f>TEXT(43952, "[$-140C]dddd,ddd,mmmm,mmm,mmmmm,m")</f>
        <v/>
      </c>
      <c r="H317">
        <f>TEXT(43988, "[$-140C]dddd,ddd,mmmm,mmm,mmmmm,m")</f>
        <v/>
      </c>
      <c r="I317">
        <f>TEXT(44017, "[$-140C]dddd,ddd,mmmm,mmm,mmmmm,m")</f>
        <v/>
      </c>
      <c r="J317">
        <f>TEXT(44046, "[$-140C]dddd,ddd,mmmm,mmm,mmmmm,m")</f>
        <v/>
      </c>
      <c r="K317">
        <f>TEXT(44082, "[$-140C]dddd,ddd,mmmm,mmm,mmmmm,m")</f>
        <v/>
      </c>
      <c r="L317">
        <f>TEXT(44111, "[$-140C]dddd,ddd,mmmm,mmm,mmmmm,m")</f>
        <v/>
      </c>
      <c r="M317">
        <f>TEXT(44140, "[$-140C]dddd,ddd,mmmm,mmm,mmmmm,m")</f>
        <v/>
      </c>
      <c r="N317">
        <f>TEXT(44169, "[$-140C]dddd,ddd,mmmm,mmm,mmmmm,m")</f>
        <v/>
      </c>
      <c r="O317">
        <f>TEXT(44198, "[$-140C]dddd,ddd,mmmm,mmm,mmmmm,m")</f>
        <v/>
      </c>
    </row>
    <row r="318">
      <c r="A318" t="inlineStr">
        <is>
          <t>0x141A</t>
        </is>
      </c>
      <c r="B318" t="inlineStr">
        <is>
          <t>bs-Latn_BA</t>
        </is>
      </c>
      <c r="C318">
        <f>TEXT(43836, "[$-141A]dddd,ddd,mmmm,mmm,mmmmm,m")</f>
        <v/>
      </c>
      <c r="D318">
        <f>TEXT(43865, "[$-141A]dddd,ddd,mmmm,mmm,mmmmm,m")</f>
        <v/>
      </c>
      <c r="E318">
        <f>TEXT(43894, "[$-141A]dddd,ddd,mmmm,mmm,mmmmm,m")</f>
        <v/>
      </c>
      <c r="F318">
        <f>TEXT(43923, "[$-141A]dddd,ddd,mmmm,mmm,mmmmm,m")</f>
        <v/>
      </c>
      <c r="G318">
        <f>TEXT(43952, "[$-141A]dddd,ddd,mmmm,mmm,mmmmm,m")</f>
        <v/>
      </c>
      <c r="H318">
        <f>TEXT(43988, "[$-141A]dddd,ddd,mmmm,mmm,mmmmm,m")</f>
        <v/>
      </c>
      <c r="I318">
        <f>TEXT(44017, "[$-141A]dddd,ddd,mmmm,mmm,mmmmm,m")</f>
        <v/>
      </c>
      <c r="J318">
        <f>TEXT(44046, "[$-141A]dddd,ddd,mmmm,mmm,mmmmm,m")</f>
        <v/>
      </c>
      <c r="K318">
        <f>TEXT(44082, "[$-141A]dddd,ddd,mmmm,mmm,mmmmm,m")</f>
        <v/>
      </c>
      <c r="L318">
        <f>TEXT(44111, "[$-141A]dddd,ddd,mmmm,mmm,mmmmm,m")</f>
        <v/>
      </c>
      <c r="M318">
        <f>TEXT(44140, "[$-141A]dddd,ddd,mmmm,mmm,mmmmm,m")</f>
        <v/>
      </c>
      <c r="N318">
        <f>TEXT(44169, "[$-141A]dddd,ddd,mmmm,mmm,mmmmm,m")</f>
        <v/>
      </c>
      <c r="O318">
        <f>TEXT(44198, "[$-141A]dddd,ddd,mmmm,mmm,mmmmm,m")</f>
        <v/>
      </c>
    </row>
    <row r="319">
      <c r="A319" t="inlineStr">
        <is>
          <t>0x143B</t>
        </is>
      </c>
      <c r="B319" t="inlineStr">
        <is>
          <t>smj-SE</t>
        </is>
      </c>
      <c r="C319">
        <f>TEXT(43836, "[$-143B]dddd,ddd,mmmm,mmm,mmmmm,m")</f>
        <v/>
      </c>
      <c r="D319">
        <f>TEXT(43865, "[$-143B]dddd,ddd,mmmm,mmm,mmmmm,m")</f>
        <v/>
      </c>
      <c r="E319">
        <f>TEXT(43894, "[$-143B]dddd,ddd,mmmm,mmm,mmmmm,m")</f>
        <v/>
      </c>
      <c r="F319">
        <f>TEXT(43923, "[$-143B]dddd,ddd,mmmm,mmm,mmmmm,m")</f>
        <v/>
      </c>
      <c r="G319">
        <f>TEXT(43952, "[$-143B]dddd,ddd,mmmm,mmm,mmmmm,m")</f>
        <v/>
      </c>
      <c r="H319">
        <f>TEXT(43988, "[$-143B]dddd,ddd,mmmm,mmm,mmmmm,m")</f>
        <v/>
      </c>
      <c r="I319">
        <f>TEXT(44017, "[$-143B]dddd,ddd,mmmm,mmm,mmmmm,m")</f>
        <v/>
      </c>
      <c r="J319">
        <f>TEXT(44046, "[$-143B]dddd,ddd,mmmm,mmm,mmmmm,m")</f>
        <v/>
      </c>
      <c r="K319">
        <f>TEXT(44082, "[$-143B]dddd,ddd,mmmm,mmm,mmmmm,m")</f>
        <v/>
      </c>
      <c r="L319">
        <f>TEXT(44111, "[$-143B]dddd,ddd,mmmm,mmm,mmmmm,m")</f>
        <v/>
      </c>
      <c r="M319">
        <f>TEXT(44140, "[$-143B]dddd,ddd,mmmm,mmm,mmmmm,m")</f>
        <v/>
      </c>
      <c r="N319">
        <f>TEXT(44169, "[$-143B]dddd,ddd,mmmm,mmm,mmmmm,m")</f>
        <v/>
      </c>
      <c r="O319">
        <f>TEXT(44198, "[$-143B]dddd,ddd,mmmm,mmm,mmmmm,m")</f>
        <v/>
      </c>
    </row>
    <row r="320">
      <c r="A320" t="inlineStr">
        <is>
          <t>0x1801</t>
        </is>
      </c>
      <c r="B320" t="inlineStr">
        <is>
          <t>ar-MA</t>
        </is>
      </c>
      <c r="C320">
        <f>TEXT(43836, "[$-1801]dddd,ddd,mmmm,mmm,mmmmm,m")</f>
        <v/>
      </c>
      <c r="D320">
        <f>TEXT(43865, "[$-1801]dddd,ddd,mmmm,mmm,mmmmm,m")</f>
        <v/>
      </c>
      <c r="E320">
        <f>TEXT(43894, "[$-1801]dddd,ddd,mmmm,mmm,mmmmm,m")</f>
        <v/>
      </c>
      <c r="F320">
        <f>TEXT(43923, "[$-1801]dddd,ddd,mmmm,mmm,mmmmm,m")</f>
        <v/>
      </c>
      <c r="G320">
        <f>TEXT(43952, "[$-1801]dddd,ddd,mmmm,mmm,mmmmm,m")</f>
        <v/>
      </c>
      <c r="H320">
        <f>TEXT(43988, "[$-1801]dddd,ddd,mmmm,mmm,mmmmm,m")</f>
        <v/>
      </c>
      <c r="I320">
        <f>TEXT(44017, "[$-1801]dddd,ddd,mmmm,mmm,mmmmm,m")</f>
        <v/>
      </c>
      <c r="J320">
        <f>TEXT(44046, "[$-1801]dddd,ddd,mmmm,mmm,mmmmm,m")</f>
        <v/>
      </c>
      <c r="K320">
        <f>TEXT(44082, "[$-1801]dddd,ddd,mmmm,mmm,mmmmm,m")</f>
        <v/>
      </c>
      <c r="L320">
        <f>TEXT(44111, "[$-1801]dddd,ddd,mmmm,mmm,mmmmm,m")</f>
        <v/>
      </c>
      <c r="M320">
        <f>TEXT(44140, "[$-1801]dddd,ddd,mmmm,mmm,mmmmm,m")</f>
        <v/>
      </c>
      <c r="N320">
        <f>TEXT(44169, "[$-1801]dddd,ddd,mmmm,mmm,mmmmm,m")</f>
        <v/>
      </c>
      <c r="O320">
        <f>TEXT(44198, "[$-1801]dddd,ddd,mmmm,mmm,mmmmm,m")</f>
        <v/>
      </c>
    </row>
    <row r="321">
      <c r="A321" t="inlineStr">
        <is>
          <t>0x1809</t>
        </is>
      </c>
      <c r="B321" t="inlineStr">
        <is>
          <t>en-IE</t>
        </is>
      </c>
      <c r="C321">
        <f>TEXT(43836, "[$-1809]dddd,ddd,mmmm,mmm,mmmmm,m")</f>
        <v/>
      </c>
      <c r="D321">
        <f>TEXT(43865, "[$-1809]dddd,ddd,mmmm,mmm,mmmmm,m")</f>
        <v/>
      </c>
      <c r="E321">
        <f>TEXT(43894, "[$-1809]dddd,ddd,mmmm,mmm,mmmmm,m")</f>
        <v/>
      </c>
      <c r="F321">
        <f>TEXT(43923, "[$-1809]dddd,ddd,mmmm,mmm,mmmmm,m")</f>
        <v/>
      </c>
      <c r="G321">
        <f>TEXT(43952, "[$-1809]dddd,ddd,mmmm,mmm,mmmmm,m")</f>
        <v/>
      </c>
      <c r="H321">
        <f>TEXT(43988, "[$-1809]dddd,ddd,mmmm,mmm,mmmmm,m")</f>
        <v/>
      </c>
      <c r="I321">
        <f>TEXT(44017, "[$-1809]dddd,ddd,mmmm,mmm,mmmmm,m")</f>
        <v/>
      </c>
      <c r="J321">
        <f>TEXT(44046, "[$-1809]dddd,ddd,mmmm,mmm,mmmmm,m")</f>
        <v/>
      </c>
      <c r="K321">
        <f>TEXT(44082, "[$-1809]dddd,ddd,mmmm,mmm,mmmmm,m")</f>
        <v/>
      </c>
      <c r="L321">
        <f>TEXT(44111, "[$-1809]dddd,ddd,mmmm,mmm,mmmmm,m")</f>
        <v/>
      </c>
      <c r="M321">
        <f>TEXT(44140, "[$-1809]dddd,ddd,mmmm,mmm,mmmmm,m")</f>
        <v/>
      </c>
      <c r="N321">
        <f>TEXT(44169, "[$-1809]dddd,ddd,mmmm,mmm,mmmmm,m")</f>
        <v/>
      </c>
      <c r="O321">
        <f>TEXT(44198, "[$-1809]dddd,ddd,mmmm,mmm,mmmmm,m")</f>
        <v/>
      </c>
    </row>
    <row r="322">
      <c r="A322" t="inlineStr">
        <is>
          <t>0x180A</t>
        </is>
      </c>
      <c r="B322" t="inlineStr">
        <is>
          <t>es-PA</t>
        </is>
      </c>
      <c r="C322">
        <f>TEXT(43836, "[$-180A]dddd,ddd,mmmm,mmm,mmmmm,m")</f>
        <v/>
      </c>
      <c r="D322">
        <f>TEXT(43865, "[$-180A]dddd,ddd,mmmm,mmm,mmmmm,m")</f>
        <v/>
      </c>
      <c r="E322">
        <f>TEXT(43894, "[$-180A]dddd,ddd,mmmm,mmm,mmmmm,m")</f>
        <v/>
      </c>
      <c r="F322">
        <f>TEXT(43923, "[$-180A]dddd,ddd,mmmm,mmm,mmmmm,m")</f>
        <v/>
      </c>
      <c r="G322">
        <f>TEXT(43952, "[$-180A]dddd,ddd,mmmm,mmm,mmmmm,m")</f>
        <v/>
      </c>
      <c r="H322">
        <f>TEXT(43988, "[$-180A]dddd,ddd,mmmm,mmm,mmmmm,m")</f>
        <v/>
      </c>
      <c r="I322">
        <f>TEXT(44017, "[$-180A]dddd,ddd,mmmm,mmm,mmmmm,m")</f>
        <v/>
      </c>
      <c r="J322">
        <f>TEXT(44046, "[$-180A]dddd,ddd,mmmm,mmm,mmmmm,m")</f>
        <v/>
      </c>
      <c r="K322">
        <f>TEXT(44082, "[$-180A]dddd,ddd,mmmm,mmm,mmmmm,m")</f>
        <v/>
      </c>
      <c r="L322">
        <f>TEXT(44111, "[$-180A]dddd,ddd,mmmm,mmm,mmmmm,m")</f>
        <v/>
      </c>
      <c r="M322">
        <f>TEXT(44140, "[$-180A]dddd,ddd,mmmm,mmm,mmmmm,m")</f>
        <v/>
      </c>
      <c r="N322">
        <f>TEXT(44169, "[$-180A]dddd,ddd,mmmm,mmm,mmmmm,m")</f>
        <v/>
      </c>
      <c r="O322">
        <f>TEXT(44198, "[$-180A]dddd,ddd,mmmm,mmm,mmmmm,m")</f>
        <v/>
      </c>
    </row>
    <row r="323">
      <c r="A323" t="inlineStr">
        <is>
          <t>0x180C</t>
        </is>
      </c>
      <c r="B323" t="inlineStr">
        <is>
          <t>fr-MC</t>
        </is>
      </c>
      <c r="C323">
        <f>TEXT(43836, "[$-180C]dddd,ddd,mmmm,mmm,mmmmm,m")</f>
        <v/>
      </c>
      <c r="D323">
        <f>TEXT(43865, "[$-180C]dddd,ddd,mmmm,mmm,mmmmm,m")</f>
        <v/>
      </c>
      <c r="E323">
        <f>TEXT(43894, "[$-180C]dddd,ddd,mmmm,mmm,mmmmm,m")</f>
        <v/>
      </c>
      <c r="F323">
        <f>TEXT(43923, "[$-180C]dddd,ddd,mmmm,mmm,mmmmm,m")</f>
        <v/>
      </c>
      <c r="G323">
        <f>TEXT(43952, "[$-180C]dddd,ddd,mmmm,mmm,mmmmm,m")</f>
        <v/>
      </c>
      <c r="H323">
        <f>TEXT(43988, "[$-180C]dddd,ddd,mmmm,mmm,mmmmm,m")</f>
        <v/>
      </c>
      <c r="I323">
        <f>TEXT(44017, "[$-180C]dddd,ddd,mmmm,mmm,mmmmm,m")</f>
        <v/>
      </c>
      <c r="J323">
        <f>TEXT(44046, "[$-180C]dddd,ddd,mmmm,mmm,mmmmm,m")</f>
        <v/>
      </c>
      <c r="K323">
        <f>TEXT(44082, "[$-180C]dddd,ddd,mmmm,mmm,mmmmm,m")</f>
        <v/>
      </c>
      <c r="L323">
        <f>TEXT(44111, "[$-180C]dddd,ddd,mmmm,mmm,mmmmm,m")</f>
        <v/>
      </c>
      <c r="M323">
        <f>TEXT(44140, "[$-180C]dddd,ddd,mmmm,mmm,mmmmm,m")</f>
        <v/>
      </c>
      <c r="N323">
        <f>TEXT(44169, "[$-180C]dddd,ddd,mmmm,mmm,mmmmm,m")</f>
        <v/>
      </c>
      <c r="O323">
        <f>TEXT(44198, "[$-180C]dddd,ddd,mmmm,mmm,mmmmm,m")</f>
        <v/>
      </c>
    </row>
    <row r="324">
      <c r="A324" t="inlineStr">
        <is>
          <t>0x181A</t>
        </is>
      </c>
      <c r="B324" t="inlineStr">
        <is>
          <t>sr-Latn_BA</t>
        </is>
      </c>
      <c r="C324">
        <f>TEXT(43836, "[$-181A]dddd,ddd,mmmm,mmm,mmmmm,m")</f>
        <v/>
      </c>
      <c r="D324">
        <f>TEXT(43865, "[$-181A]dddd,ddd,mmmm,mmm,mmmmm,m")</f>
        <v/>
      </c>
      <c r="E324">
        <f>TEXT(43894, "[$-181A]dddd,ddd,mmmm,mmm,mmmmm,m")</f>
        <v/>
      </c>
      <c r="F324">
        <f>TEXT(43923, "[$-181A]dddd,ddd,mmmm,mmm,mmmmm,m")</f>
        <v/>
      </c>
      <c r="G324">
        <f>TEXT(43952, "[$-181A]dddd,ddd,mmmm,mmm,mmmmm,m")</f>
        <v/>
      </c>
      <c r="H324">
        <f>TEXT(43988, "[$-181A]dddd,ddd,mmmm,mmm,mmmmm,m")</f>
        <v/>
      </c>
      <c r="I324">
        <f>TEXT(44017, "[$-181A]dddd,ddd,mmmm,mmm,mmmmm,m")</f>
        <v/>
      </c>
      <c r="J324">
        <f>TEXT(44046, "[$-181A]dddd,ddd,mmmm,mmm,mmmmm,m")</f>
        <v/>
      </c>
      <c r="K324">
        <f>TEXT(44082, "[$-181A]dddd,ddd,mmmm,mmm,mmmmm,m")</f>
        <v/>
      </c>
      <c r="L324">
        <f>TEXT(44111, "[$-181A]dddd,ddd,mmmm,mmm,mmmmm,m")</f>
        <v/>
      </c>
      <c r="M324">
        <f>TEXT(44140, "[$-181A]dddd,ddd,mmmm,mmm,mmmmm,m")</f>
        <v/>
      </c>
      <c r="N324">
        <f>TEXT(44169, "[$-181A]dddd,ddd,mmmm,mmm,mmmmm,m")</f>
        <v/>
      </c>
      <c r="O324">
        <f>TEXT(44198, "[$-181A]dddd,ddd,mmmm,mmm,mmmmm,m")</f>
        <v/>
      </c>
    </row>
    <row r="325">
      <c r="A325" t="inlineStr">
        <is>
          <t>0x183B</t>
        </is>
      </c>
      <c r="B325" t="inlineStr">
        <is>
          <t>sma-NO</t>
        </is>
      </c>
      <c r="C325">
        <f>TEXT(43836, "[$-183B]dddd,ddd,mmmm,mmm,mmmmm,m")</f>
        <v/>
      </c>
      <c r="D325">
        <f>TEXT(43865, "[$-183B]dddd,ddd,mmmm,mmm,mmmmm,m")</f>
        <v/>
      </c>
      <c r="E325">
        <f>TEXT(43894, "[$-183B]dddd,ddd,mmmm,mmm,mmmmm,m")</f>
        <v/>
      </c>
      <c r="F325">
        <f>TEXT(43923, "[$-183B]dddd,ddd,mmmm,mmm,mmmmm,m")</f>
        <v/>
      </c>
      <c r="G325">
        <f>TEXT(43952, "[$-183B]dddd,ddd,mmmm,mmm,mmmmm,m")</f>
        <v/>
      </c>
      <c r="H325">
        <f>TEXT(43988, "[$-183B]dddd,ddd,mmmm,mmm,mmmmm,m")</f>
        <v/>
      </c>
      <c r="I325">
        <f>TEXT(44017, "[$-183B]dddd,ddd,mmmm,mmm,mmmmm,m")</f>
        <v/>
      </c>
      <c r="J325">
        <f>TEXT(44046, "[$-183B]dddd,ddd,mmmm,mmm,mmmmm,m")</f>
        <v/>
      </c>
      <c r="K325">
        <f>TEXT(44082, "[$-183B]dddd,ddd,mmmm,mmm,mmmmm,m")</f>
        <v/>
      </c>
      <c r="L325">
        <f>TEXT(44111, "[$-183B]dddd,ddd,mmmm,mmm,mmmmm,m")</f>
        <v/>
      </c>
      <c r="M325">
        <f>TEXT(44140, "[$-183B]dddd,ddd,mmmm,mmm,mmmmm,m")</f>
        <v/>
      </c>
      <c r="N325">
        <f>TEXT(44169, "[$-183B]dddd,ddd,mmmm,mmm,mmmmm,m")</f>
        <v/>
      </c>
      <c r="O325">
        <f>TEXT(44198, "[$-183B]dddd,ddd,mmmm,mmm,mmmmm,m")</f>
        <v/>
      </c>
    </row>
    <row r="326">
      <c r="A326" t="inlineStr">
        <is>
          <t>0x1C01</t>
        </is>
      </c>
      <c r="B326" t="inlineStr">
        <is>
          <t>ar-TN</t>
        </is>
      </c>
      <c r="C326">
        <f>TEXT(43836, "[$-1C01]dddd,ddd,mmmm,mmm,mmmmm,m")</f>
        <v/>
      </c>
      <c r="D326">
        <f>TEXT(43865, "[$-1C01]dddd,ddd,mmmm,mmm,mmmmm,m")</f>
        <v/>
      </c>
      <c r="E326">
        <f>TEXT(43894, "[$-1C01]dddd,ddd,mmmm,mmm,mmmmm,m")</f>
        <v/>
      </c>
      <c r="F326">
        <f>TEXT(43923, "[$-1C01]dddd,ddd,mmmm,mmm,mmmmm,m")</f>
        <v/>
      </c>
      <c r="G326">
        <f>TEXT(43952, "[$-1C01]dddd,ddd,mmmm,mmm,mmmmm,m")</f>
        <v/>
      </c>
      <c r="H326">
        <f>TEXT(43988, "[$-1C01]dddd,ddd,mmmm,mmm,mmmmm,m")</f>
        <v/>
      </c>
      <c r="I326">
        <f>TEXT(44017, "[$-1C01]dddd,ddd,mmmm,mmm,mmmmm,m")</f>
        <v/>
      </c>
      <c r="J326">
        <f>TEXT(44046, "[$-1C01]dddd,ddd,mmmm,mmm,mmmmm,m")</f>
        <v/>
      </c>
      <c r="K326">
        <f>TEXT(44082, "[$-1C01]dddd,ddd,mmmm,mmm,mmmmm,m")</f>
        <v/>
      </c>
      <c r="L326">
        <f>TEXT(44111, "[$-1C01]dddd,ddd,mmmm,mmm,mmmmm,m")</f>
        <v/>
      </c>
      <c r="M326">
        <f>TEXT(44140, "[$-1C01]dddd,ddd,mmmm,mmm,mmmmm,m")</f>
        <v/>
      </c>
      <c r="N326">
        <f>TEXT(44169, "[$-1C01]dddd,ddd,mmmm,mmm,mmmmm,m")</f>
        <v/>
      </c>
      <c r="O326">
        <f>TEXT(44198, "[$-1C01]dddd,ddd,mmmm,mmm,mmmmm,m")</f>
        <v/>
      </c>
    </row>
    <row r="327">
      <c r="A327" t="inlineStr">
        <is>
          <t>0x1C09</t>
        </is>
      </c>
      <c r="B327" t="inlineStr">
        <is>
          <t>en-ZA</t>
        </is>
      </c>
      <c r="C327">
        <f>TEXT(43836, "[$-1C09]dddd,ddd,mmmm,mmm,mmmmm,m")</f>
        <v/>
      </c>
      <c r="D327">
        <f>TEXT(43865, "[$-1C09]dddd,ddd,mmmm,mmm,mmmmm,m")</f>
        <v/>
      </c>
      <c r="E327">
        <f>TEXT(43894, "[$-1C09]dddd,ddd,mmmm,mmm,mmmmm,m")</f>
        <v/>
      </c>
      <c r="F327">
        <f>TEXT(43923, "[$-1C09]dddd,ddd,mmmm,mmm,mmmmm,m")</f>
        <v/>
      </c>
      <c r="G327">
        <f>TEXT(43952, "[$-1C09]dddd,ddd,mmmm,mmm,mmmmm,m")</f>
        <v/>
      </c>
      <c r="H327">
        <f>TEXT(43988, "[$-1C09]dddd,ddd,mmmm,mmm,mmmmm,m")</f>
        <v/>
      </c>
      <c r="I327">
        <f>TEXT(44017, "[$-1C09]dddd,ddd,mmmm,mmm,mmmmm,m")</f>
        <v/>
      </c>
      <c r="J327">
        <f>TEXT(44046, "[$-1C09]dddd,ddd,mmmm,mmm,mmmmm,m")</f>
        <v/>
      </c>
      <c r="K327">
        <f>TEXT(44082, "[$-1C09]dddd,ddd,mmmm,mmm,mmmmm,m")</f>
        <v/>
      </c>
      <c r="L327">
        <f>TEXT(44111, "[$-1C09]dddd,ddd,mmmm,mmm,mmmmm,m")</f>
        <v/>
      </c>
      <c r="M327">
        <f>TEXT(44140, "[$-1C09]dddd,ddd,mmmm,mmm,mmmmm,m")</f>
        <v/>
      </c>
      <c r="N327">
        <f>TEXT(44169, "[$-1C09]dddd,ddd,mmmm,mmm,mmmmm,m")</f>
        <v/>
      </c>
      <c r="O327">
        <f>TEXT(44198, "[$-1C09]dddd,ddd,mmmm,mmm,mmmmm,m")</f>
        <v/>
      </c>
    </row>
    <row r="328">
      <c r="A328" t="inlineStr">
        <is>
          <t>0x1C0A</t>
        </is>
      </c>
      <c r="B328" t="inlineStr">
        <is>
          <t>es-DO</t>
        </is>
      </c>
      <c r="C328">
        <f>TEXT(43836, "[$-1C0A]dddd,ddd,mmmm,mmm,mmmmm,m")</f>
        <v/>
      </c>
      <c r="D328">
        <f>TEXT(43865, "[$-1C0A]dddd,ddd,mmmm,mmm,mmmmm,m")</f>
        <v/>
      </c>
      <c r="E328">
        <f>TEXT(43894, "[$-1C0A]dddd,ddd,mmmm,mmm,mmmmm,m")</f>
        <v/>
      </c>
      <c r="F328">
        <f>TEXT(43923, "[$-1C0A]dddd,ddd,mmmm,mmm,mmmmm,m")</f>
        <v/>
      </c>
      <c r="G328">
        <f>TEXT(43952, "[$-1C0A]dddd,ddd,mmmm,mmm,mmmmm,m")</f>
        <v/>
      </c>
      <c r="H328">
        <f>TEXT(43988, "[$-1C0A]dddd,ddd,mmmm,mmm,mmmmm,m")</f>
        <v/>
      </c>
      <c r="I328">
        <f>TEXT(44017, "[$-1C0A]dddd,ddd,mmmm,mmm,mmmmm,m")</f>
        <v/>
      </c>
      <c r="J328">
        <f>TEXT(44046, "[$-1C0A]dddd,ddd,mmmm,mmm,mmmmm,m")</f>
        <v/>
      </c>
      <c r="K328">
        <f>TEXT(44082, "[$-1C0A]dddd,ddd,mmmm,mmm,mmmmm,m")</f>
        <v/>
      </c>
      <c r="L328">
        <f>TEXT(44111, "[$-1C0A]dddd,ddd,mmmm,mmm,mmmmm,m")</f>
        <v/>
      </c>
      <c r="M328">
        <f>TEXT(44140, "[$-1C0A]dddd,ddd,mmmm,mmm,mmmmm,m")</f>
        <v/>
      </c>
      <c r="N328">
        <f>TEXT(44169, "[$-1C0A]dddd,ddd,mmmm,mmm,mmmmm,m")</f>
        <v/>
      </c>
      <c r="O328">
        <f>TEXT(44198, "[$-1C0A]dddd,ddd,mmmm,mmm,mmmmm,m")</f>
        <v/>
      </c>
    </row>
    <row r="329">
      <c r="A329" t="inlineStr">
        <is>
          <t>0x1C1A</t>
        </is>
      </c>
      <c r="B329" t="inlineStr">
        <is>
          <t>sr-Cyrl_BA</t>
        </is>
      </c>
      <c r="C329">
        <f>TEXT(43836, "[$-1C1A]dddd,ddd,mmmm,mmm,mmmmm,m")</f>
        <v/>
      </c>
      <c r="D329">
        <f>TEXT(43865, "[$-1C1A]dddd,ddd,mmmm,mmm,mmmmm,m")</f>
        <v/>
      </c>
      <c r="E329">
        <f>TEXT(43894, "[$-1C1A]dddd,ddd,mmmm,mmm,mmmmm,m")</f>
        <v/>
      </c>
      <c r="F329">
        <f>TEXT(43923, "[$-1C1A]dddd,ddd,mmmm,mmm,mmmmm,m")</f>
        <v/>
      </c>
      <c r="G329">
        <f>TEXT(43952, "[$-1C1A]dddd,ddd,mmmm,mmm,mmmmm,m")</f>
        <v/>
      </c>
      <c r="H329">
        <f>TEXT(43988, "[$-1C1A]dddd,ddd,mmmm,mmm,mmmmm,m")</f>
        <v/>
      </c>
      <c r="I329">
        <f>TEXT(44017, "[$-1C1A]dddd,ddd,mmmm,mmm,mmmmm,m")</f>
        <v/>
      </c>
      <c r="J329">
        <f>TEXT(44046, "[$-1C1A]dddd,ddd,mmmm,mmm,mmmmm,m")</f>
        <v/>
      </c>
      <c r="K329">
        <f>TEXT(44082, "[$-1C1A]dddd,ddd,mmmm,mmm,mmmmm,m")</f>
        <v/>
      </c>
      <c r="L329">
        <f>TEXT(44111, "[$-1C1A]dddd,ddd,mmmm,mmm,mmmmm,m")</f>
        <v/>
      </c>
      <c r="M329">
        <f>TEXT(44140, "[$-1C1A]dddd,ddd,mmmm,mmm,mmmmm,m")</f>
        <v/>
      </c>
      <c r="N329">
        <f>TEXT(44169, "[$-1C1A]dddd,ddd,mmmm,mmm,mmmmm,m")</f>
        <v/>
      </c>
      <c r="O329">
        <f>TEXT(44198, "[$-1C1A]dddd,ddd,mmmm,mmm,mmmmm,m")</f>
        <v/>
      </c>
    </row>
    <row r="330">
      <c r="A330" t="inlineStr">
        <is>
          <t>0x1C3B</t>
        </is>
      </c>
      <c r="B330" t="inlineStr">
        <is>
          <t>sma-SE</t>
        </is>
      </c>
      <c r="C330">
        <f>TEXT(43836, "[$-1C3B]dddd,ddd,mmmm,mmm,mmmmm,m")</f>
        <v/>
      </c>
      <c r="D330">
        <f>TEXT(43865, "[$-1C3B]dddd,ddd,mmmm,mmm,mmmmm,m")</f>
        <v/>
      </c>
      <c r="E330">
        <f>TEXT(43894, "[$-1C3B]dddd,ddd,mmmm,mmm,mmmmm,m")</f>
        <v/>
      </c>
      <c r="F330">
        <f>TEXT(43923, "[$-1C3B]dddd,ddd,mmmm,mmm,mmmmm,m")</f>
        <v/>
      </c>
      <c r="G330">
        <f>TEXT(43952, "[$-1C3B]dddd,ddd,mmmm,mmm,mmmmm,m")</f>
        <v/>
      </c>
      <c r="H330">
        <f>TEXT(43988, "[$-1C3B]dddd,ddd,mmmm,mmm,mmmmm,m")</f>
        <v/>
      </c>
      <c r="I330">
        <f>TEXT(44017, "[$-1C3B]dddd,ddd,mmmm,mmm,mmmmm,m")</f>
        <v/>
      </c>
      <c r="J330">
        <f>TEXT(44046, "[$-1C3B]dddd,ddd,mmmm,mmm,mmmmm,m")</f>
        <v/>
      </c>
      <c r="K330">
        <f>TEXT(44082, "[$-1C3B]dddd,ddd,mmmm,mmm,mmmmm,m")</f>
        <v/>
      </c>
      <c r="L330">
        <f>TEXT(44111, "[$-1C3B]dddd,ddd,mmmm,mmm,mmmmm,m")</f>
        <v/>
      </c>
      <c r="M330">
        <f>TEXT(44140, "[$-1C3B]dddd,ddd,mmmm,mmm,mmmmm,m")</f>
        <v/>
      </c>
      <c r="N330">
        <f>TEXT(44169, "[$-1C3B]dddd,ddd,mmmm,mmm,mmmmm,m")</f>
        <v/>
      </c>
      <c r="O330">
        <f>TEXT(44198, "[$-1C3B]dddd,ddd,mmmm,mmm,mmmmm,m")</f>
        <v/>
      </c>
    </row>
    <row r="331">
      <c r="A331" t="inlineStr">
        <is>
          <t>0x2001</t>
        </is>
      </c>
      <c r="B331" t="inlineStr">
        <is>
          <t>ar-OM</t>
        </is>
      </c>
      <c r="C331">
        <f>TEXT(43836, "[$-2001]dddd,ddd,mmmm,mmm,mmmmm,m")</f>
        <v/>
      </c>
      <c r="D331">
        <f>TEXT(43865, "[$-2001]dddd,ddd,mmmm,mmm,mmmmm,m")</f>
        <v/>
      </c>
      <c r="E331">
        <f>TEXT(43894, "[$-2001]dddd,ddd,mmmm,mmm,mmmmm,m")</f>
        <v/>
      </c>
      <c r="F331">
        <f>TEXT(43923, "[$-2001]dddd,ddd,mmmm,mmm,mmmmm,m")</f>
        <v/>
      </c>
      <c r="G331">
        <f>TEXT(43952, "[$-2001]dddd,ddd,mmmm,mmm,mmmmm,m")</f>
        <v/>
      </c>
      <c r="H331">
        <f>TEXT(43988, "[$-2001]dddd,ddd,mmmm,mmm,mmmmm,m")</f>
        <v/>
      </c>
      <c r="I331">
        <f>TEXT(44017, "[$-2001]dddd,ddd,mmmm,mmm,mmmmm,m")</f>
        <v/>
      </c>
      <c r="J331">
        <f>TEXT(44046, "[$-2001]dddd,ddd,mmmm,mmm,mmmmm,m")</f>
        <v/>
      </c>
      <c r="K331">
        <f>TEXT(44082, "[$-2001]dddd,ddd,mmmm,mmm,mmmmm,m")</f>
        <v/>
      </c>
      <c r="L331">
        <f>TEXT(44111, "[$-2001]dddd,ddd,mmmm,mmm,mmmmm,m")</f>
        <v/>
      </c>
      <c r="M331">
        <f>TEXT(44140, "[$-2001]dddd,ddd,mmmm,mmm,mmmmm,m")</f>
        <v/>
      </c>
      <c r="N331">
        <f>TEXT(44169, "[$-2001]dddd,ddd,mmmm,mmm,mmmmm,m")</f>
        <v/>
      </c>
      <c r="O331">
        <f>TEXT(44198, "[$-2001]dddd,ddd,mmmm,mmm,mmmmm,m")</f>
        <v/>
      </c>
    </row>
    <row r="332">
      <c r="A332" t="inlineStr">
        <is>
          <t>0x2009</t>
        </is>
      </c>
      <c r="B332" t="inlineStr">
        <is>
          <t>en-JM</t>
        </is>
      </c>
      <c r="C332">
        <f>TEXT(43836, "[$-2009]dddd,ddd,mmmm,mmm,mmmmm,m")</f>
        <v/>
      </c>
      <c r="D332">
        <f>TEXT(43865, "[$-2009]dddd,ddd,mmmm,mmm,mmmmm,m")</f>
        <v/>
      </c>
      <c r="E332">
        <f>TEXT(43894, "[$-2009]dddd,ddd,mmmm,mmm,mmmmm,m")</f>
        <v/>
      </c>
      <c r="F332">
        <f>TEXT(43923, "[$-2009]dddd,ddd,mmmm,mmm,mmmmm,m")</f>
        <v/>
      </c>
      <c r="G332">
        <f>TEXT(43952, "[$-2009]dddd,ddd,mmmm,mmm,mmmmm,m")</f>
        <v/>
      </c>
      <c r="H332">
        <f>TEXT(43988, "[$-2009]dddd,ddd,mmmm,mmm,mmmmm,m")</f>
        <v/>
      </c>
      <c r="I332">
        <f>TEXT(44017, "[$-2009]dddd,ddd,mmmm,mmm,mmmmm,m")</f>
        <v/>
      </c>
      <c r="J332">
        <f>TEXT(44046, "[$-2009]dddd,ddd,mmmm,mmm,mmmmm,m")</f>
        <v/>
      </c>
      <c r="K332">
        <f>TEXT(44082, "[$-2009]dddd,ddd,mmmm,mmm,mmmmm,m")</f>
        <v/>
      </c>
      <c r="L332">
        <f>TEXT(44111, "[$-2009]dddd,ddd,mmmm,mmm,mmmmm,m")</f>
        <v/>
      </c>
      <c r="M332">
        <f>TEXT(44140, "[$-2009]dddd,ddd,mmmm,mmm,mmmmm,m")</f>
        <v/>
      </c>
      <c r="N332">
        <f>TEXT(44169, "[$-2009]dddd,ddd,mmmm,mmm,mmmmm,m")</f>
        <v/>
      </c>
      <c r="O332">
        <f>TEXT(44198, "[$-2009]dddd,ddd,mmmm,mmm,mmmmm,m")</f>
        <v/>
      </c>
    </row>
    <row r="333">
      <c r="A333" t="inlineStr">
        <is>
          <t>0x200A</t>
        </is>
      </c>
      <c r="B333" t="inlineStr">
        <is>
          <t>es-VE</t>
        </is>
      </c>
      <c r="C333">
        <f>TEXT(43836, "[$-200A]dddd,ddd,mmmm,mmm,mmmmm,m")</f>
        <v/>
      </c>
      <c r="D333">
        <f>TEXT(43865, "[$-200A]dddd,ddd,mmmm,mmm,mmmmm,m")</f>
        <v/>
      </c>
      <c r="E333">
        <f>TEXT(43894, "[$-200A]dddd,ddd,mmmm,mmm,mmmmm,m")</f>
        <v/>
      </c>
      <c r="F333">
        <f>TEXT(43923, "[$-200A]dddd,ddd,mmmm,mmm,mmmmm,m")</f>
        <v/>
      </c>
      <c r="G333">
        <f>TEXT(43952, "[$-200A]dddd,ddd,mmmm,mmm,mmmmm,m")</f>
        <v/>
      </c>
      <c r="H333">
        <f>TEXT(43988, "[$-200A]dddd,ddd,mmmm,mmm,mmmmm,m")</f>
        <v/>
      </c>
      <c r="I333">
        <f>TEXT(44017, "[$-200A]dddd,ddd,mmmm,mmm,mmmmm,m")</f>
        <v/>
      </c>
      <c r="J333">
        <f>TEXT(44046, "[$-200A]dddd,ddd,mmmm,mmm,mmmmm,m")</f>
        <v/>
      </c>
      <c r="K333">
        <f>TEXT(44082, "[$-200A]dddd,ddd,mmmm,mmm,mmmmm,m")</f>
        <v/>
      </c>
      <c r="L333">
        <f>TEXT(44111, "[$-200A]dddd,ddd,mmmm,mmm,mmmmm,m")</f>
        <v/>
      </c>
      <c r="M333">
        <f>TEXT(44140, "[$-200A]dddd,ddd,mmmm,mmm,mmmmm,m")</f>
        <v/>
      </c>
      <c r="N333">
        <f>TEXT(44169, "[$-200A]dddd,ddd,mmmm,mmm,mmmmm,m")</f>
        <v/>
      </c>
      <c r="O333">
        <f>TEXT(44198, "[$-200A]dddd,ddd,mmmm,mmm,mmmmm,m")</f>
        <v/>
      </c>
    </row>
    <row r="334">
      <c r="A334" t="inlineStr">
        <is>
          <t>0x200C</t>
        </is>
      </c>
      <c r="B334" t="inlineStr">
        <is>
          <t>fr-RE</t>
        </is>
      </c>
      <c r="C334">
        <f>TEXT(43836, "[$-200C]dddd,ddd,mmmm,mmm,mmmmm,m")</f>
        <v/>
      </c>
      <c r="D334">
        <f>TEXT(43865, "[$-200C]dddd,ddd,mmmm,mmm,mmmmm,m")</f>
        <v/>
      </c>
      <c r="E334">
        <f>TEXT(43894, "[$-200C]dddd,ddd,mmmm,mmm,mmmmm,m")</f>
        <v/>
      </c>
      <c r="F334">
        <f>TEXT(43923, "[$-200C]dddd,ddd,mmmm,mmm,mmmmm,m")</f>
        <v/>
      </c>
      <c r="G334">
        <f>TEXT(43952, "[$-200C]dddd,ddd,mmmm,mmm,mmmmm,m")</f>
        <v/>
      </c>
      <c r="H334">
        <f>TEXT(43988, "[$-200C]dddd,ddd,mmmm,mmm,mmmmm,m")</f>
        <v/>
      </c>
      <c r="I334">
        <f>TEXT(44017, "[$-200C]dddd,ddd,mmmm,mmm,mmmmm,m")</f>
        <v/>
      </c>
      <c r="J334">
        <f>TEXT(44046, "[$-200C]dddd,ddd,mmmm,mmm,mmmmm,m")</f>
        <v/>
      </c>
      <c r="K334">
        <f>TEXT(44082, "[$-200C]dddd,ddd,mmmm,mmm,mmmmm,m")</f>
        <v/>
      </c>
      <c r="L334">
        <f>TEXT(44111, "[$-200C]dddd,ddd,mmmm,mmm,mmmmm,m")</f>
        <v/>
      </c>
      <c r="M334">
        <f>TEXT(44140, "[$-200C]dddd,ddd,mmmm,mmm,mmmmm,m")</f>
        <v/>
      </c>
      <c r="N334">
        <f>TEXT(44169, "[$-200C]dddd,ddd,mmmm,mmm,mmmmm,m")</f>
        <v/>
      </c>
      <c r="O334">
        <f>TEXT(44198, "[$-200C]dddd,ddd,mmmm,mmm,mmmmm,m")</f>
        <v/>
      </c>
    </row>
    <row r="335">
      <c r="A335" t="inlineStr">
        <is>
          <t>0x201A</t>
        </is>
      </c>
      <c r="B335" t="inlineStr">
        <is>
          <t>bs-Cyrl_BA</t>
        </is>
      </c>
      <c r="C335">
        <f>TEXT(43836, "[$-201A]dddd,ddd,mmmm,mmm,mmmmm,m")</f>
        <v/>
      </c>
      <c r="D335">
        <f>TEXT(43865, "[$-201A]dddd,ddd,mmmm,mmm,mmmmm,m")</f>
        <v/>
      </c>
      <c r="E335">
        <f>TEXT(43894, "[$-201A]dddd,ddd,mmmm,mmm,mmmmm,m")</f>
        <v/>
      </c>
      <c r="F335">
        <f>TEXT(43923, "[$-201A]dddd,ddd,mmmm,mmm,mmmmm,m")</f>
        <v/>
      </c>
      <c r="G335">
        <f>TEXT(43952, "[$-201A]dddd,ddd,mmmm,mmm,mmmmm,m")</f>
        <v/>
      </c>
      <c r="H335">
        <f>TEXT(43988, "[$-201A]dddd,ddd,mmmm,mmm,mmmmm,m")</f>
        <v/>
      </c>
      <c r="I335">
        <f>TEXT(44017, "[$-201A]dddd,ddd,mmmm,mmm,mmmmm,m")</f>
        <v/>
      </c>
      <c r="J335">
        <f>TEXT(44046, "[$-201A]dddd,ddd,mmmm,mmm,mmmmm,m")</f>
        <v/>
      </c>
      <c r="K335">
        <f>TEXT(44082, "[$-201A]dddd,ddd,mmmm,mmm,mmmmm,m")</f>
        <v/>
      </c>
      <c r="L335">
        <f>TEXT(44111, "[$-201A]dddd,ddd,mmmm,mmm,mmmmm,m")</f>
        <v/>
      </c>
      <c r="M335">
        <f>TEXT(44140, "[$-201A]dddd,ddd,mmmm,mmm,mmmmm,m")</f>
        <v/>
      </c>
      <c r="N335">
        <f>TEXT(44169, "[$-201A]dddd,ddd,mmmm,mmm,mmmmm,m")</f>
        <v/>
      </c>
      <c r="O335">
        <f>TEXT(44198, "[$-201A]dddd,ddd,mmmm,mmm,mmmmm,m")</f>
        <v/>
      </c>
    </row>
    <row r="336">
      <c r="A336" t="inlineStr">
        <is>
          <t>0x203B</t>
        </is>
      </c>
      <c r="B336" t="inlineStr">
        <is>
          <t>sms-FI</t>
        </is>
      </c>
      <c r="C336">
        <f>TEXT(43836, "[$-203B]dddd,ddd,mmmm,mmm,mmmmm,m")</f>
        <v/>
      </c>
      <c r="D336">
        <f>TEXT(43865, "[$-203B]dddd,ddd,mmmm,mmm,mmmmm,m")</f>
        <v/>
      </c>
      <c r="E336">
        <f>TEXT(43894, "[$-203B]dddd,ddd,mmmm,mmm,mmmmm,m")</f>
        <v/>
      </c>
      <c r="F336">
        <f>TEXT(43923, "[$-203B]dddd,ddd,mmmm,mmm,mmmmm,m")</f>
        <v/>
      </c>
      <c r="G336">
        <f>TEXT(43952, "[$-203B]dddd,ddd,mmmm,mmm,mmmmm,m")</f>
        <v/>
      </c>
      <c r="H336">
        <f>TEXT(43988, "[$-203B]dddd,ddd,mmmm,mmm,mmmmm,m")</f>
        <v/>
      </c>
      <c r="I336">
        <f>TEXT(44017, "[$-203B]dddd,ddd,mmmm,mmm,mmmmm,m")</f>
        <v/>
      </c>
      <c r="J336">
        <f>TEXT(44046, "[$-203B]dddd,ddd,mmmm,mmm,mmmmm,m")</f>
        <v/>
      </c>
      <c r="K336">
        <f>TEXT(44082, "[$-203B]dddd,ddd,mmmm,mmm,mmmmm,m")</f>
        <v/>
      </c>
      <c r="L336">
        <f>TEXT(44111, "[$-203B]dddd,ddd,mmmm,mmm,mmmmm,m")</f>
        <v/>
      </c>
      <c r="M336">
        <f>TEXT(44140, "[$-203B]dddd,ddd,mmmm,mmm,mmmmm,m")</f>
        <v/>
      </c>
      <c r="N336">
        <f>TEXT(44169, "[$-203B]dddd,ddd,mmmm,mmm,mmmmm,m")</f>
        <v/>
      </c>
      <c r="O336">
        <f>TEXT(44198, "[$-203B]dddd,ddd,mmmm,mmm,mmmmm,m")</f>
        <v/>
      </c>
    </row>
    <row r="337">
      <c r="A337" t="inlineStr">
        <is>
          <t>0x2401</t>
        </is>
      </c>
      <c r="B337" t="inlineStr">
        <is>
          <t>ar-YE</t>
        </is>
      </c>
      <c r="C337">
        <f>TEXT(43836, "[$-2401]dddd,ddd,mmmm,mmm,mmmmm,m")</f>
        <v/>
      </c>
      <c r="D337">
        <f>TEXT(43865, "[$-2401]dddd,ddd,mmmm,mmm,mmmmm,m")</f>
        <v/>
      </c>
      <c r="E337">
        <f>TEXT(43894, "[$-2401]dddd,ddd,mmmm,mmm,mmmmm,m")</f>
        <v/>
      </c>
      <c r="F337">
        <f>TEXT(43923, "[$-2401]dddd,ddd,mmmm,mmm,mmmmm,m")</f>
        <v/>
      </c>
      <c r="G337">
        <f>TEXT(43952, "[$-2401]dddd,ddd,mmmm,mmm,mmmmm,m")</f>
        <v/>
      </c>
      <c r="H337">
        <f>TEXT(43988, "[$-2401]dddd,ddd,mmmm,mmm,mmmmm,m")</f>
        <v/>
      </c>
      <c r="I337">
        <f>TEXT(44017, "[$-2401]dddd,ddd,mmmm,mmm,mmmmm,m")</f>
        <v/>
      </c>
      <c r="J337">
        <f>TEXT(44046, "[$-2401]dddd,ddd,mmmm,mmm,mmmmm,m")</f>
        <v/>
      </c>
      <c r="K337">
        <f>TEXT(44082, "[$-2401]dddd,ddd,mmmm,mmm,mmmmm,m")</f>
        <v/>
      </c>
      <c r="L337">
        <f>TEXT(44111, "[$-2401]dddd,ddd,mmmm,mmm,mmmmm,m")</f>
        <v/>
      </c>
      <c r="M337">
        <f>TEXT(44140, "[$-2401]dddd,ddd,mmmm,mmm,mmmmm,m")</f>
        <v/>
      </c>
      <c r="N337">
        <f>TEXT(44169, "[$-2401]dddd,ddd,mmmm,mmm,mmmmm,m")</f>
        <v/>
      </c>
      <c r="O337">
        <f>TEXT(44198, "[$-2401]dddd,ddd,mmmm,mmm,mmmmm,m")</f>
        <v/>
      </c>
    </row>
    <row r="338">
      <c r="A338" t="inlineStr">
        <is>
          <t>0x2409</t>
        </is>
      </c>
      <c r="B338" t="inlineStr">
        <is>
          <t>en-029</t>
        </is>
      </c>
      <c r="C338">
        <f>TEXT(43836, "[$-2409]dddd,ddd,mmmm,mmm,mmmmm,m")</f>
        <v/>
      </c>
      <c r="D338">
        <f>TEXT(43865, "[$-2409]dddd,ddd,mmmm,mmm,mmmmm,m")</f>
        <v/>
      </c>
      <c r="E338">
        <f>TEXT(43894, "[$-2409]dddd,ddd,mmmm,mmm,mmmmm,m")</f>
        <v/>
      </c>
      <c r="F338">
        <f>TEXT(43923, "[$-2409]dddd,ddd,mmmm,mmm,mmmmm,m")</f>
        <v/>
      </c>
      <c r="G338">
        <f>TEXT(43952, "[$-2409]dddd,ddd,mmmm,mmm,mmmmm,m")</f>
        <v/>
      </c>
      <c r="H338">
        <f>TEXT(43988, "[$-2409]dddd,ddd,mmmm,mmm,mmmmm,m")</f>
        <v/>
      </c>
      <c r="I338">
        <f>TEXT(44017, "[$-2409]dddd,ddd,mmmm,mmm,mmmmm,m")</f>
        <v/>
      </c>
      <c r="J338">
        <f>TEXT(44046, "[$-2409]dddd,ddd,mmmm,mmm,mmmmm,m")</f>
        <v/>
      </c>
      <c r="K338">
        <f>TEXT(44082, "[$-2409]dddd,ddd,mmmm,mmm,mmmmm,m")</f>
        <v/>
      </c>
      <c r="L338">
        <f>TEXT(44111, "[$-2409]dddd,ddd,mmmm,mmm,mmmmm,m")</f>
        <v/>
      </c>
      <c r="M338">
        <f>TEXT(44140, "[$-2409]dddd,ddd,mmmm,mmm,mmmmm,m")</f>
        <v/>
      </c>
      <c r="N338">
        <f>TEXT(44169, "[$-2409]dddd,ddd,mmmm,mmm,mmmmm,m")</f>
        <v/>
      </c>
      <c r="O338">
        <f>TEXT(44198, "[$-2409]dddd,ddd,mmmm,mmm,mmmmm,m")</f>
        <v/>
      </c>
    </row>
    <row r="339">
      <c r="A339" t="inlineStr">
        <is>
          <t>0x240A</t>
        </is>
      </c>
      <c r="B339" t="inlineStr">
        <is>
          <t>es-CO</t>
        </is>
      </c>
      <c r="C339">
        <f>TEXT(43836, "[$-240A]dddd,ddd,mmmm,mmm,mmmmm,m")</f>
        <v/>
      </c>
      <c r="D339">
        <f>TEXT(43865, "[$-240A]dddd,ddd,mmmm,mmm,mmmmm,m")</f>
        <v/>
      </c>
      <c r="E339">
        <f>TEXT(43894, "[$-240A]dddd,ddd,mmmm,mmm,mmmmm,m")</f>
        <v/>
      </c>
      <c r="F339">
        <f>TEXT(43923, "[$-240A]dddd,ddd,mmmm,mmm,mmmmm,m")</f>
        <v/>
      </c>
      <c r="G339">
        <f>TEXT(43952, "[$-240A]dddd,ddd,mmmm,mmm,mmmmm,m")</f>
        <v/>
      </c>
      <c r="H339">
        <f>TEXT(43988, "[$-240A]dddd,ddd,mmmm,mmm,mmmmm,m")</f>
        <v/>
      </c>
      <c r="I339">
        <f>TEXT(44017, "[$-240A]dddd,ddd,mmmm,mmm,mmmmm,m")</f>
        <v/>
      </c>
      <c r="J339">
        <f>TEXT(44046, "[$-240A]dddd,ddd,mmmm,mmm,mmmmm,m")</f>
        <v/>
      </c>
      <c r="K339">
        <f>TEXT(44082, "[$-240A]dddd,ddd,mmmm,mmm,mmmmm,m")</f>
        <v/>
      </c>
      <c r="L339">
        <f>TEXT(44111, "[$-240A]dddd,ddd,mmmm,mmm,mmmmm,m")</f>
        <v/>
      </c>
      <c r="M339">
        <f>TEXT(44140, "[$-240A]dddd,ddd,mmmm,mmm,mmmmm,m")</f>
        <v/>
      </c>
      <c r="N339">
        <f>TEXT(44169, "[$-240A]dddd,ddd,mmmm,mmm,mmmmm,m")</f>
        <v/>
      </c>
      <c r="O339">
        <f>TEXT(44198, "[$-240A]dddd,ddd,mmmm,mmm,mmmmm,m")</f>
        <v/>
      </c>
    </row>
    <row r="340">
      <c r="A340" t="inlineStr">
        <is>
          <t>0x240C</t>
        </is>
      </c>
      <c r="B340" t="inlineStr">
        <is>
          <t>fr-CD</t>
        </is>
      </c>
      <c r="C340">
        <f>TEXT(43836, "[$-240C]dddd,ddd,mmmm,mmm,mmmmm,m")</f>
        <v/>
      </c>
      <c r="D340">
        <f>TEXT(43865, "[$-240C]dddd,ddd,mmmm,mmm,mmmmm,m")</f>
        <v/>
      </c>
      <c r="E340">
        <f>TEXT(43894, "[$-240C]dddd,ddd,mmmm,mmm,mmmmm,m")</f>
        <v/>
      </c>
      <c r="F340">
        <f>TEXT(43923, "[$-240C]dddd,ddd,mmmm,mmm,mmmmm,m")</f>
        <v/>
      </c>
      <c r="G340">
        <f>TEXT(43952, "[$-240C]dddd,ddd,mmmm,mmm,mmmmm,m")</f>
        <v/>
      </c>
      <c r="H340">
        <f>TEXT(43988, "[$-240C]dddd,ddd,mmmm,mmm,mmmmm,m")</f>
        <v/>
      </c>
      <c r="I340">
        <f>TEXT(44017, "[$-240C]dddd,ddd,mmmm,mmm,mmmmm,m")</f>
        <v/>
      </c>
      <c r="J340">
        <f>TEXT(44046, "[$-240C]dddd,ddd,mmmm,mmm,mmmmm,m")</f>
        <v/>
      </c>
      <c r="K340">
        <f>TEXT(44082, "[$-240C]dddd,ddd,mmmm,mmm,mmmmm,m")</f>
        <v/>
      </c>
      <c r="L340">
        <f>TEXT(44111, "[$-240C]dddd,ddd,mmmm,mmm,mmmmm,m")</f>
        <v/>
      </c>
      <c r="M340">
        <f>TEXT(44140, "[$-240C]dddd,ddd,mmmm,mmm,mmmmm,m")</f>
        <v/>
      </c>
      <c r="N340">
        <f>TEXT(44169, "[$-240C]dddd,ddd,mmmm,mmm,mmmmm,m")</f>
        <v/>
      </c>
      <c r="O340">
        <f>TEXT(44198, "[$-240C]dddd,ddd,mmmm,mmm,mmmmm,m")</f>
        <v/>
      </c>
    </row>
    <row r="341">
      <c r="A341" t="inlineStr">
        <is>
          <t>0x241A</t>
        </is>
      </c>
      <c r="B341" t="inlineStr">
        <is>
          <t>sr-Latn_RS</t>
        </is>
      </c>
      <c r="C341">
        <f>TEXT(43836, "[$-241A]dddd,ddd,mmmm,mmm,mmmmm,m")</f>
        <v/>
      </c>
      <c r="D341">
        <f>TEXT(43865, "[$-241A]dddd,ddd,mmmm,mmm,mmmmm,m")</f>
        <v/>
      </c>
      <c r="E341">
        <f>TEXT(43894, "[$-241A]dddd,ddd,mmmm,mmm,mmmmm,m")</f>
        <v/>
      </c>
      <c r="F341">
        <f>TEXT(43923, "[$-241A]dddd,ddd,mmmm,mmm,mmmmm,m")</f>
        <v/>
      </c>
      <c r="G341">
        <f>TEXT(43952, "[$-241A]dddd,ddd,mmmm,mmm,mmmmm,m")</f>
        <v/>
      </c>
      <c r="H341">
        <f>TEXT(43988, "[$-241A]dddd,ddd,mmmm,mmm,mmmmm,m")</f>
        <v/>
      </c>
      <c r="I341">
        <f>TEXT(44017, "[$-241A]dddd,ddd,mmmm,mmm,mmmmm,m")</f>
        <v/>
      </c>
      <c r="J341">
        <f>TEXT(44046, "[$-241A]dddd,ddd,mmmm,mmm,mmmmm,m")</f>
        <v/>
      </c>
      <c r="K341">
        <f>TEXT(44082, "[$-241A]dddd,ddd,mmmm,mmm,mmmmm,m")</f>
        <v/>
      </c>
      <c r="L341">
        <f>TEXT(44111, "[$-241A]dddd,ddd,mmmm,mmm,mmmmm,m")</f>
        <v/>
      </c>
      <c r="M341">
        <f>TEXT(44140, "[$-241A]dddd,ddd,mmmm,mmm,mmmmm,m")</f>
        <v/>
      </c>
      <c r="N341">
        <f>TEXT(44169, "[$-241A]dddd,ddd,mmmm,mmm,mmmmm,m")</f>
        <v/>
      </c>
      <c r="O341">
        <f>TEXT(44198, "[$-241A]dddd,ddd,mmmm,mmm,mmmmm,m")</f>
        <v/>
      </c>
    </row>
    <row r="342">
      <c r="A342" t="inlineStr">
        <is>
          <t>0x243B</t>
        </is>
      </c>
      <c r="B342" t="inlineStr">
        <is>
          <t>smn-FI</t>
        </is>
      </c>
      <c r="C342">
        <f>TEXT(43836, "[$-243B]dddd,ddd,mmmm,mmm,mmmmm,m")</f>
        <v/>
      </c>
      <c r="D342">
        <f>TEXT(43865, "[$-243B]dddd,ddd,mmmm,mmm,mmmmm,m")</f>
        <v/>
      </c>
      <c r="E342">
        <f>TEXT(43894, "[$-243B]dddd,ddd,mmmm,mmm,mmmmm,m")</f>
        <v/>
      </c>
      <c r="F342">
        <f>TEXT(43923, "[$-243B]dddd,ddd,mmmm,mmm,mmmmm,m")</f>
        <v/>
      </c>
      <c r="G342">
        <f>TEXT(43952, "[$-243B]dddd,ddd,mmmm,mmm,mmmmm,m")</f>
        <v/>
      </c>
      <c r="H342">
        <f>TEXT(43988, "[$-243B]dddd,ddd,mmmm,mmm,mmmmm,m")</f>
        <v/>
      </c>
      <c r="I342">
        <f>TEXT(44017, "[$-243B]dddd,ddd,mmmm,mmm,mmmmm,m")</f>
        <v/>
      </c>
      <c r="J342">
        <f>TEXT(44046, "[$-243B]dddd,ddd,mmmm,mmm,mmmmm,m")</f>
        <v/>
      </c>
      <c r="K342">
        <f>TEXT(44082, "[$-243B]dddd,ddd,mmmm,mmm,mmmmm,m")</f>
        <v/>
      </c>
      <c r="L342">
        <f>TEXT(44111, "[$-243B]dddd,ddd,mmmm,mmm,mmmmm,m")</f>
        <v/>
      </c>
      <c r="M342">
        <f>TEXT(44140, "[$-243B]dddd,ddd,mmmm,mmm,mmmmm,m")</f>
        <v/>
      </c>
      <c r="N342">
        <f>TEXT(44169, "[$-243B]dddd,ddd,mmmm,mmm,mmmmm,m")</f>
        <v/>
      </c>
      <c r="O342">
        <f>TEXT(44198, "[$-243B]dddd,ddd,mmmm,mmm,mmmmm,m")</f>
        <v/>
      </c>
    </row>
    <row r="343">
      <c r="A343" t="inlineStr">
        <is>
          <t>0x2801</t>
        </is>
      </c>
      <c r="B343" t="inlineStr">
        <is>
          <t>ar-SY</t>
        </is>
      </c>
      <c r="C343">
        <f>TEXT(43836, "[$-2801]dddd,ddd,mmmm,mmm,mmmmm,m")</f>
        <v/>
      </c>
      <c r="D343">
        <f>TEXT(43865, "[$-2801]dddd,ddd,mmmm,mmm,mmmmm,m")</f>
        <v/>
      </c>
      <c r="E343">
        <f>TEXT(43894, "[$-2801]dddd,ddd,mmmm,mmm,mmmmm,m")</f>
        <v/>
      </c>
      <c r="F343">
        <f>TEXT(43923, "[$-2801]dddd,ddd,mmmm,mmm,mmmmm,m")</f>
        <v/>
      </c>
      <c r="G343">
        <f>TEXT(43952, "[$-2801]dddd,ddd,mmmm,mmm,mmmmm,m")</f>
        <v/>
      </c>
      <c r="H343">
        <f>TEXT(43988, "[$-2801]dddd,ddd,mmmm,mmm,mmmmm,m")</f>
        <v/>
      </c>
      <c r="I343">
        <f>TEXT(44017, "[$-2801]dddd,ddd,mmmm,mmm,mmmmm,m")</f>
        <v/>
      </c>
      <c r="J343">
        <f>TEXT(44046, "[$-2801]dddd,ddd,mmmm,mmm,mmmmm,m")</f>
        <v/>
      </c>
      <c r="K343">
        <f>TEXT(44082, "[$-2801]dddd,ddd,mmmm,mmm,mmmmm,m")</f>
        <v/>
      </c>
      <c r="L343">
        <f>TEXT(44111, "[$-2801]dddd,ddd,mmmm,mmm,mmmmm,m")</f>
        <v/>
      </c>
      <c r="M343">
        <f>TEXT(44140, "[$-2801]dddd,ddd,mmmm,mmm,mmmmm,m")</f>
        <v/>
      </c>
      <c r="N343">
        <f>TEXT(44169, "[$-2801]dddd,ddd,mmmm,mmm,mmmmm,m")</f>
        <v/>
      </c>
      <c r="O343">
        <f>TEXT(44198, "[$-2801]dddd,ddd,mmmm,mmm,mmmmm,m")</f>
        <v/>
      </c>
    </row>
    <row r="344">
      <c r="A344" t="inlineStr">
        <is>
          <t>0x2809</t>
        </is>
      </c>
      <c r="B344" t="inlineStr">
        <is>
          <t>en-BZ</t>
        </is>
      </c>
      <c r="C344">
        <f>TEXT(43836, "[$-2809]dddd,ddd,mmmm,mmm,mmmmm,m")</f>
        <v/>
      </c>
      <c r="D344">
        <f>TEXT(43865, "[$-2809]dddd,ddd,mmmm,mmm,mmmmm,m")</f>
        <v/>
      </c>
      <c r="E344">
        <f>TEXT(43894, "[$-2809]dddd,ddd,mmmm,mmm,mmmmm,m")</f>
        <v/>
      </c>
      <c r="F344">
        <f>TEXT(43923, "[$-2809]dddd,ddd,mmmm,mmm,mmmmm,m")</f>
        <v/>
      </c>
      <c r="G344">
        <f>TEXT(43952, "[$-2809]dddd,ddd,mmmm,mmm,mmmmm,m")</f>
        <v/>
      </c>
      <c r="H344">
        <f>TEXT(43988, "[$-2809]dddd,ddd,mmmm,mmm,mmmmm,m")</f>
        <v/>
      </c>
      <c r="I344">
        <f>TEXT(44017, "[$-2809]dddd,ddd,mmmm,mmm,mmmmm,m")</f>
        <v/>
      </c>
      <c r="J344">
        <f>TEXT(44046, "[$-2809]dddd,ddd,mmmm,mmm,mmmmm,m")</f>
        <v/>
      </c>
      <c r="K344">
        <f>TEXT(44082, "[$-2809]dddd,ddd,mmmm,mmm,mmmmm,m")</f>
        <v/>
      </c>
      <c r="L344">
        <f>TEXT(44111, "[$-2809]dddd,ddd,mmmm,mmm,mmmmm,m")</f>
        <v/>
      </c>
      <c r="M344">
        <f>TEXT(44140, "[$-2809]dddd,ddd,mmmm,mmm,mmmmm,m")</f>
        <v/>
      </c>
      <c r="N344">
        <f>TEXT(44169, "[$-2809]dddd,ddd,mmmm,mmm,mmmmm,m")</f>
        <v/>
      </c>
      <c r="O344">
        <f>TEXT(44198, "[$-2809]dddd,ddd,mmmm,mmm,mmmmm,m")</f>
        <v/>
      </c>
    </row>
    <row r="345">
      <c r="A345" t="inlineStr">
        <is>
          <t>0x280A</t>
        </is>
      </c>
      <c r="B345" t="inlineStr">
        <is>
          <t>es-PE</t>
        </is>
      </c>
      <c r="C345">
        <f>TEXT(43836, "[$-280A]dddd,ddd,mmmm,mmm,mmmmm,m")</f>
        <v/>
      </c>
      <c r="D345">
        <f>TEXT(43865, "[$-280A]dddd,ddd,mmmm,mmm,mmmmm,m")</f>
        <v/>
      </c>
      <c r="E345">
        <f>TEXT(43894, "[$-280A]dddd,ddd,mmmm,mmm,mmmmm,m")</f>
        <v/>
      </c>
      <c r="F345">
        <f>TEXT(43923, "[$-280A]dddd,ddd,mmmm,mmm,mmmmm,m")</f>
        <v/>
      </c>
      <c r="G345">
        <f>TEXT(43952, "[$-280A]dddd,ddd,mmmm,mmm,mmmmm,m")</f>
        <v/>
      </c>
      <c r="H345">
        <f>TEXT(43988, "[$-280A]dddd,ddd,mmmm,mmm,mmmmm,m")</f>
        <v/>
      </c>
      <c r="I345">
        <f>TEXT(44017, "[$-280A]dddd,ddd,mmmm,mmm,mmmmm,m")</f>
        <v/>
      </c>
      <c r="J345">
        <f>TEXT(44046, "[$-280A]dddd,ddd,mmmm,mmm,mmmmm,m")</f>
        <v/>
      </c>
      <c r="K345">
        <f>TEXT(44082, "[$-280A]dddd,ddd,mmmm,mmm,mmmmm,m")</f>
        <v/>
      </c>
      <c r="L345">
        <f>TEXT(44111, "[$-280A]dddd,ddd,mmmm,mmm,mmmmm,m")</f>
        <v/>
      </c>
      <c r="M345">
        <f>TEXT(44140, "[$-280A]dddd,ddd,mmmm,mmm,mmmmm,m")</f>
        <v/>
      </c>
      <c r="N345">
        <f>TEXT(44169, "[$-280A]dddd,ddd,mmmm,mmm,mmmmm,m")</f>
        <v/>
      </c>
      <c r="O345">
        <f>TEXT(44198, "[$-280A]dddd,ddd,mmmm,mmm,mmmmm,m")</f>
        <v/>
      </c>
    </row>
    <row r="346">
      <c r="A346" t="inlineStr">
        <is>
          <t>0x280C</t>
        </is>
      </c>
      <c r="B346" t="inlineStr">
        <is>
          <t>fr-SN</t>
        </is>
      </c>
      <c r="C346">
        <f>TEXT(43836, "[$-280C]dddd,ddd,mmmm,mmm,mmmmm,m")</f>
        <v/>
      </c>
      <c r="D346">
        <f>TEXT(43865, "[$-280C]dddd,ddd,mmmm,mmm,mmmmm,m")</f>
        <v/>
      </c>
      <c r="E346">
        <f>TEXT(43894, "[$-280C]dddd,ddd,mmmm,mmm,mmmmm,m")</f>
        <v/>
      </c>
      <c r="F346">
        <f>TEXT(43923, "[$-280C]dddd,ddd,mmmm,mmm,mmmmm,m")</f>
        <v/>
      </c>
      <c r="G346">
        <f>TEXT(43952, "[$-280C]dddd,ddd,mmmm,mmm,mmmmm,m")</f>
        <v/>
      </c>
      <c r="H346">
        <f>TEXT(43988, "[$-280C]dddd,ddd,mmmm,mmm,mmmmm,m")</f>
        <v/>
      </c>
      <c r="I346">
        <f>TEXT(44017, "[$-280C]dddd,ddd,mmmm,mmm,mmmmm,m")</f>
        <v/>
      </c>
      <c r="J346">
        <f>TEXT(44046, "[$-280C]dddd,ddd,mmmm,mmm,mmmmm,m")</f>
        <v/>
      </c>
      <c r="K346">
        <f>TEXT(44082, "[$-280C]dddd,ddd,mmmm,mmm,mmmmm,m")</f>
        <v/>
      </c>
      <c r="L346">
        <f>TEXT(44111, "[$-280C]dddd,ddd,mmmm,mmm,mmmmm,m")</f>
        <v/>
      </c>
      <c r="M346">
        <f>TEXT(44140, "[$-280C]dddd,ddd,mmmm,mmm,mmmmm,m")</f>
        <v/>
      </c>
      <c r="N346">
        <f>TEXT(44169, "[$-280C]dddd,ddd,mmmm,mmm,mmmmm,m")</f>
        <v/>
      </c>
      <c r="O346">
        <f>TEXT(44198, "[$-280C]dddd,ddd,mmmm,mmm,mmmmm,m")</f>
        <v/>
      </c>
    </row>
    <row r="347">
      <c r="A347" t="inlineStr">
        <is>
          <t>0x281A</t>
        </is>
      </c>
      <c r="B347" t="inlineStr">
        <is>
          <t>sr-Cyrl_RS</t>
        </is>
      </c>
      <c r="C347">
        <f>TEXT(43836, "[$-281A]dddd,ddd,mmmm,mmm,mmmmm,m")</f>
        <v/>
      </c>
      <c r="D347">
        <f>TEXT(43865, "[$-281A]dddd,ddd,mmmm,mmm,mmmmm,m")</f>
        <v/>
      </c>
      <c r="E347">
        <f>TEXT(43894, "[$-281A]dddd,ddd,mmmm,mmm,mmmmm,m")</f>
        <v/>
      </c>
      <c r="F347">
        <f>TEXT(43923, "[$-281A]dddd,ddd,mmmm,mmm,mmmmm,m")</f>
        <v/>
      </c>
      <c r="G347">
        <f>TEXT(43952, "[$-281A]dddd,ddd,mmmm,mmm,mmmmm,m")</f>
        <v/>
      </c>
      <c r="H347">
        <f>TEXT(43988, "[$-281A]dddd,ddd,mmmm,mmm,mmmmm,m")</f>
        <v/>
      </c>
      <c r="I347">
        <f>TEXT(44017, "[$-281A]dddd,ddd,mmmm,mmm,mmmmm,m")</f>
        <v/>
      </c>
      <c r="J347">
        <f>TEXT(44046, "[$-281A]dddd,ddd,mmmm,mmm,mmmmm,m")</f>
        <v/>
      </c>
      <c r="K347">
        <f>TEXT(44082, "[$-281A]dddd,ddd,mmmm,mmm,mmmmm,m")</f>
        <v/>
      </c>
      <c r="L347">
        <f>TEXT(44111, "[$-281A]dddd,ddd,mmmm,mmm,mmmmm,m")</f>
        <v/>
      </c>
      <c r="M347">
        <f>TEXT(44140, "[$-281A]dddd,ddd,mmmm,mmm,mmmmm,m")</f>
        <v/>
      </c>
      <c r="N347">
        <f>TEXT(44169, "[$-281A]dddd,ddd,mmmm,mmm,mmmmm,m")</f>
        <v/>
      </c>
      <c r="O347">
        <f>TEXT(44198, "[$-281A]dddd,ddd,mmmm,mmm,mmmmm,m")</f>
        <v/>
      </c>
    </row>
    <row r="348">
      <c r="A348" t="inlineStr">
        <is>
          <t>0x2C01</t>
        </is>
      </c>
      <c r="B348" t="inlineStr">
        <is>
          <t>ar-JO</t>
        </is>
      </c>
      <c r="C348">
        <f>TEXT(43836, "[$-2C01]dddd,ddd,mmmm,mmm,mmmmm,m")</f>
        <v/>
      </c>
      <c r="D348">
        <f>TEXT(43865, "[$-2C01]dddd,ddd,mmmm,mmm,mmmmm,m")</f>
        <v/>
      </c>
      <c r="E348">
        <f>TEXT(43894, "[$-2C01]dddd,ddd,mmmm,mmm,mmmmm,m")</f>
        <v/>
      </c>
      <c r="F348">
        <f>TEXT(43923, "[$-2C01]dddd,ddd,mmmm,mmm,mmmmm,m")</f>
        <v/>
      </c>
      <c r="G348">
        <f>TEXT(43952, "[$-2C01]dddd,ddd,mmmm,mmm,mmmmm,m")</f>
        <v/>
      </c>
      <c r="H348">
        <f>TEXT(43988, "[$-2C01]dddd,ddd,mmmm,mmm,mmmmm,m")</f>
        <v/>
      </c>
      <c r="I348">
        <f>TEXT(44017, "[$-2C01]dddd,ddd,mmmm,mmm,mmmmm,m")</f>
        <v/>
      </c>
      <c r="J348">
        <f>TEXT(44046, "[$-2C01]dddd,ddd,mmmm,mmm,mmmmm,m")</f>
        <v/>
      </c>
      <c r="K348">
        <f>TEXT(44082, "[$-2C01]dddd,ddd,mmmm,mmm,mmmmm,m")</f>
        <v/>
      </c>
      <c r="L348">
        <f>TEXT(44111, "[$-2C01]dddd,ddd,mmmm,mmm,mmmmm,m")</f>
        <v/>
      </c>
      <c r="M348">
        <f>TEXT(44140, "[$-2C01]dddd,ddd,mmmm,mmm,mmmmm,m")</f>
        <v/>
      </c>
      <c r="N348">
        <f>TEXT(44169, "[$-2C01]dddd,ddd,mmmm,mmm,mmmmm,m")</f>
        <v/>
      </c>
      <c r="O348">
        <f>TEXT(44198, "[$-2C01]dddd,ddd,mmmm,mmm,mmmmm,m")</f>
        <v/>
      </c>
    </row>
    <row r="349">
      <c r="A349" t="inlineStr">
        <is>
          <t>0x2C09</t>
        </is>
      </c>
      <c r="B349" t="inlineStr">
        <is>
          <t>en-TT</t>
        </is>
      </c>
      <c r="C349">
        <f>TEXT(43836, "[$-2C09]dddd,ddd,mmmm,mmm,mmmmm,m")</f>
        <v/>
      </c>
      <c r="D349">
        <f>TEXT(43865, "[$-2C09]dddd,ddd,mmmm,mmm,mmmmm,m")</f>
        <v/>
      </c>
      <c r="E349">
        <f>TEXT(43894, "[$-2C09]dddd,ddd,mmmm,mmm,mmmmm,m")</f>
        <v/>
      </c>
      <c r="F349">
        <f>TEXT(43923, "[$-2C09]dddd,ddd,mmmm,mmm,mmmmm,m")</f>
        <v/>
      </c>
      <c r="G349">
        <f>TEXT(43952, "[$-2C09]dddd,ddd,mmmm,mmm,mmmmm,m")</f>
        <v/>
      </c>
      <c r="H349">
        <f>TEXT(43988, "[$-2C09]dddd,ddd,mmmm,mmm,mmmmm,m")</f>
        <v/>
      </c>
      <c r="I349">
        <f>TEXT(44017, "[$-2C09]dddd,ddd,mmmm,mmm,mmmmm,m")</f>
        <v/>
      </c>
      <c r="J349">
        <f>TEXT(44046, "[$-2C09]dddd,ddd,mmmm,mmm,mmmmm,m")</f>
        <v/>
      </c>
      <c r="K349">
        <f>TEXT(44082, "[$-2C09]dddd,ddd,mmmm,mmm,mmmmm,m")</f>
        <v/>
      </c>
      <c r="L349">
        <f>TEXT(44111, "[$-2C09]dddd,ddd,mmmm,mmm,mmmmm,m")</f>
        <v/>
      </c>
      <c r="M349">
        <f>TEXT(44140, "[$-2C09]dddd,ddd,mmmm,mmm,mmmmm,m")</f>
        <v/>
      </c>
      <c r="N349">
        <f>TEXT(44169, "[$-2C09]dddd,ddd,mmmm,mmm,mmmmm,m")</f>
        <v/>
      </c>
      <c r="O349">
        <f>TEXT(44198, "[$-2C09]dddd,ddd,mmmm,mmm,mmmmm,m")</f>
        <v/>
      </c>
    </row>
    <row r="350">
      <c r="A350" t="inlineStr">
        <is>
          <t>0x2C0A</t>
        </is>
      </c>
      <c r="B350" t="inlineStr">
        <is>
          <t>es-AR</t>
        </is>
      </c>
      <c r="C350">
        <f>TEXT(43836, "[$-2C0A]dddd,ddd,mmmm,mmm,mmmmm,m")</f>
        <v/>
      </c>
      <c r="D350">
        <f>TEXT(43865, "[$-2C0A]dddd,ddd,mmmm,mmm,mmmmm,m")</f>
        <v/>
      </c>
      <c r="E350">
        <f>TEXT(43894, "[$-2C0A]dddd,ddd,mmmm,mmm,mmmmm,m")</f>
        <v/>
      </c>
      <c r="F350">
        <f>TEXT(43923, "[$-2C0A]dddd,ddd,mmmm,mmm,mmmmm,m")</f>
        <v/>
      </c>
      <c r="G350">
        <f>TEXT(43952, "[$-2C0A]dddd,ddd,mmmm,mmm,mmmmm,m")</f>
        <v/>
      </c>
      <c r="H350">
        <f>TEXT(43988, "[$-2C0A]dddd,ddd,mmmm,mmm,mmmmm,m")</f>
        <v/>
      </c>
      <c r="I350">
        <f>TEXT(44017, "[$-2C0A]dddd,ddd,mmmm,mmm,mmmmm,m")</f>
        <v/>
      </c>
      <c r="J350">
        <f>TEXT(44046, "[$-2C0A]dddd,ddd,mmmm,mmm,mmmmm,m")</f>
        <v/>
      </c>
      <c r="K350">
        <f>TEXT(44082, "[$-2C0A]dddd,ddd,mmmm,mmm,mmmmm,m")</f>
        <v/>
      </c>
      <c r="L350">
        <f>TEXT(44111, "[$-2C0A]dddd,ddd,mmmm,mmm,mmmmm,m")</f>
        <v/>
      </c>
      <c r="M350">
        <f>TEXT(44140, "[$-2C0A]dddd,ddd,mmmm,mmm,mmmmm,m")</f>
        <v/>
      </c>
      <c r="N350">
        <f>TEXT(44169, "[$-2C0A]dddd,ddd,mmmm,mmm,mmmmm,m")</f>
        <v/>
      </c>
      <c r="O350">
        <f>TEXT(44198, "[$-2C0A]dddd,ddd,mmmm,mmm,mmmmm,m")</f>
        <v/>
      </c>
    </row>
    <row r="351">
      <c r="A351" t="inlineStr">
        <is>
          <t>0x2C0C</t>
        </is>
      </c>
      <c r="B351" t="inlineStr">
        <is>
          <t>fr-CM</t>
        </is>
      </c>
      <c r="C351">
        <f>TEXT(43836, "[$-2C0C]dddd,ddd,mmmm,mmm,mmmmm,m")</f>
        <v/>
      </c>
      <c r="D351">
        <f>TEXT(43865, "[$-2C0C]dddd,ddd,mmmm,mmm,mmmmm,m")</f>
        <v/>
      </c>
      <c r="E351">
        <f>TEXT(43894, "[$-2C0C]dddd,ddd,mmmm,mmm,mmmmm,m")</f>
        <v/>
      </c>
      <c r="F351">
        <f>TEXT(43923, "[$-2C0C]dddd,ddd,mmmm,mmm,mmmmm,m")</f>
        <v/>
      </c>
      <c r="G351">
        <f>TEXT(43952, "[$-2C0C]dddd,ddd,mmmm,mmm,mmmmm,m")</f>
        <v/>
      </c>
      <c r="H351">
        <f>TEXT(43988, "[$-2C0C]dddd,ddd,mmmm,mmm,mmmmm,m")</f>
        <v/>
      </c>
      <c r="I351">
        <f>TEXT(44017, "[$-2C0C]dddd,ddd,mmmm,mmm,mmmmm,m")</f>
        <v/>
      </c>
      <c r="J351">
        <f>TEXT(44046, "[$-2C0C]dddd,ddd,mmmm,mmm,mmmmm,m")</f>
        <v/>
      </c>
      <c r="K351">
        <f>TEXT(44082, "[$-2C0C]dddd,ddd,mmmm,mmm,mmmmm,m")</f>
        <v/>
      </c>
      <c r="L351">
        <f>TEXT(44111, "[$-2C0C]dddd,ddd,mmmm,mmm,mmmmm,m")</f>
        <v/>
      </c>
      <c r="M351">
        <f>TEXT(44140, "[$-2C0C]dddd,ddd,mmmm,mmm,mmmmm,m")</f>
        <v/>
      </c>
      <c r="N351">
        <f>TEXT(44169, "[$-2C0C]dddd,ddd,mmmm,mmm,mmmmm,m")</f>
        <v/>
      </c>
      <c r="O351">
        <f>TEXT(44198, "[$-2C0C]dddd,ddd,mmmm,mmm,mmmmm,m")</f>
        <v/>
      </c>
    </row>
    <row r="352">
      <c r="A352" t="inlineStr">
        <is>
          <t>0x2C1A</t>
        </is>
      </c>
      <c r="B352" t="inlineStr">
        <is>
          <t>sr-Latn_ME</t>
        </is>
      </c>
      <c r="C352">
        <f>TEXT(43836, "[$-2C1A]dddd,ddd,mmmm,mmm,mmmmm,m")</f>
        <v/>
      </c>
      <c r="D352">
        <f>TEXT(43865, "[$-2C1A]dddd,ddd,mmmm,mmm,mmmmm,m")</f>
        <v/>
      </c>
      <c r="E352">
        <f>TEXT(43894, "[$-2C1A]dddd,ddd,mmmm,mmm,mmmmm,m")</f>
        <v/>
      </c>
      <c r="F352">
        <f>TEXT(43923, "[$-2C1A]dddd,ddd,mmmm,mmm,mmmmm,m")</f>
        <v/>
      </c>
      <c r="G352">
        <f>TEXT(43952, "[$-2C1A]dddd,ddd,mmmm,mmm,mmmmm,m")</f>
        <v/>
      </c>
      <c r="H352">
        <f>TEXT(43988, "[$-2C1A]dddd,ddd,mmmm,mmm,mmmmm,m")</f>
        <v/>
      </c>
      <c r="I352">
        <f>TEXT(44017, "[$-2C1A]dddd,ddd,mmmm,mmm,mmmmm,m")</f>
        <v/>
      </c>
      <c r="J352">
        <f>TEXT(44046, "[$-2C1A]dddd,ddd,mmmm,mmm,mmmmm,m")</f>
        <v/>
      </c>
      <c r="K352">
        <f>TEXT(44082, "[$-2C1A]dddd,ddd,mmmm,mmm,mmmmm,m")</f>
        <v/>
      </c>
      <c r="L352">
        <f>TEXT(44111, "[$-2C1A]dddd,ddd,mmmm,mmm,mmmmm,m")</f>
        <v/>
      </c>
      <c r="M352">
        <f>TEXT(44140, "[$-2C1A]dddd,ddd,mmmm,mmm,mmmmm,m")</f>
        <v/>
      </c>
      <c r="N352">
        <f>TEXT(44169, "[$-2C1A]dddd,ddd,mmmm,mmm,mmmmm,m")</f>
        <v/>
      </c>
      <c r="O352">
        <f>TEXT(44198, "[$-2C1A]dddd,ddd,mmmm,mmm,mmmmm,m")</f>
        <v/>
      </c>
    </row>
    <row r="353">
      <c r="A353" t="inlineStr">
        <is>
          <t>0x3001</t>
        </is>
      </c>
      <c r="B353" t="inlineStr">
        <is>
          <t>ar-LB</t>
        </is>
      </c>
      <c r="C353">
        <f>TEXT(43836, "[$-3001]dddd,ddd,mmmm,mmm,mmmmm,m")</f>
        <v/>
      </c>
      <c r="D353">
        <f>TEXT(43865, "[$-3001]dddd,ddd,mmmm,mmm,mmmmm,m")</f>
        <v/>
      </c>
      <c r="E353">
        <f>TEXT(43894, "[$-3001]dddd,ddd,mmmm,mmm,mmmmm,m")</f>
        <v/>
      </c>
      <c r="F353">
        <f>TEXT(43923, "[$-3001]dddd,ddd,mmmm,mmm,mmmmm,m")</f>
        <v/>
      </c>
      <c r="G353">
        <f>TEXT(43952, "[$-3001]dddd,ddd,mmmm,mmm,mmmmm,m")</f>
        <v/>
      </c>
      <c r="H353">
        <f>TEXT(43988, "[$-3001]dddd,ddd,mmmm,mmm,mmmmm,m")</f>
        <v/>
      </c>
      <c r="I353">
        <f>TEXT(44017, "[$-3001]dddd,ddd,mmmm,mmm,mmmmm,m")</f>
        <v/>
      </c>
      <c r="J353">
        <f>TEXT(44046, "[$-3001]dddd,ddd,mmmm,mmm,mmmmm,m")</f>
        <v/>
      </c>
      <c r="K353">
        <f>TEXT(44082, "[$-3001]dddd,ddd,mmmm,mmm,mmmmm,m")</f>
        <v/>
      </c>
      <c r="L353">
        <f>TEXT(44111, "[$-3001]dddd,ddd,mmmm,mmm,mmmmm,m")</f>
        <v/>
      </c>
      <c r="M353">
        <f>TEXT(44140, "[$-3001]dddd,ddd,mmmm,mmm,mmmmm,m")</f>
        <v/>
      </c>
      <c r="N353">
        <f>TEXT(44169, "[$-3001]dddd,ddd,mmmm,mmm,mmmmm,m")</f>
        <v/>
      </c>
      <c r="O353">
        <f>TEXT(44198, "[$-3001]dddd,ddd,mmmm,mmm,mmmmm,m")</f>
        <v/>
      </c>
    </row>
    <row r="354">
      <c r="A354" t="inlineStr">
        <is>
          <t>0x3009</t>
        </is>
      </c>
      <c r="B354" t="inlineStr">
        <is>
          <t>en-ZW</t>
        </is>
      </c>
      <c r="C354">
        <f>TEXT(43836, "[$-3009]dddd,ddd,mmmm,mmm,mmmmm,m")</f>
        <v/>
      </c>
      <c r="D354">
        <f>TEXT(43865, "[$-3009]dddd,ddd,mmmm,mmm,mmmmm,m")</f>
        <v/>
      </c>
      <c r="E354">
        <f>TEXT(43894, "[$-3009]dddd,ddd,mmmm,mmm,mmmmm,m")</f>
        <v/>
      </c>
      <c r="F354">
        <f>TEXT(43923, "[$-3009]dddd,ddd,mmmm,mmm,mmmmm,m")</f>
        <v/>
      </c>
      <c r="G354">
        <f>TEXT(43952, "[$-3009]dddd,ddd,mmmm,mmm,mmmmm,m")</f>
        <v/>
      </c>
      <c r="H354">
        <f>TEXT(43988, "[$-3009]dddd,ddd,mmmm,mmm,mmmmm,m")</f>
        <v/>
      </c>
      <c r="I354">
        <f>TEXT(44017, "[$-3009]dddd,ddd,mmmm,mmm,mmmmm,m")</f>
        <v/>
      </c>
      <c r="J354">
        <f>TEXT(44046, "[$-3009]dddd,ddd,mmmm,mmm,mmmmm,m")</f>
        <v/>
      </c>
      <c r="K354">
        <f>TEXT(44082, "[$-3009]dddd,ddd,mmmm,mmm,mmmmm,m")</f>
        <v/>
      </c>
      <c r="L354">
        <f>TEXT(44111, "[$-3009]dddd,ddd,mmmm,mmm,mmmmm,m")</f>
        <v/>
      </c>
      <c r="M354">
        <f>TEXT(44140, "[$-3009]dddd,ddd,mmmm,mmm,mmmmm,m")</f>
        <v/>
      </c>
      <c r="N354">
        <f>TEXT(44169, "[$-3009]dddd,ddd,mmmm,mmm,mmmmm,m")</f>
        <v/>
      </c>
      <c r="O354">
        <f>TEXT(44198, "[$-3009]dddd,ddd,mmmm,mmm,mmmmm,m")</f>
        <v/>
      </c>
    </row>
    <row r="355">
      <c r="A355" t="inlineStr">
        <is>
          <t>0x300A</t>
        </is>
      </c>
      <c r="B355" t="inlineStr">
        <is>
          <t>es-EC</t>
        </is>
      </c>
      <c r="C355">
        <f>TEXT(43836, "[$-300A]dddd,ddd,mmmm,mmm,mmmmm,m")</f>
        <v/>
      </c>
      <c r="D355">
        <f>TEXT(43865, "[$-300A]dddd,ddd,mmmm,mmm,mmmmm,m")</f>
        <v/>
      </c>
      <c r="E355">
        <f>TEXT(43894, "[$-300A]dddd,ddd,mmmm,mmm,mmmmm,m")</f>
        <v/>
      </c>
      <c r="F355">
        <f>TEXT(43923, "[$-300A]dddd,ddd,mmmm,mmm,mmmmm,m")</f>
        <v/>
      </c>
      <c r="G355">
        <f>TEXT(43952, "[$-300A]dddd,ddd,mmmm,mmm,mmmmm,m")</f>
        <v/>
      </c>
      <c r="H355">
        <f>TEXT(43988, "[$-300A]dddd,ddd,mmmm,mmm,mmmmm,m")</f>
        <v/>
      </c>
      <c r="I355">
        <f>TEXT(44017, "[$-300A]dddd,ddd,mmmm,mmm,mmmmm,m")</f>
        <v/>
      </c>
      <c r="J355">
        <f>TEXT(44046, "[$-300A]dddd,ddd,mmmm,mmm,mmmmm,m")</f>
        <v/>
      </c>
      <c r="K355">
        <f>TEXT(44082, "[$-300A]dddd,ddd,mmmm,mmm,mmmmm,m")</f>
        <v/>
      </c>
      <c r="L355">
        <f>TEXT(44111, "[$-300A]dddd,ddd,mmmm,mmm,mmmmm,m")</f>
        <v/>
      </c>
      <c r="M355">
        <f>TEXT(44140, "[$-300A]dddd,ddd,mmmm,mmm,mmmmm,m")</f>
        <v/>
      </c>
      <c r="N355">
        <f>TEXT(44169, "[$-300A]dddd,ddd,mmmm,mmm,mmmmm,m")</f>
        <v/>
      </c>
      <c r="O355">
        <f>TEXT(44198, "[$-300A]dddd,ddd,mmmm,mmm,mmmmm,m")</f>
        <v/>
      </c>
    </row>
    <row r="356">
      <c r="A356" t="inlineStr">
        <is>
          <t>0x300C</t>
        </is>
      </c>
      <c r="B356" t="inlineStr">
        <is>
          <t>fr-CI</t>
        </is>
      </c>
      <c r="C356">
        <f>TEXT(43836, "[$-300C]dddd,ddd,mmmm,mmm,mmmmm,m")</f>
        <v/>
      </c>
      <c r="D356">
        <f>TEXT(43865, "[$-300C]dddd,ddd,mmmm,mmm,mmmmm,m")</f>
        <v/>
      </c>
      <c r="E356">
        <f>TEXT(43894, "[$-300C]dddd,ddd,mmmm,mmm,mmmmm,m")</f>
        <v/>
      </c>
      <c r="F356">
        <f>TEXT(43923, "[$-300C]dddd,ddd,mmmm,mmm,mmmmm,m")</f>
        <v/>
      </c>
      <c r="G356">
        <f>TEXT(43952, "[$-300C]dddd,ddd,mmmm,mmm,mmmmm,m")</f>
        <v/>
      </c>
      <c r="H356">
        <f>TEXT(43988, "[$-300C]dddd,ddd,mmmm,mmm,mmmmm,m")</f>
        <v/>
      </c>
      <c r="I356">
        <f>TEXT(44017, "[$-300C]dddd,ddd,mmmm,mmm,mmmmm,m")</f>
        <v/>
      </c>
      <c r="J356">
        <f>TEXT(44046, "[$-300C]dddd,ddd,mmmm,mmm,mmmmm,m")</f>
        <v/>
      </c>
      <c r="K356">
        <f>TEXT(44082, "[$-300C]dddd,ddd,mmmm,mmm,mmmmm,m")</f>
        <v/>
      </c>
      <c r="L356">
        <f>TEXT(44111, "[$-300C]dddd,ddd,mmmm,mmm,mmmmm,m")</f>
        <v/>
      </c>
      <c r="M356">
        <f>TEXT(44140, "[$-300C]dddd,ddd,mmmm,mmm,mmmmm,m")</f>
        <v/>
      </c>
      <c r="N356">
        <f>TEXT(44169, "[$-300C]dddd,ddd,mmmm,mmm,mmmmm,m")</f>
        <v/>
      </c>
      <c r="O356">
        <f>TEXT(44198, "[$-300C]dddd,ddd,mmmm,mmm,mmmmm,m")</f>
        <v/>
      </c>
    </row>
    <row r="357">
      <c r="A357" t="inlineStr">
        <is>
          <t>0x301A</t>
        </is>
      </c>
      <c r="B357" t="inlineStr">
        <is>
          <t>sr-Cyrl_ME</t>
        </is>
      </c>
      <c r="C357">
        <f>TEXT(43836, "[$-301A]dddd,ddd,mmmm,mmm,mmmmm,m")</f>
        <v/>
      </c>
      <c r="D357">
        <f>TEXT(43865, "[$-301A]dddd,ddd,mmmm,mmm,mmmmm,m")</f>
        <v/>
      </c>
      <c r="E357">
        <f>TEXT(43894, "[$-301A]dddd,ddd,mmmm,mmm,mmmmm,m")</f>
        <v/>
      </c>
      <c r="F357">
        <f>TEXT(43923, "[$-301A]dddd,ddd,mmmm,mmm,mmmmm,m")</f>
        <v/>
      </c>
      <c r="G357">
        <f>TEXT(43952, "[$-301A]dddd,ddd,mmmm,mmm,mmmmm,m")</f>
        <v/>
      </c>
      <c r="H357">
        <f>TEXT(43988, "[$-301A]dddd,ddd,mmmm,mmm,mmmmm,m")</f>
        <v/>
      </c>
      <c r="I357">
        <f>TEXT(44017, "[$-301A]dddd,ddd,mmmm,mmm,mmmmm,m")</f>
        <v/>
      </c>
      <c r="J357">
        <f>TEXT(44046, "[$-301A]dddd,ddd,mmmm,mmm,mmmmm,m")</f>
        <v/>
      </c>
      <c r="K357">
        <f>TEXT(44082, "[$-301A]dddd,ddd,mmmm,mmm,mmmmm,m")</f>
        <v/>
      </c>
      <c r="L357">
        <f>TEXT(44111, "[$-301A]dddd,ddd,mmmm,mmm,mmmmm,m")</f>
        <v/>
      </c>
      <c r="M357">
        <f>TEXT(44140, "[$-301A]dddd,ddd,mmmm,mmm,mmmmm,m")</f>
        <v/>
      </c>
      <c r="N357">
        <f>TEXT(44169, "[$-301A]dddd,ddd,mmmm,mmm,mmmmm,m")</f>
        <v/>
      </c>
      <c r="O357">
        <f>TEXT(44198, "[$-301A]dddd,ddd,mmmm,mmm,mmmmm,m")</f>
        <v/>
      </c>
    </row>
    <row r="358">
      <c r="A358" t="inlineStr">
        <is>
          <t>0x3401</t>
        </is>
      </c>
      <c r="B358" t="inlineStr">
        <is>
          <t>ar-KW</t>
        </is>
      </c>
      <c r="C358">
        <f>TEXT(43836, "[$-3401]dddd,ddd,mmmm,mmm,mmmmm,m")</f>
        <v/>
      </c>
      <c r="D358">
        <f>TEXT(43865, "[$-3401]dddd,ddd,mmmm,mmm,mmmmm,m")</f>
        <v/>
      </c>
      <c r="E358">
        <f>TEXT(43894, "[$-3401]dddd,ddd,mmmm,mmm,mmmmm,m")</f>
        <v/>
      </c>
      <c r="F358">
        <f>TEXT(43923, "[$-3401]dddd,ddd,mmmm,mmm,mmmmm,m")</f>
        <v/>
      </c>
      <c r="G358">
        <f>TEXT(43952, "[$-3401]dddd,ddd,mmmm,mmm,mmmmm,m")</f>
        <v/>
      </c>
      <c r="H358">
        <f>TEXT(43988, "[$-3401]dddd,ddd,mmmm,mmm,mmmmm,m")</f>
        <v/>
      </c>
      <c r="I358">
        <f>TEXT(44017, "[$-3401]dddd,ddd,mmmm,mmm,mmmmm,m")</f>
        <v/>
      </c>
      <c r="J358">
        <f>TEXT(44046, "[$-3401]dddd,ddd,mmmm,mmm,mmmmm,m")</f>
        <v/>
      </c>
      <c r="K358">
        <f>TEXT(44082, "[$-3401]dddd,ddd,mmmm,mmm,mmmmm,m")</f>
        <v/>
      </c>
      <c r="L358">
        <f>TEXT(44111, "[$-3401]dddd,ddd,mmmm,mmm,mmmmm,m")</f>
        <v/>
      </c>
      <c r="M358">
        <f>TEXT(44140, "[$-3401]dddd,ddd,mmmm,mmm,mmmmm,m")</f>
        <v/>
      </c>
      <c r="N358">
        <f>TEXT(44169, "[$-3401]dddd,ddd,mmmm,mmm,mmmmm,m")</f>
        <v/>
      </c>
      <c r="O358">
        <f>TEXT(44198, "[$-3401]dddd,ddd,mmmm,mmm,mmmmm,m")</f>
        <v/>
      </c>
    </row>
    <row r="359">
      <c r="A359" t="inlineStr">
        <is>
          <t>0x3409</t>
        </is>
      </c>
      <c r="B359" t="inlineStr">
        <is>
          <t>en-PH</t>
        </is>
      </c>
      <c r="C359">
        <f>TEXT(43836, "[$-3409]dddd,ddd,mmmm,mmm,mmmmm,m")</f>
        <v/>
      </c>
      <c r="D359">
        <f>TEXT(43865, "[$-3409]dddd,ddd,mmmm,mmm,mmmmm,m")</f>
        <v/>
      </c>
      <c r="E359">
        <f>TEXT(43894, "[$-3409]dddd,ddd,mmmm,mmm,mmmmm,m")</f>
        <v/>
      </c>
      <c r="F359">
        <f>TEXT(43923, "[$-3409]dddd,ddd,mmmm,mmm,mmmmm,m")</f>
        <v/>
      </c>
      <c r="G359">
        <f>TEXT(43952, "[$-3409]dddd,ddd,mmmm,mmm,mmmmm,m")</f>
        <v/>
      </c>
      <c r="H359">
        <f>TEXT(43988, "[$-3409]dddd,ddd,mmmm,mmm,mmmmm,m")</f>
        <v/>
      </c>
      <c r="I359">
        <f>TEXT(44017, "[$-3409]dddd,ddd,mmmm,mmm,mmmmm,m")</f>
        <v/>
      </c>
      <c r="J359">
        <f>TEXT(44046, "[$-3409]dddd,ddd,mmmm,mmm,mmmmm,m")</f>
        <v/>
      </c>
      <c r="K359">
        <f>TEXT(44082, "[$-3409]dddd,ddd,mmmm,mmm,mmmmm,m")</f>
        <v/>
      </c>
      <c r="L359">
        <f>TEXT(44111, "[$-3409]dddd,ddd,mmmm,mmm,mmmmm,m")</f>
        <v/>
      </c>
      <c r="M359">
        <f>TEXT(44140, "[$-3409]dddd,ddd,mmmm,mmm,mmmmm,m")</f>
        <v/>
      </c>
      <c r="N359">
        <f>TEXT(44169, "[$-3409]dddd,ddd,mmmm,mmm,mmmmm,m")</f>
        <v/>
      </c>
      <c r="O359">
        <f>TEXT(44198, "[$-3409]dddd,ddd,mmmm,mmm,mmmmm,m")</f>
        <v/>
      </c>
    </row>
    <row r="360">
      <c r="A360" t="inlineStr">
        <is>
          <t>0x340A</t>
        </is>
      </c>
      <c r="B360" t="inlineStr">
        <is>
          <t>es-CL</t>
        </is>
      </c>
      <c r="C360">
        <f>TEXT(43836, "[$-340A]dddd,ddd,mmmm,mmm,mmmmm,m")</f>
        <v/>
      </c>
      <c r="D360">
        <f>TEXT(43865, "[$-340A]dddd,ddd,mmmm,mmm,mmmmm,m")</f>
        <v/>
      </c>
      <c r="E360">
        <f>TEXT(43894, "[$-340A]dddd,ddd,mmmm,mmm,mmmmm,m")</f>
        <v/>
      </c>
      <c r="F360">
        <f>TEXT(43923, "[$-340A]dddd,ddd,mmmm,mmm,mmmmm,m")</f>
        <v/>
      </c>
      <c r="G360">
        <f>TEXT(43952, "[$-340A]dddd,ddd,mmmm,mmm,mmmmm,m")</f>
        <v/>
      </c>
      <c r="H360">
        <f>TEXT(43988, "[$-340A]dddd,ddd,mmmm,mmm,mmmmm,m")</f>
        <v/>
      </c>
      <c r="I360">
        <f>TEXT(44017, "[$-340A]dddd,ddd,mmmm,mmm,mmmmm,m")</f>
        <v/>
      </c>
      <c r="J360">
        <f>TEXT(44046, "[$-340A]dddd,ddd,mmmm,mmm,mmmmm,m")</f>
        <v/>
      </c>
      <c r="K360">
        <f>TEXT(44082, "[$-340A]dddd,ddd,mmmm,mmm,mmmmm,m")</f>
        <v/>
      </c>
      <c r="L360">
        <f>TEXT(44111, "[$-340A]dddd,ddd,mmmm,mmm,mmmmm,m")</f>
        <v/>
      </c>
      <c r="M360">
        <f>TEXT(44140, "[$-340A]dddd,ddd,mmmm,mmm,mmmmm,m")</f>
        <v/>
      </c>
      <c r="N360">
        <f>TEXT(44169, "[$-340A]dddd,ddd,mmmm,mmm,mmmmm,m")</f>
        <v/>
      </c>
      <c r="O360">
        <f>TEXT(44198, "[$-340A]dddd,ddd,mmmm,mmm,mmmmm,m")</f>
        <v/>
      </c>
    </row>
    <row r="361">
      <c r="A361" t="inlineStr">
        <is>
          <t>0x340C</t>
        </is>
      </c>
      <c r="B361" t="inlineStr">
        <is>
          <t>fr-ML</t>
        </is>
      </c>
      <c r="C361">
        <f>TEXT(43836, "[$-340C]dddd,ddd,mmmm,mmm,mmmmm,m")</f>
        <v/>
      </c>
      <c r="D361">
        <f>TEXT(43865, "[$-340C]dddd,ddd,mmmm,mmm,mmmmm,m")</f>
        <v/>
      </c>
      <c r="E361">
        <f>TEXT(43894, "[$-340C]dddd,ddd,mmmm,mmm,mmmmm,m")</f>
        <v/>
      </c>
      <c r="F361">
        <f>TEXT(43923, "[$-340C]dddd,ddd,mmmm,mmm,mmmmm,m")</f>
        <v/>
      </c>
      <c r="G361">
        <f>TEXT(43952, "[$-340C]dddd,ddd,mmmm,mmm,mmmmm,m")</f>
        <v/>
      </c>
      <c r="H361">
        <f>TEXT(43988, "[$-340C]dddd,ddd,mmmm,mmm,mmmmm,m")</f>
        <v/>
      </c>
      <c r="I361">
        <f>TEXT(44017, "[$-340C]dddd,ddd,mmmm,mmm,mmmmm,m")</f>
        <v/>
      </c>
      <c r="J361">
        <f>TEXT(44046, "[$-340C]dddd,ddd,mmmm,mmm,mmmmm,m")</f>
        <v/>
      </c>
      <c r="K361">
        <f>TEXT(44082, "[$-340C]dddd,ddd,mmmm,mmm,mmmmm,m")</f>
        <v/>
      </c>
      <c r="L361">
        <f>TEXT(44111, "[$-340C]dddd,ddd,mmmm,mmm,mmmmm,m")</f>
        <v/>
      </c>
      <c r="M361">
        <f>TEXT(44140, "[$-340C]dddd,ddd,mmmm,mmm,mmmmm,m")</f>
        <v/>
      </c>
      <c r="N361">
        <f>TEXT(44169, "[$-340C]dddd,ddd,mmmm,mmm,mmmmm,m")</f>
        <v/>
      </c>
      <c r="O361">
        <f>TEXT(44198, "[$-340C]dddd,ddd,mmmm,mmm,mmmmm,m")</f>
        <v/>
      </c>
    </row>
    <row r="362">
      <c r="A362" t="inlineStr">
        <is>
          <t>0x3801</t>
        </is>
      </c>
      <c r="B362" t="inlineStr">
        <is>
          <t>ar-AE</t>
        </is>
      </c>
      <c r="C362">
        <f>TEXT(43836, "[$-3801]dddd,ddd,mmmm,mmm,mmmmm,m")</f>
        <v/>
      </c>
      <c r="D362">
        <f>TEXT(43865, "[$-3801]dddd,ddd,mmmm,mmm,mmmmm,m")</f>
        <v/>
      </c>
      <c r="E362">
        <f>TEXT(43894, "[$-3801]dddd,ddd,mmmm,mmm,mmmmm,m")</f>
        <v/>
      </c>
      <c r="F362">
        <f>TEXT(43923, "[$-3801]dddd,ddd,mmmm,mmm,mmmmm,m")</f>
        <v/>
      </c>
      <c r="G362">
        <f>TEXT(43952, "[$-3801]dddd,ddd,mmmm,mmm,mmmmm,m")</f>
        <v/>
      </c>
      <c r="H362">
        <f>TEXT(43988, "[$-3801]dddd,ddd,mmmm,mmm,mmmmm,m")</f>
        <v/>
      </c>
      <c r="I362">
        <f>TEXT(44017, "[$-3801]dddd,ddd,mmmm,mmm,mmmmm,m")</f>
        <v/>
      </c>
      <c r="J362">
        <f>TEXT(44046, "[$-3801]dddd,ddd,mmmm,mmm,mmmmm,m")</f>
        <v/>
      </c>
      <c r="K362">
        <f>TEXT(44082, "[$-3801]dddd,ddd,mmmm,mmm,mmmmm,m")</f>
        <v/>
      </c>
      <c r="L362">
        <f>TEXT(44111, "[$-3801]dddd,ddd,mmmm,mmm,mmmmm,m")</f>
        <v/>
      </c>
      <c r="M362">
        <f>TEXT(44140, "[$-3801]dddd,ddd,mmmm,mmm,mmmmm,m")</f>
        <v/>
      </c>
      <c r="N362">
        <f>TEXT(44169, "[$-3801]dddd,ddd,mmmm,mmm,mmmmm,m")</f>
        <v/>
      </c>
      <c r="O362">
        <f>TEXT(44198, "[$-3801]dddd,ddd,mmmm,mmm,mmmmm,m")</f>
        <v/>
      </c>
    </row>
    <row r="363">
      <c r="A363" t="inlineStr">
        <is>
          <t>0x380A</t>
        </is>
      </c>
      <c r="B363" t="inlineStr">
        <is>
          <t>es-UY</t>
        </is>
      </c>
      <c r="C363">
        <f>TEXT(43836, "[$-380A]dddd,ddd,mmmm,mmm,mmmmm,m")</f>
        <v/>
      </c>
      <c r="D363">
        <f>TEXT(43865, "[$-380A]dddd,ddd,mmmm,mmm,mmmmm,m")</f>
        <v/>
      </c>
      <c r="E363">
        <f>TEXT(43894, "[$-380A]dddd,ddd,mmmm,mmm,mmmmm,m")</f>
        <v/>
      </c>
      <c r="F363">
        <f>TEXT(43923, "[$-380A]dddd,ddd,mmmm,mmm,mmmmm,m")</f>
        <v/>
      </c>
      <c r="G363">
        <f>TEXT(43952, "[$-380A]dddd,ddd,mmmm,mmm,mmmmm,m")</f>
        <v/>
      </c>
      <c r="H363">
        <f>TEXT(43988, "[$-380A]dddd,ddd,mmmm,mmm,mmmmm,m")</f>
        <v/>
      </c>
      <c r="I363">
        <f>TEXT(44017, "[$-380A]dddd,ddd,mmmm,mmm,mmmmm,m")</f>
        <v/>
      </c>
      <c r="J363">
        <f>TEXT(44046, "[$-380A]dddd,ddd,mmmm,mmm,mmmmm,m")</f>
        <v/>
      </c>
      <c r="K363">
        <f>TEXT(44082, "[$-380A]dddd,ddd,mmmm,mmm,mmmmm,m")</f>
        <v/>
      </c>
      <c r="L363">
        <f>TEXT(44111, "[$-380A]dddd,ddd,mmmm,mmm,mmmmm,m")</f>
        <v/>
      </c>
      <c r="M363">
        <f>TEXT(44140, "[$-380A]dddd,ddd,mmmm,mmm,mmmmm,m")</f>
        <v/>
      </c>
      <c r="N363">
        <f>TEXT(44169, "[$-380A]dddd,ddd,mmmm,mmm,mmmmm,m")</f>
        <v/>
      </c>
      <c r="O363">
        <f>TEXT(44198, "[$-380A]dddd,ddd,mmmm,mmm,mmmmm,m")</f>
        <v/>
      </c>
    </row>
    <row r="364">
      <c r="A364" t="inlineStr">
        <is>
          <t>0x380C</t>
        </is>
      </c>
      <c r="B364" t="inlineStr">
        <is>
          <t>fr-MA</t>
        </is>
      </c>
      <c r="C364">
        <f>TEXT(43836, "[$-380C]dddd,ddd,mmmm,mmm,mmmmm,m")</f>
        <v/>
      </c>
      <c r="D364">
        <f>TEXT(43865, "[$-380C]dddd,ddd,mmmm,mmm,mmmmm,m")</f>
        <v/>
      </c>
      <c r="E364">
        <f>TEXT(43894, "[$-380C]dddd,ddd,mmmm,mmm,mmmmm,m")</f>
        <v/>
      </c>
      <c r="F364">
        <f>TEXT(43923, "[$-380C]dddd,ddd,mmmm,mmm,mmmmm,m")</f>
        <v/>
      </c>
      <c r="G364">
        <f>TEXT(43952, "[$-380C]dddd,ddd,mmmm,mmm,mmmmm,m")</f>
        <v/>
      </c>
      <c r="H364">
        <f>TEXT(43988, "[$-380C]dddd,ddd,mmmm,mmm,mmmmm,m")</f>
        <v/>
      </c>
      <c r="I364">
        <f>TEXT(44017, "[$-380C]dddd,ddd,mmmm,mmm,mmmmm,m")</f>
        <v/>
      </c>
      <c r="J364">
        <f>TEXT(44046, "[$-380C]dddd,ddd,mmmm,mmm,mmmmm,m")</f>
        <v/>
      </c>
      <c r="K364">
        <f>TEXT(44082, "[$-380C]dddd,ddd,mmmm,mmm,mmmmm,m")</f>
        <v/>
      </c>
      <c r="L364">
        <f>TEXT(44111, "[$-380C]dddd,ddd,mmmm,mmm,mmmmm,m")</f>
        <v/>
      </c>
      <c r="M364">
        <f>TEXT(44140, "[$-380C]dddd,ddd,mmmm,mmm,mmmmm,m")</f>
        <v/>
      </c>
      <c r="N364">
        <f>TEXT(44169, "[$-380C]dddd,ddd,mmmm,mmm,mmmmm,m")</f>
        <v/>
      </c>
      <c r="O364">
        <f>TEXT(44198, "[$-380C]dddd,ddd,mmmm,mmm,mmmmm,m")</f>
        <v/>
      </c>
    </row>
    <row r="365">
      <c r="A365" t="inlineStr">
        <is>
          <t>0x3C01</t>
        </is>
      </c>
      <c r="B365" t="inlineStr">
        <is>
          <t>ar-BH</t>
        </is>
      </c>
      <c r="C365">
        <f>TEXT(43836, "[$-3C01]dddd,ddd,mmmm,mmm,mmmmm,m")</f>
        <v/>
      </c>
      <c r="D365">
        <f>TEXT(43865, "[$-3C01]dddd,ddd,mmmm,mmm,mmmmm,m")</f>
        <v/>
      </c>
      <c r="E365">
        <f>TEXT(43894, "[$-3C01]dddd,ddd,mmmm,mmm,mmmmm,m")</f>
        <v/>
      </c>
      <c r="F365">
        <f>TEXT(43923, "[$-3C01]dddd,ddd,mmmm,mmm,mmmmm,m")</f>
        <v/>
      </c>
      <c r="G365">
        <f>TEXT(43952, "[$-3C01]dddd,ddd,mmmm,mmm,mmmmm,m")</f>
        <v/>
      </c>
      <c r="H365">
        <f>TEXT(43988, "[$-3C01]dddd,ddd,mmmm,mmm,mmmmm,m")</f>
        <v/>
      </c>
      <c r="I365">
        <f>TEXT(44017, "[$-3C01]dddd,ddd,mmmm,mmm,mmmmm,m")</f>
        <v/>
      </c>
      <c r="J365">
        <f>TEXT(44046, "[$-3C01]dddd,ddd,mmmm,mmm,mmmmm,m")</f>
        <v/>
      </c>
      <c r="K365">
        <f>TEXT(44082, "[$-3C01]dddd,ddd,mmmm,mmm,mmmmm,m")</f>
        <v/>
      </c>
      <c r="L365">
        <f>TEXT(44111, "[$-3C01]dddd,ddd,mmmm,mmm,mmmmm,m")</f>
        <v/>
      </c>
      <c r="M365">
        <f>TEXT(44140, "[$-3C01]dddd,ddd,mmmm,mmm,mmmmm,m")</f>
        <v/>
      </c>
      <c r="N365">
        <f>TEXT(44169, "[$-3C01]dddd,ddd,mmmm,mmm,mmmmm,m")</f>
        <v/>
      </c>
      <c r="O365">
        <f>TEXT(44198, "[$-3C01]dddd,ddd,mmmm,mmm,mmmmm,m")</f>
        <v/>
      </c>
    </row>
    <row r="366">
      <c r="A366" t="inlineStr">
        <is>
          <t>0x3C09</t>
        </is>
      </c>
      <c r="B366" t="inlineStr">
        <is>
          <t>en-HK</t>
        </is>
      </c>
      <c r="C366">
        <f>TEXT(43836, "[$-3C09]dddd,ddd,mmmm,mmm,mmmmm,m")</f>
        <v/>
      </c>
      <c r="D366">
        <f>TEXT(43865, "[$-3C09]dddd,ddd,mmmm,mmm,mmmmm,m")</f>
        <v/>
      </c>
      <c r="E366">
        <f>TEXT(43894, "[$-3C09]dddd,ddd,mmmm,mmm,mmmmm,m")</f>
        <v/>
      </c>
      <c r="F366">
        <f>TEXT(43923, "[$-3C09]dddd,ddd,mmmm,mmm,mmmmm,m")</f>
        <v/>
      </c>
      <c r="G366">
        <f>TEXT(43952, "[$-3C09]dddd,ddd,mmmm,mmm,mmmmm,m")</f>
        <v/>
      </c>
      <c r="H366">
        <f>TEXT(43988, "[$-3C09]dddd,ddd,mmmm,mmm,mmmmm,m")</f>
        <v/>
      </c>
      <c r="I366">
        <f>TEXT(44017, "[$-3C09]dddd,ddd,mmmm,mmm,mmmmm,m")</f>
        <v/>
      </c>
      <c r="J366">
        <f>TEXT(44046, "[$-3C09]dddd,ddd,mmmm,mmm,mmmmm,m")</f>
        <v/>
      </c>
      <c r="K366">
        <f>TEXT(44082, "[$-3C09]dddd,ddd,mmmm,mmm,mmmmm,m")</f>
        <v/>
      </c>
      <c r="L366">
        <f>TEXT(44111, "[$-3C09]dddd,ddd,mmmm,mmm,mmmmm,m")</f>
        <v/>
      </c>
      <c r="M366">
        <f>TEXT(44140, "[$-3C09]dddd,ddd,mmmm,mmm,mmmmm,m")</f>
        <v/>
      </c>
      <c r="N366">
        <f>TEXT(44169, "[$-3C09]dddd,ddd,mmmm,mmm,mmmmm,m")</f>
        <v/>
      </c>
      <c r="O366">
        <f>TEXT(44198, "[$-3C09]dddd,ddd,mmmm,mmm,mmmmm,m")</f>
        <v/>
      </c>
    </row>
    <row r="367">
      <c r="A367" t="inlineStr">
        <is>
          <t>0x3C0A</t>
        </is>
      </c>
      <c r="B367" t="inlineStr">
        <is>
          <t>es-PY</t>
        </is>
      </c>
      <c r="C367">
        <f>TEXT(43836, "[$-3C0A]dddd,ddd,mmmm,mmm,mmmmm,m")</f>
        <v/>
      </c>
      <c r="D367">
        <f>TEXT(43865, "[$-3C0A]dddd,ddd,mmmm,mmm,mmmmm,m")</f>
        <v/>
      </c>
      <c r="E367">
        <f>TEXT(43894, "[$-3C0A]dddd,ddd,mmmm,mmm,mmmmm,m")</f>
        <v/>
      </c>
      <c r="F367">
        <f>TEXT(43923, "[$-3C0A]dddd,ddd,mmmm,mmm,mmmmm,m")</f>
        <v/>
      </c>
      <c r="G367">
        <f>TEXT(43952, "[$-3C0A]dddd,ddd,mmmm,mmm,mmmmm,m")</f>
        <v/>
      </c>
      <c r="H367">
        <f>TEXT(43988, "[$-3C0A]dddd,ddd,mmmm,mmm,mmmmm,m")</f>
        <v/>
      </c>
      <c r="I367">
        <f>TEXT(44017, "[$-3C0A]dddd,ddd,mmmm,mmm,mmmmm,m")</f>
        <v/>
      </c>
      <c r="J367">
        <f>TEXT(44046, "[$-3C0A]dddd,ddd,mmmm,mmm,mmmmm,m")</f>
        <v/>
      </c>
      <c r="K367">
        <f>TEXT(44082, "[$-3C0A]dddd,ddd,mmmm,mmm,mmmmm,m")</f>
        <v/>
      </c>
      <c r="L367">
        <f>TEXT(44111, "[$-3C0A]dddd,ddd,mmmm,mmm,mmmmm,m")</f>
        <v/>
      </c>
      <c r="M367">
        <f>TEXT(44140, "[$-3C0A]dddd,ddd,mmmm,mmm,mmmmm,m")</f>
        <v/>
      </c>
      <c r="N367">
        <f>TEXT(44169, "[$-3C0A]dddd,ddd,mmmm,mmm,mmmmm,m")</f>
        <v/>
      </c>
      <c r="O367">
        <f>TEXT(44198, "[$-3C0A]dddd,ddd,mmmm,mmm,mmmmm,m")</f>
        <v/>
      </c>
    </row>
    <row r="368">
      <c r="A368" t="inlineStr">
        <is>
          <t>0x3C0C</t>
        </is>
      </c>
      <c r="B368" t="inlineStr">
        <is>
          <t>fr-HT</t>
        </is>
      </c>
      <c r="C368">
        <f>TEXT(43836, "[$-3C0C]dddd,ddd,mmmm,mmm,mmmmm,m")</f>
        <v/>
      </c>
      <c r="D368">
        <f>TEXT(43865, "[$-3C0C]dddd,ddd,mmmm,mmm,mmmmm,m")</f>
        <v/>
      </c>
      <c r="E368">
        <f>TEXT(43894, "[$-3C0C]dddd,ddd,mmmm,mmm,mmmmm,m")</f>
        <v/>
      </c>
      <c r="F368">
        <f>TEXT(43923, "[$-3C0C]dddd,ddd,mmmm,mmm,mmmmm,m")</f>
        <v/>
      </c>
      <c r="G368">
        <f>TEXT(43952, "[$-3C0C]dddd,ddd,mmmm,mmm,mmmmm,m")</f>
        <v/>
      </c>
      <c r="H368">
        <f>TEXT(43988, "[$-3C0C]dddd,ddd,mmmm,mmm,mmmmm,m")</f>
        <v/>
      </c>
      <c r="I368">
        <f>TEXT(44017, "[$-3C0C]dddd,ddd,mmmm,mmm,mmmmm,m")</f>
        <v/>
      </c>
      <c r="J368">
        <f>TEXT(44046, "[$-3C0C]dddd,ddd,mmmm,mmm,mmmmm,m")</f>
        <v/>
      </c>
      <c r="K368">
        <f>TEXT(44082, "[$-3C0C]dddd,ddd,mmmm,mmm,mmmmm,m")</f>
        <v/>
      </c>
      <c r="L368">
        <f>TEXT(44111, "[$-3C0C]dddd,ddd,mmmm,mmm,mmmmm,m")</f>
        <v/>
      </c>
      <c r="M368">
        <f>TEXT(44140, "[$-3C0C]dddd,ddd,mmmm,mmm,mmmmm,m")</f>
        <v/>
      </c>
      <c r="N368">
        <f>TEXT(44169, "[$-3C0C]dddd,ddd,mmmm,mmm,mmmmm,m")</f>
        <v/>
      </c>
      <c r="O368">
        <f>TEXT(44198, "[$-3C0C]dddd,ddd,mmmm,mmm,mmmmm,m")</f>
        <v/>
      </c>
    </row>
    <row r="369">
      <c r="A369" t="inlineStr">
        <is>
          <t>0x4001</t>
        </is>
      </c>
      <c r="B369" t="inlineStr">
        <is>
          <t>ar-QA</t>
        </is>
      </c>
      <c r="C369">
        <f>TEXT(43836, "[$-4001]dddd,ddd,mmmm,mmm,mmmmm,m")</f>
        <v/>
      </c>
      <c r="D369">
        <f>TEXT(43865, "[$-4001]dddd,ddd,mmmm,mmm,mmmmm,m")</f>
        <v/>
      </c>
      <c r="E369">
        <f>TEXT(43894, "[$-4001]dddd,ddd,mmmm,mmm,mmmmm,m")</f>
        <v/>
      </c>
      <c r="F369">
        <f>TEXT(43923, "[$-4001]dddd,ddd,mmmm,mmm,mmmmm,m")</f>
        <v/>
      </c>
      <c r="G369">
        <f>TEXT(43952, "[$-4001]dddd,ddd,mmmm,mmm,mmmmm,m")</f>
        <v/>
      </c>
      <c r="H369">
        <f>TEXT(43988, "[$-4001]dddd,ddd,mmmm,mmm,mmmmm,m")</f>
        <v/>
      </c>
      <c r="I369">
        <f>TEXT(44017, "[$-4001]dddd,ddd,mmmm,mmm,mmmmm,m")</f>
        <v/>
      </c>
      <c r="J369">
        <f>TEXT(44046, "[$-4001]dddd,ddd,mmmm,mmm,mmmmm,m")</f>
        <v/>
      </c>
      <c r="K369">
        <f>TEXT(44082, "[$-4001]dddd,ddd,mmmm,mmm,mmmmm,m")</f>
        <v/>
      </c>
      <c r="L369">
        <f>TEXT(44111, "[$-4001]dddd,ddd,mmmm,mmm,mmmmm,m")</f>
        <v/>
      </c>
      <c r="M369">
        <f>TEXT(44140, "[$-4001]dddd,ddd,mmmm,mmm,mmmmm,m")</f>
        <v/>
      </c>
      <c r="N369">
        <f>TEXT(44169, "[$-4001]dddd,ddd,mmmm,mmm,mmmmm,m")</f>
        <v/>
      </c>
      <c r="O369">
        <f>TEXT(44198, "[$-4001]dddd,ddd,mmmm,mmm,mmmmm,m")</f>
        <v/>
      </c>
    </row>
    <row r="370">
      <c r="A370" t="inlineStr">
        <is>
          <t>0x4009</t>
        </is>
      </c>
      <c r="B370" t="inlineStr">
        <is>
          <t>en-IN</t>
        </is>
      </c>
      <c r="C370">
        <f>TEXT(43836, "[$-4009]dddd,ddd,mmmm,mmm,mmmmm,m")</f>
        <v/>
      </c>
      <c r="D370">
        <f>TEXT(43865, "[$-4009]dddd,ddd,mmmm,mmm,mmmmm,m")</f>
        <v/>
      </c>
      <c r="E370">
        <f>TEXT(43894, "[$-4009]dddd,ddd,mmmm,mmm,mmmmm,m")</f>
        <v/>
      </c>
      <c r="F370">
        <f>TEXT(43923, "[$-4009]dddd,ddd,mmmm,mmm,mmmmm,m")</f>
        <v/>
      </c>
      <c r="G370">
        <f>TEXT(43952, "[$-4009]dddd,ddd,mmmm,mmm,mmmmm,m")</f>
        <v/>
      </c>
      <c r="H370">
        <f>TEXT(43988, "[$-4009]dddd,ddd,mmmm,mmm,mmmmm,m")</f>
        <v/>
      </c>
      <c r="I370">
        <f>TEXT(44017, "[$-4009]dddd,ddd,mmmm,mmm,mmmmm,m")</f>
        <v/>
      </c>
      <c r="J370">
        <f>TEXT(44046, "[$-4009]dddd,ddd,mmmm,mmm,mmmmm,m")</f>
        <v/>
      </c>
      <c r="K370">
        <f>TEXT(44082, "[$-4009]dddd,ddd,mmmm,mmm,mmmmm,m")</f>
        <v/>
      </c>
      <c r="L370">
        <f>TEXT(44111, "[$-4009]dddd,ddd,mmmm,mmm,mmmmm,m")</f>
        <v/>
      </c>
      <c r="M370">
        <f>TEXT(44140, "[$-4009]dddd,ddd,mmmm,mmm,mmmmm,m")</f>
        <v/>
      </c>
      <c r="N370">
        <f>TEXT(44169, "[$-4009]dddd,ddd,mmmm,mmm,mmmmm,m")</f>
        <v/>
      </c>
      <c r="O370">
        <f>TEXT(44198, "[$-4009]dddd,ddd,mmmm,mmm,mmmmm,m")</f>
        <v/>
      </c>
    </row>
    <row r="371">
      <c r="A371" t="inlineStr">
        <is>
          <t>0x400A</t>
        </is>
      </c>
      <c r="B371" t="inlineStr">
        <is>
          <t>es-BO</t>
        </is>
      </c>
      <c r="C371">
        <f>TEXT(43836, "[$-400A]dddd,ddd,mmmm,mmm,mmmmm,m")</f>
        <v/>
      </c>
      <c r="D371">
        <f>TEXT(43865, "[$-400A]dddd,ddd,mmmm,mmm,mmmmm,m")</f>
        <v/>
      </c>
      <c r="E371">
        <f>TEXT(43894, "[$-400A]dddd,ddd,mmmm,mmm,mmmmm,m")</f>
        <v/>
      </c>
      <c r="F371">
        <f>TEXT(43923, "[$-400A]dddd,ddd,mmmm,mmm,mmmmm,m")</f>
        <v/>
      </c>
      <c r="G371">
        <f>TEXT(43952, "[$-400A]dddd,ddd,mmmm,mmm,mmmmm,m")</f>
        <v/>
      </c>
      <c r="H371">
        <f>TEXT(43988, "[$-400A]dddd,ddd,mmmm,mmm,mmmmm,m")</f>
        <v/>
      </c>
      <c r="I371">
        <f>TEXT(44017, "[$-400A]dddd,ddd,mmmm,mmm,mmmmm,m")</f>
        <v/>
      </c>
      <c r="J371">
        <f>TEXT(44046, "[$-400A]dddd,ddd,mmmm,mmm,mmmmm,m")</f>
        <v/>
      </c>
      <c r="K371">
        <f>TEXT(44082, "[$-400A]dddd,ddd,mmmm,mmm,mmmmm,m")</f>
        <v/>
      </c>
      <c r="L371">
        <f>TEXT(44111, "[$-400A]dddd,ddd,mmmm,mmm,mmmmm,m")</f>
        <v/>
      </c>
      <c r="M371">
        <f>TEXT(44140, "[$-400A]dddd,ddd,mmmm,mmm,mmmmm,m")</f>
        <v/>
      </c>
      <c r="N371">
        <f>TEXT(44169, "[$-400A]dddd,ddd,mmmm,mmm,mmmmm,m")</f>
        <v/>
      </c>
      <c r="O371">
        <f>TEXT(44198, "[$-400A]dddd,ddd,mmmm,mmm,mmmmm,m")</f>
        <v/>
      </c>
    </row>
    <row r="372">
      <c r="A372" t="inlineStr">
        <is>
          <t>0x4409</t>
        </is>
      </c>
      <c r="B372" t="inlineStr">
        <is>
          <t>en-MY</t>
        </is>
      </c>
      <c r="C372">
        <f>TEXT(43836, "[$-4409]dddd,ddd,mmmm,mmm,mmmmm,m")</f>
        <v/>
      </c>
      <c r="D372">
        <f>TEXT(43865, "[$-4409]dddd,ddd,mmmm,mmm,mmmmm,m")</f>
        <v/>
      </c>
      <c r="E372">
        <f>TEXT(43894, "[$-4409]dddd,ddd,mmmm,mmm,mmmmm,m")</f>
        <v/>
      </c>
      <c r="F372">
        <f>TEXT(43923, "[$-4409]dddd,ddd,mmmm,mmm,mmmmm,m")</f>
        <v/>
      </c>
      <c r="G372">
        <f>TEXT(43952, "[$-4409]dddd,ddd,mmmm,mmm,mmmmm,m")</f>
        <v/>
      </c>
      <c r="H372">
        <f>TEXT(43988, "[$-4409]dddd,ddd,mmmm,mmm,mmmmm,m")</f>
        <v/>
      </c>
      <c r="I372">
        <f>TEXT(44017, "[$-4409]dddd,ddd,mmmm,mmm,mmmmm,m")</f>
        <v/>
      </c>
      <c r="J372">
        <f>TEXT(44046, "[$-4409]dddd,ddd,mmmm,mmm,mmmmm,m")</f>
        <v/>
      </c>
      <c r="K372">
        <f>TEXT(44082, "[$-4409]dddd,ddd,mmmm,mmm,mmmmm,m")</f>
        <v/>
      </c>
      <c r="L372">
        <f>TEXT(44111, "[$-4409]dddd,ddd,mmmm,mmm,mmmmm,m")</f>
        <v/>
      </c>
      <c r="M372">
        <f>TEXT(44140, "[$-4409]dddd,ddd,mmmm,mmm,mmmmm,m")</f>
        <v/>
      </c>
      <c r="N372">
        <f>TEXT(44169, "[$-4409]dddd,ddd,mmmm,mmm,mmmmm,m")</f>
        <v/>
      </c>
      <c r="O372">
        <f>TEXT(44198, "[$-4409]dddd,ddd,mmmm,mmm,mmmmm,m")</f>
        <v/>
      </c>
    </row>
    <row r="373">
      <c r="A373" t="inlineStr">
        <is>
          <t>0x440A</t>
        </is>
      </c>
      <c r="B373" t="inlineStr">
        <is>
          <t>es-SV</t>
        </is>
      </c>
      <c r="C373">
        <f>TEXT(43836, "[$-440A]dddd,ddd,mmmm,mmm,mmmmm,m")</f>
        <v/>
      </c>
      <c r="D373">
        <f>TEXT(43865, "[$-440A]dddd,ddd,mmmm,mmm,mmmmm,m")</f>
        <v/>
      </c>
      <c r="E373">
        <f>TEXT(43894, "[$-440A]dddd,ddd,mmmm,mmm,mmmmm,m")</f>
        <v/>
      </c>
      <c r="F373">
        <f>TEXT(43923, "[$-440A]dddd,ddd,mmmm,mmm,mmmmm,m")</f>
        <v/>
      </c>
      <c r="G373">
        <f>TEXT(43952, "[$-440A]dddd,ddd,mmmm,mmm,mmmmm,m")</f>
        <v/>
      </c>
      <c r="H373">
        <f>TEXT(43988, "[$-440A]dddd,ddd,mmmm,mmm,mmmmm,m")</f>
        <v/>
      </c>
      <c r="I373">
        <f>TEXT(44017, "[$-440A]dddd,ddd,mmmm,mmm,mmmmm,m")</f>
        <v/>
      </c>
      <c r="J373">
        <f>TEXT(44046, "[$-440A]dddd,ddd,mmmm,mmm,mmmmm,m")</f>
        <v/>
      </c>
      <c r="K373">
        <f>TEXT(44082, "[$-440A]dddd,ddd,mmmm,mmm,mmmmm,m")</f>
        <v/>
      </c>
      <c r="L373">
        <f>TEXT(44111, "[$-440A]dddd,ddd,mmmm,mmm,mmmmm,m")</f>
        <v/>
      </c>
      <c r="M373">
        <f>TEXT(44140, "[$-440A]dddd,ddd,mmmm,mmm,mmmmm,m")</f>
        <v/>
      </c>
      <c r="N373">
        <f>TEXT(44169, "[$-440A]dddd,ddd,mmmm,mmm,mmmmm,m")</f>
        <v/>
      </c>
      <c r="O373">
        <f>TEXT(44198, "[$-440A]dddd,ddd,mmmm,mmm,mmmmm,m")</f>
        <v/>
      </c>
    </row>
    <row r="374">
      <c r="A374" t="inlineStr">
        <is>
          <t>0x4809</t>
        </is>
      </c>
      <c r="B374" t="inlineStr">
        <is>
          <t>en-SG</t>
        </is>
      </c>
      <c r="C374">
        <f>TEXT(43836, "[$-4809]dddd,ddd,mmmm,mmm,mmmmm,m")</f>
        <v/>
      </c>
      <c r="D374">
        <f>TEXT(43865, "[$-4809]dddd,ddd,mmmm,mmm,mmmmm,m")</f>
        <v/>
      </c>
      <c r="E374">
        <f>TEXT(43894, "[$-4809]dddd,ddd,mmmm,mmm,mmmmm,m")</f>
        <v/>
      </c>
      <c r="F374">
        <f>TEXT(43923, "[$-4809]dddd,ddd,mmmm,mmm,mmmmm,m")</f>
        <v/>
      </c>
      <c r="G374">
        <f>TEXT(43952, "[$-4809]dddd,ddd,mmmm,mmm,mmmmm,m")</f>
        <v/>
      </c>
      <c r="H374">
        <f>TEXT(43988, "[$-4809]dddd,ddd,mmmm,mmm,mmmmm,m")</f>
        <v/>
      </c>
      <c r="I374">
        <f>TEXT(44017, "[$-4809]dddd,ddd,mmmm,mmm,mmmmm,m")</f>
        <v/>
      </c>
      <c r="J374">
        <f>TEXT(44046, "[$-4809]dddd,ddd,mmmm,mmm,mmmmm,m")</f>
        <v/>
      </c>
      <c r="K374">
        <f>TEXT(44082, "[$-4809]dddd,ddd,mmmm,mmm,mmmmm,m")</f>
        <v/>
      </c>
      <c r="L374">
        <f>TEXT(44111, "[$-4809]dddd,ddd,mmmm,mmm,mmmmm,m")</f>
        <v/>
      </c>
      <c r="M374">
        <f>TEXT(44140, "[$-4809]dddd,ddd,mmmm,mmm,mmmmm,m")</f>
        <v/>
      </c>
      <c r="N374">
        <f>TEXT(44169, "[$-4809]dddd,ddd,mmmm,mmm,mmmmm,m")</f>
        <v/>
      </c>
      <c r="O374">
        <f>TEXT(44198, "[$-4809]dddd,ddd,mmmm,mmm,mmmmm,m")</f>
        <v/>
      </c>
    </row>
    <row r="375">
      <c r="A375" t="inlineStr">
        <is>
          <t>0x480A</t>
        </is>
      </c>
      <c r="B375" t="inlineStr">
        <is>
          <t>es-HN</t>
        </is>
      </c>
      <c r="C375">
        <f>TEXT(43836, "[$-480A]dddd,ddd,mmmm,mmm,mmmmm,m")</f>
        <v/>
      </c>
      <c r="D375">
        <f>TEXT(43865, "[$-480A]dddd,ddd,mmmm,mmm,mmmmm,m")</f>
        <v/>
      </c>
      <c r="E375">
        <f>TEXT(43894, "[$-480A]dddd,ddd,mmmm,mmm,mmmmm,m")</f>
        <v/>
      </c>
      <c r="F375">
        <f>TEXT(43923, "[$-480A]dddd,ddd,mmmm,mmm,mmmmm,m")</f>
        <v/>
      </c>
      <c r="G375">
        <f>TEXT(43952, "[$-480A]dddd,ddd,mmmm,mmm,mmmmm,m")</f>
        <v/>
      </c>
      <c r="H375">
        <f>TEXT(43988, "[$-480A]dddd,ddd,mmmm,mmm,mmmmm,m")</f>
        <v/>
      </c>
      <c r="I375">
        <f>TEXT(44017, "[$-480A]dddd,ddd,mmmm,mmm,mmmmm,m")</f>
        <v/>
      </c>
      <c r="J375">
        <f>TEXT(44046, "[$-480A]dddd,ddd,mmmm,mmm,mmmmm,m")</f>
        <v/>
      </c>
      <c r="K375">
        <f>TEXT(44082, "[$-480A]dddd,ddd,mmmm,mmm,mmmmm,m")</f>
        <v/>
      </c>
      <c r="L375">
        <f>TEXT(44111, "[$-480A]dddd,ddd,mmmm,mmm,mmmmm,m")</f>
        <v/>
      </c>
      <c r="M375">
        <f>TEXT(44140, "[$-480A]dddd,ddd,mmmm,mmm,mmmmm,m")</f>
        <v/>
      </c>
      <c r="N375">
        <f>TEXT(44169, "[$-480A]dddd,ddd,mmmm,mmm,mmmmm,m")</f>
        <v/>
      </c>
      <c r="O375">
        <f>TEXT(44198, "[$-480A]dddd,ddd,mmmm,mmm,mmmmm,m")</f>
        <v/>
      </c>
    </row>
    <row r="376">
      <c r="A376" t="inlineStr">
        <is>
          <t>0x4C09</t>
        </is>
      </c>
      <c r="B376" t="inlineStr">
        <is>
          <t>en-AE</t>
        </is>
      </c>
      <c r="C376">
        <f>TEXT(43836, "[$-4C09]dddd,ddd,mmmm,mmm,mmmmm,m")</f>
        <v/>
      </c>
      <c r="D376">
        <f>TEXT(43865, "[$-4C09]dddd,ddd,mmmm,mmm,mmmmm,m")</f>
        <v/>
      </c>
      <c r="E376">
        <f>TEXT(43894, "[$-4C09]dddd,ddd,mmmm,mmm,mmmmm,m")</f>
        <v/>
      </c>
      <c r="F376">
        <f>TEXT(43923, "[$-4C09]dddd,ddd,mmmm,mmm,mmmmm,m")</f>
        <v/>
      </c>
      <c r="G376">
        <f>TEXT(43952, "[$-4C09]dddd,ddd,mmmm,mmm,mmmmm,m")</f>
        <v/>
      </c>
      <c r="H376">
        <f>TEXT(43988, "[$-4C09]dddd,ddd,mmmm,mmm,mmmmm,m")</f>
        <v/>
      </c>
      <c r="I376">
        <f>TEXT(44017, "[$-4C09]dddd,ddd,mmmm,mmm,mmmmm,m")</f>
        <v/>
      </c>
      <c r="J376">
        <f>TEXT(44046, "[$-4C09]dddd,ddd,mmmm,mmm,mmmmm,m")</f>
        <v/>
      </c>
      <c r="K376">
        <f>TEXT(44082, "[$-4C09]dddd,ddd,mmmm,mmm,mmmmm,m")</f>
        <v/>
      </c>
      <c r="L376">
        <f>TEXT(44111, "[$-4C09]dddd,ddd,mmmm,mmm,mmmmm,m")</f>
        <v/>
      </c>
      <c r="M376">
        <f>TEXT(44140, "[$-4C09]dddd,ddd,mmmm,mmm,mmmmm,m")</f>
        <v/>
      </c>
      <c r="N376">
        <f>TEXT(44169, "[$-4C09]dddd,ddd,mmmm,mmm,mmmmm,m")</f>
        <v/>
      </c>
      <c r="O376">
        <f>TEXT(44198, "[$-4C09]dddd,ddd,mmmm,mmm,mmmmm,m")</f>
        <v/>
      </c>
    </row>
    <row r="377">
      <c r="A377" t="inlineStr">
        <is>
          <t>0x4C0A</t>
        </is>
      </c>
      <c r="B377" t="inlineStr">
        <is>
          <t>es-NI</t>
        </is>
      </c>
      <c r="C377">
        <f>TEXT(43836, "[$-4C0A]dddd,ddd,mmmm,mmm,mmmmm,m")</f>
        <v/>
      </c>
      <c r="D377">
        <f>TEXT(43865, "[$-4C0A]dddd,ddd,mmmm,mmm,mmmmm,m")</f>
        <v/>
      </c>
      <c r="E377">
        <f>TEXT(43894, "[$-4C0A]dddd,ddd,mmmm,mmm,mmmmm,m")</f>
        <v/>
      </c>
      <c r="F377">
        <f>TEXT(43923, "[$-4C0A]dddd,ddd,mmmm,mmm,mmmmm,m")</f>
        <v/>
      </c>
      <c r="G377">
        <f>TEXT(43952, "[$-4C0A]dddd,ddd,mmmm,mmm,mmmmm,m")</f>
        <v/>
      </c>
      <c r="H377">
        <f>TEXT(43988, "[$-4C0A]dddd,ddd,mmmm,mmm,mmmmm,m")</f>
        <v/>
      </c>
      <c r="I377">
        <f>TEXT(44017, "[$-4C0A]dddd,ddd,mmmm,mmm,mmmmm,m")</f>
        <v/>
      </c>
      <c r="J377">
        <f>TEXT(44046, "[$-4C0A]dddd,ddd,mmmm,mmm,mmmmm,m")</f>
        <v/>
      </c>
      <c r="K377">
        <f>TEXT(44082, "[$-4C0A]dddd,ddd,mmmm,mmm,mmmmm,m")</f>
        <v/>
      </c>
      <c r="L377">
        <f>TEXT(44111, "[$-4C0A]dddd,ddd,mmmm,mmm,mmmmm,m")</f>
        <v/>
      </c>
      <c r="M377">
        <f>TEXT(44140, "[$-4C0A]dddd,ddd,mmmm,mmm,mmmmm,m")</f>
        <v/>
      </c>
      <c r="N377">
        <f>TEXT(44169, "[$-4C0A]dddd,ddd,mmmm,mmm,mmmmm,m")</f>
        <v/>
      </c>
      <c r="O377">
        <f>TEXT(44198, "[$-4C0A]dddd,ddd,mmmm,mmm,mmmmm,m")</f>
        <v/>
      </c>
    </row>
    <row r="378">
      <c r="A378" t="inlineStr">
        <is>
          <t>0x500A</t>
        </is>
      </c>
      <c r="B378" t="inlineStr">
        <is>
          <t>es-PR</t>
        </is>
      </c>
      <c r="C378">
        <f>TEXT(43836, "[$-500A]dddd,ddd,mmmm,mmm,mmmmm,m")</f>
        <v/>
      </c>
      <c r="D378">
        <f>TEXT(43865, "[$-500A]dddd,ddd,mmmm,mmm,mmmmm,m")</f>
        <v/>
      </c>
      <c r="E378">
        <f>TEXT(43894, "[$-500A]dddd,ddd,mmmm,mmm,mmmmm,m")</f>
        <v/>
      </c>
      <c r="F378">
        <f>TEXT(43923, "[$-500A]dddd,ddd,mmmm,mmm,mmmmm,m")</f>
        <v/>
      </c>
      <c r="G378">
        <f>TEXT(43952, "[$-500A]dddd,ddd,mmmm,mmm,mmmmm,m")</f>
        <v/>
      </c>
      <c r="H378">
        <f>TEXT(43988, "[$-500A]dddd,ddd,mmmm,mmm,mmmmm,m")</f>
        <v/>
      </c>
      <c r="I378">
        <f>TEXT(44017, "[$-500A]dddd,ddd,mmmm,mmm,mmmmm,m")</f>
        <v/>
      </c>
      <c r="J378">
        <f>TEXT(44046, "[$-500A]dddd,ddd,mmmm,mmm,mmmmm,m")</f>
        <v/>
      </c>
      <c r="K378">
        <f>TEXT(44082, "[$-500A]dddd,ddd,mmmm,mmm,mmmmm,m")</f>
        <v/>
      </c>
      <c r="L378">
        <f>TEXT(44111, "[$-500A]dddd,ddd,mmmm,mmm,mmmmm,m")</f>
        <v/>
      </c>
      <c r="M378">
        <f>TEXT(44140, "[$-500A]dddd,ddd,mmmm,mmm,mmmmm,m")</f>
        <v/>
      </c>
      <c r="N378">
        <f>TEXT(44169, "[$-500A]dddd,ddd,mmmm,mmm,mmmmm,m")</f>
        <v/>
      </c>
      <c r="O378">
        <f>TEXT(44198, "[$-500A]dddd,ddd,mmmm,mmm,mmmmm,m")</f>
        <v/>
      </c>
    </row>
    <row r="379">
      <c r="A379" t="inlineStr">
        <is>
          <t>0x540A</t>
        </is>
      </c>
      <c r="B379" t="inlineStr">
        <is>
          <t>es-US</t>
        </is>
      </c>
      <c r="C379">
        <f>TEXT(43836, "[$-540A]dddd,ddd,mmmm,mmm,mmmmm,m")</f>
        <v/>
      </c>
      <c r="D379">
        <f>TEXT(43865, "[$-540A]dddd,ddd,mmmm,mmm,mmmmm,m")</f>
        <v/>
      </c>
      <c r="E379">
        <f>TEXT(43894, "[$-540A]dddd,ddd,mmmm,mmm,mmmmm,m")</f>
        <v/>
      </c>
      <c r="F379">
        <f>TEXT(43923, "[$-540A]dddd,ddd,mmmm,mmm,mmmmm,m")</f>
        <v/>
      </c>
      <c r="G379">
        <f>TEXT(43952, "[$-540A]dddd,ddd,mmmm,mmm,mmmmm,m")</f>
        <v/>
      </c>
      <c r="H379">
        <f>TEXT(43988, "[$-540A]dddd,ddd,mmmm,mmm,mmmmm,m")</f>
        <v/>
      </c>
      <c r="I379">
        <f>TEXT(44017, "[$-540A]dddd,ddd,mmmm,mmm,mmmmm,m")</f>
        <v/>
      </c>
      <c r="J379">
        <f>TEXT(44046, "[$-540A]dddd,ddd,mmmm,mmm,mmmmm,m")</f>
        <v/>
      </c>
      <c r="K379">
        <f>TEXT(44082, "[$-540A]dddd,ddd,mmmm,mmm,mmmmm,m")</f>
        <v/>
      </c>
      <c r="L379">
        <f>TEXT(44111, "[$-540A]dddd,ddd,mmmm,mmm,mmmmm,m")</f>
        <v/>
      </c>
      <c r="M379">
        <f>TEXT(44140, "[$-540A]dddd,ddd,mmmm,mmm,mmmmm,m")</f>
        <v/>
      </c>
      <c r="N379">
        <f>TEXT(44169, "[$-540A]dddd,ddd,mmmm,mmm,mmmmm,m")</f>
        <v/>
      </c>
      <c r="O379">
        <f>TEXT(44198, "[$-540A]dddd,ddd,mmmm,mmm,mmmmm,m")</f>
        <v/>
      </c>
    </row>
    <row r="380">
      <c r="A380" t="inlineStr">
        <is>
          <t>0x580A</t>
        </is>
      </c>
      <c r="B380" t="inlineStr">
        <is>
          <t>es-419</t>
        </is>
      </c>
      <c r="C380">
        <f>TEXT(43836, "[$-580A]dddd,ddd,mmmm,mmm,mmmmm,m")</f>
        <v/>
      </c>
      <c r="D380">
        <f>TEXT(43865, "[$-580A]dddd,ddd,mmmm,mmm,mmmmm,m")</f>
        <v/>
      </c>
      <c r="E380">
        <f>TEXT(43894, "[$-580A]dddd,ddd,mmmm,mmm,mmmmm,m")</f>
        <v/>
      </c>
      <c r="F380">
        <f>TEXT(43923, "[$-580A]dddd,ddd,mmmm,mmm,mmmmm,m")</f>
        <v/>
      </c>
      <c r="G380">
        <f>TEXT(43952, "[$-580A]dddd,ddd,mmmm,mmm,mmmmm,m")</f>
        <v/>
      </c>
      <c r="H380">
        <f>TEXT(43988, "[$-580A]dddd,ddd,mmmm,mmm,mmmmm,m")</f>
        <v/>
      </c>
      <c r="I380">
        <f>TEXT(44017, "[$-580A]dddd,ddd,mmmm,mmm,mmmmm,m")</f>
        <v/>
      </c>
      <c r="J380">
        <f>TEXT(44046, "[$-580A]dddd,ddd,mmmm,mmm,mmmmm,m")</f>
        <v/>
      </c>
      <c r="K380">
        <f>TEXT(44082, "[$-580A]dddd,ddd,mmmm,mmm,mmmmm,m")</f>
        <v/>
      </c>
      <c r="L380">
        <f>TEXT(44111, "[$-580A]dddd,ddd,mmmm,mmm,mmmmm,m")</f>
        <v/>
      </c>
      <c r="M380">
        <f>TEXT(44140, "[$-580A]dddd,ddd,mmmm,mmm,mmmmm,m")</f>
        <v/>
      </c>
      <c r="N380">
        <f>TEXT(44169, "[$-580A]dddd,ddd,mmmm,mmm,mmmmm,m")</f>
        <v/>
      </c>
      <c r="O380">
        <f>TEXT(44198, "[$-580A]dddd,ddd,mmmm,mmm,mmmmm,m")</f>
        <v/>
      </c>
    </row>
    <row r="381">
      <c r="A381" t="inlineStr">
        <is>
          <t>0x5C0A</t>
        </is>
      </c>
      <c r="B381" t="inlineStr">
        <is>
          <t>es-CU</t>
        </is>
      </c>
      <c r="C381">
        <f>TEXT(43836, "[$-5C0A]dddd,ddd,mmmm,mmm,mmmmm,m")</f>
        <v/>
      </c>
      <c r="D381">
        <f>TEXT(43865, "[$-5C0A]dddd,ddd,mmmm,mmm,mmmmm,m")</f>
        <v/>
      </c>
      <c r="E381">
        <f>TEXT(43894, "[$-5C0A]dddd,ddd,mmmm,mmm,mmmmm,m")</f>
        <v/>
      </c>
      <c r="F381">
        <f>TEXT(43923, "[$-5C0A]dddd,ddd,mmmm,mmm,mmmmm,m")</f>
        <v/>
      </c>
      <c r="G381">
        <f>TEXT(43952, "[$-5C0A]dddd,ddd,mmmm,mmm,mmmmm,m")</f>
        <v/>
      </c>
      <c r="H381">
        <f>TEXT(43988, "[$-5C0A]dddd,ddd,mmmm,mmm,mmmmm,m")</f>
        <v/>
      </c>
      <c r="I381">
        <f>TEXT(44017, "[$-5C0A]dddd,ddd,mmmm,mmm,mmmmm,m")</f>
        <v/>
      </c>
      <c r="J381">
        <f>TEXT(44046, "[$-5C0A]dddd,ddd,mmmm,mmm,mmmmm,m")</f>
        <v/>
      </c>
      <c r="K381">
        <f>TEXT(44082, "[$-5C0A]dddd,ddd,mmmm,mmm,mmmmm,m")</f>
        <v/>
      </c>
      <c r="L381">
        <f>TEXT(44111, "[$-5C0A]dddd,ddd,mmmm,mmm,mmmmm,m")</f>
        <v/>
      </c>
      <c r="M381">
        <f>TEXT(44140, "[$-5C0A]dddd,ddd,mmmm,mmm,mmmmm,m")</f>
        <v/>
      </c>
      <c r="N381">
        <f>TEXT(44169, "[$-5C0A]dddd,ddd,mmmm,mmm,mmmmm,m")</f>
        <v/>
      </c>
      <c r="O381">
        <f>TEXT(44198, "[$-5C0A]dddd,ddd,mmmm,mmm,mmmmm,m")</f>
        <v/>
      </c>
    </row>
    <row r="382">
      <c r="A382" t="inlineStr">
        <is>
          <t>0x641A</t>
        </is>
      </c>
      <c r="B382" t="inlineStr">
        <is>
          <t>bs-Cyrl</t>
        </is>
      </c>
      <c r="C382">
        <f>TEXT(43836, "[$-641A]dddd,ddd,mmmm,mmm,mmmmm,m")</f>
        <v/>
      </c>
      <c r="D382">
        <f>TEXT(43865, "[$-641A]dddd,ddd,mmmm,mmm,mmmmm,m")</f>
        <v/>
      </c>
      <c r="E382">
        <f>TEXT(43894, "[$-641A]dddd,ddd,mmmm,mmm,mmmmm,m")</f>
        <v/>
      </c>
      <c r="F382">
        <f>TEXT(43923, "[$-641A]dddd,ddd,mmmm,mmm,mmmmm,m")</f>
        <v/>
      </c>
      <c r="G382">
        <f>TEXT(43952, "[$-641A]dddd,ddd,mmmm,mmm,mmmmm,m")</f>
        <v/>
      </c>
      <c r="H382">
        <f>TEXT(43988, "[$-641A]dddd,ddd,mmmm,mmm,mmmmm,m")</f>
        <v/>
      </c>
      <c r="I382">
        <f>TEXT(44017, "[$-641A]dddd,ddd,mmmm,mmm,mmmmm,m")</f>
        <v/>
      </c>
      <c r="J382">
        <f>TEXT(44046, "[$-641A]dddd,ddd,mmmm,mmm,mmmmm,m")</f>
        <v/>
      </c>
      <c r="K382">
        <f>TEXT(44082, "[$-641A]dddd,ddd,mmmm,mmm,mmmmm,m")</f>
        <v/>
      </c>
      <c r="L382">
        <f>TEXT(44111, "[$-641A]dddd,ddd,mmmm,mmm,mmmmm,m")</f>
        <v/>
      </c>
      <c r="M382">
        <f>TEXT(44140, "[$-641A]dddd,ddd,mmmm,mmm,mmmmm,m")</f>
        <v/>
      </c>
      <c r="N382">
        <f>TEXT(44169, "[$-641A]dddd,ddd,mmmm,mmm,mmmmm,m")</f>
        <v/>
      </c>
      <c r="O382">
        <f>TEXT(44198, "[$-641A]dddd,ddd,mmmm,mmm,mmmmm,m")</f>
        <v/>
      </c>
    </row>
    <row r="383">
      <c r="A383" t="inlineStr">
        <is>
          <t>0x681A</t>
        </is>
      </c>
      <c r="B383" t="inlineStr">
        <is>
          <t>bs-Latn</t>
        </is>
      </c>
      <c r="C383">
        <f>TEXT(43836, "[$-681A]dddd,ddd,mmmm,mmm,mmmmm,m")</f>
        <v/>
      </c>
      <c r="D383">
        <f>TEXT(43865, "[$-681A]dddd,ddd,mmmm,mmm,mmmmm,m")</f>
        <v/>
      </c>
      <c r="E383">
        <f>TEXT(43894, "[$-681A]dddd,ddd,mmmm,mmm,mmmmm,m")</f>
        <v/>
      </c>
      <c r="F383">
        <f>TEXT(43923, "[$-681A]dddd,ddd,mmmm,mmm,mmmmm,m")</f>
        <v/>
      </c>
      <c r="G383">
        <f>TEXT(43952, "[$-681A]dddd,ddd,mmmm,mmm,mmmmm,m")</f>
        <v/>
      </c>
      <c r="H383">
        <f>TEXT(43988, "[$-681A]dddd,ddd,mmmm,mmm,mmmmm,m")</f>
        <v/>
      </c>
      <c r="I383">
        <f>TEXT(44017, "[$-681A]dddd,ddd,mmmm,mmm,mmmmm,m")</f>
        <v/>
      </c>
      <c r="J383">
        <f>TEXT(44046, "[$-681A]dddd,ddd,mmmm,mmm,mmmmm,m")</f>
        <v/>
      </c>
      <c r="K383">
        <f>TEXT(44082, "[$-681A]dddd,ddd,mmmm,mmm,mmmmm,m")</f>
        <v/>
      </c>
      <c r="L383">
        <f>TEXT(44111, "[$-681A]dddd,ddd,mmmm,mmm,mmmmm,m")</f>
        <v/>
      </c>
      <c r="M383">
        <f>TEXT(44140, "[$-681A]dddd,ddd,mmmm,mmm,mmmmm,m")</f>
        <v/>
      </c>
      <c r="N383">
        <f>TEXT(44169, "[$-681A]dddd,ddd,mmmm,mmm,mmmmm,m")</f>
        <v/>
      </c>
      <c r="O383">
        <f>TEXT(44198, "[$-681A]dddd,ddd,mmmm,mmm,mmmmm,m")</f>
        <v/>
      </c>
    </row>
    <row r="384">
      <c r="A384" t="inlineStr">
        <is>
          <t>0x6C1A</t>
        </is>
      </c>
      <c r="B384" t="inlineStr">
        <is>
          <t>sr-Cyrl</t>
        </is>
      </c>
      <c r="C384">
        <f>TEXT(43836, "[$-6C1A]dddd,ddd,mmmm,mmm,mmmmm,m")</f>
        <v/>
      </c>
      <c r="D384">
        <f>TEXT(43865, "[$-6C1A]dddd,ddd,mmmm,mmm,mmmmm,m")</f>
        <v/>
      </c>
      <c r="E384">
        <f>TEXT(43894, "[$-6C1A]dddd,ddd,mmmm,mmm,mmmmm,m")</f>
        <v/>
      </c>
      <c r="F384">
        <f>TEXT(43923, "[$-6C1A]dddd,ddd,mmmm,mmm,mmmmm,m")</f>
        <v/>
      </c>
      <c r="G384">
        <f>TEXT(43952, "[$-6C1A]dddd,ddd,mmmm,mmm,mmmmm,m")</f>
        <v/>
      </c>
      <c r="H384">
        <f>TEXT(43988, "[$-6C1A]dddd,ddd,mmmm,mmm,mmmmm,m")</f>
        <v/>
      </c>
      <c r="I384">
        <f>TEXT(44017, "[$-6C1A]dddd,ddd,mmmm,mmm,mmmmm,m")</f>
        <v/>
      </c>
      <c r="J384">
        <f>TEXT(44046, "[$-6C1A]dddd,ddd,mmmm,mmm,mmmmm,m")</f>
        <v/>
      </c>
      <c r="K384">
        <f>TEXT(44082, "[$-6C1A]dddd,ddd,mmmm,mmm,mmmmm,m")</f>
        <v/>
      </c>
      <c r="L384">
        <f>TEXT(44111, "[$-6C1A]dddd,ddd,mmmm,mmm,mmmmm,m")</f>
        <v/>
      </c>
      <c r="M384">
        <f>TEXT(44140, "[$-6C1A]dddd,ddd,mmmm,mmm,mmmmm,m")</f>
        <v/>
      </c>
      <c r="N384">
        <f>TEXT(44169, "[$-6C1A]dddd,ddd,mmmm,mmm,mmmmm,m")</f>
        <v/>
      </c>
      <c r="O384">
        <f>TEXT(44198, "[$-6C1A]dddd,ddd,mmmm,mmm,mmmmm,m")</f>
        <v/>
      </c>
    </row>
    <row r="385">
      <c r="A385" t="inlineStr">
        <is>
          <t>0x701A</t>
        </is>
      </c>
      <c r="B385" t="inlineStr">
        <is>
          <t>sr-Latn</t>
        </is>
      </c>
      <c r="C385">
        <f>TEXT(43836, "[$-701A]dddd,ddd,mmmm,mmm,mmmmm,m")</f>
        <v/>
      </c>
      <c r="D385">
        <f>TEXT(43865, "[$-701A]dddd,ddd,mmmm,mmm,mmmmm,m")</f>
        <v/>
      </c>
      <c r="E385">
        <f>TEXT(43894, "[$-701A]dddd,ddd,mmmm,mmm,mmmmm,m")</f>
        <v/>
      </c>
      <c r="F385">
        <f>TEXT(43923, "[$-701A]dddd,ddd,mmmm,mmm,mmmmm,m")</f>
        <v/>
      </c>
      <c r="G385">
        <f>TEXT(43952, "[$-701A]dddd,ddd,mmmm,mmm,mmmmm,m")</f>
        <v/>
      </c>
      <c r="H385">
        <f>TEXT(43988, "[$-701A]dddd,ddd,mmmm,mmm,mmmmm,m")</f>
        <v/>
      </c>
      <c r="I385">
        <f>TEXT(44017, "[$-701A]dddd,ddd,mmmm,mmm,mmmmm,m")</f>
        <v/>
      </c>
      <c r="J385">
        <f>TEXT(44046, "[$-701A]dddd,ddd,mmmm,mmm,mmmmm,m")</f>
        <v/>
      </c>
      <c r="K385">
        <f>TEXT(44082, "[$-701A]dddd,ddd,mmmm,mmm,mmmmm,m")</f>
        <v/>
      </c>
      <c r="L385">
        <f>TEXT(44111, "[$-701A]dddd,ddd,mmmm,mmm,mmmmm,m")</f>
        <v/>
      </c>
      <c r="M385">
        <f>TEXT(44140, "[$-701A]dddd,ddd,mmmm,mmm,mmmmm,m")</f>
        <v/>
      </c>
      <c r="N385">
        <f>TEXT(44169, "[$-701A]dddd,ddd,mmmm,mmm,mmmmm,m")</f>
        <v/>
      </c>
      <c r="O385">
        <f>TEXT(44198, "[$-701A]dddd,ddd,mmmm,mmm,mmmmm,m")</f>
        <v/>
      </c>
    </row>
    <row r="386">
      <c r="A386" t="inlineStr">
        <is>
          <t>0x703B</t>
        </is>
      </c>
      <c r="B386" t="inlineStr">
        <is>
          <t>smn</t>
        </is>
      </c>
      <c r="C386">
        <f>TEXT(43836, "[$-703B]dddd,ddd,mmmm,mmm,mmmmm,m")</f>
        <v/>
      </c>
      <c r="D386">
        <f>TEXT(43865, "[$-703B]dddd,ddd,mmmm,mmm,mmmmm,m")</f>
        <v/>
      </c>
      <c r="E386">
        <f>TEXT(43894, "[$-703B]dddd,ddd,mmmm,mmm,mmmmm,m")</f>
        <v/>
      </c>
      <c r="F386">
        <f>TEXT(43923, "[$-703B]dddd,ddd,mmmm,mmm,mmmmm,m")</f>
        <v/>
      </c>
      <c r="G386">
        <f>TEXT(43952, "[$-703B]dddd,ddd,mmmm,mmm,mmmmm,m")</f>
        <v/>
      </c>
      <c r="H386">
        <f>TEXT(43988, "[$-703B]dddd,ddd,mmmm,mmm,mmmmm,m")</f>
        <v/>
      </c>
      <c r="I386">
        <f>TEXT(44017, "[$-703B]dddd,ddd,mmmm,mmm,mmmmm,m")</f>
        <v/>
      </c>
      <c r="J386">
        <f>TEXT(44046, "[$-703B]dddd,ddd,mmmm,mmm,mmmmm,m")</f>
        <v/>
      </c>
      <c r="K386">
        <f>TEXT(44082, "[$-703B]dddd,ddd,mmmm,mmm,mmmmm,m")</f>
        <v/>
      </c>
      <c r="L386">
        <f>TEXT(44111, "[$-703B]dddd,ddd,mmmm,mmm,mmmmm,m")</f>
        <v/>
      </c>
      <c r="M386">
        <f>TEXT(44140, "[$-703B]dddd,ddd,mmmm,mmm,mmmmm,m")</f>
        <v/>
      </c>
      <c r="N386">
        <f>TEXT(44169, "[$-703B]dddd,ddd,mmmm,mmm,mmmmm,m")</f>
        <v/>
      </c>
      <c r="O386">
        <f>TEXT(44198, "[$-703B]dddd,ddd,mmmm,mmm,mmmmm,m")</f>
        <v/>
      </c>
    </row>
    <row r="387">
      <c r="A387" t="inlineStr">
        <is>
          <t>0x742C</t>
        </is>
      </c>
      <c r="B387" t="inlineStr">
        <is>
          <t>az-Cyrl</t>
        </is>
      </c>
      <c r="C387">
        <f>TEXT(43836, "[$-742C]dddd,ddd,mmmm,mmm,mmmmm,m")</f>
        <v/>
      </c>
      <c r="D387">
        <f>TEXT(43865, "[$-742C]dddd,ddd,mmmm,mmm,mmmmm,m")</f>
        <v/>
      </c>
      <c r="E387">
        <f>TEXT(43894, "[$-742C]dddd,ddd,mmmm,mmm,mmmmm,m")</f>
        <v/>
      </c>
      <c r="F387">
        <f>TEXT(43923, "[$-742C]dddd,ddd,mmmm,mmm,mmmmm,m")</f>
        <v/>
      </c>
      <c r="G387">
        <f>TEXT(43952, "[$-742C]dddd,ddd,mmmm,mmm,mmmmm,m")</f>
        <v/>
      </c>
      <c r="H387">
        <f>TEXT(43988, "[$-742C]dddd,ddd,mmmm,mmm,mmmmm,m")</f>
        <v/>
      </c>
      <c r="I387">
        <f>TEXT(44017, "[$-742C]dddd,ddd,mmmm,mmm,mmmmm,m")</f>
        <v/>
      </c>
      <c r="J387">
        <f>TEXT(44046, "[$-742C]dddd,ddd,mmmm,mmm,mmmmm,m")</f>
        <v/>
      </c>
      <c r="K387">
        <f>TEXT(44082, "[$-742C]dddd,ddd,mmmm,mmm,mmmmm,m")</f>
        <v/>
      </c>
      <c r="L387">
        <f>TEXT(44111, "[$-742C]dddd,ddd,mmmm,mmm,mmmmm,m")</f>
        <v/>
      </c>
      <c r="M387">
        <f>TEXT(44140, "[$-742C]dddd,ddd,mmmm,mmm,mmmmm,m")</f>
        <v/>
      </c>
      <c r="N387">
        <f>TEXT(44169, "[$-742C]dddd,ddd,mmmm,mmm,mmmmm,m")</f>
        <v/>
      </c>
      <c r="O387">
        <f>TEXT(44198, "[$-742C]dddd,ddd,mmmm,mmm,mmmmm,m")</f>
        <v/>
      </c>
    </row>
    <row r="388">
      <c r="A388" t="inlineStr">
        <is>
          <t>0x743B</t>
        </is>
      </c>
      <c r="B388" t="inlineStr">
        <is>
          <t>sms</t>
        </is>
      </c>
      <c r="C388">
        <f>TEXT(43836, "[$-743B]dddd,ddd,mmmm,mmm,mmmmm,m")</f>
        <v/>
      </c>
      <c r="D388">
        <f>TEXT(43865, "[$-743B]dddd,ddd,mmmm,mmm,mmmmm,m")</f>
        <v/>
      </c>
      <c r="E388">
        <f>TEXT(43894, "[$-743B]dddd,ddd,mmmm,mmm,mmmmm,m")</f>
        <v/>
      </c>
      <c r="F388">
        <f>TEXT(43923, "[$-743B]dddd,ddd,mmmm,mmm,mmmmm,m")</f>
        <v/>
      </c>
      <c r="G388">
        <f>TEXT(43952, "[$-743B]dddd,ddd,mmmm,mmm,mmmmm,m")</f>
        <v/>
      </c>
      <c r="H388">
        <f>TEXT(43988, "[$-743B]dddd,ddd,mmmm,mmm,mmmmm,m")</f>
        <v/>
      </c>
      <c r="I388">
        <f>TEXT(44017, "[$-743B]dddd,ddd,mmmm,mmm,mmmmm,m")</f>
        <v/>
      </c>
      <c r="J388">
        <f>TEXT(44046, "[$-743B]dddd,ddd,mmmm,mmm,mmmmm,m")</f>
        <v/>
      </c>
      <c r="K388">
        <f>TEXT(44082, "[$-743B]dddd,ddd,mmmm,mmm,mmmmm,m")</f>
        <v/>
      </c>
      <c r="L388">
        <f>TEXT(44111, "[$-743B]dddd,ddd,mmmm,mmm,mmmmm,m")</f>
        <v/>
      </c>
      <c r="M388">
        <f>TEXT(44140, "[$-743B]dddd,ddd,mmmm,mmm,mmmmm,m")</f>
        <v/>
      </c>
      <c r="N388">
        <f>TEXT(44169, "[$-743B]dddd,ddd,mmmm,mmm,mmmmm,m")</f>
        <v/>
      </c>
      <c r="O388">
        <f>TEXT(44198, "[$-743B]dddd,ddd,mmmm,mmm,mmmmm,m")</f>
        <v/>
      </c>
    </row>
    <row r="389">
      <c r="A389" t="inlineStr">
        <is>
          <t>0x1E007804</t>
        </is>
      </c>
      <c r="B389" t="inlineStr">
        <is>
          <t>zh</t>
        </is>
      </c>
      <c r="C389">
        <f>TEXT(43836, "[$-1E007804]dddd,ddd,mmmm,mmm,mmmmm,m")</f>
        <v/>
      </c>
      <c r="D389">
        <f>TEXT(43865, "[$-1E007804]dddd,ddd,mmmm,mmm,mmmmm,m")</f>
        <v/>
      </c>
      <c r="E389">
        <f>TEXT(43894, "[$-1E007804]dddd,ddd,mmmm,mmm,mmmmm,m")</f>
        <v/>
      </c>
      <c r="F389">
        <f>TEXT(43923, "[$-1E007804]dddd,ddd,mmmm,mmm,mmmmm,m")</f>
        <v/>
      </c>
      <c r="G389">
        <f>TEXT(43952, "[$-1E007804]dddd,ddd,mmmm,mmm,mmmmm,m")</f>
        <v/>
      </c>
      <c r="H389">
        <f>TEXT(43988, "[$-1E007804]dddd,ddd,mmmm,mmm,mmmmm,m")</f>
        <v/>
      </c>
      <c r="I389">
        <f>TEXT(44017, "[$-1E007804]dddd,ddd,mmmm,mmm,mmmmm,m")</f>
        <v/>
      </c>
      <c r="J389">
        <f>TEXT(44046, "[$-1E007804]dddd,ddd,mmmm,mmm,mmmmm,m")</f>
        <v/>
      </c>
      <c r="K389">
        <f>TEXT(44082, "[$-1E007804]dddd,ddd,mmmm,mmm,mmmmm,m")</f>
        <v/>
      </c>
      <c r="L389">
        <f>TEXT(44111, "[$-1E007804]dddd,ddd,mmmm,mmm,mmmmm,m")</f>
        <v/>
      </c>
      <c r="M389">
        <f>TEXT(44140, "[$-1E007804]dddd,ddd,mmmm,mmm,mmmmm,m")</f>
        <v/>
      </c>
      <c r="N389">
        <f>TEXT(44169, "[$-1E007804]dddd,ddd,mmmm,mmm,mmmmm,m")</f>
        <v/>
      </c>
      <c r="O389">
        <f>TEXT(44198, "[$-1E007804]dddd,ddd,mmmm,mmm,mmmmm,m")</f>
        <v/>
      </c>
    </row>
    <row r="390">
      <c r="A390" t="inlineStr">
        <is>
          <t>0x7814</t>
        </is>
      </c>
      <c r="B390" t="inlineStr">
        <is>
          <t>nn</t>
        </is>
      </c>
      <c r="C390">
        <f>TEXT(43836, "[$-7814]dddd,ddd,mmmm,mmm,mmmmm,m")</f>
        <v/>
      </c>
      <c r="D390">
        <f>TEXT(43865, "[$-7814]dddd,ddd,mmmm,mmm,mmmmm,m")</f>
        <v/>
      </c>
      <c r="E390">
        <f>TEXT(43894, "[$-7814]dddd,ddd,mmmm,mmm,mmmmm,m")</f>
        <v/>
      </c>
      <c r="F390">
        <f>TEXT(43923, "[$-7814]dddd,ddd,mmmm,mmm,mmmmm,m")</f>
        <v/>
      </c>
      <c r="G390">
        <f>TEXT(43952, "[$-7814]dddd,ddd,mmmm,mmm,mmmmm,m")</f>
        <v/>
      </c>
      <c r="H390">
        <f>TEXT(43988, "[$-7814]dddd,ddd,mmmm,mmm,mmmmm,m")</f>
        <v/>
      </c>
      <c r="I390">
        <f>TEXT(44017, "[$-7814]dddd,ddd,mmmm,mmm,mmmmm,m")</f>
        <v/>
      </c>
      <c r="J390">
        <f>TEXT(44046, "[$-7814]dddd,ddd,mmmm,mmm,mmmmm,m")</f>
        <v/>
      </c>
      <c r="K390">
        <f>TEXT(44082, "[$-7814]dddd,ddd,mmmm,mmm,mmmmm,m")</f>
        <v/>
      </c>
      <c r="L390">
        <f>TEXT(44111, "[$-7814]dddd,ddd,mmmm,mmm,mmmmm,m")</f>
        <v/>
      </c>
      <c r="M390">
        <f>TEXT(44140, "[$-7814]dddd,ddd,mmmm,mmm,mmmmm,m")</f>
        <v/>
      </c>
      <c r="N390">
        <f>TEXT(44169, "[$-7814]dddd,ddd,mmmm,mmm,mmmmm,m")</f>
        <v/>
      </c>
      <c r="O390">
        <f>TEXT(44198, "[$-7814]dddd,ddd,mmmm,mmm,mmmmm,m")</f>
        <v/>
      </c>
    </row>
    <row r="391">
      <c r="A391" t="inlineStr">
        <is>
          <t>0x781A</t>
        </is>
      </c>
      <c r="B391" t="inlineStr">
        <is>
          <t>bs</t>
        </is>
      </c>
      <c r="C391">
        <f>TEXT(43836, "[$-781A]dddd,ddd,mmmm,mmm,mmmmm,m")</f>
        <v/>
      </c>
      <c r="D391">
        <f>TEXT(43865, "[$-781A]dddd,ddd,mmmm,mmm,mmmmm,m")</f>
        <v/>
      </c>
      <c r="E391">
        <f>TEXT(43894, "[$-781A]dddd,ddd,mmmm,mmm,mmmmm,m")</f>
        <v/>
      </c>
      <c r="F391">
        <f>TEXT(43923, "[$-781A]dddd,ddd,mmmm,mmm,mmmmm,m")</f>
        <v/>
      </c>
      <c r="G391">
        <f>TEXT(43952, "[$-781A]dddd,ddd,mmmm,mmm,mmmmm,m")</f>
        <v/>
      </c>
      <c r="H391">
        <f>TEXT(43988, "[$-781A]dddd,ddd,mmmm,mmm,mmmmm,m")</f>
        <v/>
      </c>
      <c r="I391">
        <f>TEXT(44017, "[$-781A]dddd,ddd,mmmm,mmm,mmmmm,m")</f>
        <v/>
      </c>
      <c r="J391">
        <f>TEXT(44046, "[$-781A]dddd,ddd,mmmm,mmm,mmmmm,m")</f>
        <v/>
      </c>
      <c r="K391">
        <f>TEXT(44082, "[$-781A]dddd,ddd,mmmm,mmm,mmmmm,m")</f>
        <v/>
      </c>
      <c r="L391">
        <f>TEXT(44111, "[$-781A]dddd,ddd,mmmm,mmm,mmmmm,m")</f>
        <v/>
      </c>
      <c r="M391">
        <f>TEXT(44140, "[$-781A]dddd,ddd,mmmm,mmm,mmmmm,m")</f>
        <v/>
      </c>
      <c r="N391">
        <f>TEXT(44169, "[$-781A]dddd,ddd,mmmm,mmm,mmmmm,m")</f>
        <v/>
      </c>
      <c r="O391">
        <f>TEXT(44198, "[$-781A]dddd,ddd,mmmm,mmm,mmmmm,m")</f>
        <v/>
      </c>
    </row>
    <row r="392">
      <c r="A392" t="inlineStr">
        <is>
          <t>0x782C</t>
        </is>
      </c>
      <c r="B392" t="inlineStr">
        <is>
          <t>az-Latn</t>
        </is>
      </c>
      <c r="C392">
        <f>TEXT(43836, "[$-782C]dddd,ddd,mmmm,mmm,mmmmm,m")</f>
        <v/>
      </c>
      <c r="D392">
        <f>TEXT(43865, "[$-782C]dddd,ddd,mmmm,mmm,mmmmm,m")</f>
        <v/>
      </c>
      <c r="E392">
        <f>TEXT(43894, "[$-782C]dddd,ddd,mmmm,mmm,mmmmm,m")</f>
        <v/>
      </c>
      <c r="F392">
        <f>TEXT(43923, "[$-782C]dddd,ddd,mmmm,mmm,mmmmm,m")</f>
        <v/>
      </c>
      <c r="G392">
        <f>TEXT(43952, "[$-782C]dddd,ddd,mmmm,mmm,mmmmm,m")</f>
        <v/>
      </c>
      <c r="H392">
        <f>TEXT(43988, "[$-782C]dddd,ddd,mmmm,mmm,mmmmm,m")</f>
        <v/>
      </c>
      <c r="I392">
        <f>TEXT(44017, "[$-782C]dddd,ddd,mmmm,mmm,mmmmm,m")</f>
        <v/>
      </c>
      <c r="J392">
        <f>TEXT(44046, "[$-782C]dddd,ddd,mmmm,mmm,mmmmm,m")</f>
        <v/>
      </c>
      <c r="K392">
        <f>TEXT(44082, "[$-782C]dddd,ddd,mmmm,mmm,mmmmm,m")</f>
        <v/>
      </c>
      <c r="L392">
        <f>TEXT(44111, "[$-782C]dddd,ddd,mmmm,mmm,mmmmm,m")</f>
        <v/>
      </c>
      <c r="M392">
        <f>TEXT(44140, "[$-782C]dddd,ddd,mmmm,mmm,mmmmm,m")</f>
        <v/>
      </c>
      <c r="N392">
        <f>TEXT(44169, "[$-782C]dddd,ddd,mmmm,mmm,mmmmm,m")</f>
        <v/>
      </c>
      <c r="O392">
        <f>TEXT(44198, "[$-782C]dddd,ddd,mmmm,mmm,mmmmm,m")</f>
        <v/>
      </c>
    </row>
    <row r="393">
      <c r="A393" t="inlineStr">
        <is>
          <t>0x783B</t>
        </is>
      </c>
      <c r="B393" t="inlineStr">
        <is>
          <t>sma</t>
        </is>
      </c>
      <c r="C393">
        <f>TEXT(43836, "[$-783B]dddd,ddd,mmmm,mmm,mmmmm,m")</f>
        <v/>
      </c>
      <c r="D393">
        <f>TEXT(43865, "[$-783B]dddd,ddd,mmmm,mmm,mmmmm,m")</f>
        <v/>
      </c>
      <c r="E393">
        <f>TEXT(43894, "[$-783B]dddd,ddd,mmmm,mmm,mmmmm,m")</f>
        <v/>
      </c>
      <c r="F393">
        <f>TEXT(43923, "[$-783B]dddd,ddd,mmmm,mmm,mmmmm,m")</f>
        <v/>
      </c>
      <c r="G393">
        <f>TEXT(43952, "[$-783B]dddd,ddd,mmmm,mmm,mmmmm,m")</f>
        <v/>
      </c>
      <c r="H393">
        <f>TEXT(43988, "[$-783B]dddd,ddd,mmmm,mmm,mmmmm,m")</f>
        <v/>
      </c>
      <c r="I393">
        <f>TEXT(44017, "[$-783B]dddd,ddd,mmmm,mmm,mmmmm,m")</f>
        <v/>
      </c>
      <c r="J393">
        <f>TEXT(44046, "[$-783B]dddd,ddd,mmmm,mmm,mmmmm,m")</f>
        <v/>
      </c>
      <c r="K393">
        <f>TEXT(44082, "[$-783B]dddd,ddd,mmmm,mmm,mmmmm,m")</f>
        <v/>
      </c>
      <c r="L393">
        <f>TEXT(44111, "[$-783B]dddd,ddd,mmmm,mmm,mmmmm,m")</f>
        <v/>
      </c>
      <c r="M393">
        <f>TEXT(44140, "[$-783B]dddd,ddd,mmmm,mmm,mmmmm,m")</f>
        <v/>
      </c>
      <c r="N393">
        <f>TEXT(44169, "[$-783B]dddd,ddd,mmmm,mmm,mmmmm,m")</f>
        <v/>
      </c>
      <c r="O393">
        <f>TEXT(44198, "[$-783B]dddd,ddd,mmmm,mmm,mmmmm,m")</f>
        <v/>
      </c>
    </row>
    <row r="394">
      <c r="A394" t="inlineStr">
        <is>
          <t>0x7843</t>
        </is>
      </c>
      <c r="B394" t="inlineStr">
        <is>
          <t>uz-Cyrl</t>
        </is>
      </c>
      <c r="C394">
        <f>TEXT(43836, "[$-7843]dddd,ddd,mmmm,mmm,mmmmm,m")</f>
        <v/>
      </c>
      <c r="D394">
        <f>TEXT(43865, "[$-7843]dddd,ddd,mmmm,mmm,mmmmm,m")</f>
        <v/>
      </c>
      <c r="E394">
        <f>TEXT(43894, "[$-7843]dddd,ddd,mmmm,mmm,mmmmm,m")</f>
        <v/>
      </c>
      <c r="F394">
        <f>TEXT(43923, "[$-7843]dddd,ddd,mmmm,mmm,mmmmm,m")</f>
        <v/>
      </c>
      <c r="G394">
        <f>TEXT(43952, "[$-7843]dddd,ddd,mmmm,mmm,mmmmm,m")</f>
        <v/>
      </c>
      <c r="H394">
        <f>TEXT(43988, "[$-7843]dddd,ddd,mmmm,mmm,mmmmm,m")</f>
        <v/>
      </c>
      <c r="I394">
        <f>TEXT(44017, "[$-7843]dddd,ddd,mmmm,mmm,mmmmm,m")</f>
        <v/>
      </c>
      <c r="J394">
        <f>TEXT(44046, "[$-7843]dddd,ddd,mmmm,mmm,mmmmm,m")</f>
        <v/>
      </c>
      <c r="K394">
        <f>TEXT(44082, "[$-7843]dddd,ddd,mmmm,mmm,mmmmm,m")</f>
        <v/>
      </c>
      <c r="L394">
        <f>TEXT(44111, "[$-7843]dddd,ddd,mmmm,mmm,mmmmm,m")</f>
        <v/>
      </c>
      <c r="M394">
        <f>TEXT(44140, "[$-7843]dddd,ddd,mmmm,mmm,mmmmm,m")</f>
        <v/>
      </c>
      <c r="N394">
        <f>TEXT(44169, "[$-7843]dddd,ddd,mmmm,mmm,mmmmm,m")</f>
        <v/>
      </c>
      <c r="O394">
        <f>TEXT(44198, "[$-7843]dddd,ddd,mmmm,mmm,mmmmm,m")</f>
        <v/>
      </c>
    </row>
    <row r="395">
      <c r="A395" t="inlineStr">
        <is>
          <t>0x13007850</t>
        </is>
      </c>
      <c r="B395" t="inlineStr">
        <is>
          <t>mn-Cyrl</t>
        </is>
      </c>
      <c r="C395">
        <f>TEXT(43836, "[$-13007850]dddd,ddd,mmmm,mmm,mmmmm,m")</f>
        <v/>
      </c>
      <c r="D395">
        <f>TEXT(43865, "[$-13007850]dddd,ddd,mmmm,mmm,mmmmm,m")</f>
        <v/>
      </c>
      <c r="E395">
        <f>TEXT(43894, "[$-13007850]dddd,ddd,mmmm,mmm,mmmmm,m")</f>
        <v/>
      </c>
      <c r="F395">
        <f>TEXT(43923, "[$-13007850]dddd,ddd,mmmm,mmm,mmmmm,m")</f>
        <v/>
      </c>
      <c r="G395">
        <f>TEXT(43952, "[$-13007850]dddd,ddd,mmmm,mmm,mmmmm,m")</f>
        <v/>
      </c>
      <c r="H395">
        <f>TEXT(43988, "[$-13007850]dddd,ddd,mmmm,mmm,mmmmm,m")</f>
        <v/>
      </c>
      <c r="I395">
        <f>TEXT(44017, "[$-13007850]dddd,ddd,mmmm,mmm,mmmmm,m")</f>
        <v/>
      </c>
      <c r="J395">
        <f>TEXT(44046, "[$-13007850]dddd,ddd,mmmm,mmm,mmmmm,m")</f>
        <v/>
      </c>
      <c r="K395">
        <f>TEXT(44082, "[$-13007850]dddd,ddd,mmmm,mmm,mmmmm,m")</f>
        <v/>
      </c>
      <c r="L395">
        <f>TEXT(44111, "[$-13007850]dddd,ddd,mmmm,mmm,mmmmm,m")</f>
        <v/>
      </c>
      <c r="M395">
        <f>TEXT(44140, "[$-13007850]dddd,ddd,mmmm,mmm,mmmmm,m")</f>
        <v/>
      </c>
      <c r="N395">
        <f>TEXT(44169, "[$-13007850]dddd,ddd,mmmm,mmm,mmmmm,m")</f>
        <v/>
      </c>
      <c r="O395">
        <f>TEXT(44198, "[$-13007850]dddd,ddd,mmmm,mmm,mmmmm,m")</f>
        <v/>
      </c>
    </row>
    <row r="396">
      <c r="A396" t="inlineStr">
        <is>
          <t>0x785D</t>
        </is>
      </c>
      <c r="B396" t="inlineStr">
        <is>
          <t>iu-Cans</t>
        </is>
      </c>
      <c r="C396">
        <f>TEXT(43836, "[$-785D]dddd,ddd,mmmm,mmm,mmmmm,m")</f>
        <v/>
      </c>
      <c r="D396">
        <f>TEXT(43865, "[$-785D]dddd,ddd,mmmm,mmm,mmmmm,m")</f>
        <v/>
      </c>
      <c r="E396">
        <f>TEXT(43894, "[$-785D]dddd,ddd,mmmm,mmm,mmmmm,m")</f>
        <v/>
      </c>
      <c r="F396">
        <f>TEXT(43923, "[$-785D]dddd,ddd,mmmm,mmm,mmmmm,m")</f>
        <v/>
      </c>
      <c r="G396">
        <f>TEXT(43952, "[$-785D]dddd,ddd,mmmm,mmm,mmmmm,m")</f>
        <v/>
      </c>
      <c r="H396">
        <f>TEXT(43988, "[$-785D]dddd,ddd,mmmm,mmm,mmmmm,m")</f>
        <v/>
      </c>
      <c r="I396">
        <f>TEXT(44017, "[$-785D]dddd,ddd,mmmm,mmm,mmmmm,m")</f>
        <v/>
      </c>
      <c r="J396">
        <f>TEXT(44046, "[$-785D]dddd,ddd,mmmm,mmm,mmmmm,m")</f>
        <v/>
      </c>
      <c r="K396">
        <f>TEXT(44082, "[$-785D]dddd,ddd,mmmm,mmm,mmmmm,m")</f>
        <v/>
      </c>
      <c r="L396">
        <f>TEXT(44111, "[$-785D]dddd,ddd,mmmm,mmm,mmmmm,m")</f>
        <v/>
      </c>
      <c r="M396">
        <f>TEXT(44140, "[$-785D]dddd,ddd,mmmm,mmm,mmmmm,m")</f>
        <v/>
      </c>
      <c r="N396">
        <f>TEXT(44169, "[$-785D]dddd,ddd,mmmm,mmm,mmmmm,m")</f>
        <v/>
      </c>
      <c r="O396">
        <f>TEXT(44198, "[$-785D]dddd,ddd,mmmm,mmm,mmmmm,m")</f>
        <v/>
      </c>
    </row>
    <row r="397">
      <c r="A397" t="inlineStr">
        <is>
          <t>0x785F</t>
        </is>
      </c>
      <c r="B397" t="inlineStr">
        <is>
          <t>tzm-Tfng</t>
        </is>
      </c>
      <c r="C397">
        <f>TEXT(43836, "[$-785F]dddd,ddd,mmmm,mmm,mmmmm,m")</f>
        <v/>
      </c>
      <c r="D397">
        <f>TEXT(43865, "[$-785F]dddd,ddd,mmmm,mmm,mmmmm,m")</f>
        <v/>
      </c>
      <c r="E397">
        <f>TEXT(43894, "[$-785F]dddd,ddd,mmmm,mmm,mmmmm,m")</f>
        <v/>
      </c>
      <c r="F397">
        <f>TEXT(43923, "[$-785F]dddd,ddd,mmmm,mmm,mmmmm,m")</f>
        <v/>
      </c>
      <c r="G397">
        <f>TEXT(43952, "[$-785F]dddd,ddd,mmmm,mmm,mmmmm,m")</f>
        <v/>
      </c>
      <c r="H397">
        <f>TEXT(43988, "[$-785F]dddd,ddd,mmmm,mmm,mmmmm,m")</f>
        <v/>
      </c>
      <c r="I397">
        <f>TEXT(44017, "[$-785F]dddd,ddd,mmmm,mmm,mmmmm,m")</f>
        <v/>
      </c>
      <c r="J397">
        <f>TEXT(44046, "[$-785F]dddd,ddd,mmmm,mmm,mmmmm,m")</f>
        <v/>
      </c>
      <c r="K397">
        <f>TEXT(44082, "[$-785F]dddd,ddd,mmmm,mmm,mmmmm,m")</f>
        <v/>
      </c>
      <c r="L397">
        <f>TEXT(44111, "[$-785F]dddd,ddd,mmmm,mmm,mmmmm,m")</f>
        <v/>
      </c>
      <c r="M397">
        <f>TEXT(44140, "[$-785F]dddd,ddd,mmmm,mmm,mmmmm,m")</f>
        <v/>
      </c>
      <c r="N397">
        <f>TEXT(44169, "[$-785F]dddd,ddd,mmmm,mmm,mmmmm,m")</f>
        <v/>
      </c>
      <c r="O397">
        <f>TEXT(44198, "[$-785F]dddd,ddd,mmmm,mmm,mmmmm,m")</f>
        <v/>
      </c>
    </row>
    <row r="398">
      <c r="A398" t="inlineStr">
        <is>
          <t>0x1E007C04</t>
        </is>
      </c>
      <c r="B398" t="inlineStr">
        <is>
          <t>zh-Hant</t>
        </is>
      </c>
      <c r="C398">
        <f>TEXT(43836, "[$-1E007C04]dddd,ddd,mmmm,mmm,mmmmm,m")</f>
        <v/>
      </c>
      <c r="D398">
        <f>TEXT(43865, "[$-1E007C04]dddd,ddd,mmmm,mmm,mmmmm,m")</f>
        <v/>
      </c>
      <c r="E398">
        <f>TEXT(43894, "[$-1E007C04]dddd,ddd,mmmm,mmm,mmmmm,m")</f>
        <v/>
      </c>
      <c r="F398">
        <f>TEXT(43923, "[$-1E007C04]dddd,ddd,mmmm,mmm,mmmmm,m")</f>
        <v/>
      </c>
      <c r="G398">
        <f>TEXT(43952, "[$-1E007C04]dddd,ddd,mmmm,mmm,mmmmm,m")</f>
        <v/>
      </c>
      <c r="H398">
        <f>TEXT(43988, "[$-1E007C04]dddd,ddd,mmmm,mmm,mmmmm,m")</f>
        <v/>
      </c>
      <c r="I398">
        <f>TEXT(44017, "[$-1E007C04]dddd,ddd,mmmm,mmm,mmmmm,m")</f>
        <v/>
      </c>
      <c r="J398">
        <f>TEXT(44046, "[$-1E007C04]dddd,ddd,mmmm,mmm,mmmmm,m")</f>
        <v/>
      </c>
      <c r="K398">
        <f>TEXT(44082, "[$-1E007C04]dddd,ddd,mmmm,mmm,mmmmm,m")</f>
        <v/>
      </c>
      <c r="L398">
        <f>TEXT(44111, "[$-1E007C04]dddd,ddd,mmmm,mmm,mmmmm,m")</f>
        <v/>
      </c>
      <c r="M398">
        <f>TEXT(44140, "[$-1E007C04]dddd,ddd,mmmm,mmm,mmmmm,m")</f>
        <v/>
      </c>
      <c r="N398">
        <f>TEXT(44169, "[$-1E007C04]dddd,ddd,mmmm,mmm,mmmmm,m")</f>
        <v/>
      </c>
      <c r="O398">
        <f>TEXT(44198, "[$-1E007C04]dddd,ddd,mmmm,mmm,mmmmm,m")</f>
        <v/>
      </c>
    </row>
    <row r="399">
      <c r="A399" t="inlineStr">
        <is>
          <t>0x7C14</t>
        </is>
      </c>
      <c r="B399" t="inlineStr">
        <is>
          <t>nb</t>
        </is>
      </c>
      <c r="C399">
        <f>TEXT(43836, "[$-7C14]dddd,ddd,mmmm,mmm,mmmmm,m")</f>
        <v/>
      </c>
      <c r="D399">
        <f>TEXT(43865, "[$-7C14]dddd,ddd,mmmm,mmm,mmmmm,m")</f>
        <v/>
      </c>
      <c r="E399">
        <f>TEXT(43894, "[$-7C14]dddd,ddd,mmmm,mmm,mmmmm,m")</f>
        <v/>
      </c>
      <c r="F399">
        <f>TEXT(43923, "[$-7C14]dddd,ddd,mmmm,mmm,mmmmm,m")</f>
        <v/>
      </c>
      <c r="G399">
        <f>TEXT(43952, "[$-7C14]dddd,ddd,mmmm,mmm,mmmmm,m")</f>
        <v/>
      </c>
      <c r="H399">
        <f>TEXT(43988, "[$-7C14]dddd,ddd,mmmm,mmm,mmmmm,m")</f>
        <v/>
      </c>
      <c r="I399">
        <f>TEXT(44017, "[$-7C14]dddd,ddd,mmmm,mmm,mmmmm,m")</f>
        <v/>
      </c>
      <c r="J399">
        <f>TEXT(44046, "[$-7C14]dddd,ddd,mmmm,mmm,mmmmm,m")</f>
        <v/>
      </c>
      <c r="K399">
        <f>TEXT(44082, "[$-7C14]dddd,ddd,mmmm,mmm,mmmmm,m")</f>
        <v/>
      </c>
      <c r="L399">
        <f>TEXT(44111, "[$-7C14]dddd,ddd,mmmm,mmm,mmmmm,m")</f>
        <v/>
      </c>
      <c r="M399">
        <f>TEXT(44140, "[$-7C14]dddd,ddd,mmmm,mmm,mmmmm,m")</f>
        <v/>
      </c>
      <c r="N399">
        <f>TEXT(44169, "[$-7C14]dddd,ddd,mmmm,mmm,mmmmm,m")</f>
        <v/>
      </c>
      <c r="O399">
        <f>TEXT(44198, "[$-7C14]dddd,ddd,mmmm,mmm,mmmmm,m")</f>
        <v/>
      </c>
    </row>
    <row r="400">
      <c r="A400" t="inlineStr">
        <is>
          <t>0x7C1A</t>
        </is>
      </c>
      <c r="B400" t="inlineStr">
        <is>
          <t>sr</t>
        </is>
      </c>
      <c r="C400">
        <f>TEXT(43836, "[$-7C1A]dddd,ddd,mmmm,mmm,mmmmm,m")</f>
        <v/>
      </c>
      <c r="D400">
        <f>TEXT(43865, "[$-7C1A]dddd,ddd,mmmm,mmm,mmmmm,m")</f>
        <v/>
      </c>
      <c r="E400">
        <f>TEXT(43894, "[$-7C1A]dddd,ddd,mmmm,mmm,mmmmm,m")</f>
        <v/>
      </c>
      <c r="F400">
        <f>TEXT(43923, "[$-7C1A]dddd,ddd,mmmm,mmm,mmmmm,m")</f>
        <v/>
      </c>
      <c r="G400">
        <f>TEXT(43952, "[$-7C1A]dddd,ddd,mmmm,mmm,mmmmm,m")</f>
        <v/>
      </c>
      <c r="H400">
        <f>TEXT(43988, "[$-7C1A]dddd,ddd,mmmm,mmm,mmmmm,m")</f>
        <v/>
      </c>
      <c r="I400">
        <f>TEXT(44017, "[$-7C1A]dddd,ddd,mmmm,mmm,mmmmm,m")</f>
        <v/>
      </c>
      <c r="J400">
        <f>TEXT(44046, "[$-7C1A]dddd,ddd,mmmm,mmm,mmmmm,m")</f>
        <v/>
      </c>
      <c r="K400">
        <f>TEXT(44082, "[$-7C1A]dddd,ddd,mmmm,mmm,mmmmm,m")</f>
        <v/>
      </c>
      <c r="L400">
        <f>TEXT(44111, "[$-7C1A]dddd,ddd,mmmm,mmm,mmmmm,m")</f>
        <v/>
      </c>
      <c r="M400">
        <f>TEXT(44140, "[$-7C1A]dddd,ddd,mmmm,mmm,mmmmm,m")</f>
        <v/>
      </c>
      <c r="N400">
        <f>TEXT(44169, "[$-7C1A]dddd,ddd,mmmm,mmm,mmmmm,m")</f>
        <v/>
      </c>
      <c r="O400">
        <f>TEXT(44198, "[$-7C1A]dddd,ddd,mmmm,mmm,mmmmm,m")</f>
        <v/>
      </c>
    </row>
    <row r="401">
      <c r="A401" t="inlineStr">
        <is>
          <t>0x7C28</t>
        </is>
      </c>
      <c r="B401" t="inlineStr">
        <is>
          <t>tg-Cyrl</t>
        </is>
      </c>
      <c r="C401">
        <f>TEXT(43836, "[$-7C28]dddd,ddd,mmmm,mmm,mmmmm,m")</f>
        <v/>
      </c>
      <c r="D401">
        <f>TEXT(43865, "[$-7C28]dddd,ddd,mmmm,mmm,mmmmm,m")</f>
        <v/>
      </c>
      <c r="E401">
        <f>TEXT(43894, "[$-7C28]dddd,ddd,mmmm,mmm,mmmmm,m")</f>
        <v/>
      </c>
      <c r="F401">
        <f>TEXT(43923, "[$-7C28]dddd,ddd,mmmm,mmm,mmmmm,m")</f>
        <v/>
      </c>
      <c r="G401">
        <f>TEXT(43952, "[$-7C28]dddd,ddd,mmmm,mmm,mmmmm,m")</f>
        <v/>
      </c>
      <c r="H401">
        <f>TEXT(43988, "[$-7C28]dddd,ddd,mmmm,mmm,mmmmm,m")</f>
        <v/>
      </c>
      <c r="I401">
        <f>TEXT(44017, "[$-7C28]dddd,ddd,mmmm,mmm,mmmmm,m")</f>
        <v/>
      </c>
      <c r="J401">
        <f>TEXT(44046, "[$-7C28]dddd,ddd,mmmm,mmm,mmmmm,m")</f>
        <v/>
      </c>
      <c r="K401">
        <f>TEXT(44082, "[$-7C28]dddd,ddd,mmmm,mmm,mmmmm,m")</f>
        <v/>
      </c>
      <c r="L401">
        <f>TEXT(44111, "[$-7C28]dddd,ddd,mmmm,mmm,mmmmm,m")</f>
        <v/>
      </c>
      <c r="M401">
        <f>TEXT(44140, "[$-7C28]dddd,ddd,mmmm,mmm,mmmmm,m")</f>
        <v/>
      </c>
      <c r="N401">
        <f>TEXT(44169, "[$-7C28]dddd,ddd,mmmm,mmm,mmmmm,m")</f>
        <v/>
      </c>
      <c r="O401">
        <f>TEXT(44198, "[$-7C28]dddd,ddd,mmmm,mmm,mmmmm,m")</f>
        <v/>
      </c>
    </row>
    <row r="402">
      <c r="A402" t="inlineStr">
        <is>
          <t>0x7C2E</t>
        </is>
      </c>
      <c r="B402" t="inlineStr">
        <is>
          <t>dsb</t>
        </is>
      </c>
      <c r="C402">
        <f>TEXT(43836, "[$-7C2E]dddd,ddd,mmmm,mmm,mmmmm,m")</f>
        <v/>
      </c>
      <c r="D402">
        <f>TEXT(43865, "[$-7C2E]dddd,ddd,mmmm,mmm,mmmmm,m")</f>
        <v/>
      </c>
      <c r="E402">
        <f>TEXT(43894, "[$-7C2E]dddd,ddd,mmmm,mmm,mmmmm,m")</f>
        <v/>
      </c>
      <c r="F402">
        <f>TEXT(43923, "[$-7C2E]dddd,ddd,mmmm,mmm,mmmmm,m")</f>
        <v/>
      </c>
      <c r="G402">
        <f>TEXT(43952, "[$-7C2E]dddd,ddd,mmmm,mmm,mmmmm,m")</f>
        <v/>
      </c>
      <c r="H402">
        <f>TEXT(43988, "[$-7C2E]dddd,ddd,mmmm,mmm,mmmmm,m")</f>
        <v/>
      </c>
      <c r="I402">
        <f>TEXT(44017, "[$-7C2E]dddd,ddd,mmmm,mmm,mmmmm,m")</f>
        <v/>
      </c>
      <c r="J402">
        <f>TEXT(44046, "[$-7C2E]dddd,ddd,mmmm,mmm,mmmmm,m")</f>
        <v/>
      </c>
      <c r="K402">
        <f>TEXT(44082, "[$-7C2E]dddd,ddd,mmmm,mmm,mmmmm,m")</f>
        <v/>
      </c>
      <c r="L402">
        <f>TEXT(44111, "[$-7C2E]dddd,ddd,mmmm,mmm,mmmmm,m")</f>
        <v/>
      </c>
      <c r="M402">
        <f>TEXT(44140, "[$-7C2E]dddd,ddd,mmmm,mmm,mmmmm,m")</f>
        <v/>
      </c>
      <c r="N402">
        <f>TEXT(44169, "[$-7C2E]dddd,ddd,mmmm,mmm,mmmmm,m")</f>
        <v/>
      </c>
      <c r="O402">
        <f>TEXT(44198, "[$-7C2E]dddd,ddd,mmmm,mmm,mmmmm,m")</f>
        <v/>
      </c>
    </row>
    <row r="403">
      <c r="A403" t="inlineStr">
        <is>
          <t>0x7C3B</t>
        </is>
      </c>
      <c r="B403" t="inlineStr">
        <is>
          <t>smj</t>
        </is>
      </c>
      <c r="C403">
        <f>TEXT(43836, "[$-7C3B]dddd,ddd,mmmm,mmm,mmmmm,m")</f>
        <v/>
      </c>
      <c r="D403">
        <f>TEXT(43865, "[$-7C3B]dddd,ddd,mmmm,mmm,mmmmm,m")</f>
        <v/>
      </c>
      <c r="E403">
        <f>TEXT(43894, "[$-7C3B]dddd,ddd,mmmm,mmm,mmmmm,m")</f>
        <v/>
      </c>
      <c r="F403">
        <f>TEXT(43923, "[$-7C3B]dddd,ddd,mmmm,mmm,mmmmm,m")</f>
        <v/>
      </c>
      <c r="G403">
        <f>TEXT(43952, "[$-7C3B]dddd,ddd,mmmm,mmm,mmmmm,m")</f>
        <v/>
      </c>
      <c r="H403">
        <f>TEXT(43988, "[$-7C3B]dddd,ddd,mmmm,mmm,mmmmm,m")</f>
        <v/>
      </c>
      <c r="I403">
        <f>TEXT(44017, "[$-7C3B]dddd,ddd,mmmm,mmm,mmmmm,m")</f>
        <v/>
      </c>
      <c r="J403">
        <f>TEXT(44046, "[$-7C3B]dddd,ddd,mmmm,mmm,mmmmm,m")</f>
        <v/>
      </c>
      <c r="K403">
        <f>TEXT(44082, "[$-7C3B]dddd,ddd,mmmm,mmm,mmmmm,m")</f>
        <v/>
      </c>
      <c r="L403">
        <f>TEXT(44111, "[$-7C3B]dddd,ddd,mmmm,mmm,mmmmm,m")</f>
        <v/>
      </c>
      <c r="M403">
        <f>TEXT(44140, "[$-7C3B]dddd,ddd,mmmm,mmm,mmmmm,m")</f>
        <v/>
      </c>
      <c r="N403">
        <f>TEXT(44169, "[$-7C3B]dddd,ddd,mmmm,mmm,mmmmm,m")</f>
        <v/>
      </c>
      <c r="O403">
        <f>TEXT(44198, "[$-7C3B]dddd,ddd,mmmm,mmm,mmmmm,m")</f>
        <v/>
      </c>
    </row>
    <row r="404">
      <c r="A404" t="inlineStr">
        <is>
          <t>0x7C43</t>
        </is>
      </c>
      <c r="B404" t="inlineStr">
        <is>
          <t>uz-Latn</t>
        </is>
      </c>
      <c r="C404">
        <f>TEXT(43836, "[$-7C43]dddd,ddd,mmmm,mmm,mmmmm,m")</f>
        <v/>
      </c>
      <c r="D404">
        <f>TEXT(43865, "[$-7C43]dddd,ddd,mmmm,mmm,mmmmm,m")</f>
        <v/>
      </c>
      <c r="E404">
        <f>TEXT(43894, "[$-7C43]dddd,ddd,mmmm,mmm,mmmmm,m")</f>
        <v/>
      </c>
      <c r="F404">
        <f>TEXT(43923, "[$-7C43]dddd,ddd,mmmm,mmm,mmmmm,m")</f>
        <v/>
      </c>
      <c r="G404">
        <f>TEXT(43952, "[$-7C43]dddd,ddd,mmmm,mmm,mmmmm,m")</f>
        <v/>
      </c>
      <c r="H404">
        <f>TEXT(43988, "[$-7C43]dddd,ddd,mmmm,mmm,mmmmm,m")</f>
        <v/>
      </c>
      <c r="I404">
        <f>TEXT(44017, "[$-7C43]dddd,ddd,mmmm,mmm,mmmmm,m")</f>
        <v/>
      </c>
      <c r="J404">
        <f>TEXT(44046, "[$-7C43]dddd,ddd,mmmm,mmm,mmmmm,m")</f>
        <v/>
      </c>
      <c r="K404">
        <f>TEXT(44082, "[$-7C43]dddd,ddd,mmmm,mmm,mmmmm,m")</f>
        <v/>
      </c>
      <c r="L404">
        <f>TEXT(44111, "[$-7C43]dddd,ddd,mmmm,mmm,mmmmm,m")</f>
        <v/>
      </c>
      <c r="M404">
        <f>TEXT(44140, "[$-7C43]dddd,ddd,mmmm,mmm,mmmmm,m")</f>
        <v/>
      </c>
      <c r="N404">
        <f>TEXT(44169, "[$-7C43]dddd,ddd,mmmm,mmm,mmmmm,m")</f>
        <v/>
      </c>
      <c r="O404">
        <f>TEXT(44198, "[$-7C43]dddd,ddd,mmmm,mmm,mmmmm,m")</f>
        <v/>
      </c>
    </row>
    <row r="405">
      <c r="A405" t="inlineStr">
        <is>
          <t>0x7C46</t>
        </is>
      </c>
      <c r="B405" t="inlineStr">
        <is>
          <t>pa-Arab</t>
        </is>
      </c>
      <c r="C405">
        <f>TEXT(43836, "[$-7C46]dddd,ddd,mmmm,mmm,mmmmm,m")</f>
        <v/>
      </c>
      <c r="D405">
        <f>TEXT(43865, "[$-7C46]dddd,ddd,mmmm,mmm,mmmmm,m")</f>
        <v/>
      </c>
      <c r="E405">
        <f>TEXT(43894, "[$-7C46]dddd,ddd,mmmm,mmm,mmmmm,m")</f>
        <v/>
      </c>
      <c r="F405">
        <f>TEXT(43923, "[$-7C46]dddd,ddd,mmmm,mmm,mmmmm,m")</f>
        <v/>
      </c>
      <c r="G405">
        <f>TEXT(43952, "[$-7C46]dddd,ddd,mmmm,mmm,mmmmm,m")</f>
        <v/>
      </c>
      <c r="H405">
        <f>TEXT(43988, "[$-7C46]dddd,ddd,mmmm,mmm,mmmmm,m")</f>
        <v/>
      </c>
      <c r="I405">
        <f>TEXT(44017, "[$-7C46]dddd,ddd,mmmm,mmm,mmmmm,m")</f>
        <v/>
      </c>
      <c r="J405">
        <f>TEXT(44046, "[$-7C46]dddd,ddd,mmmm,mmm,mmmmm,m")</f>
        <v/>
      </c>
      <c r="K405">
        <f>TEXT(44082, "[$-7C46]dddd,ddd,mmmm,mmm,mmmmm,m")</f>
        <v/>
      </c>
      <c r="L405">
        <f>TEXT(44111, "[$-7C46]dddd,ddd,mmmm,mmm,mmmmm,m")</f>
        <v/>
      </c>
      <c r="M405">
        <f>TEXT(44140, "[$-7C46]dddd,ddd,mmmm,mmm,mmmmm,m")</f>
        <v/>
      </c>
      <c r="N405">
        <f>TEXT(44169, "[$-7C46]dddd,ddd,mmmm,mmm,mmmmm,m")</f>
        <v/>
      </c>
      <c r="O405">
        <f>TEXT(44198, "[$-7C46]dddd,ddd,mmmm,mmm,mmmmm,m")</f>
        <v/>
      </c>
    </row>
    <row r="406">
      <c r="A406" t="inlineStr">
        <is>
          <t>0x13007C50</t>
        </is>
      </c>
      <c r="B406" t="inlineStr">
        <is>
          <t>mn-Mong</t>
        </is>
      </c>
      <c r="C406">
        <f>TEXT(43836, "[$-13007C50]dddd,ddd,mmmm,mmm,mmmmm,m")</f>
        <v/>
      </c>
      <c r="D406">
        <f>TEXT(43865, "[$-13007C50]dddd,ddd,mmmm,mmm,mmmmm,m")</f>
        <v/>
      </c>
      <c r="E406">
        <f>TEXT(43894, "[$-13007C50]dddd,ddd,mmmm,mmm,mmmmm,m")</f>
        <v/>
      </c>
      <c r="F406">
        <f>TEXT(43923, "[$-13007C50]dddd,ddd,mmmm,mmm,mmmmm,m")</f>
        <v/>
      </c>
      <c r="G406">
        <f>TEXT(43952, "[$-13007C50]dddd,ddd,mmmm,mmm,mmmmm,m")</f>
        <v/>
      </c>
      <c r="H406">
        <f>TEXT(43988, "[$-13007C50]dddd,ddd,mmmm,mmm,mmmmm,m")</f>
        <v/>
      </c>
      <c r="I406">
        <f>TEXT(44017, "[$-13007C50]dddd,ddd,mmmm,mmm,mmmmm,m")</f>
        <v/>
      </c>
      <c r="J406">
        <f>TEXT(44046, "[$-13007C50]dddd,ddd,mmmm,mmm,mmmmm,m")</f>
        <v/>
      </c>
      <c r="K406">
        <f>TEXT(44082, "[$-13007C50]dddd,ddd,mmmm,mmm,mmmmm,m")</f>
        <v/>
      </c>
      <c r="L406">
        <f>TEXT(44111, "[$-13007C50]dddd,ddd,mmmm,mmm,mmmmm,m")</f>
        <v/>
      </c>
      <c r="M406">
        <f>TEXT(44140, "[$-13007C50]dddd,ddd,mmmm,mmm,mmmmm,m")</f>
        <v/>
      </c>
      <c r="N406">
        <f>TEXT(44169, "[$-13007C50]dddd,ddd,mmmm,mmm,mmmmm,m")</f>
        <v/>
      </c>
      <c r="O406">
        <f>TEXT(44198, "[$-13007C50]dddd,ddd,mmmm,mmm,mmmmm,m")</f>
        <v/>
      </c>
    </row>
    <row r="407">
      <c r="A407" t="inlineStr">
        <is>
          <t>0x7C59</t>
        </is>
      </c>
      <c r="B407" t="inlineStr">
        <is>
          <t>sd-Arab</t>
        </is>
      </c>
      <c r="C407">
        <f>TEXT(43836, "[$-7C59]dddd,ddd,mmmm,mmm,mmmmm,m")</f>
        <v/>
      </c>
      <c r="D407">
        <f>TEXT(43865, "[$-7C59]dddd,ddd,mmmm,mmm,mmmmm,m")</f>
        <v/>
      </c>
      <c r="E407">
        <f>TEXT(43894, "[$-7C59]dddd,ddd,mmmm,mmm,mmmmm,m")</f>
        <v/>
      </c>
      <c r="F407">
        <f>TEXT(43923, "[$-7C59]dddd,ddd,mmmm,mmm,mmmmm,m")</f>
        <v/>
      </c>
      <c r="G407">
        <f>TEXT(43952, "[$-7C59]dddd,ddd,mmmm,mmm,mmmmm,m")</f>
        <v/>
      </c>
      <c r="H407">
        <f>TEXT(43988, "[$-7C59]dddd,ddd,mmmm,mmm,mmmmm,m")</f>
        <v/>
      </c>
      <c r="I407">
        <f>TEXT(44017, "[$-7C59]dddd,ddd,mmmm,mmm,mmmmm,m")</f>
        <v/>
      </c>
      <c r="J407">
        <f>TEXT(44046, "[$-7C59]dddd,ddd,mmmm,mmm,mmmmm,m")</f>
        <v/>
      </c>
      <c r="K407">
        <f>TEXT(44082, "[$-7C59]dddd,ddd,mmmm,mmm,mmmmm,m")</f>
        <v/>
      </c>
      <c r="L407">
        <f>TEXT(44111, "[$-7C59]dddd,ddd,mmmm,mmm,mmmmm,m")</f>
        <v/>
      </c>
      <c r="M407">
        <f>TEXT(44140, "[$-7C59]dddd,ddd,mmmm,mmm,mmmmm,m")</f>
        <v/>
      </c>
      <c r="N407">
        <f>TEXT(44169, "[$-7C59]dddd,ddd,mmmm,mmm,mmmmm,m")</f>
        <v/>
      </c>
      <c r="O407">
        <f>TEXT(44198, "[$-7C59]dddd,ddd,mmmm,mmm,mmmmm,m")</f>
        <v/>
      </c>
    </row>
    <row r="408">
      <c r="A408" t="inlineStr">
        <is>
          <t>0x7C5C</t>
        </is>
      </c>
      <c r="B408" t="inlineStr">
        <is>
          <t>chr-Cher</t>
        </is>
      </c>
      <c r="C408">
        <f>TEXT(43836, "[$-7C5C]dddd,ddd,mmmm,mmm,mmmmm,m")</f>
        <v/>
      </c>
      <c r="D408">
        <f>TEXT(43865, "[$-7C5C]dddd,ddd,mmmm,mmm,mmmmm,m")</f>
        <v/>
      </c>
      <c r="E408">
        <f>TEXT(43894, "[$-7C5C]dddd,ddd,mmmm,mmm,mmmmm,m")</f>
        <v/>
      </c>
      <c r="F408">
        <f>TEXT(43923, "[$-7C5C]dddd,ddd,mmmm,mmm,mmmmm,m")</f>
        <v/>
      </c>
      <c r="G408">
        <f>TEXT(43952, "[$-7C5C]dddd,ddd,mmmm,mmm,mmmmm,m")</f>
        <v/>
      </c>
      <c r="H408">
        <f>TEXT(43988, "[$-7C5C]dddd,ddd,mmmm,mmm,mmmmm,m")</f>
        <v/>
      </c>
      <c r="I408">
        <f>TEXT(44017, "[$-7C5C]dddd,ddd,mmmm,mmm,mmmmm,m")</f>
        <v/>
      </c>
      <c r="J408">
        <f>TEXT(44046, "[$-7C5C]dddd,ddd,mmmm,mmm,mmmmm,m")</f>
        <v/>
      </c>
      <c r="K408">
        <f>TEXT(44082, "[$-7C5C]dddd,ddd,mmmm,mmm,mmmmm,m")</f>
        <v/>
      </c>
      <c r="L408">
        <f>TEXT(44111, "[$-7C5C]dddd,ddd,mmmm,mmm,mmmmm,m")</f>
        <v/>
      </c>
      <c r="M408">
        <f>TEXT(44140, "[$-7C5C]dddd,ddd,mmmm,mmm,mmmmm,m")</f>
        <v/>
      </c>
      <c r="N408">
        <f>TEXT(44169, "[$-7C5C]dddd,ddd,mmmm,mmm,mmmmm,m")</f>
        <v/>
      </c>
      <c r="O408">
        <f>TEXT(44198, "[$-7C5C]dddd,ddd,mmmm,mmm,mmmmm,m")</f>
        <v/>
      </c>
    </row>
    <row r="409">
      <c r="A409" t="inlineStr">
        <is>
          <t>0x7C5D</t>
        </is>
      </c>
      <c r="B409" t="inlineStr">
        <is>
          <t>iu-Latn</t>
        </is>
      </c>
      <c r="C409">
        <f>TEXT(43836, "[$-7C5D]dddd,ddd,mmmm,mmm,mmmmm,m")</f>
        <v/>
      </c>
      <c r="D409">
        <f>TEXT(43865, "[$-7C5D]dddd,ddd,mmmm,mmm,mmmmm,m")</f>
        <v/>
      </c>
      <c r="E409">
        <f>TEXT(43894, "[$-7C5D]dddd,ddd,mmmm,mmm,mmmmm,m")</f>
        <v/>
      </c>
      <c r="F409">
        <f>TEXT(43923, "[$-7C5D]dddd,ddd,mmmm,mmm,mmmmm,m")</f>
        <v/>
      </c>
      <c r="G409">
        <f>TEXT(43952, "[$-7C5D]dddd,ddd,mmmm,mmm,mmmmm,m")</f>
        <v/>
      </c>
      <c r="H409">
        <f>TEXT(43988, "[$-7C5D]dddd,ddd,mmmm,mmm,mmmmm,m")</f>
        <v/>
      </c>
      <c r="I409">
        <f>TEXT(44017, "[$-7C5D]dddd,ddd,mmmm,mmm,mmmmm,m")</f>
        <v/>
      </c>
      <c r="J409">
        <f>TEXT(44046, "[$-7C5D]dddd,ddd,mmmm,mmm,mmmmm,m")</f>
        <v/>
      </c>
      <c r="K409">
        <f>TEXT(44082, "[$-7C5D]dddd,ddd,mmmm,mmm,mmmmm,m")</f>
        <v/>
      </c>
      <c r="L409">
        <f>TEXT(44111, "[$-7C5D]dddd,ddd,mmmm,mmm,mmmmm,m")</f>
        <v/>
      </c>
      <c r="M409">
        <f>TEXT(44140, "[$-7C5D]dddd,ddd,mmmm,mmm,mmmmm,m")</f>
        <v/>
      </c>
      <c r="N409">
        <f>TEXT(44169, "[$-7C5D]dddd,ddd,mmmm,mmm,mmmmm,m")</f>
        <v/>
      </c>
      <c r="O409">
        <f>TEXT(44198, "[$-7C5D]dddd,ddd,mmmm,mmm,mmmmm,m")</f>
        <v/>
      </c>
    </row>
    <row r="410">
      <c r="A410" t="inlineStr">
        <is>
          <t>0x7C5F</t>
        </is>
      </c>
      <c r="B410" t="inlineStr">
        <is>
          <t>tzm-Latn</t>
        </is>
      </c>
      <c r="C410">
        <f>TEXT(43836, "[$-7C5F]dddd,ddd,mmmm,mmm,mmmmm,m")</f>
        <v/>
      </c>
      <c r="D410">
        <f>TEXT(43865, "[$-7C5F]dddd,ddd,mmmm,mmm,mmmmm,m")</f>
        <v/>
      </c>
      <c r="E410">
        <f>TEXT(43894, "[$-7C5F]dddd,ddd,mmmm,mmm,mmmmm,m")</f>
        <v/>
      </c>
      <c r="F410">
        <f>TEXT(43923, "[$-7C5F]dddd,ddd,mmmm,mmm,mmmmm,m")</f>
        <v/>
      </c>
      <c r="G410">
        <f>TEXT(43952, "[$-7C5F]dddd,ddd,mmmm,mmm,mmmmm,m")</f>
        <v/>
      </c>
      <c r="H410">
        <f>TEXT(43988, "[$-7C5F]dddd,ddd,mmmm,mmm,mmmmm,m")</f>
        <v/>
      </c>
      <c r="I410">
        <f>TEXT(44017, "[$-7C5F]dddd,ddd,mmmm,mmm,mmmmm,m")</f>
        <v/>
      </c>
      <c r="J410">
        <f>TEXT(44046, "[$-7C5F]dddd,ddd,mmmm,mmm,mmmmm,m")</f>
        <v/>
      </c>
      <c r="K410">
        <f>TEXT(44082, "[$-7C5F]dddd,ddd,mmmm,mmm,mmmmm,m")</f>
        <v/>
      </c>
      <c r="L410">
        <f>TEXT(44111, "[$-7C5F]dddd,ddd,mmmm,mmm,mmmmm,m")</f>
        <v/>
      </c>
      <c r="M410">
        <f>TEXT(44140, "[$-7C5F]dddd,ddd,mmmm,mmm,mmmmm,m")</f>
        <v/>
      </c>
      <c r="N410">
        <f>TEXT(44169, "[$-7C5F]dddd,ddd,mmmm,mmm,mmmmm,m")</f>
        <v/>
      </c>
      <c r="O410">
        <f>TEXT(44198, "[$-7C5F]dddd,ddd,mmmm,mmm,mmmmm,m")</f>
        <v/>
      </c>
    </row>
    <row r="411">
      <c r="A411" t="inlineStr">
        <is>
          <t>0x7C67</t>
        </is>
      </c>
      <c r="B411" t="inlineStr">
        <is>
          <t>ff-Latn</t>
        </is>
      </c>
      <c r="C411">
        <f>TEXT(43836, "[$-7C67]dddd,ddd,mmmm,mmm,mmmmm,m")</f>
        <v/>
      </c>
      <c r="D411">
        <f>TEXT(43865, "[$-7C67]dddd,ddd,mmmm,mmm,mmmmm,m")</f>
        <v/>
      </c>
      <c r="E411">
        <f>TEXT(43894, "[$-7C67]dddd,ddd,mmmm,mmm,mmmmm,m")</f>
        <v/>
      </c>
      <c r="F411">
        <f>TEXT(43923, "[$-7C67]dddd,ddd,mmmm,mmm,mmmmm,m")</f>
        <v/>
      </c>
      <c r="G411">
        <f>TEXT(43952, "[$-7C67]dddd,ddd,mmmm,mmm,mmmmm,m")</f>
        <v/>
      </c>
      <c r="H411">
        <f>TEXT(43988, "[$-7C67]dddd,ddd,mmmm,mmm,mmmmm,m")</f>
        <v/>
      </c>
      <c r="I411">
        <f>TEXT(44017, "[$-7C67]dddd,ddd,mmmm,mmm,mmmmm,m")</f>
        <v/>
      </c>
      <c r="J411">
        <f>TEXT(44046, "[$-7C67]dddd,ddd,mmmm,mmm,mmmmm,m")</f>
        <v/>
      </c>
      <c r="K411">
        <f>TEXT(44082, "[$-7C67]dddd,ddd,mmmm,mmm,mmmmm,m")</f>
        <v/>
      </c>
      <c r="L411">
        <f>TEXT(44111, "[$-7C67]dddd,ddd,mmmm,mmm,mmmmm,m")</f>
        <v/>
      </c>
      <c r="M411">
        <f>TEXT(44140, "[$-7C67]dddd,ddd,mmmm,mmm,mmmmm,m")</f>
        <v/>
      </c>
      <c r="N411">
        <f>TEXT(44169, "[$-7C67]dddd,ddd,mmmm,mmm,mmmmm,m")</f>
        <v/>
      </c>
      <c r="O411">
        <f>TEXT(44198, "[$-7C67]dddd,ddd,mmmm,mmm,mmmmm,m")</f>
        <v/>
      </c>
    </row>
    <row r="412">
      <c r="A412" t="inlineStr">
        <is>
          <t>0x7C68</t>
        </is>
      </c>
      <c r="B412" t="inlineStr">
        <is>
          <t>ha-Latn</t>
        </is>
      </c>
      <c r="C412">
        <f>TEXT(43836, "[$-7C68]dddd,ddd,mmmm,mmm,mmmmm,m")</f>
        <v/>
      </c>
      <c r="D412">
        <f>TEXT(43865, "[$-7C68]dddd,ddd,mmmm,mmm,mmmmm,m")</f>
        <v/>
      </c>
      <c r="E412">
        <f>TEXT(43894, "[$-7C68]dddd,ddd,mmmm,mmm,mmmmm,m")</f>
        <v/>
      </c>
      <c r="F412">
        <f>TEXT(43923, "[$-7C68]dddd,ddd,mmmm,mmm,mmmmm,m")</f>
        <v/>
      </c>
      <c r="G412">
        <f>TEXT(43952, "[$-7C68]dddd,ddd,mmmm,mmm,mmmmm,m")</f>
        <v/>
      </c>
      <c r="H412">
        <f>TEXT(43988, "[$-7C68]dddd,ddd,mmmm,mmm,mmmmm,m")</f>
        <v/>
      </c>
      <c r="I412">
        <f>TEXT(44017, "[$-7C68]dddd,ddd,mmmm,mmm,mmmmm,m")</f>
        <v/>
      </c>
      <c r="J412">
        <f>TEXT(44046, "[$-7C68]dddd,ddd,mmmm,mmm,mmmmm,m")</f>
        <v/>
      </c>
      <c r="K412">
        <f>TEXT(44082, "[$-7C68]dddd,ddd,mmmm,mmm,mmmmm,m")</f>
        <v/>
      </c>
      <c r="L412">
        <f>TEXT(44111, "[$-7C68]dddd,ddd,mmmm,mmm,mmmmm,m")</f>
        <v/>
      </c>
      <c r="M412">
        <f>TEXT(44140, "[$-7C68]dddd,ddd,mmmm,mmm,mmmmm,m")</f>
        <v/>
      </c>
      <c r="N412">
        <f>TEXT(44169, "[$-7C68]dddd,ddd,mmmm,mmm,mmmmm,m")</f>
        <v/>
      </c>
      <c r="O412">
        <f>TEXT(44198, "[$-7C68]dddd,ddd,mmmm,mmm,mmmmm,m")</f>
        <v/>
      </c>
    </row>
    <row r="413">
      <c r="A413" t="inlineStr">
        <is>
          <t>0x7C92</t>
        </is>
      </c>
      <c r="B413" t="inlineStr">
        <is>
          <t>ku-Arab</t>
        </is>
      </c>
      <c r="C413">
        <f>TEXT(43836, "[$-7C92]dddd,ddd,mmmm,mmm,mmmmm,m")</f>
        <v/>
      </c>
      <c r="D413">
        <f>TEXT(43865, "[$-7C92]dddd,ddd,mmmm,mmm,mmmmm,m")</f>
        <v/>
      </c>
      <c r="E413">
        <f>TEXT(43894, "[$-7C92]dddd,ddd,mmmm,mmm,mmmmm,m")</f>
        <v/>
      </c>
      <c r="F413">
        <f>TEXT(43923, "[$-7C92]dddd,ddd,mmmm,mmm,mmmmm,m")</f>
        <v/>
      </c>
      <c r="G413">
        <f>TEXT(43952, "[$-7C92]dddd,ddd,mmmm,mmm,mmmmm,m")</f>
        <v/>
      </c>
      <c r="H413">
        <f>TEXT(43988, "[$-7C92]dddd,ddd,mmmm,mmm,mmmmm,m")</f>
        <v/>
      </c>
      <c r="I413">
        <f>TEXT(44017, "[$-7C92]dddd,ddd,mmmm,mmm,mmmmm,m")</f>
        <v/>
      </c>
      <c r="J413">
        <f>TEXT(44046, "[$-7C92]dddd,ddd,mmmm,mmm,mmmmm,m")</f>
        <v/>
      </c>
      <c r="K413">
        <f>TEXT(44082, "[$-7C92]dddd,ddd,mmmm,mmm,mmmmm,m")</f>
        <v/>
      </c>
      <c r="L413">
        <f>TEXT(44111, "[$-7C92]dddd,ddd,mmmm,mmm,mmmmm,m")</f>
        <v/>
      </c>
      <c r="M413">
        <f>TEXT(44140, "[$-7C92]dddd,ddd,mmmm,mmm,mmmmm,m")</f>
        <v/>
      </c>
      <c r="N413">
        <f>TEXT(44169, "[$-7C92]dddd,ddd,mmmm,mmm,mmmmm,m")</f>
        <v/>
      </c>
      <c r="O413">
        <f>TEXT(44198, "[$-7C92]dddd,ddd,mmmm,mmm,mmmmm,m")</f>
        <v/>
      </c>
    </row>
    <row r="414">
      <c r="A414" t="inlineStr">
        <is>
          <t>0xF400</t>
        </is>
      </c>
      <c r="B414" t="inlineStr">
        <is>
          <t>*time</t>
        </is>
      </c>
      <c r="C414">
        <f>TEXT(43836, "[$-F400]dddd,ddd,mmmm,mmm,mmmmm,m")</f>
        <v/>
      </c>
      <c r="D414">
        <f>TEXT(43865, "[$-F400]dddd,ddd,mmmm,mmm,mmmmm,m")</f>
        <v/>
      </c>
      <c r="E414">
        <f>TEXT(43894, "[$-F400]dddd,ddd,mmmm,mmm,mmmmm,m")</f>
        <v/>
      </c>
      <c r="F414">
        <f>TEXT(43923, "[$-F400]dddd,ddd,mmmm,mmm,mmmmm,m")</f>
        <v/>
      </c>
      <c r="G414">
        <f>TEXT(43952, "[$-F400]dddd,ddd,mmmm,mmm,mmmmm,m")</f>
        <v/>
      </c>
      <c r="H414">
        <f>TEXT(43988, "[$-F400]dddd,ddd,mmmm,mmm,mmmmm,m")</f>
        <v/>
      </c>
      <c r="I414">
        <f>TEXT(44017, "[$-F400]dddd,ddd,mmmm,mmm,mmmmm,m")</f>
        <v/>
      </c>
      <c r="J414">
        <f>TEXT(44046, "[$-F400]dddd,ddd,mmmm,mmm,mmmmm,m")</f>
        <v/>
      </c>
      <c r="K414">
        <f>TEXT(44082, "[$-F400]dddd,ddd,mmmm,mmm,mmmmm,m")</f>
        <v/>
      </c>
      <c r="L414">
        <f>TEXT(44111, "[$-F400]dddd,ddd,mmmm,mmm,mmmmm,m")</f>
        <v/>
      </c>
      <c r="M414">
        <f>TEXT(44140, "[$-F400]dddd,ddd,mmmm,mmm,mmmmm,m")</f>
        <v/>
      </c>
      <c r="N414">
        <f>TEXT(44169, "[$-F400]dddd,ddd,mmmm,mmm,mmmmm,m")</f>
        <v/>
      </c>
      <c r="O414">
        <f>TEXT(44198, "[$-F400]dddd,ddd,mmmm,mmm,mmmmm,m")</f>
        <v/>
      </c>
    </row>
    <row r="415">
      <c r="A415" t="inlineStr">
        <is>
          <t>0xF800</t>
        </is>
      </c>
      <c r="B415" t="inlineStr">
        <is>
          <t>*long_date</t>
        </is>
      </c>
      <c r="C415">
        <f>TEXT(43836, "[$-F800]dddd,ddd,mmmm,mmm,mmmmm,m")</f>
        <v/>
      </c>
      <c r="D415">
        <f>TEXT(43865, "[$-F800]dddd,ddd,mmmm,mmm,mmmmm,m")</f>
        <v/>
      </c>
      <c r="E415">
        <f>TEXT(43894, "[$-F800]dddd,ddd,mmmm,mmm,mmmmm,m")</f>
        <v/>
      </c>
      <c r="F415">
        <f>TEXT(43923, "[$-F800]dddd,ddd,mmmm,mmm,mmmmm,m")</f>
        <v/>
      </c>
      <c r="G415">
        <f>TEXT(43952, "[$-F800]dddd,ddd,mmmm,mmm,mmmmm,m")</f>
        <v/>
      </c>
      <c r="H415">
        <f>TEXT(43988, "[$-F800]dddd,ddd,mmmm,mmm,mmmmm,m")</f>
        <v/>
      </c>
      <c r="I415">
        <f>TEXT(44017, "[$-F800]dddd,ddd,mmmm,mmm,mmmmm,m")</f>
        <v/>
      </c>
      <c r="J415">
        <f>TEXT(44046, "[$-F800]dddd,ddd,mmmm,mmm,mmmmm,m")</f>
        <v/>
      </c>
      <c r="K415">
        <f>TEXT(44082, "[$-F800]dddd,ddd,mmmm,mmm,mmmmm,m")</f>
        <v/>
      </c>
      <c r="L415">
        <f>TEXT(44111, "[$-F800]dddd,ddd,mmmm,mmm,mmmmm,m")</f>
        <v/>
      </c>
      <c r="M415">
        <f>TEXT(44140, "[$-F800]dddd,ddd,mmmm,mmm,mmmmm,m")</f>
        <v/>
      </c>
      <c r="N415">
        <f>TEXT(44169, "[$-F800]dddd,ddd,mmmm,mmm,mmmmm,m")</f>
        <v/>
      </c>
      <c r="O415">
        <f>TEXT(44198, "[$-F800]dddd,ddd,mmmm,mmm,mmmmm,m")</f>
        <v/>
      </c>
    </row>
    <row r="416">
      <c r="A416" t="inlineStr">
        <is>
          <t>0xFC19</t>
        </is>
      </c>
      <c r="B416" t="inlineStr">
        <is>
          <t>ru-RU</t>
        </is>
      </c>
      <c r="C416">
        <f>TEXT(43836, "[$-FC19]dddd,ddd,mmmm,mmm,mmmmm,m")</f>
        <v/>
      </c>
      <c r="D416">
        <f>TEXT(43865, "[$-FC19]dddd,ddd,mmmm,mmm,mmmmm,m")</f>
        <v/>
      </c>
      <c r="E416">
        <f>TEXT(43894, "[$-FC19]dddd,ddd,mmmm,mmm,mmmmm,m")</f>
        <v/>
      </c>
      <c r="F416">
        <f>TEXT(43923, "[$-FC19]dddd,ddd,mmmm,mmm,mmmmm,m")</f>
        <v/>
      </c>
      <c r="G416">
        <f>TEXT(43952, "[$-FC19]dddd,ddd,mmmm,mmm,mmmmm,m")</f>
        <v/>
      </c>
      <c r="H416">
        <f>TEXT(43988, "[$-FC19]dddd,ddd,mmmm,mmm,mmmmm,m")</f>
        <v/>
      </c>
      <c r="I416">
        <f>TEXT(44017, "[$-FC19]dddd,ddd,mmmm,mmm,mmmmm,m")</f>
        <v/>
      </c>
      <c r="J416">
        <f>TEXT(44046, "[$-FC19]dddd,ddd,mmmm,mmm,mmmmm,m")</f>
        <v/>
      </c>
      <c r="K416">
        <f>TEXT(44082, "[$-FC19]dddd,ddd,mmmm,mmm,mmmmm,m")</f>
        <v/>
      </c>
      <c r="L416">
        <f>TEXT(44111, "[$-FC19]dddd,ddd,mmmm,mmm,mmmmm,m")</f>
        <v/>
      </c>
      <c r="M416">
        <f>TEXT(44140, "[$-FC19]dddd,ddd,mmmm,mmm,mmmmm,m")</f>
        <v/>
      </c>
      <c r="N416">
        <f>TEXT(44169, "[$-FC19]dddd,ddd,mmmm,mmm,mmmmm,m")</f>
        <v/>
      </c>
      <c r="O416">
        <f>TEXT(44198, "[$-FC19]dddd,ddd,mmmm,mmm,mmmmm,m")</f>
        <v/>
      </c>
    </row>
    <row r="417">
      <c r="A417" t="inlineStr">
        <is>
          <t>0xFC22</t>
        </is>
      </c>
      <c r="B417" t="inlineStr">
        <is>
          <t>uk-UA</t>
        </is>
      </c>
      <c r="C417">
        <f>TEXT(43836, "[$-FC22]dddd,ddd,mmmm,mmm,mmmmm,m")</f>
        <v/>
      </c>
      <c r="D417">
        <f>TEXT(43865, "[$-FC22]dddd,ddd,mmmm,mmm,mmmmm,m")</f>
        <v/>
      </c>
      <c r="E417">
        <f>TEXT(43894, "[$-FC22]dddd,ddd,mmmm,mmm,mmmmm,m")</f>
        <v/>
      </c>
      <c r="F417">
        <f>TEXT(43923, "[$-FC22]dddd,ddd,mmmm,mmm,mmmmm,m")</f>
        <v/>
      </c>
      <c r="G417">
        <f>TEXT(43952, "[$-FC22]dddd,ddd,mmmm,mmm,mmmmm,m")</f>
        <v/>
      </c>
      <c r="H417">
        <f>TEXT(43988, "[$-FC22]dddd,ddd,mmmm,mmm,mmmmm,m")</f>
        <v/>
      </c>
      <c r="I417">
        <f>TEXT(44017, "[$-FC22]dddd,ddd,mmmm,mmm,mmmmm,m")</f>
        <v/>
      </c>
      <c r="J417">
        <f>TEXT(44046, "[$-FC22]dddd,ddd,mmmm,mmm,mmmmm,m")</f>
        <v/>
      </c>
      <c r="K417">
        <f>TEXT(44082, "[$-FC22]dddd,ddd,mmmm,mmm,mmmmm,m")</f>
        <v/>
      </c>
      <c r="L417">
        <f>TEXT(44111, "[$-FC22]dddd,ddd,mmmm,mmm,mmmmm,m")</f>
        <v/>
      </c>
      <c r="M417">
        <f>TEXT(44140, "[$-FC22]dddd,ddd,mmmm,mmm,mmmmm,m")</f>
        <v/>
      </c>
      <c r="N417">
        <f>TEXT(44169, "[$-FC22]dddd,ddd,mmmm,mmm,mmmmm,m")</f>
        <v/>
      </c>
      <c r="O417">
        <f>TEXT(44198, "[$-FC22]dddd,ddd,mmmm,mmm,mmmmm,m")</f>
        <v/>
      </c>
    </row>
    <row r="418">
      <c r="A418" t="inlineStr">
        <is>
          <t>0xFC23</t>
        </is>
      </c>
      <c r="B418" t="inlineStr">
        <is>
          <t>be-BY</t>
        </is>
      </c>
      <c r="C418">
        <f>TEXT(43836, "[$-FC23]dddd,ddd,mmmm,mmm,mmmmm,m")</f>
        <v/>
      </c>
      <c r="D418">
        <f>TEXT(43865, "[$-FC23]dddd,ddd,mmmm,mmm,mmmmm,m")</f>
        <v/>
      </c>
      <c r="E418">
        <f>TEXT(43894, "[$-FC23]dddd,ddd,mmmm,mmm,mmmmm,m")</f>
        <v/>
      </c>
      <c r="F418">
        <f>TEXT(43923, "[$-FC23]dddd,ddd,mmmm,mmm,mmmmm,m")</f>
        <v/>
      </c>
      <c r="G418">
        <f>TEXT(43952, "[$-FC23]dddd,ddd,mmmm,mmm,mmmmm,m")</f>
        <v/>
      </c>
      <c r="H418">
        <f>TEXT(43988, "[$-FC23]dddd,ddd,mmmm,mmm,mmmmm,m")</f>
        <v/>
      </c>
      <c r="I418">
        <f>TEXT(44017, "[$-FC23]dddd,ddd,mmmm,mmm,mmmmm,m")</f>
        <v/>
      </c>
      <c r="J418">
        <f>TEXT(44046, "[$-FC23]dddd,ddd,mmmm,mmm,mmmmm,m")</f>
        <v/>
      </c>
      <c r="K418">
        <f>TEXT(44082, "[$-FC23]dddd,ddd,mmmm,mmm,mmmmm,m")</f>
        <v/>
      </c>
      <c r="L418">
        <f>TEXT(44111, "[$-FC23]dddd,ddd,mmmm,mmm,mmmmm,m")</f>
        <v/>
      </c>
      <c r="M418">
        <f>TEXT(44140, "[$-FC23]dddd,ddd,mmmm,mmm,mmmmm,m")</f>
        <v/>
      </c>
      <c r="N418">
        <f>TEXT(44169, "[$-FC23]dddd,ddd,mmmm,mmm,mmmmm,m")</f>
        <v/>
      </c>
      <c r="O418">
        <f>TEXT(44198, "[$-FC23]dddd,ddd,mmmm,mmm,mmmmm,m")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2020-10-24T00:07:23Z</dcterms:created>
  <dcterms:modified xsi:type="dcterms:W3CDTF">2020-10-24T00:07:23Z</dcterms:modified>
</cp:coreProperties>
</file>