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defaultThemeVersion="166925"/>
  <mc:AlternateContent xmlns:mc="http://schemas.openxmlformats.org/markup-compatibility/2006">
    <mc:Choice Requires="x15">
      <x15ac:absPath xmlns:x15ac="http://schemas.microsoft.com/office/spreadsheetml/2010/11/ac" url="/Users/persiapantubel/Desktop/codex/penilaian-bisnis/"/>
    </mc:Choice>
  </mc:AlternateContent>
  <xr:revisionPtr revIDLastSave="0" documentId="13_ncr:1_{0860DA3C-7C76-934E-8C4C-DD4517D18F7B}" xr6:coauthVersionLast="47" xr6:coauthVersionMax="47" xr10:uidLastSave="{00000000-0000-0000-0000-000000000000}"/>
  <bookViews>
    <workbookView xWindow="4320" yWindow="600" windowWidth="24480" windowHeight="16500" tabRatio="852" firstSheet="11" activeTab="14" xr2:uid="{00000000-000D-0000-FFFF-FFFF00000000}"/>
  </bookViews>
  <sheets>
    <sheet name="CATATAN FINAL" sheetId="1" r:id="rId1"/>
    <sheet name="HOME" sheetId="2" r:id="rId2"/>
    <sheet name="DAFTAR EMITEN 2023" sheetId="3" state="hidden" r:id="rId3"/>
    <sheet name="FIXED ASSET" sheetId="4" r:id="rId4"/>
    <sheet name="BALANCE SHEET" sheetId="5" r:id="rId5"/>
    <sheet name="INCOME STATEMENT" sheetId="6" r:id="rId6"/>
    <sheet name="ACC PAYABLES" sheetId="7" r:id="rId7"/>
    <sheet name="CASH FLOW STATEMENT" sheetId="8" r:id="rId8"/>
    <sheet name="FINANCIAL RATIO" sheetId="9" r:id="rId9"/>
    <sheet name="KEY DRIVERS" sheetId="10" r:id="rId10"/>
    <sheet name="NOPLAT" sheetId="11" r:id="rId11"/>
    <sheet name="FCF" sheetId="12" r:id="rId12"/>
    <sheet name="ROIC" sheetId="13" r:id="rId13"/>
    <sheet name="KUISIONER" sheetId="14" r:id="rId14"/>
    <sheet name="DLOC(PFC)" sheetId="15" r:id="rId15"/>
    <sheet name="DLOM" sheetId="16" r:id="rId16"/>
    <sheet name="TL" sheetId="17" r:id="rId17"/>
    <sheet name="DASHBOARD" sheetId="18" r:id="rId18"/>
    <sheet name="RESUME" sheetId="19" r:id="rId19"/>
    <sheet name="CFI" sheetId="20" r:id="rId20"/>
    <sheet name="PROY FIXED ASSETS" sheetId="21" r:id="rId21"/>
    <sheet name="PROY LR" sheetId="22" r:id="rId22"/>
    <sheet name="PROY BALANCE SHEET" sheetId="23" r:id="rId23"/>
    <sheet name="PROY CASH FLOW STATEMENT" sheetId="24" r:id="rId24"/>
    <sheet name="PROY ACC PAYABLES" sheetId="25" r:id="rId25"/>
    <sheet name="PROY NOPLAT" sheetId="26" r:id="rId26"/>
    <sheet name="WACC" sheetId="27" r:id="rId27"/>
    <sheet name="GROWTH REVENUE" sheetId="28" r:id="rId28"/>
    <sheet name="PANGSA PASAR" sheetId="29" state="hidden" r:id="rId29"/>
    <sheet name="PASAR PEMBANDING_" sheetId="30" state="hidden" r:id="rId30"/>
    <sheet name="PASAR KESEBANDINGAN1" sheetId="31" state="hidden" r:id="rId31"/>
    <sheet name="AAM" sheetId="32" r:id="rId32"/>
    <sheet name="BORROWING CAP" sheetId="33" r:id="rId33"/>
    <sheet name="DISCOUNT RATE" sheetId="34" r:id="rId34"/>
    <sheet name="EEM" sheetId="35" r:id="rId35"/>
    <sheet name="PASAR KESEBANDINGAN" sheetId="36" state="hidden" r:id="rId36"/>
    <sheet name="PASAR PEMBANDING" sheetId="37" state="hidden" r:id="rId37"/>
    <sheet name="GROWTH RATE" sheetId="38" r:id="rId38"/>
    <sheet name="DCF" sheetId="39" r:id="rId39"/>
    <sheet name="PERBANDINGAN" sheetId="40" state="hidden" r:id="rId40"/>
    <sheet name="DIVIDEND DISCOUNT MODEL" sheetId="41" r:id="rId41"/>
    <sheet name="HARGA PASAR SAHAM" sheetId="43" state="hidden" r:id="rId42"/>
    <sheet name="SIMULASI POTENSI PAJAK" sheetId="42" r:id="rId43"/>
    <sheet name="STAT_SUMMARY" sheetId="44" r:id="rId44"/>
    <sheet name="STAT_ASSUMPTIONS" sheetId="45" r:id="rId45"/>
    <sheet name="STAT_HIST" sheetId="46" r:id="rId46"/>
    <sheet name="STAT_AAM" sheetId="47" r:id="rId47"/>
    <sheet name="STAT_EEM" sheetId="48" r:id="rId48"/>
    <sheet name="STAT_DCF" sheetId="49" r:id="rId49"/>
    <sheet name="STAT_SENS" sheetId="50" r:id="rId50"/>
    <sheet name="STAT_CHECKS" sheetId="51" r:id="rId51"/>
    <sheet name="STAT_AUDIT_TRAIL" sheetId="52" r:id="rId52"/>
    <sheet name="STAT_ARGUMENTS" sheetId="53" r:id="rId53"/>
    <sheet name="STAT_NO_FORMULA" sheetId="54" r:id="rId54"/>
    <sheet name="STAT_METHOD_BRIDGE" sheetId="55" r:id="rId55"/>
    <sheet name="STAT_DRIVER_TEST" sheetId="56" r:id="rId56"/>
    <sheet name="SPLIT_SUMMARY" sheetId="57" r:id="rId57"/>
    <sheet name="SPLIT_INDEX" sheetId="58" r:id="rId58"/>
    <sheet name="SPLIT_LONG" sheetId="59" r:id="rId59"/>
    <sheet name="SPLIT_FIXED_ASSET" sheetId="60" r:id="rId60"/>
    <sheet name="SPLIT_BALANCE_SHEET" sheetId="61" r:id="rId61"/>
    <sheet name="SPLIT_INCOME_STATEMENT" sheetId="62" r:id="rId62"/>
    <sheet name="FINAL_REVIEW_SUMMARY" sheetId="63" r:id="rId63"/>
    <sheet name="FINAL_ACCOUNT_MAP" sheetId="64" r:id="rId64"/>
    <sheet name="FINAL_ISSUES" sheetId="65" r:id="rId65"/>
    <sheet name="FINAL_SOURCE_BRIDGE" sheetId="66" r:id="rId66"/>
    <sheet name="FINAL_VALUATION_IMPACT" sheetId="67" r:id="rId67"/>
    <sheet name="FINAL_CF_REVIEW" sheetId="68" r:id="rId68"/>
  </sheets>
  <externalReferences>
    <externalReference r:id="rId69"/>
    <externalReference r:id="rId70"/>
    <externalReference r:id="rId71"/>
    <externalReference r:id="rId72"/>
  </externalReferences>
  <definedNames>
    <definedName name="_1Excel_BuiltIn_Print_Area_2">NA()</definedName>
    <definedName name="_4Z_FE2C2EAB_4123_4290_86BA_08E4AC7C24C1_.wvu.Rows_1" localSheetId="33">([1]DCF!#REF!,[1]DCF!#REF!,[1]DCF!$18:$19)</definedName>
    <definedName name="_4Z_FE2C2EAB_4123_4290_86BA_08E4AC7C24C1_.wvu.Rows_1" localSheetId="14">([1]DCF!#REF!,[1]DCF!#REF!,[1]DCF!$18:$19)</definedName>
    <definedName name="_4Z_FE2C2EAB_4123_4290_86BA_08E4AC7C24C1_.wvu.Rows_1" localSheetId="15">([1]DCF!#REF!,[1]DCF!#REF!,[1]DCF!$18:$19)</definedName>
    <definedName name="_4Z_FE2C2EAB_4123_4290_86BA_08E4AC7C24C1_.wvu.Rows_1">([1]DCF!#REF!,[1]DCF!#REF!,[1]DCF!$18:$19)</definedName>
    <definedName name="BC" localSheetId="14">#REF!</definedName>
    <definedName name="BC" localSheetId="15">#REF!</definedName>
    <definedName name="BC">#REF!</definedName>
    <definedName name="CF" localSheetId="14">[2]MHPP!#REF!</definedName>
    <definedName name="CF" localSheetId="15">[2]MHPP!#REF!</definedName>
    <definedName name="CF">[2]MHPP!#REF!</definedName>
    <definedName name="EMITEN">'DAFTAR EMITEN 2023'!$B$1:$D$964</definedName>
    <definedName name="Jadwal" localSheetId="14">#REF!</definedName>
    <definedName name="Jadwal" localSheetId="15">#REF!</definedName>
    <definedName name="Jadwal">#REF!</definedName>
    <definedName name="MULTIPLE">'PASAR KESEBANDINGAN'!$C$40:$C$44</definedName>
    <definedName name="MULTIPLES">'PASAR KESEBANDINGAN'!$C$40:$N$44</definedName>
    <definedName name="_xlnm.Print_Area" localSheetId="14">'DLOC(PFC)'!$A$4:$D$16</definedName>
    <definedName name="_xlnm.Print_Area" localSheetId="15">DLOM!$B$4:$E$26</definedName>
    <definedName name="_xlnm.Print_Area" localSheetId="35">'PASAR KESEBANDINGAN'!$B$1:$P$44</definedName>
    <definedName name="_xlnm.Print_Area" localSheetId="30">'PASAR KESEBANDINGAN1'!$A$1:$G$94</definedName>
    <definedName name="_xlnm.Print_Area" localSheetId="36">'PASAR PEMBANDING'!$B$2:$N$38</definedName>
    <definedName name="PRINT_AREA_MI">NA()</definedName>
    <definedName name="_xlnm.Print_Titles" localSheetId="13">KUISIONER!$1:$5</definedName>
    <definedName name="RPP" localSheetId="33">#REF!</definedName>
    <definedName name="RPP" localSheetId="14">#REF!</definedName>
    <definedName name="RPP" localSheetId="15">#REF!</definedName>
    <definedName name="RPP">#REF!</definedName>
    <definedName name="Slicer_Cash_Flow_Indicator">#N/A</definedName>
    <definedName name="Slicer_Leverage_Ratio">#N/A</definedName>
    <definedName name="Slicer_Liquidity_Measurement_Ratio">#N/A</definedName>
    <definedName name="Slicer_Ratio">#N/A</definedName>
    <definedName name="Z_AC236A6A_632A_43B1_B283_C6312913D85E_.wvu.PrintArea" localSheetId="14">#REF!</definedName>
    <definedName name="Z_AC236A6A_632A_43B1_B283_C6312913D85E_.wvu.PrintArea" localSheetId="15">#REF!</definedName>
    <definedName name="Z_AC236A6A_632A_43B1_B283_C6312913D85E_.wvu.PrintArea">#REF!</definedName>
    <definedName name="Z_AC236A6A_632A_43B1_B283_C6312913D85E_.wvu.Rows" localSheetId="14">[1]DCF!#REF!</definedName>
    <definedName name="Z_AC236A6A_632A_43B1_B283_C6312913D85E_.wvu.Rows" localSheetId="15">[1]DCF!#REF!</definedName>
    <definedName name="Z_AC236A6A_632A_43B1_B283_C6312913D85E_.wvu.Rows">[1]DCF!#REF!</definedName>
    <definedName name="Z_FE2C2EAB_4123_4290_86BA_08E4AC7C24C1_.wvu.PrintArea" localSheetId="14">#REF!</definedName>
    <definedName name="Z_FE2C2EAB_4123_4290_86BA_08E4AC7C24C1_.wvu.PrintArea" localSheetId="15">#REF!</definedName>
    <definedName name="Z_FE2C2EAB_4123_4290_86BA_08E4AC7C24C1_.wvu.PrintArea">#REF!</definedName>
    <definedName name="Z_FE2C2EAB_4123_4290_86BA_08E4AC7C24C1_.wvu.Rows" localSheetId="14">(#REF!,#REF!)</definedName>
    <definedName name="Z_FE2C2EAB_4123_4290_86BA_08E4AC7C24C1_.wvu.Rows" localSheetId="15">(#REF!,#REF!)</definedName>
    <definedName name="Z_FE2C2EAB_4123_4290_86BA_08E4AC7C24C1_.wvu.Rows">(#REF!,#REF!)</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42" l="1"/>
  <c r="A19" i="42" s="1"/>
  <c r="E20" i="15"/>
  <c r="C26" i="15" l="1"/>
  <c r="A17" i="2"/>
  <c r="A15" i="2"/>
  <c r="A16" i="2"/>
  <c r="I348" i="59"/>
  <c r="I347" i="59"/>
  <c r="G346" i="59"/>
  <c r="G345" i="59"/>
  <c r="G344" i="59"/>
  <c r="G343" i="59"/>
  <c r="I342" i="59"/>
  <c r="I341" i="59"/>
  <c r="I340" i="59"/>
  <c r="G340" i="59"/>
  <c r="I339" i="59"/>
  <c r="G339" i="59"/>
  <c r="I338" i="59"/>
  <c r="G338" i="59"/>
  <c r="I337" i="59"/>
  <c r="G337" i="59"/>
  <c r="I336" i="59"/>
  <c r="I335" i="59"/>
  <c r="I334" i="59"/>
  <c r="I333" i="59"/>
  <c r="G333" i="59"/>
  <c r="I332" i="59"/>
  <c r="G332" i="59"/>
  <c r="I331" i="59"/>
  <c r="G331" i="59"/>
  <c r="I330" i="59"/>
  <c r="G330" i="59"/>
  <c r="I329" i="59"/>
  <c r="G329" i="59"/>
  <c r="I328" i="59"/>
  <c r="G328" i="59"/>
  <c r="I327" i="59"/>
  <c r="I326" i="59"/>
  <c r="I325" i="59"/>
  <c r="I324" i="59"/>
  <c r="I323" i="59"/>
  <c r="I322" i="59"/>
  <c r="I321" i="59"/>
  <c r="I320" i="59"/>
  <c r="I319" i="59"/>
  <c r="I318" i="59"/>
  <c r="I317" i="59"/>
  <c r="I316" i="59"/>
  <c r="I315" i="59"/>
  <c r="I314" i="59"/>
  <c r="I313" i="59"/>
  <c r="G313" i="59"/>
  <c r="I312" i="59"/>
  <c r="G312" i="59"/>
  <c r="I311" i="59"/>
  <c r="G311" i="59"/>
  <c r="I310" i="59"/>
  <c r="G310" i="59"/>
  <c r="I309" i="59"/>
  <c r="G309" i="59"/>
  <c r="I308" i="59"/>
  <c r="G308" i="59"/>
  <c r="I307" i="59"/>
  <c r="G307" i="59"/>
  <c r="I306" i="59"/>
  <c r="G306" i="59"/>
  <c r="I305" i="59"/>
  <c r="G305" i="59"/>
  <c r="I304" i="59"/>
  <c r="G304" i="59"/>
  <c r="I303" i="59"/>
  <c r="G303" i="59"/>
  <c r="I302" i="59"/>
  <c r="G302" i="59"/>
  <c r="I301" i="59"/>
  <c r="G301" i="59"/>
  <c r="I300" i="59"/>
  <c r="G300" i="59"/>
  <c r="I299" i="59"/>
  <c r="G299" i="59"/>
  <c r="I298" i="59"/>
  <c r="G298" i="59"/>
  <c r="I297" i="59"/>
  <c r="G297" i="59"/>
  <c r="I296" i="59"/>
  <c r="G296" i="59"/>
  <c r="I295" i="59"/>
  <c r="G295" i="59"/>
  <c r="I294" i="59"/>
  <c r="G294" i="59"/>
  <c r="I293" i="59"/>
  <c r="G293" i="59"/>
  <c r="I292" i="59"/>
  <c r="G292" i="59"/>
  <c r="I291" i="59"/>
  <c r="G291" i="59"/>
  <c r="I290" i="59"/>
  <c r="G290" i="59"/>
  <c r="I289" i="59"/>
  <c r="G289" i="59"/>
  <c r="I288" i="59"/>
  <c r="G288" i="59"/>
  <c r="I287" i="59"/>
  <c r="G287" i="59"/>
  <c r="I286" i="59"/>
  <c r="G286" i="59"/>
  <c r="I285" i="59"/>
  <c r="I284" i="59"/>
  <c r="I283" i="59"/>
  <c r="I282" i="59"/>
  <c r="I281" i="59"/>
  <c r="I280" i="59"/>
  <c r="I279" i="59"/>
  <c r="I278" i="59"/>
  <c r="G278" i="59"/>
  <c r="I277" i="59"/>
  <c r="G277" i="59"/>
  <c r="I276" i="59"/>
  <c r="G276" i="59"/>
  <c r="I275" i="59"/>
  <c r="G275" i="59"/>
  <c r="I274" i="59"/>
  <c r="G274" i="59"/>
  <c r="I273" i="59"/>
  <c r="G273" i="59"/>
  <c r="I272" i="59"/>
  <c r="G272" i="59"/>
  <c r="I271" i="59"/>
  <c r="G271" i="59"/>
  <c r="I270" i="59"/>
  <c r="G270" i="59"/>
  <c r="I269" i="59"/>
  <c r="G269" i="59"/>
  <c r="I268" i="59"/>
  <c r="G268" i="59"/>
  <c r="I267" i="59"/>
  <c r="G267" i="59"/>
  <c r="I266" i="59"/>
  <c r="G266" i="59"/>
  <c r="I265" i="59"/>
  <c r="G265" i="59"/>
  <c r="I264" i="59"/>
  <c r="I263" i="59"/>
  <c r="I262" i="59"/>
  <c r="I261" i="59"/>
  <c r="G261" i="59"/>
  <c r="I260" i="59"/>
  <c r="G260" i="59"/>
  <c r="I259" i="59"/>
  <c r="G259" i="59"/>
  <c r="I258" i="59"/>
  <c r="G258" i="59"/>
  <c r="I257" i="59"/>
  <c r="G257" i="59"/>
  <c r="I256" i="59"/>
  <c r="G256" i="59"/>
  <c r="I255" i="59"/>
  <c r="I254" i="59"/>
  <c r="I253" i="59"/>
  <c r="I252" i="59"/>
  <c r="I251" i="59"/>
  <c r="I250" i="59"/>
  <c r="G250" i="59"/>
  <c r="I249" i="59"/>
  <c r="G249" i="59"/>
  <c r="I248" i="59"/>
  <c r="G248" i="59"/>
  <c r="I247" i="59"/>
  <c r="G247" i="59"/>
  <c r="I246" i="59"/>
  <c r="G246" i="59"/>
  <c r="I245" i="59"/>
  <c r="G245" i="59"/>
  <c r="I244" i="59"/>
  <c r="G244" i="59"/>
  <c r="I243" i="59"/>
  <c r="G243" i="59"/>
  <c r="I242" i="59"/>
  <c r="G242" i="59"/>
  <c r="I241" i="59"/>
  <c r="G241" i="59"/>
  <c r="G238" i="59"/>
  <c r="G237" i="59"/>
  <c r="G236" i="59"/>
  <c r="G235" i="59"/>
  <c r="I234" i="59"/>
  <c r="I233" i="59"/>
  <c r="I232" i="59"/>
  <c r="G232" i="59"/>
  <c r="I231" i="59"/>
  <c r="G231" i="59"/>
  <c r="G230" i="59"/>
  <c r="G229" i="59"/>
  <c r="I228" i="59"/>
  <c r="G228" i="59"/>
  <c r="I227" i="59"/>
  <c r="G227" i="59"/>
  <c r="I226" i="59"/>
  <c r="G226" i="59"/>
  <c r="I225" i="59"/>
  <c r="G225" i="59"/>
  <c r="I224" i="59"/>
  <c r="I223" i="59"/>
  <c r="I222" i="59"/>
  <c r="G222" i="59"/>
  <c r="I221" i="59"/>
  <c r="G221" i="59"/>
  <c r="I220" i="59"/>
  <c r="G220" i="59"/>
  <c r="I219" i="59"/>
  <c r="G219" i="59"/>
  <c r="I218" i="59"/>
  <c r="I217" i="59"/>
  <c r="I216" i="59"/>
  <c r="G216" i="59"/>
  <c r="I215" i="59"/>
  <c r="G215" i="59"/>
  <c r="I214" i="59"/>
  <c r="G214" i="59"/>
  <c r="I213" i="59"/>
  <c r="G213" i="59"/>
  <c r="I212" i="59"/>
  <c r="G212" i="59"/>
  <c r="I211" i="59"/>
  <c r="G211" i="59"/>
  <c r="I210" i="59"/>
  <c r="G210" i="59"/>
  <c r="I209" i="59"/>
  <c r="G209" i="59"/>
  <c r="I208" i="59"/>
  <c r="I207" i="59"/>
  <c r="I206" i="59"/>
  <c r="I205" i="59"/>
  <c r="I204" i="59"/>
  <c r="G204" i="59"/>
  <c r="I203" i="59"/>
  <c r="G203" i="59"/>
  <c r="I202" i="59"/>
  <c r="G202" i="59"/>
  <c r="I201" i="59"/>
  <c r="G201" i="59"/>
  <c r="I200" i="59"/>
  <c r="I199" i="59"/>
  <c r="I198" i="59"/>
  <c r="G198" i="59"/>
  <c r="I197" i="59"/>
  <c r="G197" i="59"/>
  <c r="I196" i="59"/>
  <c r="G196" i="59"/>
  <c r="I195" i="59"/>
  <c r="G195" i="59"/>
  <c r="I194" i="59"/>
  <c r="I193" i="59"/>
  <c r="I192" i="59"/>
  <c r="G192" i="59"/>
  <c r="I191" i="59"/>
  <c r="G191" i="59"/>
  <c r="I190" i="59"/>
  <c r="G190" i="59"/>
  <c r="I189" i="59"/>
  <c r="G189" i="59"/>
  <c r="I188" i="59"/>
  <c r="I187" i="59"/>
  <c r="I186" i="59"/>
  <c r="G186" i="59"/>
  <c r="I185" i="59"/>
  <c r="G185" i="59"/>
  <c r="I184" i="59"/>
  <c r="G184" i="59"/>
  <c r="I183" i="59"/>
  <c r="G183" i="59"/>
  <c r="I182" i="59"/>
  <c r="G182" i="59"/>
  <c r="I181" i="59"/>
  <c r="G181" i="59"/>
  <c r="I180" i="59"/>
  <c r="G180" i="59"/>
  <c r="I179" i="59"/>
  <c r="G179" i="59"/>
  <c r="I178" i="59"/>
  <c r="I177" i="59"/>
  <c r="I176" i="59"/>
  <c r="I175" i="59"/>
  <c r="I174" i="59"/>
  <c r="G174" i="59"/>
  <c r="I173" i="59"/>
  <c r="G173" i="59"/>
  <c r="I172" i="59"/>
  <c r="G172" i="59"/>
  <c r="I171" i="59"/>
  <c r="G171" i="59"/>
  <c r="I170" i="59"/>
  <c r="I169" i="59"/>
  <c r="G168" i="59"/>
  <c r="G167" i="59"/>
  <c r="G166" i="59"/>
  <c r="G165" i="59"/>
  <c r="I162" i="59"/>
  <c r="I161" i="59"/>
  <c r="G160" i="59"/>
  <c r="G159" i="59"/>
  <c r="I158" i="59"/>
  <c r="G158" i="59"/>
  <c r="I157" i="59"/>
  <c r="G157" i="59"/>
  <c r="I156" i="59"/>
  <c r="I155" i="59"/>
  <c r="I154" i="59"/>
  <c r="I153" i="59"/>
  <c r="I152" i="59"/>
  <c r="I151" i="59"/>
  <c r="G150" i="59"/>
  <c r="G149" i="59"/>
  <c r="G148" i="59"/>
  <c r="G147" i="59"/>
  <c r="I146" i="59"/>
  <c r="G146" i="59"/>
  <c r="I145" i="59"/>
  <c r="G145" i="59"/>
  <c r="I144" i="59"/>
  <c r="G144" i="59"/>
  <c r="I143" i="59"/>
  <c r="G143" i="59"/>
  <c r="I142" i="59"/>
  <c r="I141" i="59"/>
  <c r="I140" i="59"/>
  <c r="I139" i="59"/>
  <c r="G138" i="59"/>
  <c r="G137" i="59"/>
  <c r="G136" i="59"/>
  <c r="G135" i="59"/>
  <c r="I132" i="59"/>
  <c r="G132" i="59"/>
  <c r="I131" i="59"/>
  <c r="G131" i="59"/>
  <c r="I130" i="59"/>
  <c r="G130" i="59"/>
  <c r="I129" i="59"/>
  <c r="G129" i="59"/>
  <c r="I126" i="59"/>
  <c r="G126" i="59"/>
  <c r="I125" i="59"/>
  <c r="G125" i="59"/>
  <c r="I124" i="59"/>
  <c r="G124" i="59"/>
  <c r="I123" i="59"/>
  <c r="G123" i="59"/>
  <c r="I120" i="59"/>
  <c r="G120" i="59"/>
  <c r="I119" i="59"/>
  <c r="G119" i="59"/>
  <c r="I118" i="59"/>
  <c r="G118" i="59"/>
  <c r="I117" i="59"/>
  <c r="G117" i="59"/>
  <c r="I116" i="59"/>
  <c r="G116" i="59"/>
  <c r="I115" i="59"/>
  <c r="G115" i="59"/>
  <c r="I114" i="59"/>
  <c r="G114" i="59"/>
  <c r="I113" i="59"/>
  <c r="G113" i="59"/>
  <c r="I108" i="59"/>
  <c r="G108" i="59"/>
  <c r="I107" i="59"/>
  <c r="G107" i="59"/>
  <c r="I106" i="59"/>
  <c r="G106" i="59"/>
  <c r="I105" i="59"/>
  <c r="G105" i="59"/>
  <c r="I102" i="59"/>
  <c r="G102" i="59"/>
  <c r="I101" i="59"/>
  <c r="G101" i="59"/>
  <c r="I100" i="59"/>
  <c r="G100" i="59"/>
  <c r="I99" i="59"/>
  <c r="G99" i="59"/>
  <c r="I98" i="59"/>
  <c r="I97" i="59"/>
  <c r="I96" i="59"/>
  <c r="G96" i="59"/>
  <c r="I95" i="59"/>
  <c r="G95" i="59"/>
  <c r="I94" i="59"/>
  <c r="G94" i="59"/>
  <c r="I93" i="59"/>
  <c r="G93" i="59"/>
  <c r="I92" i="59"/>
  <c r="I91" i="59"/>
  <c r="I90" i="59"/>
  <c r="G90" i="59"/>
  <c r="I89" i="59"/>
  <c r="G89" i="59"/>
  <c r="I88" i="59"/>
  <c r="G88" i="59"/>
  <c r="I87" i="59"/>
  <c r="G87" i="59"/>
  <c r="I86" i="59"/>
  <c r="G86" i="59"/>
  <c r="I85" i="59"/>
  <c r="G85" i="59"/>
  <c r="I84" i="59"/>
  <c r="G84" i="59"/>
  <c r="I83" i="59"/>
  <c r="G83" i="59"/>
  <c r="I82" i="59"/>
  <c r="I81" i="59"/>
  <c r="I80" i="59"/>
  <c r="I79" i="59"/>
  <c r="I78" i="59"/>
  <c r="G78" i="59"/>
  <c r="I77" i="59"/>
  <c r="G77" i="59"/>
  <c r="I76" i="59"/>
  <c r="G76" i="59"/>
  <c r="I75" i="59"/>
  <c r="G75" i="59"/>
  <c r="I74" i="59"/>
  <c r="I73" i="59"/>
  <c r="G72" i="59"/>
  <c r="G71" i="59"/>
  <c r="G70" i="59"/>
  <c r="G69" i="59"/>
  <c r="G66" i="59"/>
  <c r="G65" i="59"/>
  <c r="G64" i="59"/>
  <c r="G63" i="59"/>
  <c r="G60" i="59"/>
  <c r="G59" i="59"/>
  <c r="G58" i="59"/>
  <c r="G57" i="59"/>
  <c r="G56" i="59"/>
  <c r="G55" i="59"/>
  <c r="G54" i="59"/>
  <c r="G53" i="59"/>
  <c r="G48" i="59"/>
  <c r="G47" i="59"/>
  <c r="G46" i="59"/>
  <c r="G45" i="59"/>
  <c r="I42" i="59"/>
  <c r="I41" i="59"/>
  <c r="I40" i="59"/>
  <c r="G40" i="59"/>
  <c r="I39" i="59"/>
  <c r="G39" i="59"/>
  <c r="I38" i="59"/>
  <c r="G38" i="59"/>
  <c r="I37" i="59"/>
  <c r="G37" i="59"/>
  <c r="I36" i="59"/>
  <c r="I35" i="59"/>
  <c r="I34" i="59"/>
  <c r="I33" i="59"/>
  <c r="I32" i="59"/>
  <c r="G32" i="59"/>
  <c r="I31" i="59"/>
  <c r="G31" i="59"/>
  <c r="I30" i="59"/>
  <c r="G30" i="59"/>
  <c r="I29" i="59"/>
  <c r="G29" i="59"/>
  <c r="I28" i="59"/>
  <c r="I27" i="59"/>
  <c r="I26" i="59"/>
  <c r="I25" i="59"/>
  <c r="I24" i="59"/>
  <c r="I23" i="59"/>
  <c r="I22" i="59"/>
  <c r="G22" i="59"/>
  <c r="I21" i="59"/>
  <c r="G21" i="59"/>
  <c r="I20" i="59"/>
  <c r="G20" i="59"/>
  <c r="I19" i="59"/>
  <c r="G19" i="59"/>
  <c r="I18" i="59"/>
  <c r="G18" i="59"/>
  <c r="I17" i="59"/>
  <c r="G17" i="59"/>
  <c r="I16" i="59"/>
  <c r="G16" i="59"/>
  <c r="I15" i="59"/>
  <c r="G15" i="59"/>
  <c r="I14" i="59"/>
  <c r="I13" i="59"/>
  <c r="I12" i="59"/>
  <c r="I11" i="59"/>
  <c r="I10" i="59"/>
  <c r="I9" i="59"/>
  <c r="I8" i="59"/>
  <c r="G8" i="59"/>
  <c r="I7" i="59"/>
  <c r="G7" i="59"/>
  <c r="I6" i="59"/>
  <c r="G6" i="59"/>
  <c r="I5" i="59"/>
  <c r="G5" i="59"/>
  <c r="I4" i="59"/>
  <c r="I3" i="59"/>
  <c r="E5" i="51"/>
  <c r="D5" i="51"/>
  <c r="E4" i="51"/>
  <c r="D4" i="51"/>
  <c r="B3" i="51"/>
  <c r="D3" i="51" s="1"/>
  <c r="E3" i="51" s="1"/>
  <c r="B32" i="49"/>
  <c r="B10" i="51" s="1"/>
  <c r="B23" i="49"/>
  <c r="B22" i="49"/>
  <c r="B21" i="49"/>
  <c r="B20" i="49"/>
  <c r="B14" i="49"/>
  <c r="F14" i="49" s="1"/>
  <c r="B21" i="48"/>
  <c r="B38" i="49" s="1"/>
  <c r="C30" i="39" s="1"/>
  <c r="B13" i="48"/>
  <c r="B10" i="48"/>
  <c r="B9" i="48"/>
  <c r="B5" i="48"/>
  <c r="B4" i="48"/>
  <c r="B17" i="47"/>
  <c r="D17" i="47" s="1"/>
  <c r="B16" i="47"/>
  <c r="D16" i="47" s="1"/>
  <c r="B15" i="47"/>
  <c r="D15" i="47" s="1"/>
  <c r="B13" i="47"/>
  <c r="D13" i="47" s="1"/>
  <c r="B12" i="47"/>
  <c r="D12" i="47" s="1"/>
  <c r="C11" i="47"/>
  <c r="C18" i="47" s="1"/>
  <c r="B10" i="47"/>
  <c r="D10" i="47" s="1"/>
  <c r="B8" i="47"/>
  <c r="D8" i="47" s="1"/>
  <c r="B7" i="47"/>
  <c r="D7" i="47" s="1"/>
  <c r="B6" i="47"/>
  <c r="D6" i="47" s="1"/>
  <c r="B5" i="47"/>
  <c r="D5" i="47" s="1"/>
  <c r="B4" i="47"/>
  <c r="D4" i="47" s="1"/>
  <c r="D17" i="46"/>
  <c r="C17" i="46"/>
  <c r="B17" i="46"/>
  <c r="C12" i="46"/>
  <c r="B12" i="46"/>
  <c r="C3" i="46"/>
  <c r="B3" i="46"/>
  <c r="B15" i="43"/>
  <c r="B12" i="43"/>
  <c r="B3" i="43"/>
  <c r="C13" i="43" s="1"/>
  <c r="A13" i="42"/>
  <c r="B5" i="41"/>
  <c r="C41" i="39"/>
  <c r="C19" i="30" s="1"/>
  <c r="D19" i="30" s="1"/>
  <c r="E19" i="30" s="1"/>
  <c r="B38" i="39"/>
  <c r="B36" i="39"/>
  <c r="A36" i="39"/>
  <c r="B34" i="39"/>
  <c r="H31" i="30" s="1"/>
  <c r="C32" i="39"/>
  <c r="B26" i="39"/>
  <c r="H13" i="39"/>
  <c r="G13" i="39"/>
  <c r="F13" i="39"/>
  <c r="E13" i="39"/>
  <c r="D13" i="39"/>
  <c r="C13" i="39"/>
  <c r="C12" i="39"/>
  <c r="A3" i="39"/>
  <c r="A1" i="39"/>
  <c r="A1" i="38"/>
  <c r="G30" i="37"/>
  <c r="G31" i="37" s="1"/>
  <c r="G32" i="37" s="1"/>
  <c r="I29" i="37"/>
  <c r="G29" i="37"/>
  <c r="F29" i="37"/>
  <c r="E29" i="37"/>
  <c r="D29" i="37"/>
  <c r="B29" i="37"/>
  <c r="E21" i="37"/>
  <c r="F20" i="37"/>
  <c r="F22" i="37" s="1"/>
  <c r="N41" i="36" s="1"/>
  <c r="E27" i="30" s="1"/>
  <c r="E20" i="37"/>
  <c r="D20" i="37"/>
  <c r="D22" i="37" s="1"/>
  <c r="N17" i="37"/>
  <c r="M17" i="37"/>
  <c r="L17" i="37"/>
  <c r="F15" i="37"/>
  <c r="J13" i="37" s="1"/>
  <c r="E15" i="37"/>
  <c r="M44" i="36" s="1"/>
  <c r="D15" i="37"/>
  <c r="H13" i="37" s="1"/>
  <c r="F12" i="37"/>
  <c r="J10" i="37" s="1"/>
  <c r="E12" i="37"/>
  <c r="I10" i="37" s="1"/>
  <c r="D12" i="37"/>
  <c r="H10" i="37" s="1"/>
  <c r="J8" i="37"/>
  <c r="I8" i="37"/>
  <c r="H8" i="37"/>
  <c r="J7" i="37"/>
  <c r="I7" i="37"/>
  <c r="H7" i="37"/>
  <c r="J6" i="37"/>
  <c r="I6" i="37"/>
  <c r="H6" i="37"/>
  <c r="F4" i="37"/>
  <c r="J4" i="37" s="1"/>
  <c r="N4" i="37" s="1"/>
  <c r="E4" i="37"/>
  <c r="I4" i="37" s="1"/>
  <c r="M4" i="37" s="1"/>
  <c r="D4" i="37"/>
  <c r="H4" i="37" s="1"/>
  <c r="L4" i="37" s="1"/>
  <c r="B42" i="36"/>
  <c r="B43" i="36" s="1"/>
  <c r="B44" i="36" s="1"/>
  <c r="H31" i="36"/>
  <c r="G31" i="36"/>
  <c r="F31" i="36"/>
  <c r="E31" i="36"/>
  <c r="D24" i="36"/>
  <c r="D23" i="36"/>
  <c r="D22" i="36"/>
  <c r="D21" i="36"/>
  <c r="D20" i="36"/>
  <c r="D19" i="36"/>
  <c r="D18" i="36"/>
  <c r="D17" i="36"/>
  <c r="D16" i="36"/>
  <c r="D15" i="36"/>
  <c r="D14" i="36"/>
  <c r="D13" i="36"/>
  <c r="D12" i="36"/>
  <c r="D11" i="36"/>
  <c r="D10" i="36"/>
  <c r="D9" i="36"/>
  <c r="D8" i="36"/>
  <c r="D7" i="36"/>
  <c r="D6" i="36"/>
  <c r="B6" i="36"/>
  <c r="B7" i="36" s="1"/>
  <c r="B8" i="36" s="1"/>
  <c r="B9" i="36" s="1"/>
  <c r="B10" i="36" s="1"/>
  <c r="B11" i="36" s="1"/>
  <c r="B12" i="36" s="1"/>
  <c r="B13" i="36" s="1"/>
  <c r="B14" i="36" s="1"/>
  <c r="B15" i="36" s="1"/>
  <c r="B16" i="36" s="1"/>
  <c r="B17" i="36" s="1"/>
  <c r="B18" i="36" s="1"/>
  <c r="B19" i="36" s="1"/>
  <c r="B20" i="36" s="1"/>
  <c r="B21" i="36" s="1"/>
  <c r="B22" i="36" s="1"/>
  <c r="B23" i="36" s="1"/>
  <c r="B24" i="36" s="1"/>
  <c r="D5" i="36"/>
  <c r="D44" i="35"/>
  <c r="B9" i="41" s="1"/>
  <c r="B41" i="35"/>
  <c r="C37" i="35"/>
  <c r="B37" i="35"/>
  <c r="C35" i="35"/>
  <c r="D23" i="35"/>
  <c r="D21" i="35"/>
  <c r="D19" i="35"/>
  <c r="D18" i="35"/>
  <c r="D17" i="35"/>
  <c r="D13" i="35"/>
  <c r="B4" i="35"/>
  <c r="B2" i="35"/>
  <c r="L11" i="34"/>
  <c r="C7" i="34" s="1"/>
  <c r="H4" i="34" s="1"/>
  <c r="C10" i="34" s="1"/>
  <c r="F7" i="34"/>
  <c r="F8" i="34" s="1"/>
  <c r="H1" i="34"/>
  <c r="H2" i="34" s="1"/>
  <c r="H3" i="34" s="1"/>
  <c r="G8" i="34" s="1"/>
  <c r="F6" i="33"/>
  <c r="D6" i="33"/>
  <c r="F5" i="33"/>
  <c r="D5" i="33"/>
  <c r="E72" i="32"/>
  <c r="E71" i="32"/>
  <c r="E70" i="32"/>
  <c r="E69" i="32"/>
  <c r="E68" i="32"/>
  <c r="E67" i="32"/>
  <c r="D58" i="32"/>
  <c r="D56" i="32"/>
  <c r="A56" i="32"/>
  <c r="D54" i="32"/>
  <c r="D46" i="32"/>
  <c r="E46" i="32" s="1"/>
  <c r="C41" i="32"/>
  <c r="E41" i="32" s="1"/>
  <c r="C40" i="32"/>
  <c r="C36" i="32"/>
  <c r="E36" i="32" s="1"/>
  <c r="C35" i="32"/>
  <c r="E35" i="32" s="1"/>
  <c r="C31" i="32"/>
  <c r="E31" i="32" s="1"/>
  <c r="C29" i="32"/>
  <c r="E29" i="32" s="1"/>
  <c r="C28" i="32"/>
  <c r="C23" i="32"/>
  <c r="E23" i="32" s="1"/>
  <c r="C21" i="32"/>
  <c r="E21" i="32" s="1"/>
  <c r="C14" i="32"/>
  <c r="E14" i="32" s="1"/>
  <c r="C13" i="32"/>
  <c r="E13" i="32" s="1"/>
  <c r="C12" i="32"/>
  <c r="E12" i="32" s="1"/>
  <c r="C11" i="32"/>
  <c r="E11" i="32" s="1"/>
  <c r="C10" i="32"/>
  <c r="E10" i="32" s="1"/>
  <c r="A3" i="32"/>
  <c r="B101" i="31"/>
  <c r="B100" i="31"/>
  <c r="B99" i="31"/>
  <c r="G94" i="31"/>
  <c r="D101" i="31" s="1"/>
  <c r="F90" i="31"/>
  <c r="E90" i="31"/>
  <c r="G89" i="31"/>
  <c r="C101" i="31" s="1"/>
  <c r="F88" i="31"/>
  <c r="E88" i="31"/>
  <c r="F87" i="31"/>
  <c r="F93" i="31" s="1"/>
  <c r="E87" i="31"/>
  <c r="E93" i="31" s="1"/>
  <c r="F86" i="31"/>
  <c r="F92" i="31" s="1"/>
  <c r="E86" i="31"/>
  <c r="E92" i="31" s="1"/>
  <c r="F85" i="31"/>
  <c r="F91" i="31" s="1"/>
  <c r="E85" i="31"/>
  <c r="E91" i="31" s="1"/>
  <c r="G65" i="31"/>
  <c r="D100" i="31" s="1"/>
  <c r="F61" i="31"/>
  <c r="E61" i="31"/>
  <c r="G60" i="31"/>
  <c r="C100" i="31" s="1"/>
  <c r="F59" i="31"/>
  <c r="E59" i="31"/>
  <c r="F58" i="31"/>
  <c r="F64" i="31" s="1"/>
  <c r="E58" i="31"/>
  <c r="E64" i="31" s="1"/>
  <c r="F57" i="31"/>
  <c r="F63" i="31" s="1"/>
  <c r="E57" i="31"/>
  <c r="E63" i="31" s="1"/>
  <c r="F56" i="31"/>
  <c r="F62" i="31" s="1"/>
  <c r="E56" i="31"/>
  <c r="E62" i="31" s="1"/>
  <c r="G36" i="31"/>
  <c r="D99" i="31" s="1"/>
  <c r="F32" i="31"/>
  <c r="E32" i="31"/>
  <c r="G31" i="31"/>
  <c r="C99" i="31" s="1"/>
  <c r="F30" i="31"/>
  <c r="E30" i="31"/>
  <c r="F29" i="31"/>
  <c r="F35" i="31" s="1"/>
  <c r="E29" i="31"/>
  <c r="E35" i="31" s="1"/>
  <c r="F28" i="31"/>
  <c r="F34" i="31" s="1"/>
  <c r="E28" i="31"/>
  <c r="E34" i="31" s="1"/>
  <c r="F27" i="31"/>
  <c r="F33" i="31" s="1"/>
  <c r="E27" i="31"/>
  <c r="E33" i="31" s="1"/>
  <c r="A2" i="31"/>
  <c r="H39" i="30"/>
  <c r="I37" i="30"/>
  <c r="F34" i="30"/>
  <c r="H27" i="30"/>
  <c r="M21" i="30"/>
  <c r="L21" i="30"/>
  <c r="K21" i="30"/>
  <c r="E18" i="30"/>
  <c r="D18" i="30"/>
  <c r="C18" i="30"/>
  <c r="I15" i="30"/>
  <c r="D14" i="30"/>
  <c r="H13" i="30" s="1"/>
  <c r="C14" i="30"/>
  <c r="I13" i="30"/>
  <c r="I12" i="30"/>
  <c r="D11" i="30"/>
  <c r="H10" i="30" s="1"/>
  <c r="C11" i="30"/>
  <c r="G15" i="30" s="1"/>
  <c r="I10" i="30"/>
  <c r="I9" i="30"/>
  <c r="I7" i="30"/>
  <c r="H7" i="30"/>
  <c r="G7" i="30"/>
  <c r="I6" i="30"/>
  <c r="H6" i="30"/>
  <c r="G6" i="30"/>
  <c r="I5" i="30"/>
  <c r="H5" i="30"/>
  <c r="G5" i="30"/>
  <c r="E3" i="30"/>
  <c r="I3" i="30" s="1"/>
  <c r="M3" i="30" s="1"/>
  <c r="D3" i="30"/>
  <c r="H3" i="30" s="1"/>
  <c r="L3" i="30" s="1"/>
  <c r="C3" i="30"/>
  <c r="G3" i="30" s="1"/>
  <c r="K3" i="30" s="1"/>
  <c r="E69" i="28"/>
  <c r="D69" i="28"/>
  <c r="J69" i="28" s="1"/>
  <c r="C69" i="28"/>
  <c r="I69" i="28" s="1"/>
  <c r="B69" i="28"/>
  <c r="H69" i="28" s="1"/>
  <c r="E68" i="28"/>
  <c r="D68" i="28"/>
  <c r="J68" i="28" s="1"/>
  <c r="C68" i="28"/>
  <c r="I68" i="28" s="1"/>
  <c r="B68" i="28"/>
  <c r="H68" i="28" s="1"/>
  <c r="G66" i="28"/>
  <c r="A66" i="28"/>
  <c r="A58" i="28"/>
  <c r="J41" i="28"/>
  <c r="I41" i="28"/>
  <c r="H41" i="28"/>
  <c r="J40" i="28"/>
  <c r="I40" i="28"/>
  <c r="H40" i="28"/>
  <c r="G38" i="28"/>
  <c r="A38" i="28"/>
  <c r="P20" i="28"/>
  <c r="P19" i="28"/>
  <c r="P18" i="28"/>
  <c r="P17" i="28"/>
  <c r="P16" i="28"/>
  <c r="P15" i="28"/>
  <c r="P14" i="28"/>
  <c r="P13" i="28"/>
  <c r="B9" i="28"/>
  <c r="B65" i="28" s="1"/>
  <c r="H65" i="28" s="1"/>
  <c r="D8" i="28"/>
  <c r="C8" i="28"/>
  <c r="C64" i="28" s="1"/>
  <c r="B8" i="28"/>
  <c r="B64" i="28" s="1"/>
  <c r="H64" i="28" s="1"/>
  <c r="B7" i="28"/>
  <c r="B39" i="28" s="1"/>
  <c r="B63" i="28" s="1"/>
  <c r="B67" i="28" s="1"/>
  <c r="G6" i="28"/>
  <c r="A6" i="28"/>
  <c r="A4" i="28"/>
  <c r="A60" i="28" s="1"/>
  <c r="B30" i="27"/>
  <c r="D19" i="27" s="1"/>
  <c r="D14" i="27"/>
  <c r="C14" i="27"/>
  <c r="B14" i="27"/>
  <c r="E13" i="27"/>
  <c r="E12" i="27"/>
  <c r="E11" i="27"/>
  <c r="A1" i="27"/>
  <c r="F16" i="26"/>
  <c r="E16" i="26"/>
  <c r="D16" i="26"/>
  <c r="C16" i="26"/>
  <c r="F15" i="26"/>
  <c r="E15" i="26"/>
  <c r="D15" i="26"/>
  <c r="C15" i="26"/>
  <c r="F14" i="26"/>
  <c r="E14" i="26"/>
  <c r="D14" i="26"/>
  <c r="C14" i="26"/>
  <c r="A3" i="26"/>
  <c r="A1" i="26"/>
  <c r="C24" i="25"/>
  <c r="C21" i="25"/>
  <c r="C20" i="25"/>
  <c r="C18" i="25"/>
  <c r="C15" i="25"/>
  <c r="C12" i="25"/>
  <c r="C9" i="25"/>
  <c r="A4" i="25"/>
  <c r="A2" i="25"/>
  <c r="C55" i="23"/>
  <c r="D55" i="23" s="1"/>
  <c r="E55" i="23" s="1"/>
  <c r="C50" i="23"/>
  <c r="C48" i="23"/>
  <c r="C43" i="23"/>
  <c r="C39" i="23"/>
  <c r="C37" i="23"/>
  <c r="C30" i="23"/>
  <c r="C29" i="23"/>
  <c r="D29" i="23" s="1"/>
  <c r="E29" i="23" s="1"/>
  <c r="F29" i="23" s="1"/>
  <c r="C19" i="23"/>
  <c r="F18" i="23"/>
  <c r="C17" i="23"/>
  <c r="C15" i="23"/>
  <c r="C13" i="23"/>
  <c r="C11" i="23"/>
  <c r="A4" i="23"/>
  <c r="A2" i="23"/>
  <c r="C37" i="22"/>
  <c r="B37" i="22"/>
  <c r="C15" i="22"/>
  <c r="A4" i="22"/>
  <c r="A2" i="22"/>
  <c r="C50" i="21"/>
  <c r="C49" i="21"/>
  <c r="C48" i="21"/>
  <c r="C47" i="21"/>
  <c r="C46" i="21"/>
  <c r="C45" i="21"/>
  <c r="C22" i="21"/>
  <c r="C21" i="21"/>
  <c r="C20" i="21"/>
  <c r="C19" i="21"/>
  <c r="C18" i="21"/>
  <c r="C17" i="21"/>
  <c r="A3" i="21"/>
  <c r="K8" i="20"/>
  <c r="J8" i="20"/>
  <c r="I8" i="20"/>
  <c r="H8" i="20"/>
  <c r="C8" i="20"/>
  <c r="B8" i="20"/>
  <c r="K7" i="20"/>
  <c r="J7" i="20"/>
  <c r="A3" i="20"/>
  <c r="A1" i="20"/>
  <c r="E20" i="19"/>
  <c r="D20" i="19"/>
  <c r="C20" i="19"/>
  <c r="D18" i="19"/>
  <c r="C18" i="19"/>
  <c r="D10" i="19"/>
  <c r="C10" i="19"/>
  <c r="M62" i="18"/>
  <c r="L62" i="18"/>
  <c r="M61" i="18"/>
  <c r="L61" i="18"/>
  <c r="V60" i="18"/>
  <c r="M60" i="18"/>
  <c r="L60" i="18"/>
  <c r="M59" i="18"/>
  <c r="L59" i="18"/>
  <c r="L58" i="18"/>
  <c r="R13" i="17"/>
  <c r="V61" i="18" s="1"/>
  <c r="R11" i="17"/>
  <c r="R14" i="17" s="1"/>
  <c r="V62" i="18" s="1"/>
  <c r="B31" i="16"/>
  <c r="B30" i="16"/>
  <c r="G25" i="16"/>
  <c r="G23" i="16"/>
  <c r="G21" i="16"/>
  <c r="G19" i="16"/>
  <c r="G17" i="16"/>
  <c r="G15" i="16"/>
  <c r="G13" i="16"/>
  <c r="G11" i="16"/>
  <c r="G9" i="16"/>
  <c r="G7" i="16"/>
  <c r="A21" i="15"/>
  <c r="B20" i="15"/>
  <c r="A20" i="15" s="1"/>
  <c r="B22" i="15" s="1"/>
  <c r="F15" i="15"/>
  <c r="F13" i="15"/>
  <c r="F11" i="15"/>
  <c r="F9" i="15"/>
  <c r="F7" i="15"/>
  <c r="B10" i="13"/>
  <c r="A3" i="13"/>
  <c r="A1" i="13"/>
  <c r="A3" i="12"/>
  <c r="A1" i="12"/>
  <c r="E16" i="11"/>
  <c r="D16" i="11"/>
  <c r="C16" i="11"/>
  <c r="E15" i="11"/>
  <c r="D15" i="11"/>
  <c r="C15" i="11"/>
  <c r="E14" i="11"/>
  <c r="D14" i="11"/>
  <c r="C14" i="11"/>
  <c r="D10" i="11"/>
  <c r="C10" i="11"/>
  <c r="A3" i="11"/>
  <c r="A1" i="11"/>
  <c r="J37" i="10"/>
  <c r="I37" i="10"/>
  <c r="H37" i="10"/>
  <c r="G37" i="10"/>
  <c r="F37" i="10"/>
  <c r="E37" i="10"/>
  <c r="D37" i="10"/>
  <c r="E17" i="10"/>
  <c r="F17" i="10" s="1"/>
  <c r="G17" i="10" s="1"/>
  <c r="H17" i="10" s="1"/>
  <c r="I17" i="10" s="1"/>
  <c r="J17" i="10" s="1"/>
  <c r="E14" i="10"/>
  <c r="F14" i="10" s="1"/>
  <c r="G14" i="10" s="1"/>
  <c r="H14" i="10" s="1"/>
  <c r="I14" i="10" s="1"/>
  <c r="J14" i="10" s="1"/>
  <c r="A4" i="10"/>
  <c r="A1" i="10"/>
  <c r="A1" i="9"/>
  <c r="C36" i="8"/>
  <c r="E35" i="8"/>
  <c r="D35" i="8"/>
  <c r="C35" i="8"/>
  <c r="C33" i="8"/>
  <c r="D32" i="8" s="1"/>
  <c r="C32" i="8"/>
  <c r="E26" i="8"/>
  <c r="D26" i="8"/>
  <c r="C26" i="8"/>
  <c r="E22" i="8"/>
  <c r="C22" i="24" s="1"/>
  <c r="D22" i="8"/>
  <c r="C22" i="8"/>
  <c r="D13" i="8"/>
  <c r="C13" i="8"/>
  <c r="E9" i="8"/>
  <c r="C9" i="24" s="1"/>
  <c r="D9" i="8"/>
  <c r="D13" i="12" s="1"/>
  <c r="C9" i="8"/>
  <c r="C13" i="12" s="1"/>
  <c r="E8" i="8"/>
  <c r="E12" i="12" s="1"/>
  <c r="D8" i="8"/>
  <c r="D12" i="12" s="1"/>
  <c r="C8" i="8"/>
  <c r="C12" i="12" s="1"/>
  <c r="E6" i="8"/>
  <c r="D6" i="8"/>
  <c r="C6" i="8"/>
  <c r="A3" i="8"/>
  <c r="A1" i="8"/>
  <c r="C21" i="7"/>
  <c r="D18" i="7" s="1"/>
  <c r="D21" i="7" s="1"/>
  <c r="E18" i="7" s="1"/>
  <c r="C19" i="25" s="1"/>
  <c r="E10" i="7"/>
  <c r="D10" i="7"/>
  <c r="D23" i="8" s="1"/>
  <c r="C10" i="7"/>
  <c r="C23" i="8" s="1"/>
  <c r="C9" i="7"/>
  <c r="A3" i="7"/>
  <c r="A1" i="7"/>
  <c r="I33" i="6"/>
  <c r="M30" i="6"/>
  <c r="L30" i="6"/>
  <c r="H30" i="6"/>
  <c r="G30" i="6"/>
  <c r="E30" i="6"/>
  <c r="E13" i="8" s="1"/>
  <c r="E27" i="6"/>
  <c r="E8" i="11" s="1"/>
  <c r="D27" i="6"/>
  <c r="D8" i="11" s="1"/>
  <c r="C27" i="6"/>
  <c r="G27" i="6" s="1"/>
  <c r="E26" i="6"/>
  <c r="E25" i="8" s="1"/>
  <c r="D26" i="6"/>
  <c r="H26" i="6" s="1"/>
  <c r="C26" i="6"/>
  <c r="C25" i="8" s="1"/>
  <c r="E13" i="6"/>
  <c r="D13" i="6"/>
  <c r="D15" i="6" s="1"/>
  <c r="H15" i="6" s="1"/>
  <c r="C13" i="6"/>
  <c r="C15" i="6" s="1"/>
  <c r="N12" i="6"/>
  <c r="M12" i="6"/>
  <c r="L12" i="6"/>
  <c r="H12" i="6"/>
  <c r="G12" i="6"/>
  <c r="E7" i="6"/>
  <c r="D7" i="6"/>
  <c r="D8" i="6" s="1"/>
  <c r="C7" i="6"/>
  <c r="G7" i="6" s="1"/>
  <c r="M6" i="6"/>
  <c r="L6" i="6"/>
  <c r="H6" i="6"/>
  <c r="G6" i="6"/>
  <c r="E6" i="6"/>
  <c r="A3" i="6"/>
  <c r="M47" i="5"/>
  <c r="M46" i="5"/>
  <c r="M45" i="5"/>
  <c r="E45" i="5"/>
  <c r="D45" i="5"/>
  <c r="C45" i="5"/>
  <c r="O42" i="5"/>
  <c r="N42" i="5"/>
  <c r="M42" i="5"/>
  <c r="E39" i="5"/>
  <c r="D39" i="5"/>
  <c r="D6" i="19" s="1"/>
  <c r="C39" i="5"/>
  <c r="O38" i="5"/>
  <c r="N38" i="5"/>
  <c r="M38" i="5"/>
  <c r="O37" i="5"/>
  <c r="N37" i="5"/>
  <c r="M37" i="5"/>
  <c r="O33" i="5"/>
  <c r="N33" i="5"/>
  <c r="M33" i="5"/>
  <c r="M32" i="5"/>
  <c r="E32" i="5"/>
  <c r="D32" i="5"/>
  <c r="C16" i="46" s="1"/>
  <c r="C32" i="5"/>
  <c r="O31" i="5"/>
  <c r="N31" i="5"/>
  <c r="M31" i="5"/>
  <c r="O30" i="5"/>
  <c r="N30" i="5"/>
  <c r="M30" i="5"/>
  <c r="M24" i="5"/>
  <c r="O23" i="5"/>
  <c r="N23" i="5"/>
  <c r="M23" i="5"/>
  <c r="O22" i="5"/>
  <c r="N22" i="5"/>
  <c r="M22" i="5"/>
  <c r="M21" i="5"/>
  <c r="M20" i="5"/>
  <c r="M19" i="5"/>
  <c r="C15" i="5"/>
  <c r="O13" i="5"/>
  <c r="N13" i="5"/>
  <c r="M13" i="5"/>
  <c r="O12" i="5"/>
  <c r="N12" i="5"/>
  <c r="M12" i="5"/>
  <c r="O11" i="5"/>
  <c r="N11" i="5"/>
  <c r="M11" i="5"/>
  <c r="O10" i="5"/>
  <c r="N10" i="5"/>
  <c r="M10" i="5"/>
  <c r="O9" i="5"/>
  <c r="N9" i="5"/>
  <c r="M9" i="5"/>
  <c r="M8" i="5"/>
  <c r="E8" i="5"/>
  <c r="D8" i="5"/>
  <c r="N8" i="5" s="1"/>
  <c r="A1" i="5"/>
  <c r="A1" i="32" s="1"/>
  <c r="H65" i="4"/>
  <c r="H64" i="4"/>
  <c r="F60" i="4"/>
  <c r="C59" i="4"/>
  <c r="D41" i="4" s="1"/>
  <c r="D59" i="4" s="1"/>
  <c r="E41" i="4" s="1"/>
  <c r="C58" i="4"/>
  <c r="D40" i="4" s="1"/>
  <c r="D58" i="4" s="1"/>
  <c r="E40" i="4" s="1"/>
  <c r="C56" i="4"/>
  <c r="D38" i="4" s="1"/>
  <c r="D56" i="4" s="1"/>
  <c r="E38" i="4" s="1"/>
  <c r="C54" i="4"/>
  <c r="D36" i="4" s="1"/>
  <c r="E51" i="4"/>
  <c r="H50" i="4"/>
  <c r="G50" i="4"/>
  <c r="H49" i="4"/>
  <c r="G49" i="4"/>
  <c r="F48" i="4"/>
  <c r="D48" i="4"/>
  <c r="H48" i="4" s="1"/>
  <c r="C48" i="4"/>
  <c r="H47" i="4"/>
  <c r="G47" i="4"/>
  <c r="F46" i="4"/>
  <c r="D46" i="4"/>
  <c r="C46" i="4"/>
  <c r="C55" i="4" s="1"/>
  <c r="D37" i="4" s="1"/>
  <c r="H45" i="4"/>
  <c r="G45" i="4"/>
  <c r="C42" i="4"/>
  <c r="B42" i="4"/>
  <c r="C31" i="4"/>
  <c r="D13" i="4" s="1"/>
  <c r="D31" i="4" s="1"/>
  <c r="C28" i="4"/>
  <c r="D10" i="4" s="1"/>
  <c r="D28" i="4" s="1"/>
  <c r="E23" i="4"/>
  <c r="E16" i="12" s="1"/>
  <c r="D23" i="4"/>
  <c r="D16" i="12" s="1"/>
  <c r="C23" i="4"/>
  <c r="H22" i="4"/>
  <c r="G22" i="4"/>
  <c r="H21" i="4"/>
  <c r="G21" i="4"/>
  <c r="H20" i="4"/>
  <c r="G20" i="4"/>
  <c r="H19" i="4"/>
  <c r="G19" i="4"/>
  <c r="H18" i="4"/>
  <c r="G18" i="4"/>
  <c r="H17" i="4"/>
  <c r="G17" i="4"/>
  <c r="F12" i="4"/>
  <c r="C12" i="4"/>
  <c r="C30" i="4" s="1"/>
  <c r="F11" i="4"/>
  <c r="C11" i="4"/>
  <c r="C29" i="4" s="1"/>
  <c r="D11" i="4" s="1"/>
  <c r="D29" i="4" s="1"/>
  <c r="F9" i="4"/>
  <c r="C9" i="4"/>
  <c r="F8" i="4"/>
  <c r="C8" i="4"/>
  <c r="C26" i="4" s="1"/>
  <c r="A3" i="4"/>
  <c r="B26" i="2"/>
  <c r="B25" i="2"/>
  <c r="B21" i="2"/>
  <c r="D6" i="39" s="1"/>
  <c r="B20" i="2"/>
  <c r="E14" i="42"/>
  <c r="C35" i="24"/>
  <c r="F26" i="24"/>
  <c r="E26" i="24"/>
  <c r="D26" i="24"/>
  <c r="C26" i="24"/>
  <c r="C6" i="24"/>
  <c r="A3" i="24"/>
  <c r="A1" i="24"/>
  <c r="B24" i="2" l="1"/>
  <c r="E18" i="42"/>
  <c r="E4" i="5"/>
  <c r="D4" i="5" s="1"/>
  <c r="C27" i="15"/>
  <c r="A6" i="42"/>
  <c r="A7" i="42" s="1"/>
  <c r="E23" i="15"/>
  <c r="C19" i="15"/>
  <c r="C23" i="15"/>
  <c r="B6" i="48"/>
  <c r="C8" i="24"/>
  <c r="C10" i="24" s="1"/>
  <c r="C14" i="39"/>
  <c r="C25" i="24"/>
  <c r="L27" i="6"/>
  <c r="N42" i="36"/>
  <c r="I47" i="4"/>
  <c r="D47" i="21" s="1"/>
  <c r="E47" i="21" s="1"/>
  <c r="F47" i="21" s="1"/>
  <c r="D24" i="8"/>
  <c r="G46" i="4"/>
  <c r="N27" i="6"/>
  <c r="I27" i="6"/>
  <c r="I22" i="4"/>
  <c r="K9" i="20"/>
  <c r="L13" i="28"/>
  <c r="L14" i="28" s="1"/>
  <c r="L15" i="28" s="1"/>
  <c r="L16" i="28" s="1"/>
  <c r="L17" i="28" s="1"/>
  <c r="L18" i="28" s="1"/>
  <c r="L19" i="28" s="1"/>
  <c r="L20" i="28" s="1"/>
  <c r="H15" i="30"/>
  <c r="D32" i="35"/>
  <c r="P11" i="5"/>
  <c r="C16" i="23" s="1"/>
  <c r="D15" i="23" s="1"/>
  <c r="P23" i="5"/>
  <c r="D30" i="23" s="1"/>
  <c r="E30" i="23" s="1"/>
  <c r="F30" i="23" s="1"/>
  <c r="F99" i="31"/>
  <c r="B17" i="2"/>
  <c r="D51" i="4"/>
  <c r="D21" i="6" s="1"/>
  <c r="C24" i="8"/>
  <c r="C28" i="8" s="1"/>
  <c r="I13" i="6"/>
  <c r="J9" i="20"/>
  <c r="H8" i="28"/>
  <c r="M43" i="36"/>
  <c r="I8" i="28"/>
  <c r="E6" i="33"/>
  <c r="C63" i="4"/>
  <c r="C22" i="19" s="1"/>
  <c r="H46" i="4"/>
  <c r="I50" i="4"/>
  <c r="D50" i="21" s="1"/>
  <c r="E50" i="21" s="1"/>
  <c r="F50" i="21" s="1"/>
  <c r="H27" i="6"/>
  <c r="C12" i="43"/>
  <c r="M22" i="30"/>
  <c r="E25" i="30" s="1"/>
  <c r="P22" i="5"/>
  <c r="C12" i="7"/>
  <c r="D9" i="7" s="1"/>
  <c r="D12" i="7" s="1"/>
  <c r="E9" i="7" s="1"/>
  <c r="C10" i="25" s="1"/>
  <c r="N19" i="37"/>
  <c r="F27" i="37" s="1"/>
  <c r="G48" i="4"/>
  <c r="I48" i="4" s="1"/>
  <c r="D48" i="21" s="1"/>
  <c r="E48" i="21" s="1"/>
  <c r="F48" i="21" s="1"/>
  <c r="D55" i="4"/>
  <c r="E37" i="4" s="1"/>
  <c r="C37" i="21" s="1"/>
  <c r="C55" i="21" s="1"/>
  <c r="D37" i="21" s="1"/>
  <c r="E37" i="32"/>
  <c r="L43" i="36"/>
  <c r="C8" i="6"/>
  <c r="G8" i="6" s="1"/>
  <c r="C8" i="11"/>
  <c r="I17" i="4"/>
  <c r="D17" i="21" s="1"/>
  <c r="E17" i="21" s="1"/>
  <c r="I21" i="4"/>
  <c r="D21" i="21" s="1"/>
  <c r="E21" i="21" s="1"/>
  <c r="F21" i="21" s="1"/>
  <c r="P10" i="5"/>
  <c r="C14" i="23" s="1"/>
  <c r="D14" i="23" s="1"/>
  <c r="N13" i="6"/>
  <c r="K22" i="30"/>
  <c r="C25" i="30" s="1"/>
  <c r="N40" i="36"/>
  <c r="F28" i="37" s="1"/>
  <c r="C14" i="4"/>
  <c r="C32" i="4" s="1"/>
  <c r="C19" i="5" s="1"/>
  <c r="O8" i="5"/>
  <c r="E15" i="6"/>
  <c r="N15" i="6" s="1"/>
  <c r="C22" i="25"/>
  <c r="D19" i="25" s="1"/>
  <c r="D22" i="25" s="1"/>
  <c r="E19" i="25" s="1"/>
  <c r="E22" i="25" s="1"/>
  <c r="F19" i="25" s="1"/>
  <c r="F22" i="25" s="1"/>
  <c r="G19" i="25" s="1"/>
  <c r="G22" i="25" s="1"/>
  <c r="H19" i="25" s="1"/>
  <c r="H22" i="25" s="1"/>
  <c r="I19" i="25" s="1"/>
  <c r="I22" i="25" s="1"/>
  <c r="J19" i="25" s="1"/>
  <c r="J22" i="25" s="1"/>
  <c r="C32" i="16"/>
  <c r="V59" i="18"/>
  <c r="C52" i="23"/>
  <c r="C19" i="27"/>
  <c r="C20" i="27" s="1"/>
  <c r="H9" i="30"/>
  <c r="L22" i="30"/>
  <c r="D25" i="30" s="1"/>
  <c r="C5" i="43"/>
  <c r="D14" i="49"/>
  <c r="E14" i="49"/>
  <c r="C9" i="11"/>
  <c r="I19" i="4"/>
  <c r="D19" i="21" s="1"/>
  <c r="E19" i="21" s="1"/>
  <c r="F19" i="21" s="1"/>
  <c r="P37" i="5"/>
  <c r="C49" i="23" s="1"/>
  <c r="D48" i="23" s="1"/>
  <c r="G14" i="49"/>
  <c r="H66" i="4"/>
  <c r="O32" i="5"/>
  <c r="P38" i="5"/>
  <c r="C51" i="23" s="1"/>
  <c r="D50" i="23" s="1"/>
  <c r="D51" i="23" s="1"/>
  <c r="E50" i="23" s="1"/>
  <c r="F101" i="31"/>
  <c r="N43" i="36"/>
  <c r="H14" i="37"/>
  <c r="C4" i="46"/>
  <c r="G26" i="6"/>
  <c r="C10" i="8"/>
  <c r="C14" i="12" s="1"/>
  <c r="E14" i="27"/>
  <c r="E15" i="27" s="1"/>
  <c r="D20" i="27" s="1"/>
  <c r="C13" i="19"/>
  <c r="L15" i="6"/>
  <c r="G15" i="6"/>
  <c r="L40" i="36"/>
  <c r="L41" i="36"/>
  <c r="C27" i="30" s="1"/>
  <c r="C14" i="49"/>
  <c r="P8" i="5"/>
  <c r="C10" i="23" s="1"/>
  <c r="I26" i="6"/>
  <c r="G13" i="6"/>
  <c r="M27" i="6"/>
  <c r="E28" i="6"/>
  <c r="E17" i="19" s="1"/>
  <c r="D17" i="8"/>
  <c r="D49" i="21"/>
  <c r="E49" i="21" s="1"/>
  <c r="F49" i="21" s="1"/>
  <c r="H12" i="30"/>
  <c r="C37" i="32"/>
  <c r="E22" i="37"/>
  <c r="M41" i="36" s="1"/>
  <c r="D27" i="30" s="1"/>
  <c r="I18" i="4"/>
  <c r="D18" i="21" s="1"/>
  <c r="E18" i="21" s="1"/>
  <c r="F18" i="21" s="1"/>
  <c r="D65" i="4"/>
  <c r="P33" i="5"/>
  <c r="C44" i="23" s="1"/>
  <c r="D43" i="23" s="1"/>
  <c r="D44" i="23" s="1"/>
  <c r="E43" i="23" s="1"/>
  <c r="I45" i="4"/>
  <c r="D45" i="21" s="1"/>
  <c r="E9" i="11"/>
  <c r="H9" i="28"/>
  <c r="C51" i="4"/>
  <c r="C8" i="12" s="1"/>
  <c r="C57" i="4"/>
  <c r="P9" i="5"/>
  <c r="C12" i="23" s="1"/>
  <c r="D11" i="23" s="1"/>
  <c r="D12" i="23" s="1"/>
  <c r="E11" i="23" s="1"/>
  <c r="P12" i="5"/>
  <c r="C18" i="23" s="1"/>
  <c r="D17" i="23" s="1"/>
  <c r="E17" i="8"/>
  <c r="E10" i="19"/>
  <c r="E20" i="30"/>
  <c r="E99" i="31"/>
  <c r="J31" i="37"/>
  <c r="I6" i="6"/>
  <c r="J6" i="6" s="1"/>
  <c r="C28" i="6"/>
  <c r="C17" i="24"/>
  <c r="A1" i="6"/>
  <c r="A1" i="21" s="1"/>
  <c r="L13" i="6"/>
  <c r="G9" i="30"/>
  <c r="B24" i="49"/>
  <c r="O12" i="6"/>
  <c r="I49" i="4"/>
  <c r="N45" i="5"/>
  <c r="F17" i="15"/>
  <c r="E24" i="15" s="1"/>
  <c r="E25" i="15" s="1"/>
  <c r="E26" i="15" s="1"/>
  <c r="D6" i="42" s="1"/>
  <c r="F100" i="31"/>
  <c r="C67" i="4"/>
  <c r="D12" i="4"/>
  <c r="D30" i="4" s="1"/>
  <c r="E58" i="4"/>
  <c r="C40" i="21"/>
  <c r="C58" i="21" s="1"/>
  <c r="D40" i="21" s="1"/>
  <c r="E59" i="4"/>
  <c r="C41" i="21"/>
  <c r="C59" i="21" s="1"/>
  <c r="D41" i="21" s="1"/>
  <c r="D68" i="4"/>
  <c r="E13" i="4"/>
  <c r="C27" i="4"/>
  <c r="E56" i="4"/>
  <c r="C38" i="21"/>
  <c r="C56" i="21" s="1"/>
  <c r="D38" i="21" s="1"/>
  <c r="B14" i="45"/>
  <c r="B3" i="47"/>
  <c r="B8" i="48"/>
  <c r="B11" i="48" s="1"/>
  <c r="C9" i="32"/>
  <c r="C9" i="23"/>
  <c r="D10" i="13"/>
  <c r="E33" i="8"/>
  <c r="C36" i="24"/>
  <c r="C33" i="24"/>
  <c r="D32" i="24" s="1"/>
  <c r="E36" i="8"/>
  <c r="E15" i="5"/>
  <c r="N32" i="5"/>
  <c r="D34" i="5"/>
  <c r="E15" i="9" s="1"/>
  <c r="E21" i="7"/>
  <c r="C65" i="4"/>
  <c r="E10" i="4"/>
  <c r="C68" i="4"/>
  <c r="D8" i="56"/>
  <c r="C22" i="22"/>
  <c r="E8" i="12"/>
  <c r="E21" i="6"/>
  <c r="P13" i="5"/>
  <c r="C20" i="23" s="1"/>
  <c r="D19" i="23" s="1"/>
  <c r="C6" i="19"/>
  <c r="P42" i="5"/>
  <c r="C14" i="46"/>
  <c r="C13" i="46"/>
  <c r="C6" i="46"/>
  <c r="D11" i="19"/>
  <c r="H7" i="6"/>
  <c r="M7" i="6"/>
  <c r="D13" i="19"/>
  <c r="M15" i="6"/>
  <c r="E13" i="12"/>
  <c r="E10" i="8"/>
  <c r="E14" i="12" s="1"/>
  <c r="E18" i="12" s="1"/>
  <c r="D13" i="46"/>
  <c r="D6" i="46"/>
  <c r="D14" i="46"/>
  <c r="C10" i="22"/>
  <c r="G6" i="37"/>
  <c r="E11" i="19"/>
  <c r="E8" i="6"/>
  <c r="N7" i="6"/>
  <c r="I7" i="6"/>
  <c r="C11" i="25"/>
  <c r="E23" i="8"/>
  <c r="G348" i="59"/>
  <c r="G342" i="59"/>
  <c r="G334" i="59"/>
  <c r="G326" i="59"/>
  <c r="G322" i="59"/>
  <c r="G318" i="59"/>
  <c r="G314" i="59"/>
  <c r="G282" i="59"/>
  <c r="G262" i="59"/>
  <c r="G254" i="59"/>
  <c r="G347" i="59"/>
  <c r="G341" i="59"/>
  <c r="G325" i="59"/>
  <c r="G321" i="59"/>
  <c r="G317" i="59"/>
  <c r="G285" i="59"/>
  <c r="G281" i="59"/>
  <c r="G253" i="59"/>
  <c r="G234" i="59"/>
  <c r="G240" i="59"/>
  <c r="G336" i="59"/>
  <c r="G324" i="59"/>
  <c r="G320" i="59"/>
  <c r="G316" i="59"/>
  <c r="G284" i="59"/>
  <c r="G280" i="59"/>
  <c r="G264" i="59"/>
  <c r="G252" i="59"/>
  <c r="G239" i="59"/>
  <c r="G233" i="59"/>
  <c r="B3" i="45"/>
  <c r="B4" i="44" s="1"/>
  <c r="G335" i="59"/>
  <c r="G327" i="59"/>
  <c r="G323" i="59"/>
  <c r="G319" i="59"/>
  <c r="G315" i="59"/>
  <c r="G283" i="59"/>
  <c r="G279" i="59"/>
  <c r="G263" i="59"/>
  <c r="G255" i="59"/>
  <c r="G251" i="59"/>
  <c r="C6" i="39"/>
  <c r="B3" i="31"/>
  <c r="E5" i="6"/>
  <c r="A2" i="14"/>
  <c r="I20" i="4"/>
  <c r="D20" i="21" s="1"/>
  <c r="E20" i="21" s="1"/>
  <c r="F20" i="21" s="1"/>
  <c r="C17" i="8"/>
  <c r="C16" i="12"/>
  <c r="D54" i="4"/>
  <c r="E36" i="4" s="1"/>
  <c r="B16" i="46"/>
  <c r="C34" i="5"/>
  <c r="D14" i="9" s="1"/>
  <c r="B14" i="47"/>
  <c r="D14" i="47" s="1"/>
  <c r="B8" i="55"/>
  <c r="D16" i="46"/>
  <c r="C30" i="32"/>
  <c r="E30" i="32" s="1"/>
  <c r="C41" i="23"/>
  <c r="E34" i="5"/>
  <c r="F16" i="9" s="1"/>
  <c r="D12" i="19"/>
  <c r="H8" i="6"/>
  <c r="D18" i="6"/>
  <c r="C34" i="22"/>
  <c r="E18" i="19"/>
  <c r="D8" i="20"/>
  <c r="I30" i="6"/>
  <c r="J30" i="6" s="1"/>
  <c r="N30" i="6"/>
  <c r="O30" i="6" s="1"/>
  <c r="C13" i="24"/>
  <c r="C10" i="26"/>
  <c r="E10" i="11"/>
  <c r="C10" i="13"/>
  <c r="D15" i="5"/>
  <c r="D36" i="8"/>
  <c r="D33" i="8"/>
  <c r="D9" i="6"/>
  <c r="E6" i="9" s="1"/>
  <c r="B9" i="38"/>
  <c r="C2" i="19"/>
  <c r="P30" i="5"/>
  <c r="C38" i="23" s="1"/>
  <c r="D37" i="23" s="1"/>
  <c r="G14" i="37"/>
  <c r="F13" i="30"/>
  <c r="J13" i="30" s="1"/>
  <c r="C43" i="32"/>
  <c r="C57" i="23"/>
  <c r="D57" i="23" s="1"/>
  <c r="D9" i="11"/>
  <c r="D25" i="8"/>
  <c r="C32" i="22"/>
  <c r="C8" i="26"/>
  <c r="E6" i="19"/>
  <c r="C15" i="46"/>
  <c r="C7" i="46"/>
  <c r="M13" i="6"/>
  <c r="E11" i="4"/>
  <c r="B16" i="49"/>
  <c r="B5" i="49"/>
  <c r="D3" i="46"/>
  <c r="D12" i="46"/>
  <c r="E12" i="46" s="1"/>
  <c r="K40" i="36"/>
  <c r="E8" i="28"/>
  <c r="E64" i="28" s="1"/>
  <c r="C8" i="22"/>
  <c r="G5" i="37"/>
  <c r="N6" i="6"/>
  <c r="O6" i="6" s="1"/>
  <c r="F4" i="30"/>
  <c r="F26" i="30" s="1"/>
  <c r="B18" i="49"/>
  <c r="B13" i="46"/>
  <c r="B17" i="49"/>
  <c r="B6" i="46"/>
  <c r="B14" i="46"/>
  <c r="C11" i="19"/>
  <c r="H13" i="6"/>
  <c r="C9" i="26"/>
  <c r="C30" i="22"/>
  <c r="C29" i="22"/>
  <c r="D28" i="6"/>
  <c r="E24" i="8"/>
  <c r="C31" i="22"/>
  <c r="C51" i="21"/>
  <c r="F55" i="23"/>
  <c r="G27" i="16"/>
  <c r="F33" i="16" s="1"/>
  <c r="C23" i="21"/>
  <c r="C24" i="24"/>
  <c r="D8" i="4"/>
  <c r="P31" i="5"/>
  <c r="C40" i="23" s="1"/>
  <c r="D39" i="23" s="1"/>
  <c r="O45" i="5"/>
  <c r="L7" i="6"/>
  <c r="I12" i="6"/>
  <c r="J12" i="6" s="1"/>
  <c r="D23" i="10" s="1"/>
  <c r="E23" i="10" s="1"/>
  <c r="F23" i="10" s="1"/>
  <c r="G23" i="10" s="1"/>
  <c r="H23" i="10" s="1"/>
  <c r="I23" i="10" s="1"/>
  <c r="J23" i="10" s="1"/>
  <c r="D15" i="46"/>
  <c r="D7" i="46"/>
  <c r="C16" i="22"/>
  <c r="C17" i="22" s="1"/>
  <c r="D10" i="8"/>
  <c r="D14" i="12" s="1"/>
  <c r="D18" i="12" s="1"/>
  <c r="G12" i="30"/>
  <c r="G13" i="30"/>
  <c r="C20" i="30"/>
  <c r="E101" i="31"/>
  <c r="D64" i="28"/>
  <c r="E100" i="31"/>
  <c r="B19" i="49"/>
  <c r="B7" i="46"/>
  <c r="B15" i="46"/>
  <c r="D13" i="33"/>
  <c r="H8" i="34"/>
  <c r="G10" i="30"/>
  <c r="J16" i="37"/>
  <c r="J11" i="37"/>
  <c r="L19" i="37"/>
  <c r="D27" i="37" s="1"/>
  <c r="E52" i="32"/>
  <c r="C9" i="34"/>
  <c r="M19" i="37"/>
  <c r="E27" i="37" s="1"/>
  <c r="E28" i="32"/>
  <c r="B6" i="41"/>
  <c r="B8" i="41" s="1"/>
  <c r="B10" i="41" s="1"/>
  <c r="G7" i="34"/>
  <c r="J41" i="37"/>
  <c r="I35" i="30"/>
  <c r="D20" i="30"/>
  <c r="L44" i="36"/>
  <c r="L42" i="36"/>
  <c r="I14" i="37"/>
  <c r="I13" i="37"/>
  <c r="M42" i="36"/>
  <c r="H11" i="37"/>
  <c r="H16" i="37"/>
  <c r="E40" i="32"/>
  <c r="I16" i="37"/>
  <c r="I11" i="37"/>
  <c r="I35" i="37"/>
  <c r="B11" i="41"/>
  <c r="E5" i="33"/>
  <c r="J32" i="37"/>
  <c r="B7" i="45"/>
  <c r="A20" i="50" s="1"/>
  <c r="J14" i="37"/>
  <c r="N44" i="36"/>
  <c r="C14" i="43"/>
  <c r="C6" i="43"/>
  <c r="C11" i="43"/>
  <c r="C16" i="43"/>
  <c r="C10" i="43"/>
  <c r="C15" i="43"/>
  <c r="C8" i="43"/>
  <c r="C7" i="43"/>
  <c r="C5" i="23" l="1"/>
  <c r="D5" i="23" s="1"/>
  <c r="L10" i="17"/>
  <c r="Q10" i="17" s="1"/>
  <c r="C5" i="32"/>
  <c r="E5" i="32" s="1"/>
  <c r="C5" i="39"/>
  <c r="D5" i="39" s="1"/>
  <c r="E5" i="39" s="1"/>
  <c r="F5" i="39" s="1"/>
  <c r="G5" i="39" s="1"/>
  <c r="H5" i="39" s="1"/>
  <c r="E1" i="19"/>
  <c r="D32" i="16"/>
  <c r="E27" i="15"/>
  <c r="E28" i="15" s="1"/>
  <c r="C6" i="42" s="1"/>
  <c r="D28" i="8"/>
  <c r="E12" i="42"/>
  <c r="E19" i="27"/>
  <c r="E12" i="7"/>
  <c r="E20" i="27"/>
  <c r="C12" i="19"/>
  <c r="F14" i="23"/>
  <c r="C9" i="6"/>
  <c r="D6" i="9" s="1"/>
  <c r="J27" i="6"/>
  <c r="D31" i="22" s="1"/>
  <c r="D32" i="22" s="1"/>
  <c r="E14" i="23"/>
  <c r="C60" i="4"/>
  <c r="C20" i="5" s="1"/>
  <c r="C21" i="5" s="1"/>
  <c r="P32" i="5"/>
  <c r="C42" i="23" s="1"/>
  <c r="D41" i="23" s="1"/>
  <c r="D42" i="23" s="1"/>
  <c r="E41" i="23" s="1"/>
  <c r="C18" i="12"/>
  <c r="I15" i="6"/>
  <c r="J15" i="6" s="1"/>
  <c r="M40" i="36"/>
  <c r="E28" i="37" s="1"/>
  <c r="E13" i="19"/>
  <c r="E13" i="46"/>
  <c r="C8" i="56"/>
  <c r="P45" i="5"/>
  <c r="J26" i="6"/>
  <c r="D29" i="22" s="1"/>
  <c r="C18" i="6"/>
  <c r="G18" i="6" s="1"/>
  <c r="O27" i="6"/>
  <c r="I46" i="4"/>
  <c r="D46" i="21" s="1"/>
  <c r="E46" i="21" s="1"/>
  <c r="F46" i="21" s="1"/>
  <c r="D13" i="23"/>
  <c r="D8" i="24" s="1"/>
  <c r="E55" i="4"/>
  <c r="E52" i="4"/>
  <c r="C52" i="21" s="1"/>
  <c r="D8" i="12"/>
  <c r="C39" i="35"/>
  <c r="B40" i="35" s="1"/>
  <c r="E16" i="9"/>
  <c r="D58" i="21"/>
  <c r="E40" i="21" s="1"/>
  <c r="E58" i="21" s="1"/>
  <c r="F40" i="21" s="1"/>
  <c r="F58" i="21" s="1"/>
  <c r="J8" i="28"/>
  <c r="O15" i="6"/>
  <c r="B8" i="56"/>
  <c r="O13" i="6"/>
  <c r="A1" i="4"/>
  <c r="C13" i="25"/>
  <c r="D10" i="25" s="1"/>
  <c r="D13" i="25" s="1"/>
  <c r="E10" i="25" s="1"/>
  <c r="E13" i="25" s="1"/>
  <c r="E26" i="30"/>
  <c r="C21" i="6"/>
  <c r="B8" i="46" s="1"/>
  <c r="N28" i="6"/>
  <c r="D52" i="23"/>
  <c r="F6" i="19" s="1"/>
  <c r="D49" i="23"/>
  <c r="E48" i="23" s="1"/>
  <c r="E52" i="23" s="1"/>
  <c r="G6" i="19" s="1"/>
  <c r="J13" i="6"/>
  <c r="B9" i="49" s="1"/>
  <c r="B10" i="49" s="1"/>
  <c r="I28" i="6"/>
  <c r="D35" i="24"/>
  <c r="J7" i="6"/>
  <c r="B7" i="49" s="1"/>
  <c r="B8" i="49" s="1"/>
  <c r="D52" i="4"/>
  <c r="F32" i="16"/>
  <c r="C17" i="19"/>
  <c r="L28" i="6"/>
  <c r="G28" i="6"/>
  <c r="C66" i="4"/>
  <c r="C24" i="19" s="1"/>
  <c r="D39" i="4"/>
  <c r="D28" i="37"/>
  <c r="C26" i="30"/>
  <c r="E15" i="46"/>
  <c r="C32" i="32"/>
  <c r="O7" i="6"/>
  <c r="E7" i="46"/>
  <c r="E44" i="23"/>
  <c r="F43" i="23" s="1"/>
  <c r="F44" i="23" s="1"/>
  <c r="E51" i="23"/>
  <c r="F50" i="23" s="1"/>
  <c r="F51" i="23" s="1"/>
  <c r="J64" i="28"/>
  <c r="I64" i="28"/>
  <c r="E18" i="23"/>
  <c r="D18" i="23"/>
  <c r="E45" i="21"/>
  <c r="E5" i="46"/>
  <c r="B9" i="45"/>
  <c r="C5" i="49" s="1"/>
  <c r="C9" i="22"/>
  <c r="D8" i="22" s="1"/>
  <c r="E12" i="19"/>
  <c r="E18" i="6"/>
  <c r="C11" i="22"/>
  <c r="C19" i="22" s="1"/>
  <c r="C20" i="22" s="1"/>
  <c r="I8" i="6"/>
  <c r="I9" i="6" s="1"/>
  <c r="F5" i="30"/>
  <c r="J5" i="30" s="1"/>
  <c r="E9" i="6"/>
  <c r="C10" i="21"/>
  <c r="C28" i="21" s="1"/>
  <c r="E28" i="4"/>
  <c r="E65" i="4" s="1"/>
  <c r="D56" i="21"/>
  <c r="E38" i="21" s="1"/>
  <c r="E56" i="21" s="1"/>
  <c r="F38" i="21" s="1"/>
  <c r="F56" i="21" s="1"/>
  <c r="C13" i="21"/>
  <c r="C31" i="21" s="1"/>
  <c r="E31" i="4"/>
  <c r="E68" i="4" s="1"/>
  <c r="D26" i="4"/>
  <c r="E14" i="46"/>
  <c r="E57" i="23"/>
  <c r="D17" i="19"/>
  <c r="M28" i="6"/>
  <c r="H28" i="6"/>
  <c r="E6" i="46"/>
  <c r="E43" i="32"/>
  <c r="E28" i="8"/>
  <c r="C23" i="24"/>
  <c r="C28" i="24" s="1"/>
  <c r="D5" i="19"/>
  <c r="D40" i="5"/>
  <c r="D7" i="19" s="1"/>
  <c r="C10" i="17"/>
  <c r="G58" i="18" s="1"/>
  <c r="D1" i="19"/>
  <c r="C4" i="5"/>
  <c r="D23" i="21"/>
  <c r="D17" i="24" s="1"/>
  <c r="E12" i="23"/>
  <c r="F11" i="23" s="1"/>
  <c r="E35" i="24"/>
  <c r="H29" i="37"/>
  <c r="J29" i="37" s="1"/>
  <c r="C33" i="22"/>
  <c r="G17" i="49"/>
  <c r="F17" i="49"/>
  <c r="E17" i="49"/>
  <c r="D17" i="49"/>
  <c r="C17" i="49"/>
  <c r="G28" i="37"/>
  <c r="K44" i="36"/>
  <c r="B19" i="27"/>
  <c r="C5" i="19"/>
  <c r="D16" i="9"/>
  <c r="C40" i="5"/>
  <c r="C7" i="19" s="1"/>
  <c r="D15" i="9"/>
  <c r="E7" i="28"/>
  <c r="I5" i="6"/>
  <c r="E4" i="8"/>
  <c r="C4" i="24" s="1"/>
  <c r="D4" i="24" s="1"/>
  <c r="E4" i="24" s="1"/>
  <c r="F4" i="24" s="1"/>
  <c r="G4" i="24" s="1"/>
  <c r="D6" i="10"/>
  <c r="E6" i="10" s="1"/>
  <c r="F6" i="10" s="1"/>
  <c r="G6" i="10" s="1"/>
  <c r="H6" i="10" s="1"/>
  <c r="I6" i="10" s="1"/>
  <c r="J6" i="10" s="1"/>
  <c r="D5" i="6"/>
  <c r="K6" i="37"/>
  <c r="E23" i="21"/>
  <c r="E17" i="24" s="1"/>
  <c r="F17" i="21"/>
  <c r="F23" i="21" s="1"/>
  <c r="F17" i="24" s="1"/>
  <c r="E32" i="8"/>
  <c r="C32" i="24"/>
  <c r="G13" i="37"/>
  <c r="F12" i="30"/>
  <c r="J12" i="30" s="1"/>
  <c r="E40" i="5"/>
  <c r="E7" i="19" s="1"/>
  <c r="E5" i="19"/>
  <c r="C44" i="31"/>
  <c r="C51" i="31"/>
  <c r="C80" i="31"/>
  <c r="C37" i="31"/>
  <c r="C22" i="31"/>
  <c r="C15" i="31"/>
  <c r="C8" i="31"/>
  <c r="C73" i="31"/>
  <c r="C66" i="31"/>
  <c r="D20" i="23"/>
  <c r="D8" i="46"/>
  <c r="E15" i="19"/>
  <c r="C7" i="38"/>
  <c r="F9" i="30"/>
  <c r="J9" i="30" s="1"/>
  <c r="G10" i="37"/>
  <c r="E2" i="19"/>
  <c r="F14" i="9"/>
  <c r="D9" i="23"/>
  <c r="C21" i="23"/>
  <c r="C8" i="46"/>
  <c r="D15" i="19"/>
  <c r="C6" i="22"/>
  <c r="E12" i="4"/>
  <c r="D67" i="4"/>
  <c r="D12" i="33"/>
  <c r="H7" i="34"/>
  <c r="H10" i="34" s="1"/>
  <c r="G18" i="49"/>
  <c r="F18" i="49"/>
  <c r="E18" i="49"/>
  <c r="D18" i="49"/>
  <c r="C18" i="49"/>
  <c r="E3" i="46"/>
  <c r="D4" i="46"/>
  <c r="E4" i="46" s="1"/>
  <c r="B37" i="49"/>
  <c r="C31" i="39" s="1"/>
  <c r="D33" i="35"/>
  <c r="C16" i="32"/>
  <c r="E9" i="32"/>
  <c r="E16" i="32" s="1"/>
  <c r="B12" i="41"/>
  <c r="B13" i="41" s="1"/>
  <c r="D19" i="49"/>
  <c r="C19" i="49"/>
  <c r="G19" i="49"/>
  <c r="F19" i="49"/>
  <c r="E19" i="49"/>
  <c r="C36" i="21"/>
  <c r="E54" i="4"/>
  <c r="D3" i="47"/>
  <c r="D38" i="23"/>
  <c r="E37" i="23" s="1"/>
  <c r="E32" i="32"/>
  <c r="F16" i="49"/>
  <c r="E16" i="49"/>
  <c r="D16" i="49"/>
  <c r="C16" i="49"/>
  <c r="G16" i="49"/>
  <c r="D16" i="23"/>
  <c r="E15" i="23" s="1"/>
  <c r="D34" i="22"/>
  <c r="D40" i="23"/>
  <c r="E39" i="23" s="1"/>
  <c r="D9" i="24"/>
  <c r="C11" i="21"/>
  <c r="C29" i="21" s="1"/>
  <c r="E29" i="4"/>
  <c r="B7" i="38"/>
  <c r="C9" i="38"/>
  <c r="D2" i="19"/>
  <c r="E14" i="9"/>
  <c r="D22" i="6"/>
  <c r="D14" i="19"/>
  <c r="D5" i="8"/>
  <c r="D11" i="8" s="1"/>
  <c r="D19" i="6"/>
  <c r="E7" i="9" s="1"/>
  <c r="H18" i="6"/>
  <c r="F15" i="9"/>
  <c r="C64" i="4"/>
  <c r="D9" i="4"/>
  <c r="D27" i="4" s="1"/>
  <c r="D59" i="21"/>
  <c r="E41" i="21" s="1"/>
  <c r="E59" i="21" s="1"/>
  <c r="F41" i="21" s="1"/>
  <c r="F59" i="21" s="1"/>
  <c r="P58" i="18" l="1"/>
  <c r="U58" i="18" s="1"/>
  <c r="F34" i="16"/>
  <c r="D3" i="42" s="1"/>
  <c r="H29" i="30"/>
  <c r="E13" i="23"/>
  <c r="F13" i="23" s="1"/>
  <c r="F8" i="24" s="1"/>
  <c r="C5" i="8"/>
  <c r="C11" i="8" s="1"/>
  <c r="D26" i="9" s="1"/>
  <c r="K14" i="23"/>
  <c r="C15" i="19"/>
  <c r="C14" i="19"/>
  <c r="D26" i="30"/>
  <c r="G26" i="30" s="1"/>
  <c r="I26" i="30" s="1"/>
  <c r="M18" i="6"/>
  <c r="L18" i="6"/>
  <c r="C45" i="23"/>
  <c r="D55" i="21"/>
  <c r="E37" i="21" s="1"/>
  <c r="E55" i="21" s="1"/>
  <c r="F37" i="21" s="1"/>
  <c r="F55" i="21" s="1"/>
  <c r="I37" i="37"/>
  <c r="G38" i="37" s="1"/>
  <c r="D15" i="25"/>
  <c r="C19" i="6"/>
  <c r="D7" i="9" s="1"/>
  <c r="C22" i="6"/>
  <c r="C23" i="6" s="1"/>
  <c r="B11" i="49"/>
  <c r="B12" i="49" s="1"/>
  <c r="B13" i="49" s="1"/>
  <c r="B15" i="49" s="1"/>
  <c r="C7" i="39" s="1"/>
  <c r="D24" i="10"/>
  <c r="E24" i="10" s="1"/>
  <c r="F24" i="10" s="1"/>
  <c r="G24" i="10" s="1"/>
  <c r="H24" i="10" s="1"/>
  <c r="I24" i="10" s="1"/>
  <c r="J24" i="10" s="1"/>
  <c r="D8" i="26"/>
  <c r="D51" i="21"/>
  <c r="D22" i="22" s="1"/>
  <c r="F15" i="19" s="1"/>
  <c r="D24" i="24"/>
  <c r="E31" i="22"/>
  <c r="E24" i="24" s="1"/>
  <c r="E49" i="23"/>
  <c r="F48" i="23" s="1"/>
  <c r="F52" i="23" s="1"/>
  <c r="H6" i="19" s="1"/>
  <c r="G16" i="9"/>
  <c r="O28" i="6"/>
  <c r="G14" i="9"/>
  <c r="J8" i="6"/>
  <c r="D20" i="10"/>
  <c r="D10" i="22" s="1"/>
  <c r="F11" i="19" s="1"/>
  <c r="J28" i="6"/>
  <c r="H28" i="37"/>
  <c r="J28" i="37" s="1"/>
  <c r="J30" i="37" s="1"/>
  <c r="J33" i="37" s="1"/>
  <c r="J34" i="37" s="1"/>
  <c r="G15" i="9"/>
  <c r="K18" i="23"/>
  <c r="D57" i="4"/>
  <c r="D42" i="4"/>
  <c r="D60" i="4" s="1"/>
  <c r="D20" i="5" s="1"/>
  <c r="N20" i="5" s="1"/>
  <c r="D10" i="24"/>
  <c r="E40" i="23"/>
  <c r="F39" i="23" s="1"/>
  <c r="E9" i="24"/>
  <c r="E42" i="23"/>
  <c r="D64" i="4"/>
  <c r="D23" i="19" s="1"/>
  <c r="E9" i="4"/>
  <c r="E38" i="23"/>
  <c r="F37" i="23" s="1"/>
  <c r="D9" i="22"/>
  <c r="F10" i="19"/>
  <c r="E8" i="22"/>
  <c r="D15" i="22"/>
  <c r="D45" i="23"/>
  <c r="E15" i="25"/>
  <c r="F10" i="25"/>
  <c r="F13" i="25" s="1"/>
  <c r="B6" i="45"/>
  <c r="C11" i="34"/>
  <c r="C12" i="21"/>
  <c r="C30" i="21" s="1"/>
  <c r="E30" i="4"/>
  <c r="E67" i="4" s="1"/>
  <c r="C65" i="21"/>
  <c r="D10" i="21"/>
  <c r="D28" i="21" s="1"/>
  <c r="E19" i="23"/>
  <c r="G15" i="37"/>
  <c r="K14" i="37" s="1"/>
  <c r="F12" i="23"/>
  <c r="K12" i="23" s="1"/>
  <c r="F35" i="24"/>
  <c r="C23" i="19"/>
  <c r="C69" i="4"/>
  <c r="D11" i="21"/>
  <c r="D29" i="21" s="1"/>
  <c r="E8" i="20"/>
  <c r="D10" i="26"/>
  <c r="E34" i="22"/>
  <c r="F18" i="19"/>
  <c r="D13" i="24"/>
  <c r="C11" i="46"/>
  <c r="C9" i="46"/>
  <c r="D32" i="6"/>
  <c r="D16" i="19"/>
  <c r="D23" i="6"/>
  <c r="H22" i="6"/>
  <c r="E22" i="9"/>
  <c r="C54" i="21"/>
  <c r="D36" i="21" s="1"/>
  <c r="E5" i="23"/>
  <c r="F1" i="19"/>
  <c r="D6" i="22"/>
  <c r="J7" i="28"/>
  <c r="E39" i="28"/>
  <c r="E8" i="4"/>
  <c r="D63" i="4"/>
  <c r="C12" i="22"/>
  <c r="F6" i="9"/>
  <c r="G6" i="9" s="1"/>
  <c r="C20" i="49"/>
  <c r="D5" i="49"/>
  <c r="C6" i="49"/>
  <c r="E8" i="46"/>
  <c r="D30" i="22"/>
  <c r="D9" i="26"/>
  <c r="D33" i="22"/>
  <c r="F17" i="19" s="1"/>
  <c r="E29" i="22"/>
  <c r="D25" i="24"/>
  <c r="D14" i="4"/>
  <c r="D32" i="4" s="1"/>
  <c r="D19" i="5" s="1"/>
  <c r="B8" i="38"/>
  <c r="C24" i="5"/>
  <c r="G164" i="59"/>
  <c r="G112" i="59"/>
  <c r="G50" i="59"/>
  <c r="G218" i="59"/>
  <c r="G206" i="59"/>
  <c r="G194" i="59"/>
  <c r="G178" i="59"/>
  <c r="G170" i="59"/>
  <c r="G163" i="59"/>
  <c r="G141" i="59"/>
  <c r="G111" i="59"/>
  <c r="G97" i="59"/>
  <c r="G81" i="59"/>
  <c r="G73" i="59"/>
  <c r="G49" i="59"/>
  <c r="G28" i="59"/>
  <c r="G14" i="59"/>
  <c r="G134" i="59"/>
  <c r="G110" i="59"/>
  <c r="G217" i="59"/>
  <c r="G205" i="59"/>
  <c r="G193" i="59"/>
  <c r="G177" i="59"/>
  <c r="G169" i="59"/>
  <c r="G156" i="59"/>
  <c r="G140" i="59"/>
  <c r="G133" i="59"/>
  <c r="G109" i="59"/>
  <c r="G92" i="59"/>
  <c r="G80" i="59"/>
  <c r="G36" i="59"/>
  <c r="G27" i="59"/>
  <c r="G13" i="59"/>
  <c r="G4" i="59"/>
  <c r="G128" i="59"/>
  <c r="G104" i="59"/>
  <c r="G62" i="59"/>
  <c r="G224" i="59"/>
  <c r="G208" i="59"/>
  <c r="G200" i="59"/>
  <c r="G188" i="59"/>
  <c r="G176" i="59"/>
  <c r="G155" i="59"/>
  <c r="G139" i="59"/>
  <c r="G127" i="59"/>
  <c r="G103" i="59"/>
  <c r="G91" i="59"/>
  <c r="G79" i="59"/>
  <c r="G61" i="59"/>
  <c r="G35" i="59"/>
  <c r="G12" i="59"/>
  <c r="G3" i="59"/>
  <c r="G122" i="59"/>
  <c r="G68" i="59"/>
  <c r="G52" i="59"/>
  <c r="G44" i="59"/>
  <c r="G223" i="59"/>
  <c r="G207" i="59"/>
  <c r="G199" i="59"/>
  <c r="G187" i="59"/>
  <c r="G175" i="59"/>
  <c r="G142" i="59"/>
  <c r="G121" i="59"/>
  <c r="G98" i="59"/>
  <c r="G82" i="59"/>
  <c r="G74" i="59"/>
  <c r="G67" i="59"/>
  <c r="G51" i="59"/>
  <c r="G43" i="59"/>
  <c r="G11" i="59"/>
  <c r="C1" i="19"/>
  <c r="B1" i="19" s="1"/>
  <c r="B5" i="13"/>
  <c r="C5" i="4"/>
  <c r="F57" i="23"/>
  <c r="D13" i="21"/>
  <c r="D31" i="21" s="1"/>
  <c r="C68" i="21"/>
  <c r="E30" i="9"/>
  <c r="D19" i="8"/>
  <c r="E28" i="9"/>
  <c r="E26" i="9"/>
  <c r="D30" i="8"/>
  <c r="E16" i="23"/>
  <c r="G9" i="49"/>
  <c r="F9" i="49"/>
  <c r="E9" i="49"/>
  <c r="D9" i="49"/>
  <c r="C9" i="49"/>
  <c r="C10" i="49" s="1"/>
  <c r="C23" i="49" s="1"/>
  <c r="D21" i="23"/>
  <c r="D10" i="23"/>
  <c r="E9" i="23" s="1"/>
  <c r="D36" i="24"/>
  <c r="D33" i="24"/>
  <c r="E32" i="24" s="1"/>
  <c r="D7" i="28"/>
  <c r="D4" i="8"/>
  <c r="H5" i="6"/>
  <c r="C5" i="6"/>
  <c r="G7" i="37"/>
  <c r="K7" i="37" s="1"/>
  <c r="K43" i="36"/>
  <c r="F6" i="30"/>
  <c r="J6" i="30" s="1"/>
  <c r="E14" i="19"/>
  <c r="I18" i="6"/>
  <c r="J18" i="6" s="1"/>
  <c r="E5" i="8"/>
  <c r="E11" i="8" s="1"/>
  <c r="E22" i="6"/>
  <c r="N18" i="6"/>
  <c r="C5" i="24"/>
  <c r="C11" i="24" s="1"/>
  <c r="E19" i="6"/>
  <c r="F7" i="9" s="1"/>
  <c r="E51" i="21"/>
  <c r="F45" i="21"/>
  <c r="F51" i="21" s="1"/>
  <c r="D7" i="49"/>
  <c r="C7" i="49"/>
  <c r="C8" i="49" s="1"/>
  <c r="G7" i="49"/>
  <c r="F7" i="49"/>
  <c r="E7" i="49"/>
  <c r="F35" i="16" l="1"/>
  <c r="F36" i="16" s="1"/>
  <c r="C3" i="42" s="1"/>
  <c r="C9" i="42" s="1"/>
  <c r="E8" i="24"/>
  <c r="E10" i="24" s="1"/>
  <c r="B26" i="49"/>
  <c r="C8" i="39" s="1"/>
  <c r="C9" i="39" s="1"/>
  <c r="C19" i="8"/>
  <c r="D30" i="9"/>
  <c r="C30" i="8"/>
  <c r="G7" i="9"/>
  <c r="D28" i="9"/>
  <c r="O18" i="6"/>
  <c r="D11" i="49"/>
  <c r="D12" i="49" s="1"/>
  <c r="B9" i="46"/>
  <c r="M22" i="6"/>
  <c r="C32" i="6"/>
  <c r="M32" i="6" s="1"/>
  <c r="E32" i="22"/>
  <c r="F11" i="49"/>
  <c r="E11" i="49"/>
  <c r="E8" i="26"/>
  <c r="G11" i="49"/>
  <c r="B27" i="49"/>
  <c r="C16" i="39" s="1"/>
  <c r="C18" i="39" s="1"/>
  <c r="C11" i="49"/>
  <c r="C12" i="49" s="1"/>
  <c r="C13" i="49" s="1"/>
  <c r="C15" i="49" s="1"/>
  <c r="B11" i="46"/>
  <c r="L22" i="6"/>
  <c r="C16" i="19"/>
  <c r="F31" i="22"/>
  <c r="F8" i="26" s="1"/>
  <c r="D16" i="22"/>
  <c r="D17" i="22" s="1"/>
  <c r="F13" i="19" s="1"/>
  <c r="G22" i="6"/>
  <c r="D22" i="9"/>
  <c r="E20" i="10"/>
  <c r="F20" i="10" s="1"/>
  <c r="D28" i="24"/>
  <c r="D52" i="21"/>
  <c r="F49" i="23"/>
  <c r="E45" i="23"/>
  <c r="G7" i="19" s="1"/>
  <c r="F41" i="23"/>
  <c r="F42" i="23" s="1"/>
  <c r="E39" i="4"/>
  <c r="D66" i="4"/>
  <c r="D24" i="19" s="1"/>
  <c r="D11" i="22"/>
  <c r="F12" i="19" s="1"/>
  <c r="C21" i="49"/>
  <c r="C22" i="49"/>
  <c r="E21" i="23"/>
  <c r="E10" i="23"/>
  <c r="F9" i="23" s="1"/>
  <c r="E36" i="24"/>
  <c r="E33" i="24"/>
  <c r="F32" i="24" s="1"/>
  <c r="D54" i="21"/>
  <c r="E36" i="21" s="1"/>
  <c r="B18" i="48"/>
  <c r="B31" i="49"/>
  <c r="A19" i="50"/>
  <c r="B23" i="39"/>
  <c r="F8" i="22"/>
  <c r="E16" i="22"/>
  <c r="G10" i="19"/>
  <c r="E9" i="22"/>
  <c r="E15" i="22"/>
  <c r="C30" i="24"/>
  <c r="C19" i="24"/>
  <c r="F15" i="23"/>
  <c r="F16" i="23" s="1"/>
  <c r="K16" i="23" s="1"/>
  <c r="D7" i="11"/>
  <c r="D11" i="11" s="1"/>
  <c r="D35" i="6"/>
  <c r="D19" i="19"/>
  <c r="H32" i="6"/>
  <c r="F15" i="25"/>
  <c r="G10" i="25"/>
  <c r="G13" i="25" s="1"/>
  <c r="C9" i="21"/>
  <c r="C27" i="21" s="1"/>
  <c r="E27" i="4"/>
  <c r="E64" i="4" s="1"/>
  <c r="J35" i="37"/>
  <c r="J36" i="37" s="1"/>
  <c r="J38" i="37" s="1"/>
  <c r="B12" i="48"/>
  <c r="B14" i="48" s="1"/>
  <c r="C11" i="51"/>
  <c r="K42" i="36"/>
  <c r="G8" i="37"/>
  <c r="K8" i="37" s="1"/>
  <c r="D11" i="46"/>
  <c r="D9" i="46"/>
  <c r="E16" i="19"/>
  <c r="N22" i="6"/>
  <c r="C25" i="22"/>
  <c r="C36" i="22" s="1"/>
  <c r="C39" i="22" s="1"/>
  <c r="C40" i="22" s="1"/>
  <c r="I22" i="6"/>
  <c r="E32" i="6"/>
  <c r="F22" i="9"/>
  <c r="E23" i="6"/>
  <c r="F28" i="9"/>
  <c r="F26" i="9"/>
  <c r="G26" i="9" s="1"/>
  <c r="E19" i="8"/>
  <c r="F30" i="9"/>
  <c r="E30" i="8"/>
  <c r="C7" i="28"/>
  <c r="G5" i="6"/>
  <c r="C4" i="8"/>
  <c r="J5" i="8" s="1"/>
  <c r="F2" i="19"/>
  <c r="E11" i="21"/>
  <c r="E29" i="21" s="1"/>
  <c r="C26" i="22"/>
  <c r="D8" i="9"/>
  <c r="G23" i="6"/>
  <c r="D65" i="21"/>
  <c r="E10" i="21"/>
  <c r="E28" i="21" s="1"/>
  <c r="F5" i="19"/>
  <c r="F7" i="19"/>
  <c r="F40" i="23"/>
  <c r="F9" i="24"/>
  <c r="F10" i="24" s="1"/>
  <c r="N19" i="5"/>
  <c r="D21" i="5"/>
  <c r="I7" i="28"/>
  <c r="D39" i="28"/>
  <c r="C5" i="13"/>
  <c r="D4" i="9"/>
  <c r="C3" i="19"/>
  <c r="C26" i="5"/>
  <c r="F22" i="22"/>
  <c r="H15" i="19" s="1"/>
  <c r="F52" i="21"/>
  <c r="E9" i="26"/>
  <c r="F29" i="22"/>
  <c r="E33" i="22"/>
  <c r="G17" i="19" s="1"/>
  <c r="E30" i="22"/>
  <c r="E25" i="24"/>
  <c r="E28" i="24" s="1"/>
  <c r="C8" i="21"/>
  <c r="E26" i="4"/>
  <c r="E63" i="4" s="1"/>
  <c r="E14" i="4"/>
  <c r="E32" i="4" s="1"/>
  <c r="E19" i="5" s="1"/>
  <c r="H23" i="6"/>
  <c r="E8" i="9"/>
  <c r="F34" i="22"/>
  <c r="E10" i="26"/>
  <c r="G18" i="19"/>
  <c r="F8" i="20"/>
  <c r="E13" i="24"/>
  <c r="E20" i="23"/>
  <c r="F19" i="23" s="1"/>
  <c r="F20" i="23" s="1"/>
  <c r="D12" i="21"/>
  <c r="D30" i="21" s="1"/>
  <c r="C67" i="21"/>
  <c r="F38" i="23"/>
  <c r="C5" i="7"/>
  <c r="C5" i="11" s="1"/>
  <c r="C5" i="12" s="1"/>
  <c r="B5" i="20" s="1"/>
  <c r="C5" i="20" s="1"/>
  <c r="D5" i="20" s="1"/>
  <c r="E5" i="20" s="1"/>
  <c r="F5" i="20" s="1"/>
  <c r="G5" i="20" s="1"/>
  <c r="H5" i="20" s="1"/>
  <c r="I5" i="20" s="1"/>
  <c r="J5" i="20" s="1"/>
  <c r="K5" i="20" s="1"/>
  <c r="D5" i="4"/>
  <c r="E5" i="4" s="1"/>
  <c r="D22" i="19"/>
  <c r="G1" i="19"/>
  <c r="F5" i="23"/>
  <c r="E6" i="22"/>
  <c r="K13" i="37"/>
  <c r="E52" i="21"/>
  <c r="E22" i="22"/>
  <c r="G15" i="19" s="1"/>
  <c r="D68" i="21"/>
  <c r="E13" i="21"/>
  <c r="E31" i="21" s="1"/>
  <c r="D20" i="49"/>
  <c r="D8" i="49"/>
  <c r="E5" i="49"/>
  <c r="D10" i="49"/>
  <c r="D23" i="49" s="1"/>
  <c r="D6" i="49"/>
  <c r="J39" i="28"/>
  <c r="E63" i="28"/>
  <c r="G30" i="9" l="1"/>
  <c r="G28" i="9"/>
  <c r="B28" i="49"/>
  <c r="E9" i="46"/>
  <c r="L32" i="6"/>
  <c r="G32" i="6"/>
  <c r="C35" i="6"/>
  <c r="C9" i="28" s="1"/>
  <c r="C7" i="11"/>
  <c r="C11" i="11" s="1"/>
  <c r="C13" i="11" s="1"/>
  <c r="C17" i="11" s="1"/>
  <c r="C19" i="11" s="1"/>
  <c r="C7" i="12" s="1"/>
  <c r="C9" i="12" s="1"/>
  <c r="C20" i="12" s="1"/>
  <c r="C19" i="19"/>
  <c r="F32" i="22"/>
  <c r="O22" i="6"/>
  <c r="C20" i="39"/>
  <c r="C27" i="49"/>
  <c r="D16" i="39" s="1"/>
  <c r="C26" i="49"/>
  <c r="D8" i="39" s="1"/>
  <c r="F24" i="24"/>
  <c r="E10" i="22"/>
  <c r="G11" i="19" s="1"/>
  <c r="J22" i="6"/>
  <c r="G22" i="9"/>
  <c r="D12" i="22"/>
  <c r="G5" i="19"/>
  <c r="C39" i="21"/>
  <c r="E57" i="4"/>
  <c r="E66" i="4" s="1"/>
  <c r="E24" i="19" s="1"/>
  <c r="E42" i="4"/>
  <c r="E60" i="4" s="1"/>
  <c r="E20" i="5" s="1"/>
  <c r="E21" i="5" s="1"/>
  <c r="D69" i="4"/>
  <c r="B6" i="38" s="1"/>
  <c r="B10" i="38" s="1"/>
  <c r="F45" i="23"/>
  <c r="H5" i="19" s="1"/>
  <c r="C24" i="49"/>
  <c r="C25" i="49" s="1"/>
  <c r="D12" i="39" s="1"/>
  <c r="D14" i="39" s="1"/>
  <c r="J42" i="37"/>
  <c r="J39" i="37"/>
  <c r="D5" i="40"/>
  <c r="B4" i="38"/>
  <c r="D5" i="13"/>
  <c r="E4" i="9"/>
  <c r="C39" i="28"/>
  <c r="H7" i="28"/>
  <c r="F9" i="26"/>
  <c r="F30" i="22"/>
  <c r="F33" i="22"/>
  <c r="H17" i="19" s="1"/>
  <c r="F25" i="24"/>
  <c r="F11" i="21"/>
  <c r="F29" i="21" s="1"/>
  <c r="C7" i="26"/>
  <c r="C11" i="26" s="1"/>
  <c r="N32" i="6"/>
  <c r="E35" i="6"/>
  <c r="I32" i="6"/>
  <c r="E19" i="19"/>
  <c r="E7" i="11"/>
  <c r="E11" i="11" s="1"/>
  <c r="E54" i="21"/>
  <c r="F36" i="21" s="1"/>
  <c r="D7" i="39"/>
  <c r="E12" i="21"/>
  <c r="E30" i="21" s="1"/>
  <c r="D67" i="21"/>
  <c r="F10" i="26"/>
  <c r="H18" i="19"/>
  <c r="G8" i="20"/>
  <c r="F13" i="24"/>
  <c r="C8" i="38"/>
  <c r="D24" i="5"/>
  <c r="N21" i="5"/>
  <c r="D21" i="49"/>
  <c r="D22" i="49"/>
  <c r="D27" i="49"/>
  <c r="E16" i="39" s="1"/>
  <c r="D26" i="49"/>
  <c r="E8" i="39" s="1"/>
  <c r="K20" i="23"/>
  <c r="C19" i="32"/>
  <c r="E19" i="32" s="1"/>
  <c r="C25" i="23"/>
  <c r="O19" i="5"/>
  <c r="P19" i="5" s="1"/>
  <c r="B11" i="51"/>
  <c r="D11" i="51" s="1"/>
  <c r="E11" i="51" s="1"/>
  <c r="D12" i="35"/>
  <c r="D14" i="35" s="1"/>
  <c r="D25" i="35" s="1"/>
  <c r="F16" i="22"/>
  <c r="H10" i="19"/>
  <c r="F9" i="22"/>
  <c r="F15" i="22"/>
  <c r="E23" i="39"/>
  <c r="H23" i="39"/>
  <c r="G23" i="39"/>
  <c r="F23" i="39"/>
  <c r="D23" i="39"/>
  <c r="E67" i="28"/>
  <c r="J67" i="28" s="1"/>
  <c r="J63" i="28"/>
  <c r="E22" i="19"/>
  <c r="H72" i="4"/>
  <c r="H73" i="4" s="1"/>
  <c r="H74" i="4" s="1"/>
  <c r="G63" i="4"/>
  <c r="H63" i="4" s="1"/>
  <c r="H67" i="4" s="1"/>
  <c r="E65" i="21"/>
  <c r="F10" i="21"/>
  <c r="F28" i="21" s="1"/>
  <c r="F65" i="21" s="1"/>
  <c r="C26" i="21"/>
  <c r="C14" i="21"/>
  <c r="C32" i="21" s="1"/>
  <c r="G13" i="5"/>
  <c r="C4" i="19"/>
  <c r="B8" i="13"/>
  <c r="B12" i="13" s="1"/>
  <c r="G9" i="5"/>
  <c r="G10" i="5"/>
  <c r="G11" i="5"/>
  <c r="G12" i="5"/>
  <c r="G8" i="5"/>
  <c r="D19" i="9"/>
  <c r="G20" i="5"/>
  <c r="G19" i="5"/>
  <c r="D63" i="28"/>
  <c r="I39" i="28"/>
  <c r="F10" i="23"/>
  <c r="K10" i="23" s="1"/>
  <c r="F21" i="23"/>
  <c r="F33" i="24"/>
  <c r="F36" i="24"/>
  <c r="F10" i="22"/>
  <c r="H11" i="19" s="1"/>
  <c r="G20" i="10"/>
  <c r="H20" i="10" s="1"/>
  <c r="I20" i="10" s="1"/>
  <c r="J20" i="10" s="1"/>
  <c r="E68" i="21"/>
  <c r="F13" i="21"/>
  <c r="F31" i="21" s="1"/>
  <c r="F68" i="21" s="1"/>
  <c r="E23" i="19"/>
  <c r="C10" i="46"/>
  <c r="D9" i="28"/>
  <c r="D11" i="17"/>
  <c r="H59" i="18" s="1"/>
  <c r="D21" i="19"/>
  <c r="H35" i="6"/>
  <c r="D36" i="6"/>
  <c r="E9" i="9" s="1"/>
  <c r="D14" i="17" s="1"/>
  <c r="H62" i="18" s="1"/>
  <c r="D46" i="5"/>
  <c r="C10" i="51"/>
  <c r="G29" i="49"/>
  <c r="F29" i="49"/>
  <c r="E29" i="49"/>
  <c r="D29" i="49"/>
  <c r="C29" i="49"/>
  <c r="F6" i="22"/>
  <c r="H1" i="19"/>
  <c r="D13" i="49"/>
  <c r="D15" i="49" s="1"/>
  <c r="D5" i="7"/>
  <c r="D5" i="11" s="1"/>
  <c r="D5" i="12" s="1"/>
  <c r="G44" i="4"/>
  <c r="G16" i="4"/>
  <c r="D19" i="22"/>
  <c r="I23" i="6"/>
  <c r="J23" i="6" s="1"/>
  <c r="F8" i="9"/>
  <c r="G8" i="9" s="1"/>
  <c r="D9" i="21"/>
  <c r="D27" i="21" s="1"/>
  <c r="C64" i="21"/>
  <c r="D13" i="11"/>
  <c r="D17" i="11" s="1"/>
  <c r="D19" i="11" s="1"/>
  <c r="D7" i="12" s="1"/>
  <c r="D9" i="12" s="1"/>
  <c r="D20" i="12" s="1"/>
  <c r="E17" i="22"/>
  <c r="G13" i="19" s="1"/>
  <c r="B9" i="51"/>
  <c r="C28" i="35"/>
  <c r="G2" i="19"/>
  <c r="E20" i="49"/>
  <c r="E12" i="49"/>
  <c r="E8" i="49"/>
  <c r="F5" i="49"/>
  <c r="E10" i="49"/>
  <c r="E23" i="49" s="1"/>
  <c r="E6" i="49"/>
  <c r="H10" i="25"/>
  <c r="H13" i="25" s="1"/>
  <c r="G15" i="25"/>
  <c r="E11" i="22" l="1"/>
  <c r="E19" i="22" s="1"/>
  <c r="C46" i="5"/>
  <c r="C47" i="5" s="1"/>
  <c r="C21" i="19"/>
  <c r="C36" i="6"/>
  <c r="D9" i="9" s="1"/>
  <c r="M35" i="6"/>
  <c r="L35" i="6"/>
  <c r="O32" i="6"/>
  <c r="B10" i="46"/>
  <c r="G35" i="6"/>
  <c r="D10" i="9"/>
  <c r="J32" i="6"/>
  <c r="E69" i="4"/>
  <c r="C6" i="38" s="1"/>
  <c r="C10" i="38" s="1"/>
  <c r="D18" i="39"/>
  <c r="D9" i="39"/>
  <c r="G64" i="4"/>
  <c r="I67" i="4" s="1"/>
  <c r="F28" i="24"/>
  <c r="D24" i="49"/>
  <c r="D25" i="49" s="1"/>
  <c r="E12" i="39" s="1"/>
  <c r="E14" i="39" s="1"/>
  <c r="E18" i="39" s="1"/>
  <c r="C28" i="49"/>
  <c r="C30" i="49" s="1"/>
  <c r="H7" i="19"/>
  <c r="C26" i="23"/>
  <c r="C31" i="23" s="1"/>
  <c r="C33" i="23" s="1"/>
  <c r="O20" i="5"/>
  <c r="P20" i="5" s="1"/>
  <c r="C27" i="23"/>
  <c r="F11" i="22"/>
  <c r="F12" i="22" s="1"/>
  <c r="C57" i="21"/>
  <c r="C42" i="21"/>
  <c r="C60" i="21" s="1"/>
  <c r="E21" i="49"/>
  <c r="E22" i="49"/>
  <c r="D65" i="28"/>
  <c r="E13" i="49"/>
  <c r="E15" i="49" s="1"/>
  <c r="C63" i="21"/>
  <c r="D8" i="21"/>
  <c r="E13" i="11"/>
  <c r="E17" i="11" s="1"/>
  <c r="E19" i="11" s="1"/>
  <c r="E7" i="12" s="1"/>
  <c r="E9" i="12" s="1"/>
  <c r="E20" i="12" s="1"/>
  <c r="C4" i="38"/>
  <c r="F4" i="9"/>
  <c r="B12" i="38"/>
  <c r="B14" i="38" s="1"/>
  <c r="C13" i="13"/>
  <c r="H15" i="25"/>
  <c r="I10" i="25"/>
  <c r="I13" i="25" s="1"/>
  <c r="F20" i="49"/>
  <c r="F12" i="49"/>
  <c r="F8" i="49"/>
  <c r="G5" i="49"/>
  <c r="F10" i="49"/>
  <c r="F23" i="49" s="1"/>
  <c r="F6" i="49"/>
  <c r="E9" i="51"/>
  <c r="D9" i="51"/>
  <c r="B3" i="48"/>
  <c r="B7" i="48" s="1"/>
  <c r="B9" i="47"/>
  <c r="C28" i="23"/>
  <c r="D7" i="33"/>
  <c r="C20" i="32"/>
  <c r="E20" i="32" s="1"/>
  <c r="E22" i="32" s="1"/>
  <c r="E24" i="32" s="1"/>
  <c r="E51" i="32" s="1"/>
  <c r="E53" i="32" s="1"/>
  <c r="E24" i="5"/>
  <c r="O21" i="5"/>
  <c r="P21" i="5" s="1"/>
  <c r="B7" i="20"/>
  <c r="B9" i="20" s="1"/>
  <c r="B7" i="13"/>
  <c r="D27" i="9"/>
  <c r="E27" i="9"/>
  <c r="C7" i="13"/>
  <c r="C7" i="20"/>
  <c r="C9" i="20" s="1"/>
  <c r="C5" i="21"/>
  <c r="D5" i="21" s="1"/>
  <c r="E5" i="21" s="1"/>
  <c r="F5" i="21" s="1"/>
  <c r="H16" i="4"/>
  <c r="E5" i="7"/>
  <c r="H44" i="4"/>
  <c r="D10" i="51"/>
  <c r="E10" i="51"/>
  <c r="D67" i="28"/>
  <c r="I67" i="28" s="1"/>
  <c r="I63" i="28"/>
  <c r="D10" i="46"/>
  <c r="F7" i="30"/>
  <c r="J7" i="30" s="1"/>
  <c r="E9" i="28"/>
  <c r="E65" i="28" s="1"/>
  <c r="E36" i="6"/>
  <c r="F9" i="9" s="1"/>
  <c r="I35" i="6"/>
  <c r="H36" i="6" s="1"/>
  <c r="M11" i="17"/>
  <c r="Q59" i="18" s="1"/>
  <c r="N35" i="6"/>
  <c r="E21" i="19"/>
  <c r="E46" i="5"/>
  <c r="D25" i="22"/>
  <c r="F14" i="19"/>
  <c r="D20" i="22"/>
  <c r="D5" i="24"/>
  <c r="E67" i="21"/>
  <c r="F12" i="21"/>
  <c r="F30" i="21" s="1"/>
  <c r="F67" i="21" s="1"/>
  <c r="D3" i="19"/>
  <c r="N24" i="5"/>
  <c r="D26" i="5"/>
  <c r="F54" i="21"/>
  <c r="C13" i="26"/>
  <c r="C17" i="26" s="1"/>
  <c r="C19" i="26" s="1"/>
  <c r="D47" i="5"/>
  <c r="C63" i="28"/>
  <c r="H39" i="28"/>
  <c r="E27" i="49"/>
  <c r="F16" i="39" s="1"/>
  <c r="E26" i="49"/>
  <c r="F8" i="39" s="1"/>
  <c r="C65" i="28"/>
  <c r="I9" i="28"/>
  <c r="D64" i="21"/>
  <c r="F23" i="19" s="1"/>
  <c r="E9" i="21"/>
  <c r="E27" i="21" s="1"/>
  <c r="E7" i="39"/>
  <c r="E9" i="39" s="1"/>
  <c r="H2" i="19"/>
  <c r="F17" i="22"/>
  <c r="H13" i="19" s="1"/>
  <c r="G12" i="19" l="1"/>
  <c r="N46" i="5"/>
  <c r="E12" i="22"/>
  <c r="D28" i="49"/>
  <c r="D30" i="49" s="1"/>
  <c r="G9" i="9"/>
  <c r="O35" i="6"/>
  <c r="I68" i="4"/>
  <c r="D20" i="39"/>
  <c r="D24" i="39" s="1"/>
  <c r="E20" i="39"/>
  <c r="E24" i="39" s="1"/>
  <c r="E24" i="49"/>
  <c r="E25" i="49" s="1"/>
  <c r="F12" i="39" s="1"/>
  <c r="F14" i="39" s="1"/>
  <c r="F18" i="39" s="1"/>
  <c r="H12" i="19"/>
  <c r="I65" i="28"/>
  <c r="F13" i="49"/>
  <c r="F15" i="49" s="1"/>
  <c r="G7" i="39" s="1"/>
  <c r="D39" i="21"/>
  <c r="C66" i="21"/>
  <c r="C69" i="21" s="1"/>
  <c r="D7" i="20"/>
  <c r="D9" i="20" s="1"/>
  <c r="D7" i="13"/>
  <c r="F27" i="9"/>
  <c r="G27" i="9" s="1"/>
  <c r="E64" i="21"/>
  <c r="G23" i="19" s="1"/>
  <c r="F9" i="21"/>
  <c r="F27" i="21" s="1"/>
  <c r="F64" i="21" s="1"/>
  <c r="H23" i="19" s="1"/>
  <c r="D48" i="5"/>
  <c r="N47" i="5"/>
  <c r="J9" i="28"/>
  <c r="H13" i="5"/>
  <c r="H12" i="5"/>
  <c r="H11" i="5"/>
  <c r="H10" i="5"/>
  <c r="H9" i="5"/>
  <c r="D4" i="19"/>
  <c r="C8" i="13"/>
  <c r="C12" i="13" s="1"/>
  <c r="H8" i="5"/>
  <c r="H20" i="5"/>
  <c r="E19" i="9"/>
  <c r="H19" i="5"/>
  <c r="E10" i="9"/>
  <c r="C58" i="23"/>
  <c r="C44" i="32"/>
  <c r="O46" i="5"/>
  <c r="E47" i="5"/>
  <c r="D9" i="47"/>
  <c r="D11" i="47" s="1"/>
  <c r="D18" i="47" s="1"/>
  <c r="B11" i="47"/>
  <c r="B18" i="47" s="1"/>
  <c r="I15" i="25"/>
  <c r="J10" i="25"/>
  <c r="J13" i="25" s="1"/>
  <c r="J15" i="25" s="1"/>
  <c r="D7" i="35"/>
  <c r="C67" i="28"/>
  <c r="H67" i="28" s="1"/>
  <c r="H63" i="28"/>
  <c r="E20" i="22"/>
  <c r="E25" i="22"/>
  <c r="G14" i="19"/>
  <c r="E5" i="24"/>
  <c r="E5" i="11"/>
  <c r="E5" i="12" s="1"/>
  <c r="C5" i="26"/>
  <c r="D5" i="26" s="1"/>
  <c r="E5" i="26" s="1"/>
  <c r="F5" i="26" s="1"/>
  <c r="C6" i="25"/>
  <c r="D6" i="25" s="1"/>
  <c r="E6" i="25" s="1"/>
  <c r="F6" i="25" s="1"/>
  <c r="G6" i="25" s="1"/>
  <c r="H6" i="25" s="1"/>
  <c r="I6" i="25" s="1"/>
  <c r="J6" i="25" s="1"/>
  <c r="G10" i="49"/>
  <c r="G23" i="49" s="1"/>
  <c r="G6" i="49"/>
  <c r="G20" i="49"/>
  <c r="G12" i="49"/>
  <c r="G8" i="49"/>
  <c r="D26" i="21"/>
  <c r="D14" i="21"/>
  <c r="D32" i="21" s="1"/>
  <c r="D25" i="23" s="1"/>
  <c r="F19" i="22"/>
  <c r="F21" i="49"/>
  <c r="F22" i="49"/>
  <c r="F26" i="49"/>
  <c r="G8" i="39" s="1"/>
  <c r="F27" i="49"/>
  <c r="G16" i="39" s="1"/>
  <c r="B7" i="44"/>
  <c r="E54" i="32"/>
  <c r="E55" i="32" s="1"/>
  <c r="F7" i="39"/>
  <c r="F9" i="39" s="1"/>
  <c r="G11" i="37"/>
  <c r="C22" i="32"/>
  <c r="C24" i="32" s="1"/>
  <c r="F10" i="30"/>
  <c r="J10" i="30" s="1"/>
  <c r="E3" i="19"/>
  <c r="O24" i="5"/>
  <c r="P24" i="5" s="1"/>
  <c r="E26" i="5"/>
  <c r="C48" i="5"/>
  <c r="J35" i="6"/>
  <c r="D26" i="22"/>
  <c r="D36" i="22"/>
  <c r="F16" i="19"/>
  <c r="H4" i="36"/>
  <c r="H32" i="36" s="1"/>
  <c r="H33" i="36" s="1"/>
  <c r="M14" i="17"/>
  <c r="Q62" i="18" s="1"/>
  <c r="C15" i="13"/>
  <c r="F7" i="33"/>
  <c r="F8" i="33" s="1"/>
  <c r="D8" i="33"/>
  <c r="J65" i="28"/>
  <c r="P46" i="5" l="1"/>
  <c r="F7" i="20"/>
  <c r="F9" i="20" s="1"/>
  <c r="E7" i="20"/>
  <c r="E9" i="20" s="1"/>
  <c r="E28" i="49"/>
  <c r="E30" i="49" s="1"/>
  <c r="F20" i="39"/>
  <c r="F24" i="39" s="1"/>
  <c r="F24" i="49"/>
  <c r="F25" i="49" s="1"/>
  <c r="G12" i="39" s="1"/>
  <c r="G14" i="39" s="1"/>
  <c r="G18" i="39" s="1"/>
  <c r="D57" i="21"/>
  <c r="D42" i="21"/>
  <c r="D60" i="21" s="1"/>
  <c r="D26" i="23" s="1"/>
  <c r="D27" i="23" s="1"/>
  <c r="G13" i="49"/>
  <c r="G15" i="49" s="1"/>
  <c r="C14" i="50" s="1"/>
  <c r="E56" i="32"/>
  <c r="E57" i="32" s="1"/>
  <c r="E59" i="32" s="1"/>
  <c r="E60" i="32" s="1"/>
  <c r="E44" i="32"/>
  <c r="C45" i="32"/>
  <c r="C59" i="23"/>
  <c r="C60" i="23" s="1"/>
  <c r="C62" i="23" s="1"/>
  <c r="O47" i="5"/>
  <c r="P47" i="5" s="1"/>
  <c r="E48" i="5"/>
  <c r="C12" i="38"/>
  <c r="C14" i="38" s="1"/>
  <c r="D13" i="13"/>
  <c r="D15" i="13" s="1"/>
  <c r="B20" i="27"/>
  <c r="C8" i="19"/>
  <c r="D21" i="9"/>
  <c r="D23" i="9"/>
  <c r="D20" i="9"/>
  <c r="C50" i="5"/>
  <c r="D11" i="9"/>
  <c r="H34" i="36"/>
  <c r="M24" i="36" s="1"/>
  <c r="F25" i="22"/>
  <c r="H14" i="19"/>
  <c r="F20" i="22"/>
  <c r="F5" i="24"/>
  <c r="E4" i="19"/>
  <c r="I13" i="5"/>
  <c r="J13" i="5" s="1"/>
  <c r="I9" i="5"/>
  <c r="J9" i="5" s="1"/>
  <c r="I10" i="5"/>
  <c r="J10" i="5" s="1"/>
  <c r="I11" i="5"/>
  <c r="J11" i="5" s="1"/>
  <c r="D8" i="13"/>
  <c r="D12" i="13" s="1"/>
  <c r="I12" i="5"/>
  <c r="J12" i="5" s="1"/>
  <c r="I8" i="5"/>
  <c r="J8" i="5" s="1"/>
  <c r="F19" i="9"/>
  <c r="G19" i="9" s="1"/>
  <c r="I20" i="5"/>
  <c r="J20" i="5" s="1"/>
  <c r="I19" i="5"/>
  <c r="J19" i="5" s="1"/>
  <c r="F10" i="9"/>
  <c r="F4" i="36" s="1"/>
  <c r="F32" i="36" s="1"/>
  <c r="F33" i="36" s="1"/>
  <c r="D7" i="26"/>
  <c r="D11" i="26" s="1"/>
  <c r="D37" i="22"/>
  <c r="D39" i="22" s="1"/>
  <c r="D58" i="23" s="1"/>
  <c r="F19" i="19"/>
  <c r="D63" i="21"/>
  <c r="E8" i="21"/>
  <c r="G26" i="49"/>
  <c r="H8" i="39" s="1"/>
  <c r="G27" i="49"/>
  <c r="H16" i="39" s="1"/>
  <c r="E23" i="9"/>
  <c r="E21" i="9"/>
  <c r="D8" i="19"/>
  <c r="D12" i="17"/>
  <c r="H60" i="18" s="1"/>
  <c r="D50" i="5"/>
  <c r="E20" i="9"/>
  <c r="D13" i="17" s="1"/>
  <c r="H61" i="18" s="1"/>
  <c r="E11" i="9"/>
  <c r="E12" i="33"/>
  <c r="B6" i="51"/>
  <c r="B3" i="55"/>
  <c r="C7" i="44"/>
  <c r="G9" i="39"/>
  <c r="G21" i="49"/>
  <c r="G22" i="49"/>
  <c r="G12" i="37"/>
  <c r="K10" i="37" s="1"/>
  <c r="E26" i="22"/>
  <c r="G16" i="19"/>
  <c r="E36" i="22"/>
  <c r="G7" i="20" l="1"/>
  <c r="G9" i="20" s="1"/>
  <c r="F28" i="49"/>
  <c r="F30" i="49" s="1"/>
  <c r="B13" i="50"/>
  <c r="B23" i="44" s="1"/>
  <c r="C13" i="50"/>
  <c r="B14" i="50"/>
  <c r="H7" i="39"/>
  <c r="H9" i="39" s="1"/>
  <c r="K11" i="37"/>
  <c r="G20" i="39"/>
  <c r="G24" i="39" s="1"/>
  <c r="G24" i="49"/>
  <c r="G25" i="49" s="1"/>
  <c r="H12" i="39" s="1"/>
  <c r="H14" i="39" s="1"/>
  <c r="H18" i="39" s="1"/>
  <c r="M25" i="36"/>
  <c r="M12" i="36"/>
  <c r="M20" i="36"/>
  <c r="E39" i="21"/>
  <c r="D66" i="21"/>
  <c r="F24" i="19" s="1"/>
  <c r="D28" i="23"/>
  <c r="D31" i="23" s="1"/>
  <c r="E7" i="26"/>
  <c r="E11" i="26" s="1"/>
  <c r="E37" i="22"/>
  <c r="E39" i="22" s="1"/>
  <c r="G19" i="19"/>
  <c r="E13" i="33"/>
  <c r="F13" i="33" s="1"/>
  <c r="F12" i="33"/>
  <c r="M9" i="36"/>
  <c r="M17" i="36"/>
  <c r="M28" i="36"/>
  <c r="D13" i="26"/>
  <c r="D17" i="26" s="1"/>
  <c r="D19" i="26" s="1"/>
  <c r="E26" i="21"/>
  <c r="E14" i="21"/>
  <c r="E32" i="21" s="1"/>
  <c r="E25" i="23" s="1"/>
  <c r="M26" i="36"/>
  <c r="M10" i="36"/>
  <c r="M18" i="36"/>
  <c r="M27" i="36"/>
  <c r="D59" i="23"/>
  <c r="D60" i="23" s="1"/>
  <c r="F22" i="19"/>
  <c r="M29" i="36"/>
  <c r="M11" i="36"/>
  <c r="M19" i="36"/>
  <c r="A5" i="50"/>
  <c r="A12" i="50"/>
  <c r="B15" i="38"/>
  <c r="C12" i="34" s="1"/>
  <c r="G42" i="5"/>
  <c r="G38" i="5"/>
  <c r="G33" i="5"/>
  <c r="C9" i="19"/>
  <c r="G37" i="5"/>
  <c r="G31" i="5"/>
  <c r="G30" i="5"/>
  <c r="G45" i="5"/>
  <c r="G32" i="5"/>
  <c r="G39" i="5"/>
  <c r="G46" i="5"/>
  <c r="G47" i="5"/>
  <c r="E45" i="32"/>
  <c r="E47" i="32" s="1"/>
  <c r="E49" i="32" s="1"/>
  <c r="C47" i="32"/>
  <c r="C49" i="32" s="1"/>
  <c r="F34" i="36"/>
  <c r="K23" i="36" s="1"/>
  <c r="M5" i="36"/>
  <c r="M13" i="36"/>
  <c r="M21" i="36"/>
  <c r="G16" i="37"/>
  <c r="K16" i="37" s="1"/>
  <c r="K41" i="36"/>
  <c r="F15" i="30"/>
  <c r="E8" i="19"/>
  <c r="F23" i="9"/>
  <c r="G23" i="9" s="1"/>
  <c r="M12" i="17"/>
  <c r="Q60" i="18" s="1"/>
  <c r="F21" i="9"/>
  <c r="G21" i="9" s="1"/>
  <c r="F20" i="9"/>
  <c r="G20" i="9" s="1"/>
  <c r="E50" i="5"/>
  <c r="F11" i="9"/>
  <c r="G4" i="36" s="1"/>
  <c r="G32" i="36" s="1"/>
  <c r="G33" i="36" s="1"/>
  <c r="G10" i="9"/>
  <c r="M6" i="36"/>
  <c r="M14" i="36"/>
  <c r="M22" i="36"/>
  <c r="C6" i="51"/>
  <c r="D6" i="51" s="1"/>
  <c r="E6" i="51" s="1"/>
  <c r="D7" i="44"/>
  <c r="D9" i="19"/>
  <c r="H38" i="5"/>
  <c r="H37" i="5"/>
  <c r="H30" i="5"/>
  <c r="H42" i="5"/>
  <c r="H45" i="5"/>
  <c r="H31" i="5"/>
  <c r="H39" i="5"/>
  <c r="H33" i="5"/>
  <c r="H32" i="5"/>
  <c r="H46" i="5"/>
  <c r="H47" i="5"/>
  <c r="F20" i="19"/>
  <c r="D6" i="24"/>
  <c r="D11" i="24" s="1"/>
  <c r="M7" i="36"/>
  <c r="M15" i="36"/>
  <c r="M23" i="36"/>
  <c r="D40" i="22"/>
  <c r="F21" i="19"/>
  <c r="F26" i="22"/>
  <c r="H16" i="19"/>
  <c r="F36" i="22"/>
  <c r="M8" i="36"/>
  <c r="M16" i="36"/>
  <c r="B12" i="55" l="1"/>
  <c r="H7" i="20"/>
  <c r="H9" i="20" s="1"/>
  <c r="G28" i="49"/>
  <c r="C7" i="50" s="1"/>
  <c r="D69" i="21"/>
  <c r="H20" i="39"/>
  <c r="H24" i="39" s="1"/>
  <c r="C25" i="39" s="1"/>
  <c r="F3" i="19"/>
  <c r="D33" i="23"/>
  <c r="F4" i="19" s="1"/>
  <c r="E57" i="21"/>
  <c r="E42" i="21"/>
  <c r="E60" i="21" s="1"/>
  <c r="E26" i="23" s="1"/>
  <c r="E27" i="23" s="1"/>
  <c r="G11" i="9"/>
  <c r="E40" i="22"/>
  <c r="G21" i="19"/>
  <c r="E58" i="23"/>
  <c r="H19" i="19"/>
  <c r="F7" i="26"/>
  <c r="F11" i="26" s="1"/>
  <c r="F37" i="22"/>
  <c r="K10" i="36"/>
  <c r="D30" i="24"/>
  <c r="D19" i="24"/>
  <c r="G34" i="36"/>
  <c r="L19" i="36" s="1"/>
  <c r="K29" i="36"/>
  <c r="K20" i="36"/>
  <c r="K11" i="36"/>
  <c r="K27" i="36"/>
  <c r="J15" i="30"/>
  <c r="F27" i="30"/>
  <c r="G27" i="30" s="1"/>
  <c r="I27" i="30" s="1"/>
  <c r="I28" i="30" s="1"/>
  <c r="K18" i="36"/>
  <c r="K9" i="36"/>
  <c r="K28" i="36"/>
  <c r="I33" i="5"/>
  <c r="J33" i="5" s="1"/>
  <c r="I31" i="5"/>
  <c r="J31" i="5" s="1"/>
  <c r="E9" i="19"/>
  <c r="I42" i="5"/>
  <c r="J42" i="5" s="1"/>
  <c r="I37" i="5"/>
  <c r="J37" i="5" s="1"/>
  <c r="I38" i="5"/>
  <c r="J38" i="5" s="1"/>
  <c r="I39" i="5"/>
  <c r="J39" i="5" s="1"/>
  <c r="I30" i="5"/>
  <c r="J30" i="5" s="1"/>
  <c r="I45" i="5"/>
  <c r="J45" i="5" s="1"/>
  <c r="I32" i="5"/>
  <c r="J32" i="5" s="1"/>
  <c r="I46" i="5"/>
  <c r="J46" i="5" s="1"/>
  <c r="E51" i="5"/>
  <c r="I47" i="5"/>
  <c r="J47" i="5" s="1"/>
  <c r="K6" i="36"/>
  <c r="K22" i="36"/>
  <c r="K13" i="36"/>
  <c r="K26" i="36"/>
  <c r="B12" i="50"/>
  <c r="C12" i="50"/>
  <c r="E4" i="36"/>
  <c r="E32" i="36" s="1"/>
  <c r="E33" i="36" s="1"/>
  <c r="M13" i="17"/>
  <c r="Q61" i="18" s="1"/>
  <c r="K8" i="36"/>
  <c r="K24" i="36"/>
  <c r="K15" i="36"/>
  <c r="E6" i="24"/>
  <c r="E11" i="24" s="1"/>
  <c r="G20" i="19"/>
  <c r="K17" i="36"/>
  <c r="E13" i="26"/>
  <c r="E17" i="26" s="1"/>
  <c r="E19" i="26" s="1"/>
  <c r="K19" i="36"/>
  <c r="F8" i="19"/>
  <c r="D62" i="23"/>
  <c r="K12" i="36"/>
  <c r="K25" i="36"/>
  <c r="E63" i="21"/>
  <c r="F8" i="21"/>
  <c r="K14" i="36"/>
  <c r="K5" i="36"/>
  <c r="K21" i="36"/>
  <c r="K16" i="36"/>
  <c r="K7" i="36"/>
  <c r="F14" i="33"/>
  <c r="B10" i="45" s="1"/>
  <c r="B15" i="48" s="1"/>
  <c r="B6" i="50" l="1"/>
  <c r="B20" i="44" s="1"/>
  <c r="B7" i="50"/>
  <c r="B21" i="44" s="1"/>
  <c r="B5" i="50"/>
  <c r="B19" i="44" s="1"/>
  <c r="C6" i="50"/>
  <c r="B22" i="44" s="1"/>
  <c r="G30" i="49"/>
  <c r="B33" i="49" s="1"/>
  <c r="B34" i="49"/>
  <c r="B35" i="49" s="1"/>
  <c r="C5" i="50"/>
  <c r="I7" i="20"/>
  <c r="I9" i="20" s="1"/>
  <c r="C27" i="39"/>
  <c r="C28" i="39" s="1"/>
  <c r="C29" i="39" s="1"/>
  <c r="C33" i="39" s="1"/>
  <c r="B9" i="44" s="1"/>
  <c r="L29" i="36"/>
  <c r="L14" i="36"/>
  <c r="L13" i="36"/>
  <c r="L27" i="36"/>
  <c r="L5" i="36"/>
  <c r="L18" i="36"/>
  <c r="L6" i="36"/>
  <c r="L20" i="36"/>
  <c r="F39" i="21"/>
  <c r="E66" i="21"/>
  <c r="G24" i="19" s="1"/>
  <c r="L15" i="36"/>
  <c r="L7" i="36"/>
  <c r="L21" i="36"/>
  <c r="L10" i="36"/>
  <c r="L22" i="36"/>
  <c r="E28" i="23"/>
  <c r="E31" i="23" s="1"/>
  <c r="L12" i="36"/>
  <c r="L23" i="36"/>
  <c r="H20" i="19"/>
  <c r="F6" i="24"/>
  <c r="F11" i="24" s="1"/>
  <c r="F14" i="21"/>
  <c r="F32" i="21" s="1"/>
  <c r="F25" i="23" s="1"/>
  <c r="F26" i="21"/>
  <c r="F63" i="21" s="1"/>
  <c r="G22" i="19"/>
  <c r="I29" i="30"/>
  <c r="I30" i="30" s="1"/>
  <c r="F13" i="26"/>
  <c r="F17" i="26" s="1"/>
  <c r="F19" i="26" s="1"/>
  <c r="L8" i="36"/>
  <c r="L16" i="36"/>
  <c r="L24" i="36"/>
  <c r="F39" i="22"/>
  <c r="F58" i="23" s="1"/>
  <c r="F59" i="23" s="1"/>
  <c r="F60" i="23" s="1"/>
  <c r="C8" i="35"/>
  <c r="D9" i="35" s="1"/>
  <c r="D27" i="35" s="1"/>
  <c r="D29" i="35" s="1"/>
  <c r="D31" i="35" s="1"/>
  <c r="D34" i="35" s="1"/>
  <c r="E1" i="42" s="1"/>
  <c r="B16" i="48"/>
  <c r="B17" i="48" s="1"/>
  <c r="L26" i="36"/>
  <c r="L9" i="36"/>
  <c r="L17" i="36"/>
  <c r="L28" i="36"/>
  <c r="E59" i="23"/>
  <c r="E60" i="23" s="1"/>
  <c r="F9" i="19"/>
  <c r="D63" i="23"/>
  <c r="E34" i="36"/>
  <c r="J23" i="36" s="1"/>
  <c r="E30" i="24"/>
  <c r="E19" i="24"/>
  <c r="L25" i="36"/>
  <c r="L11" i="36"/>
  <c r="E3" i="42" l="1"/>
  <c r="E4" i="42" s="1"/>
  <c r="B36" i="49"/>
  <c r="B39" i="49" s="1"/>
  <c r="B8" i="51" s="1"/>
  <c r="E69" i="21"/>
  <c r="J20" i="36"/>
  <c r="O20" i="36" s="1"/>
  <c r="J24" i="36"/>
  <c r="O24" i="36" s="1"/>
  <c r="O23" i="36"/>
  <c r="J11" i="36"/>
  <c r="O11" i="36" s="1"/>
  <c r="J26" i="36"/>
  <c r="O26" i="36" s="1"/>
  <c r="F57" i="21"/>
  <c r="F66" i="21" s="1"/>
  <c r="H24" i="19" s="1"/>
  <c r="F42" i="21"/>
  <c r="F60" i="21" s="1"/>
  <c r="F26" i="23" s="1"/>
  <c r="F27" i="23" s="1"/>
  <c r="K27" i="23" s="1"/>
  <c r="G3" i="19"/>
  <c r="E33" i="23"/>
  <c r="G4" i="19" s="1"/>
  <c r="J29" i="36"/>
  <c r="O29" i="36" s="1"/>
  <c r="C34" i="39"/>
  <c r="C35" i="39" s="1"/>
  <c r="C36" i="39" s="1"/>
  <c r="C37" i="39" s="1"/>
  <c r="C39" i="39" s="1"/>
  <c r="J8" i="36"/>
  <c r="O8" i="36" s="1"/>
  <c r="I31" i="30"/>
  <c r="I32" i="30" s="1"/>
  <c r="I34" i="30" s="1"/>
  <c r="I36" i="30" s="1"/>
  <c r="I38" i="30" s="1"/>
  <c r="J15" i="36"/>
  <c r="O15" i="36" s="1"/>
  <c r="J10" i="36"/>
  <c r="O10" i="36" s="1"/>
  <c r="J17" i="36"/>
  <c r="O17" i="36" s="1"/>
  <c r="J18" i="36"/>
  <c r="O18" i="36" s="1"/>
  <c r="J9" i="36"/>
  <c r="O9" i="36" s="1"/>
  <c r="J28" i="36"/>
  <c r="O28" i="36" s="1"/>
  <c r="G8" i="19"/>
  <c r="E62" i="23"/>
  <c r="F40" i="22"/>
  <c r="H21" i="19"/>
  <c r="H8" i="19"/>
  <c r="F62" i="23"/>
  <c r="H9" i="19" s="1"/>
  <c r="J6" i="36"/>
  <c r="O6" i="36" s="1"/>
  <c r="J22" i="36"/>
  <c r="O22" i="36" s="1"/>
  <c r="J13" i="36"/>
  <c r="O13" i="36" s="1"/>
  <c r="J27" i="36"/>
  <c r="O27" i="36" s="1"/>
  <c r="H22" i="19"/>
  <c r="J12" i="36"/>
  <c r="O12" i="36" s="1"/>
  <c r="J25" i="36"/>
  <c r="O25" i="36" s="1"/>
  <c r="J19" i="36"/>
  <c r="O19" i="36" s="1"/>
  <c r="J14" i="36"/>
  <c r="O14" i="36" s="1"/>
  <c r="J21" i="36"/>
  <c r="O21" i="36" s="1"/>
  <c r="B19" i="48"/>
  <c r="B19" i="50"/>
  <c r="B20" i="50"/>
  <c r="F30" i="24"/>
  <c r="F19" i="24"/>
  <c r="J5" i="36"/>
  <c r="O5" i="36" s="1"/>
  <c r="J16" i="36"/>
  <c r="O16" i="36" s="1"/>
  <c r="J7" i="36"/>
  <c r="O7" i="36" s="1"/>
  <c r="B8" i="44"/>
  <c r="D35" i="35"/>
  <c r="D36" i="35" s="1"/>
  <c r="E6" i="42" l="1"/>
  <c r="C9" i="44"/>
  <c r="C8" i="51" s="1"/>
  <c r="D8" i="51" s="1"/>
  <c r="E8" i="51" s="1"/>
  <c r="B5" i="55"/>
  <c r="F28" i="23"/>
  <c r="F31" i="23" s="1"/>
  <c r="F69" i="21"/>
  <c r="C42" i="39"/>
  <c r="C40" i="39"/>
  <c r="D4" i="40"/>
  <c r="D37" i="35"/>
  <c r="D38" i="35" s="1"/>
  <c r="D40" i="35" s="1"/>
  <c r="D42" i="35" s="1"/>
  <c r="E35" i="36"/>
  <c r="P19" i="36" s="1"/>
  <c r="B7" i="55"/>
  <c r="B20" i="48"/>
  <c r="B22" i="48" s="1"/>
  <c r="G9" i="19"/>
  <c r="E63" i="23"/>
  <c r="I39" i="30"/>
  <c r="J38" i="30"/>
  <c r="E7" i="42" l="1"/>
  <c r="E11" i="42" s="1"/>
  <c r="E13" i="42" s="1"/>
  <c r="E15" i="42" s="1"/>
  <c r="D9" i="44"/>
  <c r="P17" i="36"/>
  <c r="P16" i="36"/>
  <c r="P22" i="36"/>
  <c r="P25" i="36"/>
  <c r="P13" i="36"/>
  <c r="P18" i="36"/>
  <c r="P5" i="36"/>
  <c r="P12" i="36"/>
  <c r="P28" i="36"/>
  <c r="H3" i="19"/>
  <c r="F33" i="23"/>
  <c r="D6" i="40"/>
  <c r="D12" i="40" s="1"/>
  <c r="D45" i="35"/>
  <c r="D43" i="35"/>
  <c r="P21" i="36"/>
  <c r="B4" i="55"/>
  <c r="B7" i="51"/>
  <c r="C8" i="44"/>
  <c r="P23" i="36"/>
  <c r="P26" i="36"/>
  <c r="P29" i="36"/>
  <c r="P11" i="36"/>
  <c r="P24" i="36"/>
  <c r="P20" i="36"/>
  <c r="P8" i="36"/>
  <c r="P27" i="36"/>
  <c r="P7" i="36"/>
  <c r="D10" i="40"/>
  <c r="P14" i="36"/>
  <c r="P9" i="36"/>
  <c r="P10" i="36"/>
  <c r="P6" i="36"/>
  <c r="P15" i="36"/>
  <c r="D11" i="40" l="1"/>
  <c r="F63" i="23"/>
  <c r="K63" i="23" s="1"/>
  <c r="H4" i="19"/>
  <c r="C7" i="51"/>
  <c r="D7" i="51" s="1"/>
  <c r="E7" i="51" s="1"/>
  <c r="D8" i="44"/>
  <c r="B6" i="55"/>
  <c r="B9" i="55" s="1"/>
  <c r="B10" i="55"/>
  <c r="B11" i="55"/>
  <c r="D46" i="35"/>
  <c r="F16" i="33"/>
  <c r="B13" i="55" l="1"/>
  <c r="B14"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B5" authorId="0" shapeId="0" xr:uid="{00000000-0006-0000-2C00-000001000000}">
      <text>
        <r>
          <rPr>
            <sz val="11"/>
            <color theme="1"/>
            <rFont val="Calibri"/>
            <family val="2"/>
            <scheme val="minor"/>
          </rPr>
          <t>User confirmed statutory 22% for normalized forward-looking NOPLAT.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C9" authorId="0" shapeId="0" xr:uid="{00000000-0006-0000-2E00-000001000000}">
      <text>
        <r>
          <rPr>
            <sz val="11"/>
            <color theme="1"/>
            <rFont val="Calibri"/>
            <family val="2"/>
            <scheme val="minor"/>
          </rPr>
          <t>Placeholder only. Replace with appraised FMV adjustment if available.</t>
        </r>
      </text>
    </comment>
  </commentList>
</comments>
</file>

<file path=xl/sharedStrings.xml><?xml version="1.0" encoding="utf-8"?>
<sst xmlns="http://schemas.openxmlformats.org/spreadsheetml/2006/main" count="10369" uniqueCount="4673">
  <si>
    <t>Cash Flow Statement</t>
  </si>
  <si>
    <t>EBITDA</t>
  </si>
  <si>
    <t>Corporate Tax</t>
  </si>
  <si>
    <t>Changes in Working Capital</t>
  </si>
  <si>
    <t>Operating Current Assets (AR + Inventory)</t>
  </si>
  <si>
    <t>Operating Current Liabilities (AP + Other Payable)</t>
  </si>
  <si>
    <t>Working Capital</t>
  </si>
  <si>
    <t>DCF, Changes Working Capital</t>
  </si>
  <si>
    <t>Cash Flow from Operations</t>
  </si>
  <si>
    <t>Cash Flow from Non Operations</t>
  </si>
  <si>
    <t>Cash Flow from Investment (Capital Expenditure)</t>
  </si>
  <si>
    <t>Cash Flow before Financing</t>
  </si>
  <si>
    <t>Financing</t>
  </si>
  <si>
    <t>Equity Injection</t>
  </si>
  <si>
    <t>New Loan</t>
  </si>
  <si>
    <t>Interest Expense</t>
  </si>
  <si>
    <t>Interest Income</t>
  </si>
  <si>
    <t>Principal Repayment</t>
  </si>
  <si>
    <t>Cash Flow from Financing</t>
  </si>
  <si>
    <t>Net Cash Flow</t>
  </si>
  <si>
    <t>Cash-Beginning Balance</t>
  </si>
  <si>
    <t>Cash-Ending Balance</t>
  </si>
  <si>
    <t>Cash Ending in Bank</t>
  </si>
  <si>
    <t>Cash Ending in Cash on Hand</t>
  </si>
  <si>
    <t>CATATAN FINAL - OVERWRITE WORKBOOK</t>
  </si>
  <si>
    <t>Sheet ini mendokumentasikan cell yang diubah/update/sesuaikan pada workbook final. Seluruh cell target pada sheet asal diberi font merah.</t>
  </si>
  <si>
    <t>No.</t>
  </si>
  <si>
    <t>Timestamp</t>
  </si>
  <si>
    <t>Sheet</t>
  </si>
  <si>
    <t>Cell</t>
  </si>
  <si>
    <t>Before</t>
  </si>
  <si>
    <t>After</t>
  </si>
  <si>
    <t>Tujuan Cell</t>
  </si>
  <si>
    <t>Alasan Perubahan / Judgment</t>
  </si>
  <si>
    <t>Formula?</t>
  </si>
  <si>
    <t>Font Merah?</t>
  </si>
  <si>
    <t>2026-04-30 09:30:15</t>
  </si>
  <si>
    <t>HOME</t>
  </si>
  <si>
    <t>B7</t>
  </si>
  <si>
    <t>1610000000</t>
  </si>
  <si>
    <t>'=B6</t>
  </si>
  <si>
    <t>Jumlah saham dinilai</t>
  </si>
  <si>
    <t>Valuation objective is 100% equity on controlling, marketable basis.</t>
  </si>
  <si>
    <t>Ya</t>
  </si>
  <si>
    <t>B15</t>
  </si>
  <si>
    <t>'=DLOM!F34</t>
  </si>
  <si>
    <t>'=STAT_ASSUMPTIONS!B15</t>
  </si>
  <si>
    <t>DLOM input</t>
  </si>
  <si>
    <t>DLOM is not applied under final instruction.</t>
  </si>
  <si>
    <t>B16</t>
  </si>
  <si>
    <t>'='DLOC(PFC)'!E25</t>
  </si>
  <si>
    <t>DLOC/PFC input</t>
  </si>
  <si>
    <t>DLOC/minority/control discount is not applied under final instruction.</t>
  </si>
  <si>
    <t>BALANCE SHEET</t>
  </si>
  <si>
    <t>B46</t>
  </si>
  <si>
    <t>Current Profit (Laba Usaha Tahun Berjalan 2021)</t>
  </si>
  <si>
    <t>Current Profit - Commercial NPAT (Laba Bersih Komersial)</t>
  </si>
  <si>
    <t>Current profit label</t>
  </si>
  <si>
    <t>Clarifies that earning/current profit basis is commercial, not fiscal.</t>
  </si>
  <si>
    <t>Tidak</t>
  </si>
  <si>
    <t>C46</t>
  </si>
  <si>
    <t>619603684</t>
  </si>
  <si>
    <t>'='INCOME STATEMENT'!C35</t>
  </si>
  <si>
    <t>Retained earnings current profit</t>
  </si>
  <si>
    <t>Commercial NPAT is used as the current profit reference; fiscal current profit is not earning power.</t>
  </si>
  <si>
    <t>D46</t>
  </si>
  <si>
    <t>1205375265</t>
  </si>
  <si>
    <t>'='INCOME STATEMENT'!D35</t>
  </si>
  <si>
    <t>E46</t>
  </si>
  <si>
    <t>2590960070</t>
  </si>
  <si>
    <t>'='INCOME STATEMENT'!E35</t>
  </si>
  <si>
    <t>C47</t>
  </si>
  <si>
    <t>'=+C46+C45</t>
  </si>
  <si>
    <t>Dependent balance/equity output</t>
  </si>
  <si>
    <t>Formula result changes because current profit basis was corrected to commercial NPAT.</t>
  </si>
  <si>
    <t>D47</t>
  </si>
  <si>
    <t>'=+D46+D45</t>
  </si>
  <si>
    <t>E47</t>
  </si>
  <si>
    <t>'=+E46+E45</t>
  </si>
  <si>
    <t>C48</t>
  </si>
  <si>
    <t>'=+C42+C47+C43</t>
  </si>
  <si>
    <t>D48</t>
  </si>
  <si>
    <t>'=+D42+D47+D43</t>
  </si>
  <si>
    <t>E48</t>
  </si>
  <si>
    <t>'=+E42+E47+E43</t>
  </si>
  <si>
    <t>C50</t>
  </si>
  <si>
    <t>'=C34+C39+C48</t>
  </si>
  <si>
    <t>D50</t>
  </si>
  <si>
    <t>'=D34+D39+D48</t>
  </si>
  <si>
    <t>E50</t>
  </si>
  <si>
    <t>'=E34+E39+E48</t>
  </si>
  <si>
    <t>E51</t>
  </si>
  <si>
    <t>'=E26-E50</t>
  </si>
  <si>
    <t>NOPLAT</t>
  </si>
  <si>
    <t>A13</t>
  </si>
  <si>
    <t>Tax Provision from Income Statement</t>
  </si>
  <si>
    <t>Statutory Tax on EBIT</t>
  </si>
  <si>
    <t>NOPLAT tax label</t>
  </si>
  <si>
    <t>Forward-looking NOPLAT uses statutory 22% tax on operating EBIT.</t>
  </si>
  <si>
    <t>A14</t>
  </si>
  <si>
    <t>Add: Tax Shield on Interest Expenses</t>
  </si>
  <si>
    <t>Tax Shield on Interest Expenses (excluded)</t>
  </si>
  <si>
    <t>NOPLAT adjustment label</t>
  </si>
  <si>
    <t>Interest expense is financing/non-operating and excluded from NOPLAT.</t>
  </si>
  <si>
    <t>A15</t>
  </si>
  <si>
    <t>Less: Tax on Interest Income</t>
  </si>
  <si>
    <t>Tax on Interest Income (excluded)</t>
  </si>
  <si>
    <t>Interest income is non-operating and excluded from NOPLAT.</t>
  </si>
  <si>
    <t>A16</t>
  </si>
  <si>
    <t>Tax on Non Operating Income</t>
  </si>
  <si>
    <t>Tax on Non Operating Income (excluded)</t>
  </si>
  <si>
    <t>Non-operating income is excluded from operating NOPLAT.</t>
  </si>
  <si>
    <t>C13</t>
  </si>
  <si>
    <t>'='INCOME STATEMENT'!C33*-1</t>
  </si>
  <si>
    <t>'=C11*STAT_ASSUMPTIONS!$B$5</t>
  </si>
  <si>
    <t>Statutory tax on EBIT</t>
  </si>
  <si>
    <t>Uses statutory 22% instead of actual/fiscal tax provision for normalized NOPLAT.</t>
  </si>
  <si>
    <t>C14</t>
  </si>
  <si>
    <t>'='INCOME STATEMENT'!$B$33*'INCOME STATEMENT'!C27*-1</t>
  </si>
  <si>
    <t>'=0</t>
  </si>
  <si>
    <t>Excluded financing/non-operating tax adjustment</t>
  </si>
  <si>
    <t>Financing and non-operating items are excluded from operating NOPLAT.</t>
  </si>
  <si>
    <t>C15</t>
  </si>
  <si>
    <t>'='INCOME STATEMENT'!$B$33*'INCOME STATEMENT'!C26*-1</t>
  </si>
  <si>
    <t>C16</t>
  </si>
  <si>
    <t>'='INCOME STATEMENT'!$B$33*'INCOME STATEMENT'!C30*-1</t>
  </si>
  <si>
    <t>C17</t>
  </si>
  <si>
    <t>'=SUM(C13:C16)</t>
  </si>
  <si>
    <t>Total taxes on EBIT</t>
  </si>
  <si>
    <t>Keeps NOPLAT formula auditable after statutory-tax update.</t>
  </si>
  <si>
    <t>C19</t>
  </si>
  <si>
    <t>'=C11-C17</t>
  </si>
  <si>
    <t>NOPLAT output</t>
  </si>
  <si>
    <t>Dependent output from statutory 22% NOPLAT update.</t>
  </si>
  <si>
    <t>D13</t>
  </si>
  <si>
    <t>'='INCOME STATEMENT'!D33*-1</t>
  </si>
  <si>
    <t>'=D11*STAT_ASSUMPTIONS!$B$5</t>
  </si>
  <si>
    <t>D14</t>
  </si>
  <si>
    <t>'='INCOME STATEMENT'!$B$33*'INCOME STATEMENT'!D27*-1</t>
  </si>
  <si>
    <t>D15</t>
  </si>
  <si>
    <t>'='INCOME STATEMENT'!$B$33*'INCOME STATEMENT'!D26*-1</t>
  </si>
  <si>
    <t>D16</t>
  </si>
  <si>
    <t>'='INCOME STATEMENT'!$B$33*'INCOME STATEMENT'!D30*-1</t>
  </si>
  <si>
    <t>D17</t>
  </si>
  <si>
    <t>'=SUM(D13:D16)</t>
  </si>
  <si>
    <t>D19</t>
  </si>
  <si>
    <t>'=D11-D17</t>
  </si>
  <si>
    <t>E13</t>
  </si>
  <si>
    <t>'='INCOME STATEMENT'!E33*-1</t>
  </si>
  <si>
    <t>'=E11*STAT_ASSUMPTIONS!$B$5</t>
  </si>
  <si>
    <t>E14</t>
  </si>
  <si>
    <t>'='INCOME STATEMENT'!$B$33*'INCOME STATEMENT'!E27*-1</t>
  </si>
  <si>
    <t>E15</t>
  </si>
  <si>
    <t>'='INCOME STATEMENT'!$B$33*'INCOME STATEMENT'!E26*-1</t>
  </si>
  <si>
    <t>E16</t>
  </si>
  <si>
    <t>'='INCOME STATEMENT'!$B$33*'INCOME STATEMENT'!E30*-1</t>
  </si>
  <si>
    <t>E17</t>
  </si>
  <si>
    <t>'=SUM(E13:E16)</t>
  </si>
  <si>
    <t>E19</t>
  </si>
  <si>
    <t>'=E11-E17</t>
  </si>
  <si>
    <t>PROY NOPLAT</t>
  </si>
  <si>
    <t>'='PROY LR'!D37*-1</t>
  </si>
  <si>
    <t>'='PROY LR'!$B$37*'PROY LR'!D31*-1</t>
  </si>
  <si>
    <t>'='PROY LR'!$B$37*'PROY LR'!D29*-1</t>
  </si>
  <si>
    <t>'='PROY LR'!$B$37*'PROY LR'!D34*-1</t>
  </si>
  <si>
    <t>'='PROY LR'!E37*-1</t>
  </si>
  <si>
    <t>'='PROY LR'!$B$37*'PROY LR'!E31*-1</t>
  </si>
  <si>
    <t>'='PROY LR'!$B$37*'PROY LR'!E29*-1</t>
  </si>
  <si>
    <t>'='PROY LR'!$B$37*'PROY LR'!E34*-1</t>
  </si>
  <si>
    <t>F13</t>
  </si>
  <si>
    <t>'='PROY LR'!F37*-1</t>
  </si>
  <si>
    <t>'=F11*STAT_ASSUMPTIONS!$B$5</t>
  </si>
  <si>
    <t>F14</t>
  </si>
  <si>
    <t>'='PROY LR'!$B$37*'PROY LR'!F31*-1</t>
  </si>
  <si>
    <t>F15</t>
  </si>
  <si>
    <t>'='PROY LR'!$B$37*'PROY LR'!F29*-1</t>
  </si>
  <si>
    <t>F16</t>
  </si>
  <si>
    <t>'='PROY LR'!$B$37*'PROY LR'!F34*-1</t>
  </si>
  <si>
    <t>F17</t>
  </si>
  <si>
    <t>'=SUM(F13:F16)</t>
  </si>
  <si>
    <t>F19</t>
  </si>
  <si>
    <t>'=F11-F17</t>
  </si>
  <si>
    <t>PROY LR</t>
  </si>
  <si>
    <t>B37</t>
  </si>
  <si>
    <t>'='KEY DRIVERS'!C11</t>
  </si>
  <si>
    <t>'='STAT_ASSUMPTIONS'!B5</t>
  </si>
  <si>
    <t>Projected corporate tax rate</t>
  </si>
  <si>
    <t>Projection tax rate follows statutory 22% confirmed input.</t>
  </si>
  <si>
    <t>D37</t>
  </si>
  <si>
    <t>'=$B$37*D36*-1</t>
  </si>
  <si>
    <t>Projected tax/NPAT output</t>
  </si>
  <si>
    <t>Dependent output from statutory 22% tax rate.</t>
  </si>
  <si>
    <t>E37</t>
  </si>
  <si>
    <t>'=$B$37*E36*-1</t>
  </si>
  <si>
    <t>F37</t>
  </si>
  <si>
    <t>'=$B$37*F36*-1</t>
  </si>
  <si>
    <t>D39</t>
  </si>
  <si>
    <t>'=D36+D37</t>
  </si>
  <si>
    <t>E39</t>
  </si>
  <si>
    <t>'=E36+E37</t>
  </si>
  <si>
    <t>F39</t>
  </si>
  <si>
    <t>'=F36+F37</t>
  </si>
  <si>
    <t>CASH FLOW STATEMENT</t>
  </si>
  <si>
    <t>B8</t>
  </si>
  <si>
    <t>Current Assets</t>
  </si>
  <si>
    <t>Working capital label</t>
  </si>
  <si>
    <t>Operating WC excludes cash and employee/non-trade receivable.</t>
  </si>
  <si>
    <t>B9</t>
  </si>
  <si>
    <t>Current Liabilities</t>
  </si>
  <si>
    <t>Operating WC excludes bank loan and tax payable.</t>
  </si>
  <si>
    <t>C8</t>
  </si>
  <si>
    <t>'=('BALANCE SHEET'!C10+'BALANCE SHEET'!C11+'BALANCE SHEET'!C12+'BALANCE SHEET'!C13)*-1</t>
  </si>
  <si>
    <t>'=('BALANCE SHEET'!C10+'BALANCE SHEET'!C12)*-1</t>
  </si>
  <si>
    <t>Operating current asset movement</t>
  </si>
  <si>
    <t>Uses AR + inventory only; excludes cash, deposit, employee receivable, and other non-operating current assets.</t>
  </si>
  <si>
    <t>D8</t>
  </si>
  <si>
    <t>'=(('BALANCE SHEET'!D10+'BALANCE SHEET'!D11+'BALANCE SHEET'!D12+'BALANCE SHEET'!D13)-('BALANCE SHEET'!C10+'BALANCE SHEET'!C11+'BALANCE SHEET'!C12+'BALANCE SHEET'!C13))*-1</t>
  </si>
  <si>
    <t>'=(('BALANCE SHEET'!D10+'BALANCE SHEET'!D12)-('BALANCE SHEET'!C10+'BALANCE SHEET'!C12))*-1</t>
  </si>
  <si>
    <t>E8</t>
  </si>
  <si>
    <t>'=(('BALANCE SHEET'!E10+'BALANCE SHEET'!E11+'BALANCE SHEET'!E12+'BALANCE SHEET'!E13)-('BALANCE SHEET'!D10+'BALANCE SHEET'!D11+'BALANCE SHEET'!D12+'BALANCE SHEET'!D13))*-1</t>
  </si>
  <si>
    <t>'=(('BALANCE SHEET'!E10+'BALANCE SHEET'!E12)-('BALANCE SHEET'!D10+'BALANCE SHEET'!D12))*-1</t>
  </si>
  <si>
    <t>C9</t>
  </si>
  <si>
    <t>'=('BALANCE SHEET'!C30+'BALANCE SHEET'!C31+'BALANCE SHEET'!C32+'BALANCE SHEET'!C33)-(0+0+0+0)</t>
  </si>
  <si>
    <t>'=('BALANCE SHEET'!C31+'BALANCE SHEET'!C33)-(0+0)</t>
  </si>
  <si>
    <t>Operating current liability movement</t>
  </si>
  <si>
    <t>Uses AP + other payable only; excludes bank loan and tax payable from operating WC.</t>
  </si>
  <si>
    <t>D9</t>
  </si>
  <si>
    <t>'=('BALANCE SHEET'!D30+'BALANCE SHEET'!D31+'BALANCE SHEET'!D32+'BALANCE SHEET'!D33)-('BALANCE SHEET'!C30+'BALANCE SHEET'!C31+'BALANCE SHEET'!C32+'BALANCE SHEET'!C33)</t>
  </si>
  <si>
    <t>'=('BALANCE SHEET'!D31+'BALANCE SHEET'!D33)-('BALANCE SHEET'!C31+'BALANCE SHEET'!C33)</t>
  </si>
  <si>
    <t>E9</t>
  </si>
  <si>
    <t>'=('BALANCE SHEET'!E30+'BALANCE SHEET'!E31+'BALANCE SHEET'!E32+'BALANCE SHEET'!E33)-('BALANCE SHEET'!D30+'BALANCE SHEET'!D31+'BALANCE SHEET'!D32+'BALANCE SHEET'!D33)</t>
  </si>
  <si>
    <t>'=('BALANCE SHEET'!E31+'BALANCE SHEET'!E33)-('BALANCE SHEET'!D31+'BALANCE SHEET'!D33)</t>
  </si>
  <si>
    <t>C22</t>
  </si>
  <si>
    <t>'='BALANCE SHEET'!C42+'BALANCE SHEET'!C43</t>
  </si>
  <si>
    <t>'=('BALANCE SHEET'!C42+'BALANCE SHEET'!C43)-0</t>
  </si>
  <si>
    <t>Equity injection financing movement</t>
  </si>
  <si>
    <t>Financing cash flow must use movement in paid-up/additional capital, not ending balance.</t>
  </si>
  <si>
    <t>D22</t>
  </si>
  <si>
    <t>'='BALANCE SHEET'!D42+'BALANCE SHEET'!D43</t>
  </si>
  <si>
    <t>'=('BALANCE SHEET'!D42+'BALANCE SHEET'!D43)-('BALANCE SHEET'!C42+'BALANCE SHEET'!C43)</t>
  </si>
  <si>
    <t>E22</t>
  </si>
  <si>
    <t>'='BALANCE SHEET'!E42+'BALANCE SHEET'!E43</t>
  </si>
  <si>
    <t>'=('BALANCE SHEET'!E42+'BALANCE SHEET'!E43)-('BALANCE SHEET'!D42+'BALANCE SHEET'!D43)</t>
  </si>
  <si>
    <t>C10</t>
  </si>
  <si>
    <t>'=+C8+C9</t>
  </si>
  <si>
    <t>Dependent CFS output</t>
  </si>
  <si>
    <t>Dependent output from corrected operating WC and financing movement formulas.</t>
  </si>
  <si>
    <t>D10</t>
  </si>
  <si>
    <t>'=+D8+D9</t>
  </si>
  <si>
    <t>E10</t>
  </si>
  <si>
    <t>'=+E8+E9</t>
  </si>
  <si>
    <t>C11</t>
  </si>
  <si>
    <t>'=SUM(C5:C9)</t>
  </si>
  <si>
    <t>D11</t>
  </si>
  <si>
    <t>'=SUM(D5:D9)</t>
  </si>
  <si>
    <t>E11</t>
  </si>
  <si>
    <t>'=SUM(E5:E9)</t>
  </si>
  <si>
    <t>C28</t>
  </si>
  <si>
    <t>'=SUM(C22:C26)</t>
  </si>
  <si>
    <t>D28</t>
  </si>
  <si>
    <t>'=SUM(D22:D26)</t>
  </si>
  <si>
    <t>E28</t>
  </si>
  <si>
    <t>'=SUM(E22:E26)</t>
  </si>
  <si>
    <t>C30</t>
  </si>
  <si>
    <t>'=+C11+C13+C17+C28</t>
  </si>
  <si>
    <t>D30</t>
  </si>
  <si>
    <t>'=+D11+D13+D17+D28</t>
  </si>
  <si>
    <t>E30</t>
  </si>
  <si>
    <t>'=+E11+E13+E17+E28</t>
  </si>
  <si>
    <t>FCF</t>
  </si>
  <si>
    <t>C12</t>
  </si>
  <si>
    <t>'='CASH FLOW STATEMENT'!C8</t>
  </si>
  <si>
    <t>FCF dependent output</t>
  </si>
  <si>
    <t>Formula now references corrected operating WC from CASH FLOW STATEMENT.</t>
  </si>
  <si>
    <t>D12</t>
  </si>
  <si>
    <t>'='CASH FLOW STATEMENT'!D8</t>
  </si>
  <si>
    <t>E12</t>
  </si>
  <si>
    <t>'='CASH FLOW STATEMENT'!E8</t>
  </si>
  <si>
    <t>'='CASH FLOW STATEMENT'!C9</t>
  </si>
  <si>
    <t>'='CASH FLOW STATEMENT'!D9</t>
  </si>
  <si>
    <t>'='CASH FLOW STATEMENT'!E9</t>
  </si>
  <si>
    <t>'='CASH FLOW STATEMENT'!C10</t>
  </si>
  <si>
    <t>'='CASH FLOW STATEMENT'!D10</t>
  </si>
  <si>
    <t>'='CASH FLOW STATEMENT'!E10</t>
  </si>
  <si>
    <t>C18</t>
  </si>
  <si>
    <t>'=+C14+C16</t>
  </si>
  <si>
    <t>D18</t>
  </si>
  <si>
    <t>'=+D14+D16</t>
  </si>
  <si>
    <t>E18</t>
  </si>
  <si>
    <t>'=+E14+E16</t>
  </si>
  <si>
    <t>C20</t>
  </si>
  <si>
    <t>'=+C9+C18</t>
  </si>
  <si>
    <t>D20</t>
  </si>
  <si>
    <t>'=+D9+D18</t>
  </si>
  <si>
    <t>E20</t>
  </si>
  <si>
    <t>'=+E9+E18</t>
  </si>
  <si>
    <t>PROY CASH FLOW STATEMENT</t>
  </si>
  <si>
    <t>Projected working capital label</t>
  </si>
  <si>
    <t>Projected operating current asset movement</t>
  </si>
  <si>
    <t>Uses projected AR + inventory only.</t>
  </si>
  <si>
    <t>'=(('PROY BALANCE SHEET'!D13+'PROY BALANCE SHEET'!D15+'PROY BALANCE SHEET'!D17+'PROY BALANCE SHEET'!D19)-('PROY BALANCE SHEET'!C13+'PROY BALANCE SHEET'!C15+'PROY BALANCE SHEET'!C17+'PROY BALANCE SHEET'!C19))*-1</t>
  </si>
  <si>
    <t>'=(('PROY BALANCE SHEET'!D13+'PROY BALANCE SHEET'!D17)-('PROY BALANCE SHEET'!C13+'PROY BALANCE SHEET'!C17))*-1</t>
  </si>
  <si>
    <t>'=(('PROY BALANCE SHEET'!E13+'PROY BALANCE SHEET'!E15+'PROY BALANCE SHEET'!E17+'PROY BALANCE SHEET'!E19)-('PROY BALANCE SHEET'!D13+'PROY BALANCE SHEET'!D15+'PROY BALANCE SHEET'!D17+'PROY BALANCE SHEET'!D19))*-1</t>
  </si>
  <si>
    <t>'=(('PROY BALANCE SHEET'!E13+'PROY BALANCE SHEET'!E17)-('PROY BALANCE SHEET'!D13+'PROY BALANCE SHEET'!D17))*-1</t>
  </si>
  <si>
    <t>F8</t>
  </si>
  <si>
    <t>'=(('PROY BALANCE SHEET'!F13+'PROY BALANCE SHEET'!F15+'PROY BALANCE SHEET'!F17+'PROY BALANCE SHEET'!F19)-('PROY BALANCE SHEET'!E13+'PROY BALANCE SHEET'!E15+'PROY BALANCE SHEET'!E17+'PROY BALANCE SHEET'!E19))*-1</t>
  </si>
  <si>
    <t>'=(('PROY BALANCE SHEET'!F13+'PROY BALANCE SHEET'!F17)-('PROY BALANCE SHEET'!E13+'PROY BALANCE SHEET'!E17))*-1</t>
  </si>
  <si>
    <t>Projected operating current liability movement</t>
  </si>
  <si>
    <t>Uses projected AP + other payable only.</t>
  </si>
  <si>
    <t>'='PROY BALANCE SHEET'!D45-'PROY BALANCE SHEET'!C45</t>
  </si>
  <si>
    <t>'=('PROY BALANCE SHEET'!D39+'PROY BALANCE SHEET'!D43)-('PROY BALANCE SHEET'!C39+'PROY BALANCE SHEET'!C43)</t>
  </si>
  <si>
    <t>'='PROY BALANCE SHEET'!E45-'PROY BALANCE SHEET'!D45</t>
  </si>
  <si>
    <t>'=('PROY BALANCE SHEET'!E39+'PROY BALANCE SHEET'!E43)-('PROY BALANCE SHEET'!D39+'PROY BALANCE SHEET'!D43)</t>
  </si>
  <si>
    <t>F9</t>
  </si>
  <si>
    <t>'='PROY BALANCE SHEET'!F45-'PROY BALANCE SHEET'!E45</t>
  </si>
  <si>
    <t>'=('PROY BALANCE SHEET'!F39+'PROY BALANCE SHEET'!F43)-('PROY BALANCE SHEET'!E39+'PROY BALANCE SHEET'!E43)</t>
  </si>
  <si>
    <t>Projected CFS dependent output</t>
  </si>
  <si>
    <t>Dependent output from corrected operating WC and financing movement.</t>
  </si>
  <si>
    <t>F10</t>
  </si>
  <si>
    <t>'=+F8+F9</t>
  </si>
  <si>
    <t>F11</t>
  </si>
  <si>
    <t>'=SUM(F5:F9)</t>
  </si>
  <si>
    <t>'='CASH FLOW STATEMENT'!E22</t>
  </si>
  <si>
    <t>F28</t>
  </si>
  <si>
    <t>'=SUM(F22:F26)</t>
  </si>
  <si>
    <t>F30</t>
  </si>
  <si>
    <t>'=+F11+F13+F17+F28</t>
  </si>
  <si>
    <t>ROIC</t>
  </si>
  <si>
    <t>A10</t>
  </si>
  <si>
    <t>Less Excess Cash **)</t>
  </si>
  <si>
    <t>Less Excess Cash / Cash and Deposit **)</t>
  </si>
  <si>
    <t>ROIC excess cash label</t>
  </si>
  <si>
    <t>Formula now includes cash on hand and cash on bank/deposit.</t>
  </si>
  <si>
    <t>B10</t>
  </si>
  <si>
    <t>'='BALANCE SHEET'!C8*-1</t>
  </si>
  <si>
    <t>'=('BALANCE SHEET'!C8+'BALANCE SHEET'!C9)*-1</t>
  </si>
  <si>
    <t>ROIC excess cash</t>
  </si>
  <si>
    <t>Source note says cash/deposit are non-operating; formula previously captured cash on hand only.</t>
  </si>
  <si>
    <t>'='BALANCE SHEET'!D8*-1</t>
  </si>
  <si>
    <t>'=('BALANCE SHEET'!D8+'BALANCE SHEET'!D9)*-1</t>
  </si>
  <si>
    <t>'='BALANCE SHEET'!E8*-1</t>
  </si>
  <si>
    <t>'=('BALANCE SHEET'!E8+'BALANCE SHEET'!E9)*-1</t>
  </si>
  <si>
    <t>Asumsi ini sesuai dengan Laporan Penilaian Wajib Pajak bahwa Kas dan Deposito adalah Non Operating Asset</t>
  </si>
  <si>
    <t>Non-operating fixed assets remain zero unless idle assets are specifically identified.</t>
  </si>
  <si>
    <t>ROIC note</t>
  </si>
  <si>
    <t>No evidence of idle/non-operating fixed assets was available.</t>
  </si>
  <si>
    <t>Cash and bank/deposit treated as excess cash; minimum operating cash remains a judgment sensitivity.</t>
  </si>
  <si>
    <t>Documents the cash classification judgment directly beside the formula.</t>
  </si>
  <si>
    <t>B12</t>
  </si>
  <si>
    <t>'=SUM(B8:B11)</t>
  </si>
  <si>
    <t>ROIC dependent output</t>
  </si>
  <si>
    <t>Dependent output from corrected excess cash formula.</t>
  </si>
  <si>
    <t>'=SUM(C8:C11)</t>
  </si>
  <si>
    <t>'=SUM(D8:D11)</t>
  </si>
  <si>
    <t>'=B12</t>
  </si>
  <si>
    <t>'=C12</t>
  </si>
  <si>
    <t>'=C7/C13</t>
  </si>
  <si>
    <t>'=D7/D13</t>
  </si>
  <si>
    <t>EEM</t>
  </si>
  <si>
    <t>D7</t>
  </si>
  <si>
    <t>'=AAM!E16+AAM!E22-(AAM!E29+AAM!E30+AAM!E31+AAM!E36)-AAM!E9</t>
  </si>
  <si>
    <t>'='STAT_EEM'!B7</t>
  </si>
  <si>
    <t>Net operating tangible asset base</t>
  </si>
  <si>
    <t>Uses final operating NTA: fixed assets net plus operating NWC.</t>
  </si>
  <si>
    <t>'='BORROWING CAP'!F14</t>
  </si>
  <si>
    <t>'='STAT_EEM'!B15</t>
  </si>
  <si>
    <t>Return on tangible asset</t>
  </si>
  <si>
    <t>Uses workbook-derived return on NTA from final EEM assumptions.</t>
  </si>
  <si>
    <t>'=+D7*C8</t>
  </si>
  <si>
    <t>'=D7*C8</t>
  </si>
  <si>
    <t>Required return on NTA</t>
  </si>
  <si>
    <t>Required return must be charged against operating tangible assets.</t>
  </si>
  <si>
    <t>'=NOPLAT!E19</t>
  </si>
  <si>
    <t>'='STAT_EEM'!B14</t>
  </si>
  <si>
    <t>Normalized NOPLAT</t>
  </si>
  <si>
    <t>Uses commercial EBIT taxed at statutory 22%; no fiscal correction.</t>
  </si>
  <si>
    <t>'='FIXED ASSET'!E51</t>
  </si>
  <si>
    <t>Depreciation add-back</t>
  </si>
  <si>
    <t>EEM excess earnings is based on normalized NOPLAT, not historical FCF with 2021 WC release.</t>
  </si>
  <si>
    <t>'=+D12+D13</t>
  </si>
  <si>
    <t>'=D12+D13</t>
  </si>
  <si>
    <t>Gross cash flow / normalized earnings subtotal</t>
  </si>
  <si>
    <t>Keeps formula structure while neutralizing depreciation add-back for EEM excess earnings.</t>
  </si>
  <si>
    <t>EEM working-capital/capex neutralization</t>
  </si>
  <si>
    <t>Final EEM uses normalized NOPLAT, not one-year cash-flow release/capex distortion.</t>
  </si>
  <si>
    <t>D21</t>
  </si>
  <si>
    <t>'='FIXED ASSET'!E23*-1</t>
  </si>
  <si>
    <t>D23</t>
  </si>
  <si>
    <t>'=+D19+D21</t>
  </si>
  <si>
    <t>D25</t>
  </si>
  <si>
    <t>'=+D14+D23</t>
  </si>
  <si>
    <t>'=D14+D23</t>
  </si>
  <si>
    <t>Normalized earnings for EEM</t>
  </si>
  <si>
    <t>Equivalent to statutory commercial NOPLAT after neutralizing non-EEM cash-flow items.</t>
  </si>
  <si>
    <t>D27</t>
  </si>
  <si>
    <t>'=D25-D9</t>
  </si>
  <si>
    <t>Excess earnings</t>
  </si>
  <si>
    <t>Commercial statutory NOPLAT less required return on operating NTA.</t>
  </si>
  <si>
    <t>'='DISCOUNT RATE'!H10</t>
  </si>
  <si>
    <t>'='STAT_EEM'!B18</t>
  </si>
  <si>
    <t>Capitalization rate</t>
  </si>
  <si>
    <t>Uses WACC minus base terminal growth 0%.</t>
  </si>
  <si>
    <t>D29</t>
  </si>
  <si>
    <t>'=D27/C28</t>
  </si>
  <si>
    <t>Capitalized excess earnings</t>
  </si>
  <si>
    <t>Capitalizes the normalized excess earnings.</t>
  </si>
  <si>
    <t>D31</t>
  </si>
  <si>
    <t>'=+D7+D29</t>
  </si>
  <si>
    <t>'=D7+D29</t>
  </si>
  <si>
    <t>Enterprise value</t>
  </si>
  <si>
    <t>Operating NTA plus capitalized excess earnings.</t>
  </si>
  <si>
    <t>D32</t>
  </si>
  <si>
    <t>'=('BALANCE SHEET'!E30+'BALANCE SHEET'!E37)*-1</t>
  </si>
  <si>
    <t>'=-'STAT_EEM'!B21</t>
  </si>
  <si>
    <t>Interest-bearing debt bridge</t>
  </si>
  <si>
    <t>Debt is subtracted from enterprise value; current balance is zero.</t>
  </si>
  <si>
    <t>D33</t>
  </si>
  <si>
    <t>'='BALANCE SHEET'!E8</t>
  </si>
  <si>
    <t>'='STAT_EEM'!B11</t>
  </si>
  <si>
    <t>Non-operating assets</t>
  </si>
  <si>
    <t>Adds cash, bank/deposit, and employee receivable as surplus assets subject to caveat.</t>
  </si>
  <si>
    <t>D34</t>
  </si>
  <si>
    <t>'=+D31+D32+D33</t>
  </si>
  <si>
    <t>'=D31+D32+D33</t>
  </si>
  <si>
    <t>Equity Value 100% - EEM</t>
  </si>
  <si>
    <t>Final EEM equity bridge without DLOM/DLOC.</t>
  </si>
  <si>
    <t>C35</t>
  </si>
  <si>
    <t>'=HOME!B15*-1</t>
  </si>
  <si>
    <t>DLOM</t>
  </si>
  <si>
    <t>No DLOM applied.</t>
  </si>
  <si>
    <t>D35</t>
  </si>
  <si>
    <t>'=D34*C35</t>
  </si>
  <si>
    <t>DLOM amount</t>
  </si>
  <si>
    <t>D36</t>
  </si>
  <si>
    <t>'=D34+D35</t>
  </si>
  <si>
    <t>Equity Value after DLOM</t>
  </si>
  <si>
    <t>Equals pre-discount value because DLOM is zero.</t>
  </si>
  <si>
    <t>C37</t>
  </si>
  <si>
    <t>'=HOME!B16*-1</t>
  </si>
  <si>
    <t>DLOC/PFC</t>
  </si>
  <si>
    <t>No DLOC/control/minority adjustment applied.</t>
  </si>
  <si>
    <t>'=D36*C37</t>
  </si>
  <si>
    <t>DLOC/PFC amount</t>
  </si>
  <si>
    <t>D38</t>
  </si>
  <si>
    <t>Market Value of Equity 100%</t>
  </si>
  <si>
    <t>Equals final EEM value because discounts are zero.</t>
  </si>
  <si>
    <t>D40</t>
  </si>
  <si>
    <t>'=D38*C39</t>
  </si>
  <si>
    <t>Market value of selected shares</t>
  </si>
  <si>
    <t>HOME share percentage is now 100% for this working copy.</t>
  </si>
  <si>
    <t>D42</t>
  </si>
  <si>
    <t>'=D40*D41</t>
  </si>
  <si>
    <t>EEM value in IDR</t>
  </si>
  <si>
    <t>Carries final 100% EEM indication.</t>
  </si>
  <si>
    <t>D43</t>
  </si>
  <si>
    <t>'=ROUNDUP(D42,-3)</t>
  </si>
  <si>
    <t>Rounded EEM value</t>
  </si>
  <si>
    <t>Rounded final 100% EEM indication.</t>
  </si>
  <si>
    <t>D44</t>
  </si>
  <si>
    <t>'=HOME!B7</t>
  </si>
  <si>
    <t>'=HOME!B6</t>
  </si>
  <si>
    <t>Share count</t>
  </si>
  <si>
    <t>Uses total outstanding shares for 100% equity.</t>
  </si>
  <si>
    <t>D45</t>
  </si>
  <si>
    <t>'=D42/D44</t>
  </si>
  <si>
    <t>Value per share</t>
  </si>
  <si>
    <t>Per-share reference based on 100% equity value.</t>
  </si>
  <si>
    <t>DCF</t>
  </si>
  <si>
    <t>C5</t>
  </si>
  <si>
    <t>'=NOPLAT!E5</t>
  </si>
  <si>
    <t>'='BALANCE SHEET'!E4</t>
  </si>
  <si>
    <t>Historical year</t>
  </si>
  <si>
    <t>Sets actual year to valuation year 2021.</t>
  </si>
  <si>
    <t>D5</t>
  </si>
  <si>
    <t>'=YEAR(D6)</t>
  </si>
  <si>
    <t>'=C5+1</t>
  </si>
  <si>
    <t>Projection year</t>
  </si>
  <si>
    <t>Expands DCF explicit period to 2022E-2026E.</t>
  </si>
  <si>
    <t>E5</t>
  </si>
  <si>
    <t>'=D5+1</t>
  </si>
  <si>
    <t>F5</t>
  </si>
  <si>
    <t>'=E5+1</t>
  </si>
  <si>
    <t>G5</t>
  </si>
  <si>
    <t>'=F5+1</t>
  </si>
  <si>
    <t>H5</t>
  </si>
  <si>
    <t>'=G5+1</t>
  </si>
  <si>
    <t>A12</t>
  </si>
  <si>
    <t>(Increase) Decrease in Current Asset</t>
  </si>
  <si>
    <t>Less: Change in Operating NWC</t>
  </si>
  <si>
    <t>DCF working capital label</t>
  </si>
  <si>
    <t>DCF uses operating NWC change from final STAT_DCF model.</t>
  </si>
  <si>
    <t>Increase (Decrease) in Current Liabilities</t>
  </si>
  <si>
    <t>Operating WC detail included in row 12</t>
  </si>
  <si>
    <t>Prevents old current-asset/current-liability wording from implying total current assets/liabilities.</t>
  </si>
  <si>
    <t>C7</t>
  </si>
  <si>
    <t>'=STAT_DCF!B15</t>
  </si>
  <si>
    <t>DCF NOPLAT</t>
  </si>
  <si>
    <t>Uses final commercial statutory 22% NOPLAT.</t>
  </si>
  <si>
    <t>'=STAT_DCF!B26</t>
  </si>
  <si>
    <t>DCF D&amp;A add-back</t>
  </si>
  <si>
    <t>Uses D&amp;A add-back from final STAT_DCF.</t>
  </si>
  <si>
    <t>'=+C7+C8</t>
  </si>
  <si>
    <t>'=C7+C8</t>
  </si>
  <si>
    <t>DCF gross cash flow</t>
  </si>
  <si>
    <t>Formula subtotal from final NOPLAT and D&amp;A.</t>
  </si>
  <si>
    <t>Base-period NWC change</t>
  </si>
  <si>
    <t>No base-period NWC change in valuation cash-flow projection.</t>
  </si>
  <si>
    <t>DCF operating WC detail placeholder</t>
  </si>
  <si>
    <t>Operating WC movement is consolidated in row 12.</t>
  </si>
  <si>
    <t>'=SUM(C12:C13)</t>
  </si>
  <si>
    <t>DCF total NWC cash-flow effect</t>
  </si>
  <si>
    <t>Keeps the original subtotal structure.</t>
  </si>
  <si>
    <t>'=-STAT_DCF!B27</t>
  </si>
  <si>
    <t>DCF maintenance capex</t>
  </si>
  <si>
    <t>Maintenance capex equals depreciation in final model.</t>
  </si>
  <si>
    <t>'=C14+C16</t>
  </si>
  <si>
    <t>DCF gross investment</t>
  </si>
  <si>
    <t>Operating NWC effect plus maintenance capex.</t>
  </si>
  <si>
    <t>'=C9+C18</t>
  </si>
  <si>
    <t>DCF free cash flow</t>
  </si>
  <si>
    <t>Final FCFF by year.</t>
  </si>
  <si>
    <t>'='PROY NOPLAT'!D19</t>
  </si>
  <si>
    <t>'=STAT_DCF!C15</t>
  </si>
  <si>
    <t>'='PROY FIXED ASSETS'!D51</t>
  </si>
  <si>
    <t>'=STAT_DCF!C26</t>
  </si>
  <si>
    <t>'=+D7+D8</t>
  </si>
  <si>
    <t>'=D7+D8</t>
  </si>
  <si>
    <t>'='PROY CASH FLOW STATEMENT'!D8</t>
  </si>
  <si>
    <t>'=-STAT_DCF!C25</t>
  </si>
  <si>
    <t>DCF change in operating NWC</t>
  </si>
  <si>
    <t>FCFF subtracts change in operating NWC.</t>
  </si>
  <si>
    <t>'='PROY CASH FLOW STATEMENT'!D9</t>
  </si>
  <si>
    <t>'=SUM(D12:D13)</t>
  </si>
  <si>
    <t>'='PROY FIXED ASSETS'!D23*-1</t>
  </si>
  <si>
    <t>'=-STAT_DCF!C27</t>
  </si>
  <si>
    <t>'=D14+D16</t>
  </si>
  <si>
    <t>'=D9+D18</t>
  </si>
  <si>
    <t>E7</t>
  </si>
  <si>
    <t>'='PROY NOPLAT'!E19</t>
  </si>
  <si>
    <t>'=STAT_DCF!D15</t>
  </si>
  <si>
    <t>'='PROY FIXED ASSETS'!E51</t>
  </si>
  <si>
    <t>'=STAT_DCF!D26</t>
  </si>
  <si>
    <t>'=+E7+E8</t>
  </si>
  <si>
    <t>'=E7+E8</t>
  </si>
  <si>
    <t>'='PROY CASH FLOW STATEMENT'!E8</t>
  </si>
  <si>
    <t>'=-STAT_DCF!D25</t>
  </si>
  <si>
    <t>'='PROY CASH FLOW STATEMENT'!E9</t>
  </si>
  <si>
    <t>'=SUM(E12:E13)</t>
  </si>
  <si>
    <t>'='PROY FIXED ASSETS'!E23*-1</t>
  </si>
  <si>
    <t>'=-STAT_DCF!D27</t>
  </si>
  <si>
    <t>'=E14+E16</t>
  </si>
  <si>
    <t>'=E9+E18</t>
  </si>
  <si>
    <t>F7</t>
  </si>
  <si>
    <t>'='PROY NOPLAT'!F19</t>
  </si>
  <si>
    <t>'=STAT_DCF!E15</t>
  </si>
  <si>
    <t>'='PROY FIXED ASSETS'!F51</t>
  </si>
  <si>
    <t>'=STAT_DCF!E26</t>
  </si>
  <si>
    <t>'=+F7+F8</t>
  </si>
  <si>
    <t>'=F7+F8</t>
  </si>
  <si>
    <t>F12</t>
  </si>
  <si>
    <t>'='PROY CASH FLOW STATEMENT'!F8</t>
  </si>
  <si>
    <t>'=-STAT_DCF!E25</t>
  </si>
  <si>
    <t>'='PROY CASH FLOW STATEMENT'!F9</t>
  </si>
  <si>
    <t>'=SUM(F12:F13)</t>
  </si>
  <si>
    <t>'='PROY FIXED ASSETS'!F23*-1</t>
  </si>
  <si>
    <t>'=-STAT_DCF!E27</t>
  </si>
  <si>
    <t>F18</t>
  </si>
  <si>
    <t>'=+F14+F16</t>
  </si>
  <si>
    <t>'=F14+F16</t>
  </si>
  <si>
    <t>F20</t>
  </si>
  <si>
    <t>'=+F9+F18</t>
  </si>
  <si>
    <t>'=F9+F18</t>
  </si>
  <si>
    <t>G7</t>
  </si>
  <si>
    <t>'=STAT_DCF!F15</t>
  </si>
  <si>
    <t>G8</t>
  </si>
  <si>
    <t>'=STAT_DCF!F26</t>
  </si>
  <si>
    <t>G9</t>
  </si>
  <si>
    <t>'=G7+G8</t>
  </si>
  <si>
    <t>G12</t>
  </si>
  <si>
    <t>'=-STAT_DCF!F25</t>
  </si>
  <si>
    <t>G13</t>
  </si>
  <si>
    <t>G14</t>
  </si>
  <si>
    <t>'=SUM(G12:G13)</t>
  </si>
  <si>
    <t>G16</t>
  </si>
  <si>
    <t>'=-STAT_DCF!F27</t>
  </si>
  <si>
    <t>G18</t>
  </si>
  <si>
    <t>'=G14+G16</t>
  </si>
  <si>
    <t>G20</t>
  </si>
  <si>
    <t>'=G9+G18</t>
  </si>
  <si>
    <t>H7</t>
  </si>
  <si>
    <t>'=STAT_DCF!G15</t>
  </si>
  <si>
    <t>H8</t>
  </si>
  <si>
    <t>'=STAT_DCF!G26</t>
  </si>
  <si>
    <t>H9</t>
  </si>
  <si>
    <t>'=H7+H8</t>
  </si>
  <si>
    <t>H12</t>
  </si>
  <si>
    <t>'=-STAT_DCF!G25</t>
  </si>
  <si>
    <t>H13</t>
  </si>
  <si>
    <t>H14</t>
  </si>
  <si>
    <t>'=SUM(H12:H13)</t>
  </si>
  <si>
    <t>H16</t>
  </si>
  <si>
    <t>'=-STAT_DCF!G27</t>
  </si>
  <si>
    <t>H18</t>
  </si>
  <si>
    <t>'=H14+H16</t>
  </si>
  <si>
    <t>H20</t>
  </si>
  <si>
    <t>'=H9+H18</t>
  </si>
  <si>
    <t>'=YEARFRAC($C$6,$D$6)</t>
  </si>
  <si>
    <t>1</t>
  </si>
  <si>
    <t>DCF period index</t>
  </si>
  <si>
    <t>Five-year explicit forecast period.</t>
  </si>
  <si>
    <t>'=1/((1+$B$23)^D22)</t>
  </si>
  <si>
    <t>DCF discount factor</t>
  </si>
  <si>
    <t>Discount factor using source WACC.</t>
  </si>
  <si>
    <t>D24</t>
  </si>
  <si>
    <t>'=D20*D23</t>
  </si>
  <si>
    <t>PV of free cash flow</t>
  </si>
  <si>
    <t>Present value of final FCFF.</t>
  </si>
  <si>
    <t>'=D22+1</t>
  </si>
  <si>
    <t>2</t>
  </si>
  <si>
    <t>E23</t>
  </si>
  <si>
    <t>'=1/((1+$B$23)^E22)</t>
  </si>
  <si>
    <t>E24</t>
  </si>
  <si>
    <t>'=E20*E23</t>
  </si>
  <si>
    <t>F22</t>
  </si>
  <si>
    <t>'=E22+1</t>
  </si>
  <si>
    <t>3</t>
  </si>
  <si>
    <t>F23</t>
  </si>
  <si>
    <t>'=1/((1+$B$23)^F22)</t>
  </si>
  <si>
    <t>F24</t>
  </si>
  <si>
    <t>'=F20*F23</t>
  </si>
  <si>
    <t>G22</t>
  </si>
  <si>
    <t>4</t>
  </si>
  <si>
    <t>G23</t>
  </si>
  <si>
    <t>'=1/((1+$B$23)^G22)</t>
  </si>
  <si>
    <t>G24</t>
  </si>
  <si>
    <t>'=G20*G23</t>
  </si>
  <si>
    <t>H22</t>
  </si>
  <si>
    <t>5</t>
  </si>
  <si>
    <t>H23</t>
  </si>
  <si>
    <t>'=1/((1+$B$23)^H22)</t>
  </si>
  <si>
    <t>H24</t>
  </si>
  <si>
    <t>'=H20*H23</t>
  </si>
  <si>
    <t>B23</t>
  </si>
  <si>
    <t>'=STAT_ASSUMPTIONS!B6</t>
  </si>
  <si>
    <t>DCF WACC</t>
  </si>
  <si>
    <t>Uses source WACC as base discount rate.</t>
  </si>
  <si>
    <t>C25</t>
  </si>
  <si>
    <t>'=SUM(D24:F24)</t>
  </si>
  <si>
    <t>'=SUM(D24:H24)</t>
  </si>
  <si>
    <t>PV explicit FCF</t>
  </si>
  <si>
    <t>Sums 2022E-2026E present values.</t>
  </si>
  <si>
    <t>B26</t>
  </si>
  <si>
    <t>'='GROWTH RATE'!C14</t>
  </si>
  <si>
    <t>'=STAT_ASSUMPTIONS!B8</t>
  </si>
  <si>
    <t>Terminal growth</t>
  </si>
  <si>
    <t>Base case terminal growth is 0%.</t>
  </si>
  <si>
    <t>C27</t>
  </si>
  <si>
    <t>'=F20*((1+B26)/(B23-B26))</t>
  </si>
  <si>
    <t>'=H20*((1+B26)/(B23-B26))</t>
  </si>
  <si>
    <t>Terminal value</t>
  </si>
  <si>
    <t>Terminal value based on 2026E FCFF.</t>
  </si>
  <si>
    <t>'=C27*F23</t>
  </si>
  <si>
    <t>'=C27*H23</t>
  </si>
  <si>
    <t>PV terminal value</t>
  </si>
  <si>
    <t>Discounts terminal value to valuation date.</t>
  </si>
  <si>
    <t>C29</t>
  </si>
  <si>
    <t>'=C25+C28</t>
  </si>
  <si>
    <t>Explicit PV plus terminal PV.</t>
  </si>
  <si>
    <t>'=-STAT_DCF!B38</t>
  </si>
  <si>
    <t>Interest-bearing debt</t>
  </si>
  <si>
    <t>Subtracts interest-bearing debt; current debt is zero.</t>
  </si>
  <si>
    <t>C31</t>
  </si>
  <si>
    <t>'=ROIC!D10*-1</t>
  </si>
  <si>
    <t>'=STAT_DCF!B37</t>
  </si>
  <si>
    <t>Surplus asset cash</t>
  </si>
  <si>
    <t>Adds cash, bank/deposit, and employee receivable as non-operating assets.</t>
  </si>
  <si>
    <t>C32</t>
  </si>
  <si>
    <t>'=ROIC!D9*-1</t>
  </si>
  <si>
    <t>Non-operating fixed assets</t>
  </si>
  <si>
    <t>No idle/non-operating fixed assets identified.</t>
  </si>
  <si>
    <t>C33</t>
  </si>
  <si>
    <t>'=SUM(C29:C32)</t>
  </si>
  <si>
    <t>Equity Value 100% - DCF</t>
  </si>
  <si>
    <t>Final DCF equity value before discounts, with corrected surplus asset bridge.</t>
  </si>
  <si>
    <t>B34</t>
  </si>
  <si>
    <t>C34</t>
  </si>
  <si>
    <t>'=C33*B34</t>
  </si>
  <si>
    <t>'=C33+C34</t>
  </si>
  <si>
    <t>B36</t>
  </si>
  <si>
    <t>C36</t>
  </si>
  <si>
    <t>'=C35*B36</t>
  </si>
  <si>
    <t>'=C35+C36</t>
  </si>
  <si>
    <t>Equals final DCF value because discounts are zero.</t>
  </si>
  <si>
    <t>B38</t>
  </si>
  <si>
    <t>'=HOME!B8</t>
  </si>
  <si>
    <t>'=1</t>
  </si>
  <si>
    <t>Percentage of shares</t>
  </si>
  <si>
    <t>Working copy is overwritten for 100% equity value.</t>
  </si>
  <si>
    <t>A39</t>
  </si>
  <si>
    <t>'="Market Value of "&amp;TEXT(B38,"0,0%")&amp;" Equity"</t>
  </si>
  <si>
    <t>Market Value of 100% Equity</t>
  </si>
  <si>
    <t>DCF output label</t>
  </si>
  <si>
    <t>Avoids implying that the final output is a minority block value.</t>
  </si>
  <si>
    <t>C39</t>
  </si>
  <si>
    <t>'=C37*B38</t>
  </si>
  <si>
    <t>Market value 100% equity</t>
  </si>
  <si>
    <t>B38 is locked to 100%.</t>
  </si>
  <si>
    <t>C40</t>
  </si>
  <si>
    <t>'=ROUNDUP(C39,-3)</t>
  </si>
  <si>
    <t>Rounded DCF value</t>
  </si>
  <si>
    <t>Rounded final 100% DCF indication.</t>
  </si>
  <si>
    <t>C41</t>
  </si>
  <si>
    <t>'=EEM!D44</t>
  </si>
  <si>
    <t>C42</t>
  </si>
  <si>
    <t>'=C39/C41</t>
  </si>
  <si>
    <t>Per-share reference based on 100% DCF value.</t>
  </si>
  <si>
    <t>AAM</t>
  </si>
  <si>
    <t>D54</t>
  </si>
  <si>
    <t>E54</t>
  </si>
  <si>
    <t>'=+E53*D54</t>
  </si>
  <si>
    <t>'=E53*D54</t>
  </si>
  <si>
    <t>E55</t>
  </si>
  <si>
    <t>'=+E53+E54</t>
  </si>
  <si>
    <t>'=E53+E54</t>
  </si>
  <si>
    <t>D56</t>
  </si>
  <si>
    <t>E56</t>
  </si>
  <si>
    <t>'=+E55*D56</t>
  </si>
  <si>
    <t>'=E55*D56</t>
  </si>
  <si>
    <t>E57</t>
  </si>
  <si>
    <t>'=+E55+E56</t>
  </si>
  <si>
    <t>'=E55+E56</t>
  </si>
  <si>
    <t>Equals final AAM value because discounts are zero.</t>
  </si>
  <si>
    <t>D58</t>
  </si>
  <si>
    <t>A59</t>
  </si>
  <si>
    <t>'="Market Value of "&amp;TEXT(D58,"0.0%")&amp;" Equity"</t>
  </si>
  <si>
    <t>AAM output label</t>
  </si>
  <si>
    <t>E59</t>
  </si>
  <si>
    <t>'=+E57*D58</t>
  </si>
  <si>
    <t>'=E57*D58</t>
  </si>
  <si>
    <t>D58 is locked to 100%.</t>
  </si>
  <si>
    <t>A60</t>
  </si>
  <si>
    <t>AAM per-share label</t>
  </si>
  <si>
    <t>Adds useful per-share reference from 100% equity value.</t>
  </si>
  <si>
    <t>E60</t>
  </si>
  <si>
    <t>'=E59-HOME!B7</t>
  </si>
  <si>
    <t>'=E59/HOME!B6</t>
  </si>
  <si>
    <t>Corrects prior nonsensical subtraction formula and divides 100% equity by total shares.</t>
  </si>
  <si>
    <t>FINAL_SOURCE_BRIDGE</t>
  </si>
  <si>
    <t>A1</t>
  </si>
  <si>
    <t>Source Workbook Treatment vs Final Review</t>
  </si>
  <si>
    <t>Pre-Overwrite Source Treatment vs Final Review</t>
  </si>
  <si>
    <t>Source bridge title</t>
  </si>
  <si>
    <t>Clarifies that this diagnostic table describes the source workbook before this overwrite pass.</t>
  </si>
  <si>
    <t>B2</t>
  </si>
  <si>
    <t>Source Workbook Formula / Logic</t>
  </si>
  <si>
    <t>Pre-Overwrite Source Formula / Logic</t>
  </si>
  <si>
    <t>Source bridge header</t>
  </si>
  <si>
    <t>Avoids ambiguity after formulas in source sheets are overwritten.</t>
  </si>
  <si>
    <t>C2</t>
  </si>
  <si>
    <t>Source Amount</t>
  </si>
  <si>
    <t>Pre-Overwrite Source Amount</t>
  </si>
  <si>
    <t>STAT_SUMMARY</t>
  </si>
  <si>
    <t>B6</t>
  </si>
  <si>
    <t>Existing Workbook Pre-Discount</t>
  </si>
  <si>
    <t>Overwritten Source Model</t>
  </si>
  <si>
    <t>Summary header</t>
  </si>
  <si>
    <t>The source method sheets have now been overwritten to final treatment.</t>
  </si>
  <si>
    <t>'=AAM!E53</t>
  </si>
  <si>
    <t>AAM source model indication</t>
  </si>
  <si>
    <t>AAM source sheet now uses no DLOM/DLOC and 100% basis.</t>
  </si>
  <si>
    <t>'=EEM!D34</t>
  </si>
  <si>
    <t>EEM source model indication</t>
  </si>
  <si>
    <t>EEM source sheet now uses final commercial statutory 22% treatment.</t>
  </si>
  <si>
    <t>'=DCF!C33</t>
  </si>
  <si>
    <t>DCF source model indication</t>
  </si>
  <si>
    <t>DCF source sheet now uses final five-year FCFF treatment.</t>
  </si>
  <si>
    <t>2026-04-30 09:33:11</t>
  </si>
  <si>
    <t>FIXED ASSET</t>
  </si>
  <si>
    <t>H73</t>
  </si>
  <si>
    <t>'=#REF!</t>
  </si>
  <si>
    <t>'=H72</t>
  </si>
  <si>
    <t>Nilai tanggungan tanah</t>
  </si>
  <si>
    <t>Inherited #REF! repaired conservatively by equating nilai tanggungan to carrying land value, so adjustment tanah is zero absent independent collateral/appraisal data.</t>
  </si>
  <si>
    <t>M8</t>
  </si>
  <si>
    <t>'=IFERROR((C8-#REF!)/#REF!,0)</t>
  </si>
  <si>
    <t>First historical horizontal growth</t>
  </si>
  <si>
    <t>Inherited #REF! in first-period growth formula repaired to zero because there is no prior comparative year in the workbook.</t>
  </si>
  <si>
    <t>M9</t>
  </si>
  <si>
    <t>'=IFERROR((C9-#REF!)/#REF!,0)</t>
  </si>
  <si>
    <t>M10</t>
  </si>
  <si>
    <t>'=IFERROR((C10-#REF!)/#REF!,0)</t>
  </si>
  <si>
    <t>M11</t>
  </si>
  <si>
    <t>'=IFERROR((C11-#REF!)/#REF!,0)</t>
  </si>
  <si>
    <t>M12</t>
  </si>
  <si>
    <t>'=IFERROR((C12-#REF!)/#REF!,0)</t>
  </si>
  <si>
    <t>M13</t>
  </si>
  <si>
    <t>'=IFERROR((C13-#REF!)/#REF!,0)</t>
  </si>
  <si>
    <t>M19</t>
  </si>
  <si>
    <t>'=IFERROR((C19-#REF!)/#REF!,0)</t>
  </si>
  <si>
    <t>M20</t>
  </si>
  <si>
    <t>'=IFERROR((C20-#REF!)/#REF!,0)</t>
  </si>
  <si>
    <t>M21</t>
  </si>
  <si>
    <t>'=IFERROR((C21-#REF!)/#REF!,0)</t>
  </si>
  <si>
    <t>M22</t>
  </si>
  <si>
    <t>'=IFERROR((C22-#REF!)/#REF!,0)</t>
  </si>
  <si>
    <t>M23</t>
  </si>
  <si>
    <t>'=IFERROR((C23-#REF!)/#REF!,0)</t>
  </si>
  <si>
    <t>M24</t>
  </si>
  <si>
    <t>'=IFERROR((C24-#REF!)/#REF!,0)</t>
  </si>
  <si>
    <t>M30</t>
  </si>
  <si>
    <t>'=IFERROR((C30-#REF!)/#REF!,0)</t>
  </si>
  <si>
    <t>M31</t>
  </si>
  <si>
    <t>'=IFERROR((C31-#REF!)/#REF!,0)</t>
  </si>
  <si>
    <t>M32</t>
  </si>
  <si>
    <t>'=IFERROR((C32-#REF!)/#REF!,0)</t>
  </si>
  <si>
    <t>M33</t>
  </si>
  <si>
    <t>'=IFERROR((C33-#REF!)/#REF!,0)</t>
  </si>
  <si>
    <t>M37</t>
  </si>
  <si>
    <t>'=IFERROR((C37-#REF!)/#REF!,0)</t>
  </si>
  <si>
    <t>M38</t>
  </si>
  <si>
    <t>'=IFERROR((C38-#REF!)/#REF!,0)</t>
  </si>
  <si>
    <t>M42</t>
  </si>
  <si>
    <t>'=IFERROR((C42-#REF!)/#REF!,0)</t>
  </si>
  <si>
    <t>M45</t>
  </si>
  <si>
    <t>'=IFERROR((C45-#REF!)/#REF!,0)</t>
  </si>
  <si>
    <t>M46</t>
  </si>
  <si>
    <t>'=IFERROR((C46-#REF!)/#REF!,0)</t>
  </si>
  <si>
    <t>M47</t>
  </si>
  <si>
    <t>'=IFERROR((C47-#REF!)/#REF!,0)</t>
  </si>
  <si>
    <t>GROWTH REVENUE</t>
  </si>
  <si>
    <t>'='INCOME STATEMENT'!#REF!</t>
  </si>
  <si>
    <t>Unavailable prior-year growth input</t>
  </si>
  <si>
    <t>Inherited #REF! repaired to zero because the workbook has no pre-2019 comparative income statement column.</t>
  </si>
  <si>
    <t>PASAR PEMBANDING_</t>
  </si>
  <si>
    <t>C3</t>
  </si>
  <si>
    <t>'='PASAR KESEBANDINGAN'!#REF!</t>
  </si>
  <si>
    <t>'='PASAR KESEBANDINGAN'!L39</t>
  </si>
  <si>
    <t>Selected comparable header</t>
  </si>
  <si>
    <t>Inherited #REF! repaired by linking to selected comparable ticker in PASAR KESEBANDINGAN.</t>
  </si>
  <si>
    <t>D3</t>
  </si>
  <si>
    <t>'='PASAR KESEBANDINGAN'!M39</t>
  </si>
  <si>
    <t>E3</t>
  </si>
  <si>
    <t>'='PASAR KESEBANDINGAN'!N39</t>
  </si>
  <si>
    <t>KERTAS KERJA PENILAIAN BISNIS</t>
  </si>
  <si>
    <t>Makmur Jaya Sejati Raya</t>
  </si>
  <si>
    <t>Jenis Perusahaan</t>
  </si>
  <si>
    <t>Cut off Date</t>
  </si>
  <si>
    <t>Akhir Periode Proyeksi Pertama</t>
  </si>
  <si>
    <t>Objek Penilaian</t>
  </si>
  <si>
    <t>DISCOUNT LACK OF MARKETABILITY</t>
  </si>
  <si>
    <t>DISCOUNT LACK OF CONTROL/PREMIUM FOR CONTROL</t>
  </si>
  <si>
    <t>LAPORAN KEUANGAN HISTORIS</t>
  </si>
  <si>
    <t>PERTIMBANGAN</t>
  </si>
  <si>
    <t>PROYEKSI</t>
  </si>
  <si>
    <t>PENDEKATAN PENILAIAN</t>
  </si>
  <si>
    <t>KESIMPULAN</t>
  </si>
  <si>
    <t>AADI</t>
  </si>
  <si>
    <t>PT Adaro Andalan Indonesia Tbk</t>
  </si>
  <si>
    <t>05 Des 2024</t>
  </si>
  <si>
    <t>AALI</t>
  </si>
  <si>
    <t>Astra Agro Lestari Tbk</t>
  </si>
  <si>
    <t>09 Des 1997</t>
  </si>
  <si>
    <t>ABBA</t>
  </si>
  <si>
    <t>Mahaka Media Tbk</t>
  </si>
  <si>
    <t>ABDA</t>
  </si>
  <si>
    <t>Asuransi Bina Dana Arta Tbk</t>
  </si>
  <si>
    <t>ABMM</t>
  </si>
  <si>
    <t>ABM Investama Tbk</t>
  </si>
  <si>
    <t>06 Des 2011</t>
  </si>
  <si>
    <t>ACES</t>
  </si>
  <si>
    <t>PT Aspirasi Hidup Indonesia Tbk</t>
  </si>
  <si>
    <t>ACRO</t>
  </si>
  <si>
    <t>PT Samcro Hyosung Adilestari Tbk.</t>
  </si>
  <si>
    <t>ACST</t>
  </si>
  <si>
    <t>PT Acset Indonusa Tbk.</t>
  </si>
  <si>
    <t>ADCP</t>
  </si>
  <si>
    <t>PT Adhi Commuter Properti Tbk</t>
  </si>
  <si>
    <t>21 Mei 2021</t>
  </si>
  <si>
    <t>ADES</t>
  </si>
  <si>
    <t>Akasha Wira International Tbk Tbk</t>
  </si>
  <si>
    <t>ADHI</t>
  </si>
  <si>
    <t>PT Adhi Karya (Persero) Tbk.</t>
  </si>
  <si>
    <t>ADMF</t>
  </si>
  <si>
    <t>Adira Dinamika Multi Finance Tbk</t>
  </si>
  <si>
    <t>ADMG</t>
  </si>
  <si>
    <t>Polychem Indonesia Tbk</t>
  </si>
  <si>
    <t>20 Okt 1993</t>
  </si>
  <si>
    <t>ADMR</t>
  </si>
  <si>
    <t>PT Alamtri Minerals Indonesia Tbk</t>
  </si>
  <si>
    <t>ADRO</t>
  </si>
  <si>
    <t>Alamtri Resources Indonesia Tbk</t>
  </si>
  <si>
    <t>AEGS</t>
  </si>
  <si>
    <t>PT Anugerah Spareparts Sejahtera Tbk.</t>
  </si>
  <si>
    <t>AGAR</t>
  </si>
  <si>
    <t>PT Asia Sejahtera Mina Tbk</t>
  </si>
  <si>
    <t>02 Des 2019</t>
  </si>
  <si>
    <t>AGII</t>
  </si>
  <si>
    <t>PT Samator Indo Gas Tbk</t>
  </si>
  <si>
    <t>AGRO</t>
  </si>
  <si>
    <t>PT Bank Raya Indonesia Tbk</t>
  </si>
  <si>
    <t>08 Agt 2003</t>
  </si>
  <si>
    <t>AGRS</t>
  </si>
  <si>
    <t>PT Bank IBK Indonesia Tbk.</t>
  </si>
  <si>
    <t>22 Des 2014</t>
  </si>
  <si>
    <t>AHAP</t>
  </si>
  <si>
    <t>Asuransi Harta Aman Pratama Tbk</t>
  </si>
  <si>
    <t>AIMS</t>
  </si>
  <si>
    <t>PT Artha Mahiya Investama Tbk</t>
  </si>
  <si>
    <t>AISA</t>
  </si>
  <si>
    <t>PT FKS Food Sejahtera Tbk</t>
  </si>
  <si>
    <t>AKKU</t>
  </si>
  <si>
    <t>PT Anugerah Kagum Karya Utama Tbk</t>
  </si>
  <si>
    <t>AKPI</t>
  </si>
  <si>
    <t>Argha Karya Prima Ind. Tbk</t>
  </si>
  <si>
    <t>18 Des 1992</t>
  </si>
  <si>
    <t>AKRA</t>
  </si>
  <si>
    <t>PT AKR Corporindo Tbk.</t>
  </si>
  <si>
    <t>03 Okt 1994</t>
  </si>
  <si>
    <t>AKSI</t>
  </si>
  <si>
    <t>PT Mineral Sumberdaya Mandiri Tbk</t>
  </si>
  <si>
    <t>ALDO</t>
  </si>
  <si>
    <t>Alkindo Naratama Tbk</t>
  </si>
  <si>
    <t>ALII</t>
  </si>
  <si>
    <t>PT Ancara Logistics Indonesia Tbk</t>
  </si>
  <si>
    <t>ALKA</t>
  </si>
  <si>
    <t>Alakasa Industrindo Tbk</t>
  </si>
  <si>
    <t>ALMI</t>
  </si>
  <si>
    <t>Alumindo Light Metal Industry Tbk</t>
  </si>
  <si>
    <t>ALTO</t>
  </si>
  <si>
    <t>Tri Banyan Tirta Tbk</t>
  </si>
  <si>
    <t>AMAG</t>
  </si>
  <si>
    <t>Asuransi Multi Artha Guna Tbk</t>
  </si>
  <si>
    <t>23 Des 2005</t>
  </si>
  <si>
    <t>AMAN</t>
  </si>
  <si>
    <t>PT Makmur Berkah Amanda Tbk.</t>
  </si>
  <si>
    <t>AMAR</t>
  </si>
  <si>
    <t>PT Bank Amar Indonesia Tbk.</t>
  </si>
  <si>
    <t>AMFG</t>
  </si>
  <si>
    <t>Asahimas Flat Glass Tbk</t>
  </si>
  <si>
    <t>AMIN</t>
  </si>
  <si>
    <t>PT Ateliers Mecaniques D Indonesie Tbk.</t>
  </si>
  <si>
    <t>10 Des 2015</t>
  </si>
  <si>
    <t>AMMN</t>
  </si>
  <si>
    <t>PT Amman Mineral Internasional Tbk.</t>
  </si>
  <si>
    <t>AMMS</t>
  </si>
  <si>
    <t>PT Agung Menjangan Mas Tbk</t>
  </si>
  <si>
    <t>04 Agt 2022</t>
  </si>
  <si>
    <t>AMOR</t>
  </si>
  <si>
    <t>PT Ashmore Asset Management Indonesia Tbk.</t>
  </si>
  <si>
    <t>AMRT</t>
  </si>
  <si>
    <t>PT Sumber Alfaria Trijaya Tbk.</t>
  </si>
  <si>
    <t>ANDI</t>
  </si>
  <si>
    <t>PT Andira Agro Tbk</t>
  </si>
  <si>
    <t>16 Agt 2018</t>
  </si>
  <si>
    <t>ANJT</t>
  </si>
  <si>
    <t>PT Austindo Nusantara Jaya Tbk.</t>
  </si>
  <si>
    <t>08 Mei 2013</t>
  </si>
  <si>
    <t>ANTM</t>
  </si>
  <si>
    <t>Aneka Tambang Tbk.</t>
  </si>
  <si>
    <t>APEX</t>
  </si>
  <si>
    <t>Apexindo Pratama Duta Tbk</t>
  </si>
  <si>
    <t>APIC</t>
  </si>
  <si>
    <t>PACIFIC STRATEGIC FINANCIAL Tbk</t>
  </si>
  <si>
    <t>18 Des 2002</t>
  </si>
  <si>
    <t>APII</t>
  </si>
  <si>
    <t>PT Arita Prima Indonesia Tbk.</t>
  </si>
  <si>
    <t>29 Okt 2013</t>
  </si>
  <si>
    <t>APLI</t>
  </si>
  <si>
    <t>Asiaplast Industries Tbk</t>
  </si>
  <si>
    <t>01 Mei 2000</t>
  </si>
  <si>
    <t>APLN</t>
  </si>
  <si>
    <t>PT Agung Podomoro Land Tbk.</t>
  </si>
  <si>
    <t>ARCI</t>
  </si>
  <si>
    <t>PT Archi Indonesia Tbk</t>
  </si>
  <si>
    <t>AREA</t>
  </si>
  <si>
    <t>PT Dunia Virtual Online Tbk</t>
  </si>
  <si>
    <t>ARGO</t>
  </si>
  <si>
    <t>Argo Pantes Tbk</t>
  </si>
  <si>
    <t>ARII</t>
  </si>
  <si>
    <t>Atlas Resources Tbk</t>
  </si>
  <si>
    <t>ARKA</t>
  </si>
  <si>
    <t>PT Arkha Jayanti Persada Tbk.</t>
  </si>
  <si>
    <t>ARKO</t>
  </si>
  <si>
    <t>PT Arkora Hydro Tbk.</t>
  </si>
  <si>
    <t>ARMY</t>
  </si>
  <si>
    <t>PT Armidian Karyatama Tbk</t>
  </si>
  <si>
    <t>ARNA</t>
  </si>
  <si>
    <t>Arwana Citramulia Tbk</t>
  </si>
  <si>
    <t>ARTA</t>
  </si>
  <si>
    <t>Arthavest Tbk</t>
  </si>
  <si>
    <t>ARTI</t>
  </si>
  <si>
    <t>Ratu Prabu Energi Tbk</t>
  </si>
  <si>
    <t>ARTO</t>
  </si>
  <si>
    <t>PT Bank Jago Tbk.</t>
  </si>
  <si>
    <t>ASBI</t>
  </si>
  <si>
    <t>Asuransi Bintang Tbk</t>
  </si>
  <si>
    <t>ASDM</t>
  </si>
  <si>
    <t>Asuransi Dayin Mitra Tbk</t>
  </si>
  <si>
    <t>15 Des 1989</t>
  </si>
  <si>
    <t>ASGR</t>
  </si>
  <si>
    <t>Astra Graphia Tbk</t>
  </si>
  <si>
    <t>ASHA</t>
  </si>
  <si>
    <t>PT Cilacap Samudera Fishing Industry Tbk</t>
  </si>
  <si>
    <t>27 Mei 2022</t>
  </si>
  <si>
    <t>ASII</t>
  </si>
  <si>
    <t>Astra International Tbk</t>
  </si>
  <si>
    <t>ASJT</t>
  </si>
  <si>
    <t>Asuransi Jasa Tania Tbk</t>
  </si>
  <si>
    <t>23 Des 2003</t>
  </si>
  <si>
    <t>ASLC</t>
  </si>
  <si>
    <t>PT Autopedia Sukses Lestari Tbk</t>
  </si>
  <si>
    <t>ASLI</t>
  </si>
  <si>
    <t>PT Asri Karya Lestari Tbk.</t>
  </si>
  <si>
    <t>ASMI</t>
  </si>
  <si>
    <t>PT Asuransi Maximus Graha Persada Tbk.</t>
  </si>
  <si>
    <t>ASPI</t>
  </si>
  <si>
    <t>PT Andalan Sakti Primaindo Tbk.</t>
  </si>
  <si>
    <t>ASPR</t>
  </si>
  <si>
    <t>PT Asia Pramulia Tbk</t>
  </si>
  <si>
    <t>ASRI</t>
  </si>
  <si>
    <t>ALAM SUTERA REALTY Tbk</t>
  </si>
  <si>
    <t>18 Des 2007</t>
  </si>
  <si>
    <t>ASRM</t>
  </si>
  <si>
    <t>Asuransi Ramayana Tbk</t>
  </si>
  <si>
    <t>ASSA</t>
  </si>
  <si>
    <t>Adi Sarana Armada Tbk</t>
  </si>
  <si>
    <t>ATAP</t>
  </si>
  <si>
    <t>PT Trimitra Prawara Goldland Tbk</t>
  </si>
  <si>
    <t>11 Des 2020</t>
  </si>
  <si>
    <t>ATIC</t>
  </si>
  <si>
    <t>PT Anabatic Technologies Tbk</t>
  </si>
  <si>
    <t>ATLA</t>
  </si>
  <si>
    <t>PT Atlantis Subsea Indonesia Tbk</t>
  </si>
  <si>
    <t>AUTO</t>
  </si>
  <si>
    <t>Astra Otoparts Tbk</t>
  </si>
  <si>
    <t>AVIA</t>
  </si>
  <si>
    <t>PT Avia Avian Tbk</t>
  </si>
  <si>
    <t>08 Des 2021</t>
  </si>
  <si>
    <t>AWAN</t>
  </si>
  <si>
    <t>PT Era Digital Media Tbk</t>
  </si>
  <si>
    <t>AXIO</t>
  </si>
  <si>
    <t>PT Tera Data Indonusa Tbk</t>
  </si>
  <si>
    <t>AYAM</t>
  </si>
  <si>
    <t>PT Janu Putra Sejahtera Tbk.</t>
  </si>
  <si>
    <t>AYLS</t>
  </si>
  <si>
    <t>PT Agro Yasa Lestari Tbk</t>
  </si>
  <si>
    <t>BABP</t>
  </si>
  <si>
    <t>PT Bank MNC Internasional Tbk.</t>
  </si>
  <si>
    <t>BABY</t>
  </si>
  <si>
    <t>PT Multitrend Indo Tbk.</t>
  </si>
  <si>
    <t>BACA</t>
  </si>
  <si>
    <t>PT Bank Capital Indonesia Tbk</t>
  </si>
  <si>
    <t>04 Okt 2007</t>
  </si>
  <si>
    <t>BAIK</t>
  </si>
  <si>
    <t>PT Bersama Mencapai Puncak Tbk.</t>
  </si>
  <si>
    <t>BAJA</t>
  </si>
  <si>
    <t>Saranacentral Bajatama Tbk</t>
  </si>
  <si>
    <t>21 Des 2011</t>
  </si>
  <si>
    <t>BALI</t>
  </si>
  <si>
    <t>PT Bali Towerindo Sentra Tbk.</t>
  </si>
  <si>
    <t>BANK</t>
  </si>
  <si>
    <t>PT Bank Aladin Syariah Tbk</t>
  </si>
  <si>
    <t>BAPA</t>
  </si>
  <si>
    <t>Bekasi Asri Pemula Tbk</t>
  </si>
  <si>
    <t>BAPI</t>
  </si>
  <si>
    <t>PT Bhakti Agung Propertindo Tbk.</t>
  </si>
  <si>
    <t>BATA</t>
  </si>
  <si>
    <t>Sepatu Bata Tbk</t>
  </si>
  <si>
    <t>BATR</t>
  </si>
  <si>
    <t>PT Benteng Api Technic Tbk</t>
  </si>
  <si>
    <t>BAUT</t>
  </si>
  <si>
    <t>PT Mitra Angkasa Sejahtera Tbk</t>
  </si>
  <si>
    <t>BAYU</t>
  </si>
  <si>
    <t>Bayu Buana Tbk</t>
  </si>
  <si>
    <t>30 Okt 1989</t>
  </si>
  <si>
    <t>BBCA</t>
  </si>
  <si>
    <t>PT Bank Central Asia Tbk.</t>
  </si>
  <si>
    <t>31 Mei 2000</t>
  </si>
  <si>
    <t>BBHI</t>
  </si>
  <si>
    <t>PT Allo Bank Indonesia Tbk</t>
  </si>
  <si>
    <t>12 Agt 2015</t>
  </si>
  <si>
    <t>BBKP</t>
  </si>
  <si>
    <t>PT Bank KB Bukopin Tbk</t>
  </si>
  <si>
    <t>BBLD</t>
  </si>
  <si>
    <t>Buana Finance Tbk</t>
  </si>
  <si>
    <t>07 Mei 1990</t>
  </si>
  <si>
    <t>BBMD</t>
  </si>
  <si>
    <t>PT Bank Mestika Dharma Tbk.</t>
  </si>
  <si>
    <t>BBNI</t>
  </si>
  <si>
    <t>PT Bank Negara Indonesia (Persero) Tbk</t>
  </si>
  <si>
    <t>BBRI</t>
  </si>
  <si>
    <t>PT Bank Rakyat Indonesia (Persero) Tbk</t>
  </si>
  <si>
    <t>BBRM</t>
  </si>
  <si>
    <t>Pelayaran Nasional Bina Buana Raya Tbk</t>
  </si>
  <si>
    <t>BBSI</t>
  </si>
  <si>
    <t>PT Krom Bank Indonesia Tbk</t>
  </si>
  <si>
    <t>BBSS</t>
  </si>
  <si>
    <t>PT Bumi Benowo Sukses Sejahtera Tbk</t>
  </si>
  <si>
    <t>BBTN</t>
  </si>
  <si>
    <t>PT Bank Tabungan Negara (Persero) Tbk</t>
  </si>
  <si>
    <t>17 Des 2009</t>
  </si>
  <si>
    <t>BBYB</t>
  </si>
  <si>
    <t>PT Bank Neo Commerce Tbk.</t>
  </si>
  <si>
    <t>BCAP</t>
  </si>
  <si>
    <t>MNC Kapital Indonesia Tbk</t>
  </si>
  <si>
    <t>BCIC</t>
  </si>
  <si>
    <t>PT Bank JTrust Indonesia Tbk.</t>
  </si>
  <si>
    <t>BCIP</t>
  </si>
  <si>
    <t>Bumi Citra Permai Tbk</t>
  </si>
  <si>
    <t>11 Des 2009</t>
  </si>
  <si>
    <t>BDKR</t>
  </si>
  <si>
    <t>PT Berdikari Pondasi Perkasa Tbk.</t>
  </si>
  <si>
    <t>BDMN</t>
  </si>
  <si>
    <t>PT Bank Danamon Indonesia Tbk</t>
  </si>
  <si>
    <t>06 Des 1989</t>
  </si>
  <si>
    <t>BEBS</t>
  </si>
  <si>
    <t>PT Berkah Beton Sadaya Tbk</t>
  </si>
  <si>
    <t>BEEF</t>
  </si>
  <si>
    <t>PT Estika Tata Tiara Tbk.</t>
  </si>
  <si>
    <t>BEER</t>
  </si>
  <si>
    <t>PT Jobubu Jarum Minahasa Tbk</t>
  </si>
  <si>
    <t>BEKS</t>
  </si>
  <si>
    <t>PT Bank Pembangunan Daerah Banten Tbk.</t>
  </si>
  <si>
    <t>BELI</t>
  </si>
  <si>
    <t>PT Global Digital Niaga Tbk</t>
  </si>
  <si>
    <t>BELL</t>
  </si>
  <si>
    <t>PT Trisula Textile Industries Tbk</t>
  </si>
  <si>
    <t>03 Okt 2017</t>
  </si>
  <si>
    <t>BESS</t>
  </si>
  <si>
    <t>PT Batulicin Nusantara Maritim Tbk.</t>
  </si>
  <si>
    <t>BEST</t>
  </si>
  <si>
    <t>Bekasi Fajar Industrial Estate Tbk</t>
  </si>
  <si>
    <t>BFIN</t>
  </si>
  <si>
    <t>BFI Finance Indonesia Tbk</t>
  </si>
  <si>
    <t>16 Mei 1990</t>
  </si>
  <si>
    <t>BGTG</t>
  </si>
  <si>
    <t>PT Bank Ganesha Tbk.</t>
  </si>
  <si>
    <t>12 Mei 2016</t>
  </si>
  <si>
    <t>BHAT</t>
  </si>
  <si>
    <t>PT Bhakti Multi Artha Tbk.</t>
  </si>
  <si>
    <t>BHIT</t>
  </si>
  <si>
    <t>PT MNC Asia Holding Tbk</t>
  </si>
  <si>
    <t>BIKA</t>
  </si>
  <si>
    <t>PT Binakarya Jaya Abadi Tbk.</t>
  </si>
  <si>
    <t>BIKE</t>
  </si>
  <si>
    <t>PT Sepeda Bersama Indonesia Tbk</t>
  </si>
  <si>
    <t>BIMA</t>
  </si>
  <si>
    <t>Primarindo Asia Infrastructure Tbk</t>
  </si>
  <si>
    <t>30 Agt 1994</t>
  </si>
  <si>
    <t>BINA</t>
  </si>
  <si>
    <t>PT Bank Ina Perdana Tbk.</t>
  </si>
  <si>
    <t>BINO</t>
  </si>
  <si>
    <t>PT Perma Plasindo Tbk</t>
  </si>
  <si>
    <t>BIPI</t>
  </si>
  <si>
    <t>PT Astrindo Nusantara Infrastruktur Tbk.</t>
  </si>
  <si>
    <t>BIPP</t>
  </si>
  <si>
    <t>Bhuwanatala Indah Permai Tbk</t>
  </si>
  <si>
    <t>23 Okt 1995</t>
  </si>
  <si>
    <t>BIRD</t>
  </si>
  <si>
    <t>PT Blue Bird Tbk</t>
  </si>
  <si>
    <t>BISI</t>
  </si>
  <si>
    <t>BISI INTERNATIONAL Tbk</t>
  </si>
  <si>
    <t>28 Mei 2007</t>
  </si>
  <si>
    <t>BJBR</t>
  </si>
  <si>
    <t>Bank Pembangunan Daerah Jawa Barat dan Banten Tbk</t>
  </si>
  <si>
    <t>BJTM</t>
  </si>
  <si>
    <t>Bank Pembangunan Daerah Jawa Timur Tbk</t>
  </si>
  <si>
    <t>BKDP</t>
  </si>
  <si>
    <t>Bukit Darmo Property Tbk</t>
  </si>
  <si>
    <t>BKSL</t>
  </si>
  <si>
    <t>Sentul City Tbk</t>
  </si>
  <si>
    <t>BKSW</t>
  </si>
  <si>
    <t>PT Bank QNB Indonesia Tbk</t>
  </si>
  <si>
    <t>BLES</t>
  </si>
  <si>
    <t>PT Superior Prima Sukses Tbk</t>
  </si>
  <si>
    <t>BLOG</t>
  </si>
  <si>
    <t>PT Trimitra Trans Persada Tbk</t>
  </si>
  <si>
    <t>BLTA</t>
  </si>
  <si>
    <t>Berlian Laju Tanker Tbk</t>
  </si>
  <si>
    <t>BLTZ</t>
  </si>
  <si>
    <t>PT Graha Layar Prima Tbk.</t>
  </si>
  <si>
    <t>BLUE</t>
  </si>
  <si>
    <t>PT Berkah Prima Perkasa Tbk</t>
  </si>
  <si>
    <t>BMAS</t>
  </si>
  <si>
    <t>PT Bank Maspion Indonesia Tbk.</t>
  </si>
  <si>
    <t>BMBL</t>
  </si>
  <si>
    <t>PT Lavender Bina Cendikia Tbk</t>
  </si>
  <si>
    <t>BMHS</t>
  </si>
  <si>
    <t>PT Bundamedik Tbk</t>
  </si>
  <si>
    <t>BMRI</t>
  </si>
  <si>
    <t>PT Bank Mandiri (Persero) Tbk</t>
  </si>
  <si>
    <t>BMSR</t>
  </si>
  <si>
    <t>Bintang Mitra Semestaraya Tbk</t>
  </si>
  <si>
    <t>29 Des 1999</t>
  </si>
  <si>
    <t>BMTR</t>
  </si>
  <si>
    <t>PT Global Mediacom Tbk</t>
  </si>
  <si>
    <t>BNBA</t>
  </si>
  <si>
    <t>Bank Bumi Arta Tbk</t>
  </si>
  <si>
    <t>BNBR</t>
  </si>
  <si>
    <t>Bakrie &amp; Brothers Tbk</t>
  </si>
  <si>
    <t>28 Agt 1989</t>
  </si>
  <si>
    <t>BNGA</t>
  </si>
  <si>
    <t>PT Bank CIMB Niaga Tbk</t>
  </si>
  <si>
    <t>BNII</t>
  </si>
  <si>
    <t>PT Bank Maybank Indonesia Tbk</t>
  </si>
  <si>
    <t>BNLI</t>
  </si>
  <si>
    <t>Bank Permata Tbk</t>
  </si>
  <si>
    <t>BOAT</t>
  </si>
  <si>
    <t>PT Newport Marine Services Tbk</t>
  </si>
  <si>
    <t>BOBA</t>
  </si>
  <si>
    <t>PT Formosa Ingredient Factory Tbk</t>
  </si>
  <si>
    <t>BOGA</t>
  </si>
  <si>
    <t>PT Bintang Oto Global Tbk</t>
  </si>
  <si>
    <t>19 Des 2016</t>
  </si>
  <si>
    <t>BOLA</t>
  </si>
  <si>
    <t>PT Bali Bintang Sejahtera Tbk.</t>
  </si>
  <si>
    <t>BOLT</t>
  </si>
  <si>
    <t>PT Garuda Metalindo Tbk.</t>
  </si>
  <si>
    <t>BOSS</t>
  </si>
  <si>
    <t>PT Borneo Olah Sarana Sukses Tbk.</t>
  </si>
  <si>
    <t>BPFI</t>
  </si>
  <si>
    <t>PT Woori Finance Indonesia Tbk</t>
  </si>
  <si>
    <t>BPII</t>
  </si>
  <si>
    <t>PT Batavia Prosperindo Internasional Tbk.</t>
  </si>
  <si>
    <t>BPTR</t>
  </si>
  <si>
    <t>PT Batavia Prosperindo Trans Tbk.</t>
  </si>
  <si>
    <t>BRAM</t>
  </si>
  <si>
    <t>Indo Kordsa Tbk</t>
  </si>
  <si>
    <t>BREN</t>
  </si>
  <si>
    <t>PT Barito Renewables Energy Tbk.</t>
  </si>
  <si>
    <t>09 Okt 2023</t>
  </si>
  <si>
    <t>BRIS</t>
  </si>
  <si>
    <t>PT Bank Syariah Indonesia Tbk</t>
  </si>
  <si>
    <t>09 Mei 2018</t>
  </si>
  <si>
    <t>BRMS</t>
  </si>
  <si>
    <t>Bumi Resources Minerals Tbk</t>
  </si>
  <si>
    <t>09 Des 2010</t>
  </si>
  <si>
    <t>BRNA</t>
  </si>
  <si>
    <t>Berlina Tbk</t>
  </si>
  <si>
    <t>BRPT</t>
  </si>
  <si>
    <t>Barito Pacific Tbk</t>
  </si>
  <si>
    <t>01 Okt 1993</t>
  </si>
  <si>
    <t>BRRC</t>
  </si>
  <si>
    <t>PT Raja Roti Cemerlang Tbk</t>
  </si>
  <si>
    <t>BSBK</t>
  </si>
  <si>
    <t>PT Wulandari Bangun Laksana Tbk</t>
  </si>
  <si>
    <t>BSDE</t>
  </si>
  <si>
    <t>PT Bumi Serpong Damai Tbk</t>
  </si>
  <si>
    <t>BSIM</t>
  </si>
  <si>
    <t>Bank Sinarmas Tbk</t>
  </si>
  <si>
    <t>13 Des 2010</t>
  </si>
  <si>
    <t>BSML</t>
  </si>
  <si>
    <t>PT Bintang Samudera Mandiri Lines Tbk</t>
  </si>
  <si>
    <t>16 Des 2021</t>
  </si>
  <si>
    <t>BSSR</t>
  </si>
  <si>
    <t>Baramulti Suksessarana Tbk</t>
  </si>
  <si>
    <t>BSWD</t>
  </si>
  <si>
    <t>Bank of India Indonesia Tbk</t>
  </si>
  <si>
    <t>01 Mei 2002</t>
  </si>
  <si>
    <t>BTEK</t>
  </si>
  <si>
    <t>Bumi Teknokultura Unggul Tbk</t>
  </si>
  <si>
    <t>14 Mei 2004</t>
  </si>
  <si>
    <t>BTEL</t>
  </si>
  <si>
    <t>Bakrie Telecom Tbk</t>
  </si>
  <si>
    <t>BTON</t>
  </si>
  <si>
    <t>Betonjaya Manunggal Tbk</t>
  </si>
  <si>
    <t>BTPN</t>
  </si>
  <si>
    <t>PT Bank SMBC Indonesia Tbk</t>
  </si>
  <si>
    <t>BTPS</t>
  </si>
  <si>
    <t>PT Bank BTPN Syariah Tbk.</t>
  </si>
  <si>
    <t>08 Mei 2018</t>
  </si>
  <si>
    <t>BUAH</t>
  </si>
  <si>
    <t>PT Segar Kumala Indonesia Tbk</t>
  </si>
  <si>
    <t>09 Agt 2022</t>
  </si>
  <si>
    <t>BUDI</t>
  </si>
  <si>
    <t>PT Budi Starch &amp; Sweetener Tbk.</t>
  </si>
  <si>
    <t>08 Mei 1995</t>
  </si>
  <si>
    <t>BUKA</t>
  </si>
  <si>
    <t>PT Bukalapak.com Tbk</t>
  </si>
  <si>
    <t>06 Agt 2021</t>
  </si>
  <si>
    <t>BUKK</t>
  </si>
  <si>
    <t>Bukaka Teknik Utama Tbk</t>
  </si>
  <si>
    <t>BULL</t>
  </si>
  <si>
    <t>PT Buana Lintas Lautan Tbk.</t>
  </si>
  <si>
    <t>23 Mei 2011</t>
  </si>
  <si>
    <t>BUMI</t>
  </si>
  <si>
    <t>Bumi Resources Tbk</t>
  </si>
  <si>
    <t>BUVA</t>
  </si>
  <si>
    <t>PT Bukit Uluwatu Villa Tbk</t>
  </si>
  <si>
    <t>BVIC</t>
  </si>
  <si>
    <t>Bank Victoria International Tbk</t>
  </si>
  <si>
    <t>BWPT</t>
  </si>
  <si>
    <t>Eagle High Plantations Tbk</t>
  </si>
  <si>
    <t>27 Okt 2009</t>
  </si>
  <si>
    <t>BYAN</t>
  </si>
  <si>
    <t>Bayan Resources Tbk</t>
  </si>
  <si>
    <t>12 Agt 2008</t>
  </si>
  <si>
    <t>CAKK</t>
  </si>
  <si>
    <t>PT Cahayaputra Asa Keramik Tbk.</t>
  </si>
  <si>
    <t>31 Okt 2018</t>
  </si>
  <si>
    <t>CAMP</t>
  </si>
  <si>
    <t>PT Campina Ice Cream Industry Tbk.</t>
  </si>
  <si>
    <t>19 Des 2017</t>
  </si>
  <si>
    <t>CANI</t>
  </si>
  <si>
    <t>PT Capitol Nusantara Indonesia Tbk.</t>
  </si>
  <si>
    <t>CARE</t>
  </si>
  <si>
    <t>PT Metro Healthcare Indonesia Tbk</t>
  </si>
  <si>
    <t>CARS</t>
  </si>
  <si>
    <t>PT Industri dan Perdagangan Bintraco Dharma Tbk</t>
  </si>
  <si>
    <t>CASA</t>
  </si>
  <si>
    <t>PT Capital Financial Indonesia Tbk</t>
  </si>
  <si>
    <t>CASH</t>
  </si>
  <si>
    <t>PT Cashlez Worldwide Indonesia Tbk.</t>
  </si>
  <si>
    <t>04 Mei 2020</t>
  </si>
  <si>
    <t>CASS</t>
  </si>
  <si>
    <t>Cahaya Aero Services Tbk</t>
  </si>
  <si>
    <t>05 Des 2011</t>
  </si>
  <si>
    <t>CBDK</t>
  </si>
  <si>
    <t>PT Bangun Kosambi Sukses Tbk</t>
  </si>
  <si>
    <t>CBMF</t>
  </si>
  <si>
    <t>PT Cahaya Bintang Medan Tbk</t>
  </si>
  <si>
    <t>CBPE</t>
  </si>
  <si>
    <t>PT Citra Buana Prasida Tbk</t>
  </si>
  <si>
    <t>CBRE</t>
  </si>
  <si>
    <t>PT Cakra Buana Resources Energi Tbk</t>
  </si>
  <si>
    <t>CBUT</t>
  </si>
  <si>
    <t>PT Citra Borneo Utama Tbk</t>
  </si>
  <si>
    <t>CCSI</t>
  </si>
  <si>
    <t>PT Communication Cable Systems Indonesia Tbk.</t>
  </si>
  <si>
    <t>CDIA</t>
  </si>
  <si>
    <t>PT Chandra Daya Investasi Tbk</t>
  </si>
  <si>
    <t>CEKA</t>
  </si>
  <si>
    <t>PT Wilmar Cahaya Indonesia Tbk.</t>
  </si>
  <si>
    <t>CENT</t>
  </si>
  <si>
    <t>PT Centratama Telekomunikasi Indonesia Tbk.</t>
  </si>
  <si>
    <t>CFIN</t>
  </si>
  <si>
    <t>Clipan Finance Indonesia Tbk</t>
  </si>
  <si>
    <t>27 Agt 1990</t>
  </si>
  <si>
    <t>CGAS</t>
  </si>
  <si>
    <t>PT Citra Nusantara Gemilang Tbk.</t>
  </si>
  <si>
    <t>CHEK</t>
  </si>
  <si>
    <t>PT Diastika Biotekindo Tbk</t>
  </si>
  <si>
    <t>CHEM</t>
  </si>
  <si>
    <t>PT Chemstar Indonesia Tbk</t>
  </si>
  <si>
    <t>CHIP</t>
  </si>
  <si>
    <t>PT Pelita Teknologi Global Tbk</t>
  </si>
  <si>
    <t>CINT</t>
  </si>
  <si>
    <t>PT Chitose Internasional Tbk</t>
  </si>
  <si>
    <t>CITA</t>
  </si>
  <si>
    <t>Cita Mineral Investindo Tbk</t>
  </si>
  <si>
    <t>CITY</t>
  </si>
  <si>
    <t>PT Natura City Developments Tbk.</t>
  </si>
  <si>
    <t>CLAY</t>
  </si>
  <si>
    <t>PT Citra Putra Realty Tbk</t>
  </si>
  <si>
    <t>CLEO</t>
  </si>
  <si>
    <t>PT Sariguna Primatirta Tbk</t>
  </si>
  <si>
    <t>05 Mei 2017</t>
  </si>
  <si>
    <t>CLPI</t>
  </si>
  <si>
    <t>Colorpak Indonesia Tbk</t>
  </si>
  <si>
    <t>CMNP</t>
  </si>
  <si>
    <t>Citra Marga Nusaphala Persada Tbk</t>
  </si>
  <si>
    <t>CMNT</t>
  </si>
  <si>
    <t>PT Cemindo Gemilang Tbk</t>
  </si>
  <si>
    <t>CMPP</t>
  </si>
  <si>
    <t>PT AirAsia Indonesia Tbk</t>
  </si>
  <si>
    <t>08 Des 1994</t>
  </si>
  <si>
    <t>CMRY</t>
  </si>
  <si>
    <t>PT Cisarua Mountain Dairy Tbk</t>
  </si>
  <si>
    <t>06 Des 2021</t>
  </si>
  <si>
    <t>CNKO</t>
  </si>
  <si>
    <t>Exploitasi Energi Indonesia Tbk</t>
  </si>
  <si>
    <t>CNMA</t>
  </si>
  <si>
    <t>PT Nusantara Sejahtera Raya Tbk</t>
  </si>
  <si>
    <t>02 Agt 2023</t>
  </si>
  <si>
    <t>CNTX</t>
  </si>
  <si>
    <t>PT Century Textile Industry Tbk</t>
  </si>
  <si>
    <t>22 Mei 1979</t>
  </si>
  <si>
    <t>COAL</t>
  </si>
  <si>
    <t>PT Black Diamond Resources Tbk</t>
  </si>
  <si>
    <t>COCO</t>
  </si>
  <si>
    <t>PT Wahana Interfood Nusantara Tbk.</t>
  </si>
  <si>
    <t>COIN</t>
  </si>
  <si>
    <t>PT Indokripto Koin Semesta Tbk</t>
  </si>
  <si>
    <t>COWL</t>
  </si>
  <si>
    <t>COWELL DEVELOPMENT Tbk</t>
  </si>
  <si>
    <t>19 Des 2007</t>
  </si>
  <si>
    <t>CPIN</t>
  </si>
  <si>
    <t>Charoen Pokphand Indonesia Tbk</t>
  </si>
  <si>
    <t>CPRI</t>
  </si>
  <si>
    <t>PT Capri Nusa Satu Properti Tbk.</t>
  </si>
  <si>
    <t>CPRO</t>
  </si>
  <si>
    <t>Central Proteina Prima Tbk</t>
  </si>
  <si>
    <t>CRAB</t>
  </si>
  <si>
    <t>PT Toba Surimi Industries Tbk</t>
  </si>
  <si>
    <t>10 Agt 2022</t>
  </si>
  <si>
    <t>CRSN</t>
  </si>
  <si>
    <t>PT Carsurin Tbk</t>
  </si>
  <si>
    <t>CSAP</t>
  </si>
  <si>
    <t>Catur Sentosa Adiprana Tbk</t>
  </si>
  <si>
    <t>12 Des 2007</t>
  </si>
  <si>
    <t>CSIS</t>
  </si>
  <si>
    <t>PT Cahayasakti Investindo Sukses Tbk</t>
  </si>
  <si>
    <t>10 Mei 2017</t>
  </si>
  <si>
    <t>CSMI</t>
  </si>
  <si>
    <t>PT Cipta Selera Murni Tbk.</t>
  </si>
  <si>
    <t>CSRA</t>
  </si>
  <si>
    <t>PT Cisadane Sawit Raya Tbk.</t>
  </si>
  <si>
    <t>CTBN</t>
  </si>
  <si>
    <t>Citra Tubindo Tbk</t>
  </si>
  <si>
    <t>CTRA</t>
  </si>
  <si>
    <t>Ciputra Development Tbk</t>
  </si>
  <si>
    <t>CTTH</t>
  </si>
  <si>
    <t>Citatah Tbk</t>
  </si>
  <si>
    <t>CUAN</t>
  </si>
  <si>
    <t>PT Petrindo Jaya Kreasi Tbk</t>
  </si>
  <si>
    <t>CYBR</t>
  </si>
  <si>
    <t>PT ITSEC Asia Tbk.</t>
  </si>
  <si>
    <t>08 Agt 2023</t>
  </si>
  <si>
    <t>DAAZ</t>
  </si>
  <si>
    <t>PT Daaz Bara Lestari Tbk</t>
  </si>
  <si>
    <t>DADA</t>
  </si>
  <si>
    <t>PT Diamond Citra Propertindo Tbk.</t>
  </si>
  <si>
    <t>DART</t>
  </si>
  <si>
    <t>Duta Anggada Realty Tbk</t>
  </si>
  <si>
    <t>08 Mei 1990</t>
  </si>
  <si>
    <t>DATA</t>
  </si>
  <si>
    <t>PT Remala Abadi Tbk</t>
  </si>
  <si>
    <t>07 Mei 2024</t>
  </si>
  <si>
    <t>DAYA</t>
  </si>
  <si>
    <t>PT Duta Intidaya Tbk.</t>
  </si>
  <si>
    <t>DCII</t>
  </si>
  <si>
    <t>PT DCI Indonesia Tbk</t>
  </si>
  <si>
    <t>DEAL</t>
  </si>
  <si>
    <t>PT Dewata Freightinternational Tbk.</t>
  </si>
  <si>
    <t>DEFI</t>
  </si>
  <si>
    <t>Danasupra Erapacific Tbk</t>
  </si>
  <si>
    <t>DEPO</t>
  </si>
  <si>
    <t>PT Caturkarda Depo Bangunan Tbk</t>
  </si>
  <si>
    <t>DEWA</t>
  </si>
  <si>
    <t>Darma Henwa Tbk</t>
  </si>
  <si>
    <t>DEWI</t>
  </si>
  <si>
    <t>PT Dewi Shri Farmindo Tbk</t>
  </si>
  <si>
    <t>DFAM</t>
  </si>
  <si>
    <t>PT Dafam Property Indonesia Tbk</t>
  </si>
  <si>
    <t>DGIK</t>
  </si>
  <si>
    <t>Nusa Konstruksi Enjiniring Tbk</t>
  </si>
  <si>
    <t>DGNS</t>
  </si>
  <si>
    <t>PT Diagnos Laboratorium Utama Tbk</t>
  </si>
  <si>
    <t>DGWG</t>
  </si>
  <si>
    <t>PT Delta Giri Wacana Tbk</t>
  </si>
  <si>
    <t>DIGI</t>
  </si>
  <si>
    <t>PT Arkadia Digital Media Tbk</t>
  </si>
  <si>
    <t>DILD</t>
  </si>
  <si>
    <t>Intiland Development Tbk</t>
  </si>
  <si>
    <t>DIVA</t>
  </si>
  <si>
    <t>PT Distribusi Voucher Nusantara Tbk</t>
  </si>
  <si>
    <t>DKFT</t>
  </si>
  <si>
    <t>Central Omega Resources Tbk</t>
  </si>
  <si>
    <t>DKHH</t>
  </si>
  <si>
    <t>PT Cipta Sarana Medika Tbk</t>
  </si>
  <si>
    <t>08 Mei 2025</t>
  </si>
  <si>
    <t>DLTA</t>
  </si>
  <si>
    <t>Delta Djakarta Tbk</t>
  </si>
  <si>
    <t>DMAS</t>
  </si>
  <si>
    <t>PT Puradelta Lestari Tbk.</t>
  </si>
  <si>
    <t>29 Mei 2015</t>
  </si>
  <si>
    <t>DMMX</t>
  </si>
  <si>
    <t>PT Digital Mediatama Maxima Tbk</t>
  </si>
  <si>
    <t>21 Okt 2019</t>
  </si>
  <si>
    <t>DMND</t>
  </si>
  <si>
    <t>PT Diamond Food Indonesia Tbk.</t>
  </si>
  <si>
    <t>DNAR</t>
  </si>
  <si>
    <t>PT Bank Oke Indonesia Tbk.</t>
  </si>
  <si>
    <t>DNET</t>
  </si>
  <si>
    <t>PT Indoritel Makmur Internasional Tbk.</t>
  </si>
  <si>
    <t>11 Des 2000</t>
  </si>
  <si>
    <t>DOID</t>
  </si>
  <si>
    <t>PT BUMA Internasional Grup Tbk</t>
  </si>
  <si>
    <t>DOOH</t>
  </si>
  <si>
    <t>PT Era Media Sejahtera Tbk</t>
  </si>
  <si>
    <t>08 Mei 2023</t>
  </si>
  <si>
    <t>DOSS</t>
  </si>
  <si>
    <t>PT Global Sukses Digital Tbk</t>
  </si>
  <si>
    <t>07 Agt 2024</t>
  </si>
  <si>
    <t>DPNS</t>
  </si>
  <si>
    <t>Duta Pertiwi Nusantara Tbk</t>
  </si>
  <si>
    <t>08 Agt 1990</t>
  </si>
  <si>
    <t>DPUM</t>
  </si>
  <si>
    <t>PT Dua Putra Utama Makmur Tbk.</t>
  </si>
  <si>
    <t>08 Des 2015</t>
  </si>
  <si>
    <t>DRMA</t>
  </si>
  <si>
    <t>PT Dharma Polimetal Tbk</t>
  </si>
  <si>
    <t>20 Des 2021</t>
  </si>
  <si>
    <t>DSFI</t>
  </si>
  <si>
    <t>Dharma Samudera Fishing Ind. Tbk</t>
  </si>
  <si>
    <t>DSNG</t>
  </si>
  <si>
    <t>PT Dharma Satya Nusantara Tbk.</t>
  </si>
  <si>
    <t>DSSA</t>
  </si>
  <si>
    <t>Dian Swastatika Sentosa Tbk</t>
  </si>
  <si>
    <t>10 Des 2009</t>
  </si>
  <si>
    <t>DUCK</t>
  </si>
  <si>
    <t>PT Jaya Bersama Indo Tbk.</t>
  </si>
  <si>
    <t>10 Okt 2018</t>
  </si>
  <si>
    <t>DUTI</t>
  </si>
  <si>
    <t>Duta Pertiwi Tbk</t>
  </si>
  <si>
    <t>DVLA</t>
  </si>
  <si>
    <t>Darya-Varia Laboratoria Tbk</t>
  </si>
  <si>
    <t>DWGL</t>
  </si>
  <si>
    <t>PT Dwi Guna Laksana Tbk</t>
  </si>
  <si>
    <t>13 Des 2017</t>
  </si>
  <si>
    <t>DYAN</t>
  </si>
  <si>
    <t>PT Dyandra Media International Tbk.</t>
  </si>
  <si>
    <t>EAST</t>
  </si>
  <si>
    <t>PT Eastparc Hotel Tbk</t>
  </si>
  <si>
    <t>ECII</t>
  </si>
  <si>
    <t>PT Electronic City Indonesia Tbk.</t>
  </si>
  <si>
    <t>EDGE</t>
  </si>
  <si>
    <t>PT Indointernet Tbk.</t>
  </si>
  <si>
    <t>EKAD</t>
  </si>
  <si>
    <t>Ekadharma International Tbk</t>
  </si>
  <si>
    <t>14 Agt 1990</t>
  </si>
  <si>
    <t>ELIT</t>
  </si>
  <si>
    <t>PT Data Sinergitama Jaya Tbk</t>
  </si>
  <si>
    <t>ELPI</t>
  </si>
  <si>
    <t>PT Pelayaran Nasional Ekalya Purnamasari Tbk</t>
  </si>
  <si>
    <t>08 Agt 2022</t>
  </si>
  <si>
    <t>ELSA</t>
  </si>
  <si>
    <t>Elnusa Tbk</t>
  </si>
  <si>
    <t>ELTY</t>
  </si>
  <si>
    <t>Bakrieland Development Tbk</t>
  </si>
  <si>
    <t>30 Okt 1995</t>
  </si>
  <si>
    <t>EMDE</t>
  </si>
  <si>
    <t>Megapolitan Developments Tbk</t>
  </si>
  <si>
    <t>EMTK</t>
  </si>
  <si>
    <t>Elang Mahkota Teknologi Tbk</t>
  </si>
  <si>
    <t>ENAK</t>
  </si>
  <si>
    <t>PT Champ Resto Indonesia Tbk</t>
  </si>
  <si>
    <t>ENRG</t>
  </si>
  <si>
    <t>Energi Mega Persada Tbk</t>
  </si>
  <si>
    <t>ENVY</t>
  </si>
  <si>
    <t>PT Envy Technologies Indonesia Tbk</t>
  </si>
  <si>
    <t>ENZO</t>
  </si>
  <si>
    <t>PT Morenzo Abadi Perkasa Tbk</t>
  </si>
  <si>
    <t>EPAC</t>
  </si>
  <si>
    <t>PT Megalestari Epack Sentosaraya Tbk.</t>
  </si>
  <si>
    <t>EPMT</t>
  </si>
  <si>
    <t>Enseval Putera Megatrading Tbk</t>
  </si>
  <si>
    <t>01 Agt 1994</t>
  </si>
  <si>
    <t>ERAA</t>
  </si>
  <si>
    <t>Erajaya Swasembada Tbk</t>
  </si>
  <si>
    <t>14 Des 2011</t>
  </si>
  <si>
    <t>ERAL</t>
  </si>
  <si>
    <t>PT Sinar Eka Selaras Tbk</t>
  </si>
  <si>
    <t>ERTX</t>
  </si>
  <si>
    <t>Eratex Djaja Tbk</t>
  </si>
  <si>
    <t>21 Agt 1990</t>
  </si>
  <si>
    <t>ESIP</t>
  </si>
  <si>
    <t>PT Sinergi Inti Plastindo Tbk.</t>
  </si>
  <si>
    <t>ESSA</t>
  </si>
  <si>
    <t>ESSA Industries Indonesia Tbk</t>
  </si>
  <si>
    <t>ESTA</t>
  </si>
  <si>
    <t>PT Esta Multi Usaha Tbk.</t>
  </si>
  <si>
    <t>ESTI</t>
  </si>
  <si>
    <t>Ever Shine Textile Industry Tbk</t>
  </si>
  <si>
    <t>13 Okt 1992</t>
  </si>
  <si>
    <t>ETWA</t>
  </si>
  <si>
    <t>Eterindo Wahanatama Tbk</t>
  </si>
  <si>
    <t>16 Mei 1997</t>
  </si>
  <si>
    <t>EURO</t>
  </si>
  <si>
    <t>PT Estee Gold Feet Tbk</t>
  </si>
  <si>
    <t>EXCL</t>
  </si>
  <si>
    <t>PT XLSMART Telecom Sejahtera Tbk</t>
  </si>
  <si>
    <t>FAPA</t>
  </si>
  <si>
    <t>PT FAP Agri Tbk</t>
  </si>
  <si>
    <t>FAST</t>
  </si>
  <si>
    <t>PT Fast Food Indonesia Tbk</t>
  </si>
  <si>
    <t>11 Mei 1993</t>
  </si>
  <si>
    <t>FASW</t>
  </si>
  <si>
    <t>Fajar Surya Wisesa Tbk</t>
  </si>
  <si>
    <t>19 Des 1994</t>
  </si>
  <si>
    <t>FILM</t>
  </si>
  <si>
    <t>PT MD Entertainment Tbk</t>
  </si>
  <si>
    <t>07 Agt 2018</t>
  </si>
  <si>
    <t>FIMP</t>
  </si>
  <si>
    <t>PT Fimperkasa Utama Tbk</t>
  </si>
  <si>
    <t>FIRE</t>
  </si>
  <si>
    <t>PT Alfa Energi Investama Tbk.</t>
  </si>
  <si>
    <t>FISH</t>
  </si>
  <si>
    <t>FKS Multi Agro Tbk</t>
  </si>
  <si>
    <t>FITT</t>
  </si>
  <si>
    <t>PT Hotel Fitra International Tbk</t>
  </si>
  <si>
    <t>FLMC</t>
  </si>
  <si>
    <t>PT Falmaco Nonwoven Industri Tbk</t>
  </si>
  <si>
    <t>FMII</t>
  </si>
  <si>
    <t>Fortune Mate Indonesia Tbk</t>
  </si>
  <si>
    <t>FOLK</t>
  </si>
  <si>
    <t>PT Multi Garam Utama Tbk.</t>
  </si>
  <si>
    <t>07 Agt 2023</t>
  </si>
  <si>
    <t>FOOD</t>
  </si>
  <si>
    <t>PT Sentra Food Indonesia Tbk.</t>
  </si>
  <si>
    <t>FORE</t>
  </si>
  <si>
    <t>PT Fore Kopi Indonesia Tbk</t>
  </si>
  <si>
    <t>FORU</t>
  </si>
  <si>
    <t>Fortune Indonesia Tbk</t>
  </si>
  <si>
    <t>FORZ</t>
  </si>
  <si>
    <t>PT Forza Land Indonesia Tbk.</t>
  </si>
  <si>
    <t>FPNI</t>
  </si>
  <si>
    <t>PT Lotte Chemical Titan Tbk.</t>
  </si>
  <si>
    <t>FUJI</t>
  </si>
  <si>
    <t>PT Fuji Finance Indonesia Tbk.</t>
  </si>
  <si>
    <t>FUTR</t>
  </si>
  <si>
    <t>PT Futura Energi Global Tbk</t>
  </si>
  <si>
    <t>FWCT</t>
  </si>
  <si>
    <t>PT Wijaya Cahaya Timber Tbk</t>
  </si>
  <si>
    <t>GAMA</t>
  </si>
  <si>
    <t>Aksara Global Development Tbk</t>
  </si>
  <si>
    <t>GDST</t>
  </si>
  <si>
    <t>Gunawan Dianjaya Steel Tbk</t>
  </si>
  <si>
    <t>23 Des 2009</t>
  </si>
  <si>
    <t>GDYR</t>
  </si>
  <si>
    <t>Goodyear Indonesia Tbk</t>
  </si>
  <si>
    <t>22 Des 1980</t>
  </si>
  <si>
    <t>GEMA</t>
  </si>
  <si>
    <t>Gema Grahasarana Tbk</t>
  </si>
  <si>
    <t>12 Agt 2002</t>
  </si>
  <si>
    <t>GEMS</t>
  </si>
  <si>
    <t>Golden Energy Mines Tbk</t>
  </si>
  <si>
    <t>GGRM</t>
  </si>
  <si>
    <t>Gudang Garam Tbk</t>
  </si>
  <si>
    <t>GGRP</t>
  </si>
  <si>
    <t>PT Gunung Raja Paksi Tbk.</t>
  </si>
  <si>
    <t>GHON</t>
  </si>
  <si>
    <t>PT Gihon Telekomunikasi Indonesia Tbk</t>
  </si>
  <si>
    <t>GIAA</t>
  </si>
  <si>
    <t>Garuda Indonesia (Persero) Tbk</t>
  </si>
  <si>
    <t>GJTL</t>
  </si>
  <si>
    <t>Gajah Tunggal Tbk</t>
  </si>
  <si>
    <t>GLOB</t>
  </si>
  <si>
    <t>PT Globe Kita Terang Tbk</t>
  </si>
  <si>
    <t>GLVA</t>
  </si>
  <si>
    <t>PT Galva Technologies Tbk</t>
  </si>
  <si>
    <t>23 Des 2019</t>
  </si>
  <si>
    <t>GMFI</t>
  </si>
  <si>
    <t>PT Garuda Maintenance Facility Aero Asia Tbk.</t>
  </si>
  <si>
    <t>10 Okt 2017</t>
  </si>
  <si>
    <t>GMTD</t>
  </si>
  <si>
    <t>Gowa Makassar Tourism Development Tbk</t>
  </si>
  <si>
    <t>GOLD</t>
  </si>
  <si>
    <t>PT Visi Telekomunikasi Infrastruktur Tbk.</t>
  </si>
  <si>
    <t>GOLF</t>
  </si>
  <si>
    <t>PT Intra GolfLink Resorts Tbk</t>
  </si>
  <si>
    <t>GOLL</t>
  </si>
  <si>
    <t>PT Golden Plantation Tbk</t>
  </si>
  <si>
    <t>23 Des 2014</t>
  </si>
  <si>
    <t>GOOD</t>
  </si>
  <si>
    <t>PT Garudafood Putra Putri Jaya Tbk.</t>
  </si>
  <si>
    <t>GOTO</t>
  </si>
  <si>
    <t>PT GoTo Gojek Tokopedia Tbk</t>
  </si>
  <si>
    <t>GPRA</t>
  </si>
  <si>
    <t>Perdana Gapura Prima Tbk</t>
  </si>
  <si>
    <t>10 Okt 2007</t>
  </si>
  <si>
    <t>GPSO</t>
  </si>
  <si>
    <t>PT Geoprima Solusi Tbk</t>
  </si>
  <si>
    <t>GRIA</t>
  </si>
  <si>
    <t>PT Ingria Pratama Capitalindo Tbk</t>
  </si>
  <si>
    <t>GRPH</t>
  </si>
  <si>
    <t>PT Griptha Putra Persada Tbk.</t>
  </si>
  <si>
    <t>GRPM</t>
  </si>
  <si>
    <t>PT Graha Prima Mentari Tbk.</t>
  </si>
  <si>
    <t>GSMF</t>
  </si>
  <si>
    <t>Equity Development Investment Tbk</t>
  </si>
  <si>
    <t>23 Okt 1989</t>
  </si>
  <si>
    <t>GTBO</t>
  </si>
  <si>
    <t>Garda Tujuh Buana Tbk</t>
  </si>
  <si>
    <t>GTRA</t>
  </si>
  <si>
    <t>PT Grahaprima Suksesmandiri Tbk</t>
  </si>
  <si>
    <t>GTSI</t>
  </si>
  <si>
    <t>PT GTS Internasional Tbk</t>
  </si>
  <si>
    <t>GULA</t>
  </si>
  <si>
    <t>PT Aman Agrindo Tbk</t>
  </si>
  <si>
    <t>03 Agt 2022</t>
  </si>
  <si>
    <t>GUNA</t>
  </si>
  <si>
    <t>PT Gunanusa Eramandiri Tbk</t>
  </si>
  <si>
    <t>GWSA</t>
  </si>
  <si>
    <t>PT Greenwood Sejahtera Tbk</t>
  </si>
  <si>
    <t>23 Des 2011</t>
  </si>
  <si>
    <t>GZCO</t>
  </si>
  <si>
    <t>Gozco Plantations Tbk</t>
  </si>
  <si>
    <t>15 Mei 2008</t>
  </si>
  <si>
    <t>HADE</t>
  </si>
  <si>
    <t>PT Himalaya Energi Perkasa Tbk</t>
  </si>
  <si>
    <t>HAIS</t>
  </si>
  <si>
    <t>PT Hasnur Internasional Shipping Tbk</t>
  </si>
  <si>
    <t>HAJJ</t>
  </si>
  <si>
    <t>PT Arsy Buana Travelindo Tbk</t>
  </si>
  <si>
    <t>HALO</t>
  </si>
  <si>
    <t>PT Haloni Jane Tbk</t>
  </si>
  <si>
    <t>HATM</t>
  </si>
  <si>
    <t>PT Habco Trans Maritima Tbk</t>
  </si>
  <si>
    <t>HBAT</t>
  </si>
  <si>
    <t>PT Minahasa Membangun Hebat Tbk</t>
  </si>
  <si>
    <t>HDFA</t>
  </si>
  <si>
    <t>Radana Bhaskara Finance Tbk</t>
  </si>
  <si>
    <t>10 Mei 2011</t>
  </si>
  <si>
    <t>HDIT</t>
  </si>
  <si>
    <t>PT Hensel Davest Indonesia Tbk</t>
  </si>
  <si>
    <t>HDTX</t>
  </si>
  <si>
    <t>Panasia Indo Resources Tbk</t>
  </si>
  <si>
    <t>HEAL</t>
  </si>
  <si>
    <t>PT Medikaloka Hermina Tbk.</t>
  </si>
  <si>
    <t>16 Mei 2018</t>
  </si>
  <si>
    <t>HELI</t>
  </si>
  <si>
    <t>PT Jaya Trishindo Tbk</t>
  </si>
  <si>
    <t>HERO</t>
  </si>
  <si>
    <t>PT DFI Retail Nusantara Tbk</t>
  </si>
  <si>
    <t>21 Agt 1989</t>
  </si>
  <si>
    <t>HEXA</t>
  </si>
  <si>
    <t>Hexindo Adiperkasa Tbk</t>
  </si>
  <si>
    <t>HGII</t>
  </si>
  <si>
    <t>PT Hero Global Investment Tbk</t>
  </si>
  <si>
    <t>HILL</t>
  </si>
  <si>
    <t>PT Hillcon Tbk</t>
  </si>
  <si>
    <t>HITS</t>
  </si>
  <si>
    <t>Humpuss Intermoda Transportasi Tbk</t>
  </si>
  <si>
    <t>15 Des 1997</t>
  </si>
  <si>
    <t>HKMU</t>
  </si>
  <si>
    <t>PT HK Metals Utama Tbk</t>
  </si>
  <si>
    <t>09 Okt 2018</t>
  </si>
  <si>
    <t>HMSP</t>
  </si>
  <si>
    <t>HM Sampoerna Tbk</t>
  </si>
  <si>
    <t>15 Agt 1990</t>
  </si>
  <si>
    <t>HOKI</t>
  </si>
  <si>
    <t>PT Buyung Poetra Sembada Tbk.</t>
  </si>
  <si>
    <t>Hotel Mandarine Regency Tbk</t>
  </si>
  <si>
    <t>HOMI</t>
  </si>
  <si>
    <t>PT Grand House Mulia Tbk</t>
  </si>
  <si>
    <t>HOPE</t>
  </si>
  <si>
    <t>PT Harapan Duta Pertiwi Tbk.</t>
  </si>
  <si>
    <t>24 Mei 2021</t>
  </si>
  <si>
    <t>HOTL</t>
  </si>
  <si>
    <t>Saraswati Griya Lestari Tbk</t>
  </si>
  <si>
    <t>HRME</t>
  </si>
  <si>
    <t>PT Menteng Heritage Realty Tbk.</t>
  </si>
  <si>
    <t>HRTA</t>
  </si>
  <si>
    <t>PT Hartadinata Abadi Tbk</t>
  </si>
  <si>
    <t>HRUM</t>
  </si>
  <si>
    <t>Harum Energy Tbk</t>
  </si>
  <si>
    <t>06 Okt 2010</t>
  </si>
  <si>
    <t>HUMI</t>
  </si>
  <si>
    <t>PT Humpuss Maritim Internasional Tbk</t>
  </si>
  <si>
    <t>09 Agt 2023</t>
  </si>
  <si>
    <t>HYGN</t>
  </si>
  <si>
    <t>PT Ecocare Indo Pasifik Tbk.</t>
  </si>
  <si>
    <t>IATA</t>
  </si>
  <si>
    <t>PT MNC Energy Investments Tbk</t>
  </si>
  <si>
    <t>IBFN</t>
  </si>
  <si>
    <t>PT Intan Baru Prana Tbk</t>
  </si>
  <si>
    <t>IBOS</t>
  </si>
  <si>
    <t>PT Indo Boga Sukses Tbk</t>
  </si>
  <si>
    <t>IBST</t>
  </si>
  <si>
    <t>Inti Bangun Sejahtera Tbk</t>
  </si>
  <si>
    <t>31 Agt 2012</t>
  </si>
  <si>
    <t>ICBP</t>
  </si>
  <si>
    <t>Indofood CBP Sukses Makmur Tbk</t>
  </si>
  <si>
    <t>07 Okt 2010</t>
  </si>
  <si>
    <t>ICON</t>
  </si>
  <si>
    <t>Island Concepts Indonesia Tbk</t>
  </si>
  <si>
    <t>IDEA</t>
  </si>
  <si>
    <t>PT Idea Indonesia Akademi Tbk</t>
  </si>
  <si>
    <t>IDPR</t>
  </si>
  <si>
    <t>PT Indonesia Pondasi Raya Tbk.</t>
  </si>
  <si>
    <t>IFII</t>
  </si>
  <si>
    <t>PT Indonesia Fibreboard Industry Tbk</t>
  </si>
  <si>
    <t>10 Des 2019</t>
  </si>
  <si>
    <t>IFSH</t>
  </si>
  <si>
    <t>PT Ifishdeco Tbk.</t>
  </si>
  <si>
    <t>05 Des 2019</t>
  </si>
  <si>
    <t>IGAR</t>
  </si>
  <si>
    <t>Champion Pacific Indonesia Tbk</t>
  </si>
  <si>
    <t>IIKP</t>
  </si>
  <si>
    <t>Inti Agri Resources Tbk</t>
  </si>
  <si>
    <t>14 Okt 2002</t>
  </si>
  <si>
    <t>IKAI</t>
  </si>
  <si>
    <t>Intikeramik Alamasri Industri Tbk</t>
  </si>
  <si>
    <t>IKAN</t>
  </si>
  <si>
    <t>PT Era Mandiri Cemerlang Tbk</t>
  </si>
  <si>
    <t>IKBI</t>
  </si>
  <si>
    <t>Sumi Indo Kabel Tbk</t>
  </si>
  <si>
    <t>IKPM</t>
  </si>
  <si>
    <t>PT Ikapharmindo Putramas Tbk.</t>
  </si>
  <si>
    <t>IMAS</t>
  </si>
  <si>
    <t>Indomobil Sukses Internasional Tbk</t>
  </si>
  <si>
    <t>IMJS</t>
  </si>
  <si>
    <t>PT Indomobil Multi Jasa Tbk.</t>
  </si>
  <si>
    <t>10 Des 2013</t>
  </si>
  <si>
    <t>IMPC</t>
  </si>
  <si>
    <t>PT Impack Pratama Industri Tbk</t>
  </si>
  <si>
    <t>17 Des 2014</t>
  </si>
  <si>
    <t>INAF</t>
  </si>
  <si>
    <t>Indofarma Tbk.</t>
  </si>
  <si>
    <t>INAI</t>
  </si>
  <si>
    <t>Indal Aluminium Industry Tbk</t>
  </si>
  <si>
    <t>05 Des 1994</t>
  </si>
  <si>
    <t>INCF</t>
  </si>
  <si>
    <t>PT Indo Komoditi Korpora Tbk</t>
  </si>
  <si>
    <t>INCI</t>
  </si>
  <si>
    <t>Intanwijaya Internasional Tbk</t>
  </si>
  <si>
    <t>INCO</t>
  </si>
  <si>
    <t>Vale Indonesia Tbk</t>
  </si>
  <si>
    <t>INDF</t>
  </si>
  <si>
    <t>Indofood Sukses Makmur Tbk</t>
  </si>
  <si>
    <t>INDO</t>
  </si>
  <si>
    <t>PT Royalindo Investa Wijaya Tbk</t>
  </si>
  <si>
    <t>INDR</t>
  </si>
  <si>
    <t>PT Indo-Rama Synthetics Tbk</t>
  </si>
  <si>
    <t>03 Agt 1990</t>
  </si>
  <si>
    <t>INDS</t>
  </si>
  <si>
    <t>Indospring Tbk</t>
  </si>
  <si>
    <t>10 Agt 1990</t>
  </si>
  <si>
    <t>INDX</t>
  </si>
  <si>
    <t>Tanah Laut Tbk</t>
  </si>
  <si>
    <t>17 Mei 2001</t>
  </si>
  <si>
    <t>INDY</t>
  </si>
  <si>
    <t>Indika Energy Tbk</t>
  </si>
  <si>
    <t>INET</t>
  </si>
  <si>
    <t>PT Sinergi Inti Andalan Prima Tbk.</t>
  </si>
  <si>
    <t>INKP</t>
  </si>
  <si>
    <t>Indah Kiat Pulp &amp; Paper Tbk</t>
  </si>
  <si>
    <t>INOV</t>
  </si>
  <si>
    <t>PT Inocycle Technology Group Tbk.</t>
  </si>
  <si>
    <t>INPC</t>
  </si>
  <si>
    <t>Bank Artha Graha Internasional Tbk</t>
  </si>
  <si>
    <t>23 Agt 1990</t>
  </si>
  <si>
    <t>INPP</t>
  </si>
  <si>
    <t>Indonesian Paradise Property Tbk</t>
  </si>
  <si>
    <t>INPS</t>
  </si>
  <si>
    <t>PT Indah Prakasa Sentosa Tbk.</t>
  </si>
  <si>
    <t>INRU</t>
  </si>
  <si>
    <t>Toba Pulp Lestari Tbk</t>
  </si>
  <si>
    <t>INTA</t>
  </si>
  <si>
    <t>Intraco Penta Tbk</t>
  </si>
  <si>
    <t>23 Agt 1993</t>
  </si>
  <si>
    <t>INTD</t>
  </si>
  <si>
    <t>Inter-Delta Tbk</t>
  </si>
  <si>
    <t>18 Des 1989</t>
  </si>
  <si>
    <t>INTP</t>
  </si>
  <si>
    <t>Indocement Tunggal Prakarsa Tbk</t>
  </si>
  <si>
    <t>05 Des 1989</t>
  </si>
  <si>
    <t>IOTF</t>
  </si>
  <si>
    <t>PT Sumber Sinergi Makmur Tbk</t>
  </si>
  <si>
    <t>06 Okt 2023</t>
  </si>
  <si>
    <t>IPAC</t>
  </si>
  <si>
    <t>PT Era Graharealty Tbk</t>
  </si>
  <si>
    <t>IPCC</t>
  </si>
  <si>
    <t>PT Indonesia Kendaraan Terminal Tbk.</t>
  </si>
  <si>
    <t>IPCM</t>
  </si>
  <si>
    <t>PT Jasa Armada Indonesia Tbk.</t>
  </si>
  <si>
    <t>22 Des 2017</t>
  </si>
  <si>
    <t>IPOL</t>
  </si>
  <si>
    <t>Indopoly Swakarsa Industry Tbk</t>
  </si>
  <si>
    <t>IPPE</t>
  </si>
  <si>
    <t>PT Indo Pureco Pratama Tbk</t>
  </si>
  <si>
    <t>09 Des 2021</t>
  </si>
  <si>
    <t>IPTV</t>
  </si>
  <si>
    <t>PT MNC Vision Networks Tbk.</t>
  </si>
  <si>
    <t>IRRA</t>
  </si>
  <si>
    <t>PT Itama Ranoraya Tbk.</t>
  </si>
  <si>
    <t>15 Okt 2019</t>
  </si>
  <si>
    <t>IRSX</t>
  </si>
  <si>
    <t>PT Aviana Sinar Abadi Tbk</t>
  </si>
  <si>
    <t>ISAP</t>
  </si>
  <si>
    <t>PT Isra Presisi Indonesia Tbk</t>
  </si>
  <si>
    <t>09 Des 2022</t>
  </si>
  <si>
    <t>ISAT</t>
  </si>
  <si>
    <t>PT Indosat Tbk</t>
  </si>
  <si>
    <t>19 Okt 1994</t>
  </si>
  <si>
    <t>ISEA</t>
  </si>
  <si>
    <t>PT Indo American Seafoods Tbk</t>
  </si>
  <si>
    <t>ISSP</t>
  </si>
  <si>
    <t>PT Steel Pipe Industry of Indonesia Tbk</t>
  </si>
  <si>
    <t>ITIC</t>
  </si>
  <si>
    <t>PT Indonesian Tobacco Tbk.</t>
  </si>
  <si>
    <t>ITMA</t>
  </si>
  <si>
    <t>SUMBER ENERGI ANDALAN Tbk</t>
  </si>
  <si>
    <t>10 Des 1990</t>
  </si>
  <si>
    <t>ITMG</t>
  </si>
  <si>
    <t>Indo Tambangraya Megah Tbk</t>
  </si>
  <si>
    <t>JARR</t>
  </si>
  <si>
    <t>PT Jhonlin Agro Raya Tbk</t>
  </si>
  <si>
    <t>JAST</t>
  </si>
  <si>
    <t>PT Jasnita Telekomindo Tbk.</t>
  </si>
  <si>
    <t>16 Mei 2019</t>
  </si>
  <si>
    <t>JATI</t>
  </si>
  <si>
    <t>PT Informasi Teknologi Indonesia Tbk.</t>
  </si>
  <si>
    <t>JAWA</t>
  </si>
  <si>
    <t>Jaya Agra Wattie Tbk</t>
  </si>
  <si>
    <t>30 Mei 2011</t>
  </si>
  <si>
    <t>JAYA</t>
  </si>
  <si>
    <t>PT Armada Berjaya Trans Tbk.</t>
  </si>
  <si>
    <t>JECC</t>
  </si>
  <si>
    <t>Jembo Cable Company Tbk</t>
  </si>
  <si>
    <t>JGLE</t>
  </si>
  <si>
    <t>PT Graha Andrasentra Propertindo Tbk.</t>
  </si>
  <si>
    <t>JIHD</t>
  </si>
  <si>
    <t>Jakarta International Hotels &amp; Development Tbk</t>
  </si>
  <si>
    <t>JKON</t>
  </si>
  <si>
    <t>Jaya Konstruksi Manggala Pratama Tbk</t>
  </si>
  <si>
    <t>04 Des 2007</t>
  </si>
  <si>
    <t>JKSW</t>
  </si>
  <si>
    <t>Jakarta Kyoei Steel Works Tbk</t>
  </si>
  <si>
    <t>06 Agt 1997</t>
  </si>
  <si>
    <t>JMAS</t>
  </si>
  <si>
    <t>PT Asuransi Jiwa Syariah Jasa Mitra Abadi Tbk</t>
  </si>
  <si>
    <t>18 Des 2017</t>
  </si>
  <si>
    <t>JPFA</t>
  </si>
  <si>
    <t>JAPFA Comfeed Indonesia Tbk</t>
  </si>
  <si>
    <t>JRPT</t>
  </si>
  <si>
    <t>Jaya Real Property Tbk</t>
  </si>
  <si>
    <t>JSKY</t>
  </si>
  <si>
    <t>PT Sky Energy Indonesia Tbk.</t>
  </si>
  <si>
    <t>JSMR</t>
  </si>
  <si>
    <t>PT Jasa Marga Tbk</t>
  </si>
  <si>
    <t>JSPT</t>
  </si>
  <si>
    <t>Jakarta Setiabudi Internasional Tbk</t>
  </si>
  <si>
    <t>JTPE</t>
  </si>
  <si>
    <t>Jasuindo Tiga Perkasa Tbk</t>
  </si>
  <si>
    <t>KAEF</t>
  </si>
  <si>
    <t>Kimia Farma Tbk.</t>
  </si>
  <si>
    <t>KAQI</t>
  </si>
  <si>
    <t>PT Jantra Grupo Indonesia Tbk</t>
  </si>
  <si>
    <t>KARW</t>
  </si>
  <si>
    <t>Meratus Jasa Prima Tbk</t>
  </si>
  <si>
    <t>20 Des 1994</t>
  </si>
  <si>
    <t>KAYU</t>
  </si>
  <si>
    <t>PT Darmi Bersaudara Tbk.</t>
  </si>
  <si>
    <t>KBAG</t>
  </si>
  <si>
    <t>PT Karya Bersama Anugerah Tbk</t>
  </si>
  <si>
    <t>KBLI</t>
  </si>
  <si>
    <t>KMI Wire and Cable Tbk</t>
  </si>
  <si>
    <t>KBLM</t>
  </si>
  <si>
    <t>Kabelindo Murni Tbk</t>
  </si>
  <si>
    <t>KBLV</t>
  </si>
  <si>
    <t>First Media Tbk</t>
  </si>
  <si>
    <t>KBRI</t>
  </si>
  <si>
    <t>Kertas Basuki Rachmat Indonesia Tbk</t>
  </si>
  <si>
    <t>KDSI</t>
  </si>
  <si>
    <t>Kedawung Setia Industrial Tbk</t>
  </si>
  <si>
    <t>KDTN</t>
  </si>
  <si>
    <t>PT Puri Sentul Permai Tbk</t>
  </si>
  <si>
    <t>KEEN</t>
  </si>
  <si>
    <t>PT Kencana Energi Lestari Tbk.</t>
  </si>
  <si>
    <t>KEJU</t>
  </si>
  <si>
    <t>PT Mulia Boga Raya Tbk</t>
  </si>
  <si>
    <t>KETR</t>
  </si>
  <si>
    <t>PT Ketrosden Triasmitra Tbk</t>
  </si>
  <si>
    <t>KIAS</t>
  </si>
  <si>
    <t>Keramika Indonesia Assosiasi Tbk</t>
  </si>
  <si>
    <t>KICI</t>
  </si>
  <si>
    <t>Kedaung Indah Can Tbk</t>
  </si>
  <si>
    <t>28 Okt 1993</t>
  </si>
  <si>
    <t>KIJA</t>
  </si>
  <si>
    <t>Kawasan Industri Jababeka Tbk</t>
  </si>
  <si>
    <t>KING</t>
  </si>
  <si>
    <t>PT Hoffmen Cleanindo Tbk</t>
  </si>
  <si>
    <t>KINO</t>
  </si>
  <si>
    <t>PT Kino Indonesia Tbk</t>
  </si>
  <si>
    <t>11 Des 2015</t>
  </si>
  <si>
    <t>KIOS</t>
  </si>
  <si>
    <t>PT Kioson Komersial Indonesia Tbk.</t>
  </si>
  <si>
    <t>05 Okt 2017</t>
  </si>
  <si>
    <t>KJEN</t>
  </si>
  <si>
    <t>PT Krida Jaringan Nusantara Tbk.</t>
  </si>
  <si>
    <t>KKES</t>
  </si>
  <si>
    <t>PT Kusuma Kemindo Sentosa Tbk</t>
  </si>
  <si>
    <t>KKGI</t>
  </si>
  <si>
    <t>Resource Alam Indonesia Tbk</t>
  </si>
  <si>
    <t>KLAS</t>
  </si>
  <si>
    <t>PT Pelayaran Kurnia Lautan Semesta Tbk</t>
  </si>
  <si>
    <t>KLBF</t>
  </si>
  <si>
    <t>Kalbe Farma Tbk</t>
  </si>
  <si>
    <t>KLIN</t>
  </si>
  <si>
    <t>PT Klinko Karya Imaji Tbk</t>
  </si>
  <si>
    <t>KMDS</t>
  </si>
  <si>
    <t>PT Kurniamitra Duta Sentosa Tbk.</t>
  </si>
  <si>
    <t>KMTR</t>
  </si>
  <si>
    <t>PT Kirana Megatara Tbk.</t>
  </si>
  <si>
    <t>KOBX</t>
  </si>
  <si>
    <t>Kobexindo Tractors Tbk</t>
  </si>
  <si>
    <t>KOCI</t>
  </si>
  <si>
    <t>PT Kokoh Exa Nusantara</t>
  </si>
  <si>
    <t>07 Okt 2023</t>
  </si>
  <si>
    <t>KOIN</t>
  </si>
  <si>
    <t>Kokoh Inti Arebama Tbk</t>
  </si>
  <si>
    <t>KOKA</t>
  </si>
  <si>
    <t>PT Koka Indonesia Tbk.</t>
  </si>
  <si>
    <t>11 Okt 2023</t>
  </si>
  <si>
    <t>KONI</t>
  </si>
  <si>
    <t>Perdana Bangun Pusaka Tbk</t>
  </si>
  <si>
    <t>22 Agt 1995</t>
  </si>
  <si>
    <t>KOPI</t>
  </si>
  <si>
    <t>PT Mitra Energi Persada Tbk</t>
  </si>
  <si>
    <t>04 Mei 2015</t>
  </si>
  <si>
    <t>KOTA</t>
  </si>
  <si>
    <t>PT DMS Propertindo Tbk.</t>
  </si>
  <si>
    <t>KPAL</t>
  </si>
  <si>
    <t>PT Steadfast Marine Tbk</t>
  </si>
  <si>
    <t>KPAS</t>
  </si>
  <si>
    <t>PT Cottonindo Ariesta Tbk.</t>
  </si>
  <si>
    <t>05 Okt 2018</t>
  </si>
  <si>
    <t>KPIG</t>
  </si>
  <si>
    <t>MNC Land Tbk</t>
  </si>
  <si>
    <t>KRAH</t>
  </si>
  <si>
    <t>PT Grand Kartech Tbk</t>
  </si>
  <si>
    <t>KRAS</t>
  </si>
  <si>
    <t>Krakatau Steel (Persero) Tbk</t>
  </si>
  <si>
    <t>KREN</t>
  </si>
  <si>
    <t>PT Quantum Clovera Investama Tbk.</t>
  </si>
  <si>
    <t>KRYA</t>
  </si>
  <si>
    <t>PT Bangun Karya Perkasa Jaya Tbk</t>
  </si>
  <si>
    <t>KSIX</t>
  </si>
  <si>
    <t>PT Kentanix Supra International Tbk</t>
  </si>
  <si>
    <t>KUAS</t>
  </si>
  <si>
    <t>PT Ace Oldfields Tbk</t>
  </si>
  <si>
    <t>25 Okt 2021</t>
  </si>
  <si>
    <t>LABA</t>
  </si>
  <si>
    <t>PT Green Power Group Tbk</t>
  </si>
  <si>
    <t>LABS</t>
  </si>
  <si>
    <t>PT UBC Medical Indonesia Tbk</t>
  </si>
  <si>
    <t>LAJU</t>
  </si>
  <si>
    <t>PT Jasa Berdikari Logistics Tbk</t>
  </si>
  <si>
    <t>LAND</t>
  </si>
  <si>
    <t>PT Trimitra Propertindo Tbk.</t>
  </si>
  <si>
    <t>23 Agt 2018</t>
  </si>
  <si>
    <t>LAPD</t>
  </si>
  <si>
    <t>Leyand International Tbk</t>
  </si>
  <si>
    <t>LCGP</t>
  </si>
  <si>
    <t>PT Eureka Prima Jakarta Tbk.</t>
  </si>
  <si>
    <t>LCKM</t>
  </si>
  <si>
    <t>PT LCK Global Kedaton Tbk</t>
  </si>
  <si>
    <t>LEAD</t>
  </si>
  <si>
    <t>PT Logindo Samudramakmur Tbk.</t>
  </si>
  <si>
    <t>11 Des 2013</t>
  </si>
  <si>
    <t>LFLO</t>
  </si>
  <si>
    <t>PT Imago Mulia Persada Tbk</t>
  </si>
  <si>
    <t>LIFE</t>
  </si>
  <si>
    <t>PT MSIG Life Insurance Indonesia Tbk.</t>
  </si>
  <si>
    <t>LINK</t>
  </si>
  <si>
    <t>PT Link Net Tbk.</t>
  </si>
  <si>
    <t>LION</t>
  </si>
  <si>
    <t>Lion Metal Works Tbk</t>
  </si>
  <si>
    <t>20 Agt 1993</t>
  </si>
  <si>
    <t>LIVE</t>
  </si>
  <si>
    <t>PT Homeco Victoria Makmur Tbk</t>
  </si>
  <si>
    <t>LMAS</t>
  </si>
  <si>
    <t>Limas Indonesia Makmur Tbk</t>
  </si>
  <si>
    <t>28 Des 2001</t>
  </si>
  <si>
    <t>LMAX</t>
  </si>
  <si>
    <t>PT Lupromax Pelumas Indonesia Tbk.</t>
  </si>
  <si>
    <t>LMPI</t>
  </si>
  <si>
    <t>Langgeng Makmur Industri Tbk</t>
  </si>
  <si>
    <t>17 Okt 1994</t>
  </si>
  <si>
    <t>LMSH</t>
  </si>
  <si>
    <t>Lionmesh Prima Tbk</t>
  </si>
  <si>
    <t>LOPI</t>
  </si>
  <si>
    <t>PT Logisticsplus International Tbk</t>
  </si>
  <si>
    <t>LPCK</t>
  </si>
  <si>
    <t>Lippo Cikarang Tbk</t>
  </si>
  <si>
    <t>LPGI</t>
  </si>
  <si>
    <t>Lippo General Insurance Tbk</t>
  </si>
  <si>
    <t>LPIN</t>
  </si>
  <si>
    <t>Multi Prima Sejahtera Tbk</t>
  </si>
  <si>
    <t>LPKR</t>
  </si>
  <si>
    <t>Lippo Karawaci Tbk</t>
  </si>
  <si>
    <t>LPLI</t>
  </si>
  <si>
    <t>Star Pacific Tbk</t>
  </si>
  <si>
    <t>LPPF</t>
  </si>
  <si>
    <t>Matahari Department Store Tbk</t>
  </si>
  <si>
    <t>09 Okt 1989</t>
  </si>
  <si>
    <t>LPPS</t>
  </si>
  <si>
    <t>PT Lenox Pasifik Investama Tbk</t>
  </si>
  <si>
    <t>LRNA</t>
  </si>
  <si>
    <t>PT Eka Sari Lorena Transport Tbk.</t>
  </si>
  <si>
    <t>LSIP</t>
  </si>
  <si>
    <t>PP London Sumatra Indonesia Tbk</t>
  </si>
  <si>
    <t>LTLS</t>
  </si>
  <si>
    <t>PT Lautan Luas Tbk</t>
  </si>
  <si>
    <t>LUCK</t>
  </si>
  <si>
    <t>PT Sentral Mitra Informatika Tbk.</t>
  </si>
  <si>
    <t>LUCY</t>
  </si>
  <si>
    <t>PT Lima Dua Lima Tiga Tbk</t>
  </si>
  <si>
    <t>05 Mei 2021</t>
  </si>
  <si>
    <t>MABA</t>
  </si>
  <si>
    <t>PT Marga Abhinaya Abadi Tbk</t>
  </si>
  <si>
    <t>MAGP</t>
  </si>
  <si>
    <t>Multi Agro Gemilang Plantation Tbk</t>
  </si>
  <si>
    <t>MAHA</t>
  </si>
  <si>
    <t>PT Mandiri Herindo Adiperkasa Tbk</t>
  </si>
  <si>
    <t>MAIN</t>
  </si>
  <si>
    <t>Malindo Feedmill Tbk</t>
  </si>
  <si>
    <t>MAMI</t>
  </si>
  <si>
    <t>Mas Murni Indonesia Tbk</t>
  </si>
  <si>
    <t>MANG</t>
  </si>
  <si>
    <t>PT Manggung Polahraya Tbk</t>
  </si>
  <si>
    <t>MAPA</t>
  </si>
  <si>
    <t>PT Map Aktif Adiperkasa Tbk</t>
  </si>
  <si>
    <t>MAPB</t>
  </si>
  <si>
    <t>PT Map Boga Adiperkasa Tbk</t>
  </si>
  <si>
    <t>MAPI</t>
  </si>
  <si>
    <t>PT Mitra Adiperkasa Tbk</t>
  </si>
  <si>
    <t>MARI</t>
  </si>
  <si>
    <t>PT Mahaka Radio Integra Tbk.</t>
  </si>
  <si>
    <t>MARK</t>
  </si>
  <si>
    <t>PT Mark Dynamics Indonesia Tbk.</t>
  </si>
  <si>
    <t>MASA</t>
  </si>
  <si>
    <t>Multistrada Arah Sarana Tbk</t>
  </si>
  <si>
    <t>MASB</t>
  </si>
  <si>
    <t>PT Bank Multiarta Sentosa Tbk</t>
  </si>
  <si>
    <t>MAXI</t>
  </si>
  <si>
    <t>PT Maxindo Karya Anugerah Tbk</t>
  </si>
  <si>
    <t>MAYA</t>
  </si>
  <si>
    <t>PT Bank Mayapada Internasional Tbk</t>
  </si>
  <si>
    <t>29 Agt 1997</t>
  </si>
  <si>
    <t>MBAP</t>
  </si>
  <si>
    <t>PT Mitrabara Adiperdana Tbk</t>
  </si>
  <si>
    <t>MBMA</t>
  </si>
  <si>
    <t>PT Merdeka Battery Materials Tbk</t>
  </si>
  <si>
    <t>MBSS</t>
  </si>
  <si>
    <t>Mitrabahtera Segara Sejati Tbk</t>
  </si>
  <si>
    <t>MBTO</t>
  </si>
  <si>
    <t>Martina Berto Tbk</t>
  </si>
  <si>
    <t>MCAS</t>
  </si>
  <si>
    <t>PT M Cash Integrasi Tbk</t>
  </si>
  <si>
    <t>MCOL</t>
  </si>
  <si>
    <t>PT Prima Andalan Mandiri Tbk</t>
  </si>
  <si>
    <t>MCOR</t>
  </si>
  <si>
    <t>PT Bank China Construction Bank Indonesia Tbk</t>
  </si>
  <si>
    <t>MDIA</t>
  </si>
  <si>
    <t>PT Intermedia Capital Tbk.</t>
  </si>
  <si>
    <t>MDIY</t>
  </si>
  <si>
    <t>PT Daya Intiguna Yasa Tbk</t>
  </si>
  <si>
    <t>19 Des 2024</t>
  </si>
  <si>
    <t>MDKA</t>
  </si>
  <si>
    <t>PT Merdeka Copper Gold Tbk.</t>
  </si>
  <si>
    <t>MDKI</t>
  </si>
  <si>
    <t>PT Emdeki Utama Tbk</t>
  </si>
  <si>
    <t>MDLA</t>
  </si>
  <si>
    <t>PT Medela Potentia Tbk</t>
  </si>
  <si>
    <t>MDLN</t>
  </si>
  <si>
    <t>PT Modernland Realty Tbk.</t>
  </si>
  <si>
    <t>MDRN</t>
  </si>
  <si>
    <t>Modern Internasional Tbk</t>
  </si>
  <si>
    <t>MEDC</t>
  </si>
  <si>
    <t>PT Medco Energi Internasional Tbk</t>
  </si>
  <si>
    <t>12 Okt 1994</t>
  </si>
  <si>
    <t>MEDS</t>
  </si>
  <si>
    <t>PT Hetzer Medical Indonesia Tbk</t>
  </si>
  <si>
    <t>MEGA</t>
  </si>
  <si>
    <t>Bank Mega Tbk</t>
  </si>
  <si>
    <t>MEJA</t>
  </si>
  <si>
    <t>PT Harta Djaya Karya Tbk</t>
  </si>
  <si>
    <t>MENN</t>
  </si>
  <si>
    <t>PT Menn Teknologi Indonesia Tbk.</t>
  </si>
  <si>
    <t>MERI</t>
  </si>
  <si>
    <t>PT Merry Riana Edukasi Tbk</t>
  </si>
  <si>
    <t>MERK</t>
  </si>
  <si>
    <t>Merck Tbk</t>
  </si>
  <si>
    <t>META</t>
  </si>
  <si>
    <t>Nusantara Infrastructure Tbk</t>
  </si>
  <si>
    <t>MFIN</t>
  </si>
  <si>
    <t>PT Mandala Multifinance Tbk.</t>
  </si>
  <si>
    <t>MFMI</t>
  </si>
  <si>
    <t>Multifiling Mitra Indonesia Tbk</t>
  </si>
  <si>
    <t>29 Des 2010</t>
  </si>
  <si>
    <t>MGLV</t>
  </si>
  <si>
    <t>PT Panca Anugrah Wisesa Tbk</t>
  </si>
  <si>
    <t>MGNA</t>
  </si>
  <si>
    <t>PT Magna Investama Mandiri Tbk</t>
  </si>
  <si>
    <t>MGRO</t>
  </si>
  <si>
    <t>PT Mahkota Group Tbk.</t>
  </si>
  <si>
    <t>MHKI</t>
  </si>
  <si>
    <t>PT Multi Hanna Kreasindo Tbk</t>
  </si>
  <si>
    <t>MICE</t>
  </si>
  <si>
    <t>Multi Indocitra Tbk</t>
  </si>
  <si>
    <t>21 Des 2005</t>
  </si>
  <si>
    <t>MIDI</t>
  </si>
  <si>
    <t>Midi Utama Indonesia Tbk</t>
  </si>
  <si>
    <t>MIKA</t>
  </si>
  <si>
    <t>PT Mitra Keluarga Karyasehat Tbk.</t>
  </si>
  <si>
    <t>MINA</t>
  </si>
  <si>
    <t>PT Sanurhasta Mitra Tbk.</t>
  </si>
  <si>
    <t>MINE</t>
  </si>
  <si>
    <t>PT Sinar Terang Mandiri Tbk</t>
  </si>
  <si>
    <t>MIRA</t>
  </si>
  <si>
    <t>Mitra International Resources Tbk</t>
  </si>
  <si>
    <t>MITI</t>
  </si>
  <si>
    <t>Mitra Investindo Tbk</t>
  </si>
  <si>
    <t>MKAP</t>
  </si>
  <si>
    <t>PT Multikarya Asia Pasifik Raya Tbk</t>
  </si>
  <si>
    <t>MKNT</t>
  </si>
  <si>
    <t>PT Mitra Komunikasi Nusantara Tbk.</t>
  </si>
  <si>
    <t>26 Okt 2015</t>
  </si>
  <si>
    <t>MKPI</t>
  </si>
  <si>
    <t>Metropolitan Kentjana Tbk</t>
  </si>
  <si>
    <t>MKTR</t>
  </si>
  <si>
    <t>PT Menthobi Karyatama Raya Tbk</t>
  </si>
  <si>
    <t>MLBI</t>
  </si>
  <si>
    <t>Multi Bintang Indonesia Tbk</t>
  </si>
  <si>
    <t>15 Des 1981</t>
  </si>
  <si>
    <t>MLIA</t>
  </si>
  <si>
    <t>Mulia Industrindo Tbk</t>
  </si>
  <si>
    <t>MLPL</t>
  </si>
  <si>
    <t>Multipolar Tbk</t>
  </si>
  <si>
    <t>MLPT</t>
  </si>
  <si>
    <t>PT Multipolar Technology Tbk.</t>
  </si>
  <si>
    <t>MMIX</t>
  </si>
  <si>
    <t>PT Multi Medika Internasional Tbk</t>
  </si>
  <si>
    <t>06 Des 2022</t>
  </si>
  <si>
    <t>MMLP</t>
  </si>
  <si>
    <t>PT Mega Manunggal Property Tbk.</t>
  </si>
  <si>
    <t>MNCN</t>
  </si>
  <si>
    <t>Media Nusantara Citra Tbk</t>
  </si>
  <si>
    <t>MOLI</t>
  </si>
  <si>
    <t>PT Madusari Murni Indah Tbk.</t>
  </si>
  <si>
    <t>30 Agt 2018</t>
  </si>
  <si>
    <t>MORA</t>
  </si>
  <si>
    <t>PT Mora Telematika Indonesia Tbk</t>
  </si>
  <si>
    <t>MPIX</t>
  </si>
  <si>
    <t>PT Mitra Pedagang Indonesia Tbk.</t>
  </si>
  <si>
    <t>MPMX</t>
  </si>
  <si>
    <t>PT Mitra Pinasthika Mustika Tbk.</t>
  </si>
  <si>
    <t>29 Mei 2013</t>
  </si>
  <si>
    <t>MPOW</t>
  </si>
  <si>
    <t>PT Megapower Makmur Tbk.</t>
  </si>
  <si>
    <t>MPPA</t>
  </si>
  <si>
    <t>Matahari Putra Prima Tbk</t>
  </si>
  <si>
    <t>21 Des 1992</t>
  </si>
  <si>
    <t>MPRO</t>
  </si>
  <si>
    <t>PT Maha Properti Indonesia Tbk.</t>
  </si>
  <si>
    <t>MPXL</t>
  </si>
  <si>
    <t>PT MPX Logistics International Tbk</t>
  </si>
  <si>
    <t>09 Mei 2023</t>
  </si>
  <si>
    <t>MRAT</t>
  </si>
  <si>
    <t>Mustika Ratu Tbk</t>
  </si>
  <si>
    <t>MREI</t>
  </si>
  <si>
    <t>Maskapai Reasuransi Indonesia Tbk</t>
  </si>
  <si>
    <t>MSIE</t>
  </si>
  <si>
    <t>PT Multisarana Intan Eduka Tbk</t>
  </si>
  <si>
    <t>10 Agt 2023</t>
  </si>
  <si>
    <t>MSIN</t>
  </si>
  <si>
    <t>PT MNC Digital Entertainment Tbk</t>
  </si>
  <si>
    <t>MSJA</t>
  </si>
  <si>
    <t>PT Multi Spunindo Jaya Tbk.</t>
  </si>
  <si>
    <t>MSKY</t>
  </si>
  <si>
    <t>MNC Sky Vision Tbk</t>
  </si>
  <si>
    <t>MSTI</t>
  </si>
  <si>
    <t>PT Mastersystem Infotama Tbk.</t>
  </si>
  <si>
    <t>MTDL</t>
  </si>
  <si>
    <t>Metrodata Electronics Tbk</t>
  </si>
  <si>
    <t>MTEL</t>
  </si>
  <si>
    <t>PT Dayamitra Telekomunikasi Tbk</t>
  </si>
  <si>
    <t>MTFN</t>
  </si>
  <si>
    <t>Capitalinc Investment Tbk</t>
  </si>
  <si>
    <t>MTLA</t>
  </si>
  <si>
    <t>Metropolitan Land Tbk</t>
  </si>
  <si>
    <t>MTMH</t>
  </si>
  <si>
    <t>PT Murni Sadar Tbk</t>
  </si>
  <si>
    <t>MTPS</t>
  </si>
  <si>
    <t>PT Meta Epsi Tbk.</t>
  </si>
  <si>
    <t>MTRA</t>
  </si>
  <si>
    <t>PT Mitra Pemuda Tbk.</t>
  </si>
  <si>
    <t>MTSM</t>
  </si>
  <si>
    <t>Metro Realty Tbk</t>
  </si>
  <si>
    <t>MTWI</t>
  </si>
  <si>
    <t>PT Malacca Trust Wuwungan Insurance Tbk.</t>
  </si>
  <si>
    <t>12 Okt 2017</t>
  </si>
  <si>
    <t>MUTU</t>
  </si>
  <si>
    <t>PT Mutuagung Lestari Tbk</t>
  </si>
  <si>
    <t>MYOH</t>
  </si>
  <si>
    <t>Samindo Resources Tbk</t>
  </si>
  <si>
    <t>MYOR</t>
  </si>
  <si>
    <t>Mayora Indah Tbk</t>
  </si>
  <si>
    <t>MYRX</t>
  </si>
  <si>
    <t>Hanson International Tbk</t>
  </si>
  <si>
    <t>31 Okt 1990</t>
  </si>
  <si>
    <t>MYTX</t>
  </si>
  <si>
    <t>PT Asia Pacific Investama Tbk.</t>
  </si>
  <si>
    <t>10 Okt 1989</t>
  </si>
  <si>
    <t>NAIK</t>
  </si>
  <si>
    <t>PT Adiwarna Anugerah Abadi Tbk</t>
  </si>
  <si>
    <t>NANO</t>
  </si>
  <si>
    <t>PT Nanotech Indonesia Global Tbk</t>
  </si>
  <si>
    <t>NASA</t>
  </si>
  <si>
    <t>PT Andalan Perkasa Abadi Tbk</t>
  </si>
  <si>
    <t>07 Agt 2017</t>
  </si>
  <si>
    <t>NASI</t>
  </si>
  <si>
    <t>PT Wahana Inti Makmur Tbk</t>
  </si>
  <si>
    <t>13 Des 2021</t>
  </si>
  <si>
    <t>NATO</t>
  </si>
  <si>
    <t>PT Surya Permata Andalan Tbk</t>
  </si>
  <si>
    <t>NAYZ</t>
  </si>
  <si>
    <t>PT Hassana Boga Sejahtera Tbk</t>
  </si>
  <si>
    <t>NCKL</t>
  </si>
  <si>
    <t>PT Trimegah Bangun Persada Tbk.</t>
  </si>
  <si>
    <t>NELY</t>
  </si>
  <si>
    <t>Pelayaran Nelly Dwi Putri Tbk</t>
  </si>
  <si>
    <t>11 Okt 2012</t>
  </si>
  <si>
    <t>NEST</t>
  </si>
  <si>
    <t>PT Esta Indonesia Tbk</t>
  </si>
  <si>
    <t>08 Agt 2024</t>
  </si>
  <si>
    <t>NETV</t>
  </si>
  <si>
    <t>PT MDTV Media Technologies Tbk</t>
  </si>
  <si>
    <t>NFCX</t>
  </si>
  <si>
    <t>PT NFC Indonesia Tbk</t>
  </si>
  <si>
    <t>NICE</t>
  </si>
  <si>
    <t>PT Adhi Kartiko Pratama Tbk</t>
  </si>
  <si>
    <t>NICK</t>
  </si>
  <si>
    <t>PT Charnic Capital Tbk.</t>
  </si>
  <si>
    <t>02 Mei 2018</t>
  </si>
  <si>
    <t>NICL</t>
  </si>
  <si>
    <t>PT PAM Mineral Tbk</t>
  </si>
  <si>
    <t>NIKL</t>
  </si>
  <si>
    <t>Pelat Timah Nusantara Tbk</t>
  </si>
  <si>
    <t>14 Des 2009</t>
  </si>
  <si>
    <t>NINE</t>
  </si>
  <si>
    <t>PT Techno9 Indonesia Tbk</t>
  </si>
  <si>
    <t>05 Des 2022</t>
  </si>
  <si>
    <t>NIPS</t>
  </si>
  <si>
    <t>Nipress Tbk</t>
  </si>
  <si>
    <t>NIRO</t>
  </si>
  <si>
    <t>City Retail Developments Tbk</t>
  </si>
  <si>
    <t>NISP</t>
  </si>
  <si>
    <t>PT Bank OCBC NISP Tbk</t>
  </si>
  <si>
    <t>20 Okt 1994</t>
  </si>
  <si>
    <t>NOBU</t>
  </si>
  <si>
    <t>PT Bank Nationalnobu Tbk.</t>
  </si>
  <si>
    <t>20 Mei 2013</t>
  </si>
  <si>
    <t>NPGF</t>
  </si>
  <si>
    <t>PT Nusa Palapa Gemilang Tbk</t>
  </si>
  <si>
    <t>NRCA</t>
  </si>
  <si>
    <t>PT Nusa Raya Cipta Tbk.</t>
  </si>
  <si>
    <t>NSSS</t>
  </si>
  <si>
    <t>PT Nusantara Sawit Sejahtera Tbk</t>
  </si>
  <si>
    <t>NTBK</t>
  </si>
  <si>
    <t>PT Nusatama Berkah Tbk</t>
  </si>
  <si>
    <t>NUSA</t>
  </si>
  <si>
    <t>PT Sinergi Megah Internusa Tbk</t>
  </si>
  <si>
    <t>NZIA</t>
  </si>
  <si>
    <t>PT Nusantara Almazia, Tbk.</t>
  </si>
  <si>
    <t>OASA</t>
  </si>
  <si>
    <t>PT Maharaksa Biru Energi Tbk</t>
  </si>
  <si>
    <t>OBAT</t>
  </si>
  <si>
    <t>PT Brigit Biofarmaka Teknologi Tbk</t>
  </si>
  <si>
    <t>OBMD</t>
  </si>
  <si>
    <t>PT OBM Drilchem Tbk</t>
  </si>
  <si>
    <t>OCAP</t>
  </si>
  <si>
    <t>ONIX CAPITAL Tbk</t>
  </si>
  <si>
    <t>10 Okt 2003</t>
  </si>
  <si>
    <t>OILS</t>
  </si>
  <si>
    <t>PT Indo Oil Perkasa Tbk</t>
  </si>
  <si>
    <t>OKAS</t>
  </si>
  <si>
    <t>Ancora Indonesia Resources Tbk</t>
  </si>
  <si>
    <t>OLIV</t>
  </si>
  <si>
    <t>PT Oscar Mitra Sukses Sejahtera Tbk</t>
  </si>
  <si>
    <t>17 Mei 2022</t>
  </si>
  <si>
    <t>OMED</t>
  </si>
  <si>
    <t>PT Jayamas Medica Industri Tbk</t>
  </si>
  <si>
    <t>OMRE</t>
  </si>
  <si>
    <t>Indonesia Prima Property Tbk</t>
  </si>
  <si>
    <t>22 Agt 1994</t>
  </si>
  <si>
    <t>OPMS</t>
  </si>
  <si>
    <t>PT Optima Prima Metal Sinergi Tbk.</t>
  </si>
  <si>
    <t>PACK</t>
  </si>
  <si>
    <t>PT Abadi Nusantara Hijau Investama Tbk</t>
  </si>
  <si>
    <t>PADA</t>
  </si>
  <si>
    <t>PT Personel Alih Daya Tbk</t>
  </si>
  <si>
    <t>08 Des 2022</t>
  </si>
  <si>
    <t>PADI</t>
  </si>
  <si>
    <t>Minna Padi Investama Sekuritas Tbk</t>
  </si>
  <si>
    <t>PALM</t>
  </si>
  <si>
    <t>PT Provident Investasi Bersama Tbk</t>
  </si>
  <si>
    <t>08 Okt 2012</t>
  </si>
  <si>
    <t>PAMG</t>
  </si>
  <si>
    <t>PT Bima Sakti Pertiwi Tbk</t>
  </si>
  <si>
    <t>PANI</t>
  </si>
  <si>
    <t>PT Pantai Indah Kapuk Dua Tbk.</t>
  </si>
  <si>
    <t>PANR</t>
  </si>
  <si>
    <t>Panorama Sentrawisata Tbk</t>
  </si>
  <si>
    <t>PANS</t>
  </si>
  <si>
    <t>Panin Sekuritas Tbk</t>
  </si>
  <si>
    <t>PART</t>
  </si>
  <si>
    <t>PT Cipta Perdana Lancar Tbk</t>
  </si>
  <si>
    <t>PBID</t>
  </si>
  <si>
    <t>PT Panca Budi Idaman Tbk</t>
  </si>
  <si>
    <t>PBRX</t>
  </si>
  <si>
    <t>Pan Brothers Tbk</t>
  </si>
  <si>
    <t>16 Agt 1990</t>
  </si>
  <si>
    <t>PBSA</t>
  </si>
  <si>
    <t>PT Paramita Bangun Sarana Tbk</t>
  </si>
  <si>
    <t>PCAR</t>
  </si>
  <si>
    <t>PT Prima Cakrawala Abadi Tbk</t>
  </si>
  <si>
    <t>29 Des 2017</t>
  </si>
  <si>
    <t>PDES</t>
  </si>
  <si>
    <t>Destinasi Tirta Nusantara Tbk</t>
  </si>
  <si>
    <t>PDPP</t>
  </si>
  <si>
    <t>PT Primadaya Plastisindo Tbk</t>
  </si>
  <si>
    <t>PEGE</t>
  </si>
  <si>
    <t>PT Panca Global Kapital Tbk.</t>
  </si>
  <si>
    <t>PEHA</t>
  </si>
  <si>
    <t>PT Phapros Tbk</t>
  </si>
  <si>
    <t>26 Des 2018</t>
  </si>
  <si>
    <t>PEVE</t>
  </si>
  <si>
    <t>PT Penta Valent Tbk</t>
  </si>
  <si>
    <t>PGAS</t>
  </si>
  <si>
    <t>PT Perusahaan Gas Negara Tbk.</t>
  </si>
  <si>
    <t>15 Des 2003</t>
  </si>
  <si>
    <t>PGEO</t>
  </si>
  <si>
    <t>PT Pertamina Geothermal Energy Tbk</t>
  </si>
  <si>
    <t>PGJO</t>
  </si>
  <si>
    <t>PT Tourindo Guide Indonesia Tbk.</t>
  </si>
  <si>
    <t>PGLI</t>
  </si>
  <si>
    <t>Pembangunan Graha Lestari Indah Tbk</t>
  </si>
  <si>
    <t>PGUN</t>
  </si>
  <si>
    <t>PT Pradiksi Gunatama Tbk</t>
  </si>
  <si>
    <t>PICO</t>
  </si>
  <si>
    <t>Pelangi Indah Canindo Tbk</t>
  </si>
  <si>
    <t>PIPA</t>
  </si>
  <si>
    <t>PT Multi Makmur Lemindo Tbk.</t>
  </si>
  <si>
    <t>PJAA</t>
  </si>
  <si>
    <t>Pembangunan Jaya Ancol Tbk</t>
  </si>
  <si>
    <t>PKPK</t>
  </si>
  <si>
    <t>Paragon Karya Perkasa Tbk</t>
  </si>
  <si>
    <t>PLAN</t>
  </si>
  <si>
    <t>PT Planet Properindo Jaya Tbk</t>
  </si>
  <si>
    <t>PLAS</t>
  </si>
  <si>
    <t>Polaris Investama Tbk</t>
  </si>
  <si>
    <t>PLIN</t>
  </si>
  <si>
    <t>Plaza Indonesia Realty Tbk</t>
  </si>
  <si>
    <t>PMJS</t>
  </si>
  <si>
    <t>PT Putra Mandiri Jembar Tbk</t>
  </si>
  <si>
    <t>18 Des 2019</t>
  </si>
  <si>
    <t>PMMP</t>
  </si>
  <si>
    <t>PT Panca Mitra Multiperdana Tbk.</t>
  </si>
  <si>
    <t>18 Des 2020</t>
  </si>
  <si>
    <t>PMUI</t>
  </si>
  <si>
    <t>PT Prima Multi Usaha Indonesia Tbk</t>
  </si>
  <si>
    <t>PNBN</t>
  </si>
  <si>
    <t>Bank Pan Indonesia Tbk</t>
  </si>
  <si>
    <t>29 Des 1982</t>
  </si>
  <si>
    <t>PNBS</t>
  </si>
  <si>
    <t>PT Bank Panin Dubai Syariah Tbk.</t>
  </si>
  <si>
    <t>PNGO</t>
  </si>
  <si>
    <t>PT Pinago Utama Tbk</t>
  </si>
  <si>
    <t>31 Agt 2020</t>
  </si>
  <si>
    <t>PNIN</t>
  </si>
  <si>
    <t>Paninvest Tbk</t>
  </si>
  <si>
    <t>PNLF</t>
  </si>
  <si>
    <t>Panin Financial Tbk</t>
  </si>
  <si>
    <t>PNSE</t>
  </si>
  <si>
    <t>Pudjiadi &amp; Sons Tbk</t>
  </si>
  <si>
    <t>01 Mei 1990</t>
  </si>
  <si>
    <t>POLA</t>
  </si>
  <si>
    <t>PT Pool Advista Finance Tbk.</t>
  </si>
  <si>
    <t>POLI</t>
  </si>
  <si>
    <t>PT Pollux Hotels Group Tbk</t>
  </si>
  <si>
    <t>POLL</t>
  </si>
  <si>
    <t>PT Pollux Properties Indonesia Tbk.</t>
  </si>
  <si>
    <t>POLU</t>
  </si>
  <si>
    <t>PT Golden Flower Tbk.</t>
  </si>
  <si>
    <t>POLY</t>
  </si>
  <si>
    <t>Asia Pacific Fibers Tbk</t>
  </si>
  <si>
    <t>POOL</t>
  </si>
  <si>
    <t>Pool Advista Indonesia Tbk</t>
  </si>
  <si>
    <t>20 Mei 1991</t>
  </si>
  <si>
    <t>PORT</t>
  </si>
  <si>
    <t>PT Nusantara Pelabuhan Handal Tbk.</t>
  </si>
  <si>
    <t>POSA</t>
  </si>
  <si>
    <t>PT Bliss Properti Indonesia Tbk.</t>
  </si>
  <si>
    <t>10 Mei 2019</t>
  </si>
  <si>
    <t>POWR</t>
  </si>
  <si>
    <t>PT Cikarang Listrindo Tbk.</t>
  </si>
  <si>
    <t>PPGL</t>
  </si>
  <si>
    <t>PT Prima Globalindo Logistik Tbk.</t>
  </si>
  <si>
    <t>PPRE</t>
  </si>
  <si>
    <t>PT PP Presisi Tbk.</t>
  </si>
  <si>
    <t>PPRI</t>
  </si>
  <si>
    <t>PT Paperocks Indonesia Tbk.</t>
  </si>
  <si>
    <t>PPRO</t>
  </si>
  <si>
    <t>PT PP Properti Tbk.</t>
  </si>
  <si>
    <t>19 Mei 2015</t>
  </si>
  <si>
    <t>PRAS</t>
  </si>
  <si>
    <t>Prima Alloy Steel Universal Tbk</t>
  </si>
  <si>
    <t>PRAY</t>
  </si>
  <si>
    <t>PT Famon Awal Bros Sedaya Tbk</t>
  </si>
  <si>
    <t>PRDA</t>
  </si>
  <si>
    <t>PT Prodia Widyahusada Tbk.</t>
  </si>
  <si>
    <t>07 Des 2016</t>
  </si>
  <si>
    <t>PRIM</t>
  </si>
  <si>
    <t>PT Royal Prima Tbk.</t>
  </si>
  <si>
    <t>15 Mei 2018</t>
  </si>
  <si>
    <t>PSAB</t>
  </si>
  <si>
    <t>J RESOURCES ASIA PASIFIK Tbk</t>
  </si>
  <si>
    <t>PSAT</t>
  </si>
  <si>
    <t>PT Pancaran Samudera Transport Tbk</t>
  </si>
  <si>
    <t>PSDN</t>
  </si>
  <si>
    <t>Prasidha Aneka Niaga Tbk</t>
  </si>
  <si>
    <t>18 Okt 1994</t>
  </si>
  <si>
    <t>PSGO</t>
  </si>
  <si>
    <t>PT Palma Serasih Tbk.</t>
  </si>
  <si>
    <t>PSKT</t>
  </si>
  <si>
    <t>PT Red Planet Indonesia Tbk</t>
  </si>
  <si>
    <t>PSSI</t>
  </si>
  <si>
    <t>PT IMC Pelita Logistik Tbk</t>
  </si>
  <si>
    <t>05 Des 2017</t>
  </si>
  <si>
    <t>PTBA</t>
  </si>
  <si>
    <t>Bukit Asam Tbk</t>
  </si>
  <si>
    <t>23 Des 2002</t>
  </si>
  <si>
    <t>PTDU</t>
  </si>
  <si>
    <t>PT Djasa Ubersakti Tbk</t>
  </si>
  <si>
    <t>08 Des 2020</t>
  </si>
  <si>
    <t>PTIS</t>
  </si>
  <si>
    <t>Indo Straits Tbk</t>
  </si>
  <si>
    <t>PTMP</t>
  </si>
  <si>
    <t>PT Mitra Pack Tbk.</t>
  </si>
  <si>
    <t>PTMR</t>
  </si>
  <si>
    <t>PT Master Print Tbk</t>
  </si>
  <si>
    <t>08 Okt 2024</t>
  </si>
  <si>
    <t>PTPP</t>
  </si>
  <si>
    <t>PP (Persero) Tbk</t>
  </si>
  <si>
    <t>PTPS</t>
  </si>
  <si>
    <t>PT Pulau Subur Tbk.</t>
  </si>
  <si>
    <t>PTPW</t>
  </si>
  <si>
    <t>PT Pratama Widya Tbk.</t>
  </si>
  <si>
    <t>PTRO</t>
  </si>
  <si>
    <t>Petrosea Tbk</t>
  </si>
  <si>
    <t>21 Mei 1990</t>
  </si>
  <si>
    <t>PTSN</t>
  </si>
  <si>
    <t>Sat Nusapersada Tbk</t>
  </si>
  <si>
    <t>PTSP</t>
  </si>
  <si>
    <t>Pioneerindo Gourmet International Tbk</t>
  </si>
  <si>
    <t>30 Mei 1994</t>
  </si>
  <si>
    <t>PUDP</t>
  </si>
  <si>
    <t>Pudjiadi Prestige Tbk</t>
  </si>
  <si>
    <t>PURA</t>
  </si>
  <si>
    <t>PT Putra Rajawali Kencana Tbk.</t>
  </si>
  <si>
    <t>PURE</t>
  </si>
  <si>
    <t>PT Trinitan Metals and Minerals Tbk</t>
  </si>
  <si>
    <t>09 Okt 2019</t>
  </si>
  <si>
    <t>PURI</t>
  </si>
  <si>
    <t>PT Puri Global Sukses Tbk</t>
  </si>
  <si>
    <t>PWON</t>
  </si>
  <si>
    <t>Pakuwon Jati Tbk</t>
  </si>
  <si>
    <t>PYFA</t>
  </si>
  <si>
    <t>PT Pyridam Farma Tbk</t>
  </si>
  <si>
    <t>16 Okt 2001</t>
  </si>
  <si>
    <t>PZZA</t>
  </si>
  <si>
    <t>PT Sarimelati Kencana Tbk.</t>
  </si>
  <si>
    <t>23 Mei 2018</t>
  </si>
  <si>
    <t>RAAM</t>
  </si>
  <si>
    <t>PT Tripar Multivision Plus Tbk.</t>
  </si>
  <si>
    <t>RAFI</t>
  </si>
  <si>
    <t>PT Sari Kreasi Boga Tbk</t>
  </si>
  <si>
    <t>05 Agt 2022</t>
  </si>
  <si>
    <t>RAJA</t>
  </si>
  <si>
    <t>Rukun Raharja Tbk</t>
  </si>
  <si>
    <t>RALS</t>
  </si>
  <si>
    <t>Ramayana Lestari Sentosa Tbk</t>
  </si>
  <si>
    <t>RANC</t>
  </si>
  <si>
    <t>Supra Boga Lestari Tbk</t>
  </si>
  <si>
    <t>RATU</t>
  </si>
  <si>
    <t>PT Raharja Energi Cepu Tbk</t>
  </si>
  <si>
    <t>RBMS</t>
  </si>
  <si>
    <t>Ristia Bintang Mahkotasejati Tbk</t>
  </si>
  <si>
    <t>19 Des 1997</t>
  </si>
  <si>
    <t>RCCC</t>
  </si>
  <si>
    <t>PT Utama Radar Cahaya Tbk</t>
  </si>
  <si>
    <t>02 Agt 2022</t>
  </si>
  <si>
    <t>RDTX</t>
  </si>
  <si>
    <t>Roda Vivatex Tbk</t>
  </si>
  <si>
    <t>14 Mei 1990</t>
  </si>
  <si>
    <t>REAL</t>
  </si>
  <si>
    <t>PT Repower Asia Indonesia Tbk.</t>
  </si>
  <si>
    <t>06 Des 2019</t>
  </si>
  <si>
    <t>RELF</t>
  </si>
  <si>
    <t>PT Graha Mitra Asia Tbk.</t>
  </si>
  <si>
    <t>RELI</t>
  </si>
  <si>
    <t>Reliance Sekuritas Indonesia Tbk</t>
  </si>
  <si>
    <t>RGAS</t>
  </si>
  <si>
    <t>PT Kian Santang Muliatama Tbk.</t>
  </si>
  <si>
    <t>RICY</t>
  </si>
  <si>
    <t>Ricky Putra Globalindo Tbk</t>
  </si>
  <si>
    <t>RIGS</t>
  </si>
  <si>
    <t>Rig Tenders Tbk</t>
  </si>
  <si>
    <t>RIMO</t>
  </si>
  <si>
    <t>PT Rimo International Lestari Tbk.</t>
  </si>
  <si>
    <t>RISE</t>
  </si>
  <si>
    <t>PT Jaya Sukses Makmur Sentosa Tbk.</t>
  </si>
  <si>
    <t>RMKE</t>
  </si>
  <si>
    <t>PT RMK Energy Tbk</t>
  </si>
  <si>
    <t>07 Des 2021</t>
  </si>
  <si>
    <t>RMKO</t>
  </si>
  <si>
    <t>PT Royaltama Mulia Kontraktorindo Tbk.</t>
  </si>
  <si>
    <t>ROCK</t>
  </si>
  <si>
    <t>PT Rockfields Properti Indonesia Tbk.</t>
  </si>
  <si>
    <t>RODA</t>
  </si>
  <si>
    <t>Pikko Land Development Tbk</t>
  </si>
  <si>
    <t>22 Okt 2001</t>
  </si>
  <si>
    <t>RONY</t>
  </si>
  <si>
    <t>PT Aracord Nusantara Group Tbk</t>
  </si>
  <si>
    <t>ROTI</t>
  </si>
  <si>
    <t>PT Nippon Indosari Corpindo Tbk</t>
  </si>
  <si>
    <t>RSCH</t>
  </si>
  <si>
    <t>PT Charlie Hospital Semarang Tbk.</t>
  </si>
  <si>
    <t>28 Agt 2023</t>
  </si>
  <si>
    <t>RSGK</t>
  </si>
  <si>
    <t>PT Kedoya Adyaraya Tbk</t>
  </si>
  <si>
    <t>RUIS</t>
  </si>
  <si>
    <t>Radiant Utama Interinsco Tbk</t>
  </si>
  <si>
    <t>RUNS</t>
  </si>
  <si>
    <t>PT Global Sukses Solusi Tbk</t>
  </si>
  <si>
    <t>SAFE</t>
  </si>
  <si>
    <t>Steady Safe Tbk</t>
  </si>
  <si>
    <t>15 Agt 1994</t>
  </si>
  <si>
    <t>SAGE</t>
  </si>
  <si>
    <t>PT Saptausaha Gemilangindah Tbk</t>
  </si>
  <si>
    <t>SAME</t>
  </si>
  <si>
    <t>Sarana Meditama Metropolitan Tbk</t>
  </si>
  <si>
    <t>SAMF</t>
  </si>
  <si>
    <t>PT Saraswanti Anugerah Makmur Tbk.</t>
  </si>
  <si>
    <t>SAPX</t>
  </si>
  <si>
    <t>PT Satria Antaran Prima Tbk.</t>
  </si>
  <si>
    <t>03 Okt 2018</t>
  </si>
  <si>
    <t>SATU</t>
  </si>
  <si>
    <t>PT Kota Satu Properti Tbk.</t>
  </si>
  <si>
    <t>SBAT</t>
  </si>
  <si>
    <t>PT Sejahtera Bintang Abadi Textile Tbk.</t>
  </si>
  <si>
    <t>SBMA</t>
  </si>
  <si>
    <t>PT Surya Biru Murni Acetylene Tbk</t>
  </si>
  <si>
    <t>SCCO</t>
  </si>
  <si>
    <t>PT Supreme Cable Manufacturing &amp; Commerce Tbk</t>
  </si>
  <si>
    <t>SCMA</t>
  </si>
  <si>
    <t>Surya Citra Media Tbk</t>
  </si>
  <si>
    <t>SCNP</t>
  </si>
  <si>
    <t>PT Selaras Citra Nusantara Perkasa Tbk</t>
  </si>
  <si>
    <t>SCPI</t>
  </si>
  <si>
    <t>PT Organon Pharma Indonesia Tbk</t>
  </si>
  <si>
    <t>SDMU</t>
  </si>
  <si>
    <t>Sidomulyo Selaras Tbk</t>
  </si>
  <si>
    <t>SDPC</t>
  </si>
  <si>
    <t>Millennium Pharmacon International Tbk</t>
  </si>
  <si>
    <t>SDRA</t>
  </si>
  <si>
    <t>PT Bank Woori Saudara Indonesia 1906 Tbk</t>
  </si>
  <si>
    <t>15 Des 2006</t>
  </si>
  <si>
    <t>SEMA</t>
  </si>
  <si>
    <t>PT Semacom Integrated Tbk</t>
  </si>
  <si>
    <t>SFAN</t>
  </si>
  <si>
    <t>PT Surya Fajar Capital Tbk</t>
  </si>
  <si>
    <t>SGER</t>
  </si>
  <si>
    <t>PT Sumber Global Energy Tbk.</t>
  </si>
  <si>
    <t>10 Agt 2020</t>
  </si>
  <si>
    <t>SGRO</t>
  </si>
  <si>
    <t>PT Sampoerna Agro Tbk</t>
  </si>
  <si>
    <t>SHID</t>
  </si>
  <si>
    <t>Hotel Sahid Jaya Tbk</t>
  </si>
  <si>
    <t>SHIP</t>
  </si>
  <si>
    <t>PT Sillo Maritime Perdana Tbk</t>
  </si>
  <si>
    <t>SICO</t>
  </si>
  <si>
    <t>PT Sigma Energy Compressindo Tbk</t>
  </si>
  <si>
    <t>SIDO</t>
  </si>
  <si>
    <t>PT Industri Jamu Dan Farmasi Sido Muncul Tbk</t>
  </si>
  <si>
    <t>18 Des 2013</t>
  </si>
  <si>
    <t>SILO</t>
  </si>
  <si>
    <t>PT Siloam International Hospitals Tbk.</t>
  </si>
  <si>
    <t>SIMA</t>
  </si>
  <si>
    <t>Siwani Makmur Tbk</t>
  </si>
  <si>
    <t>SIMP</t>
  </si>
  <si>
    <t>Salim Ivomas Pratama Tbk</t>
  </si>
  <si>
    <t>SINI</t>
  </si>
  <si>
    <t>PT Singaraja Putra Tbk.</t>
  </si>
  <si>
    <t>SIPD</t>
  </si>
  <si>
    <t>PT Sreeya Sewu Indonesia Tbk</t>
  </si>
  <si>
    <t>27 Des 1996</t>
  </si>
  <si>
    <t>SKBM</t>
  </si>
  <si>
    <t>Sekar Bumi Tbk</t>
  </si>
  <si>
    <t>SKLT</t>
  </si>
  <si>
    <t>Sekar Laut Tbk</t>
  </si>
  <si>
    <t>SKRN</t>
  </si>
  <si>
    <t>PT Superkrane Mitra Utama Tbk</t>
  </si>
  <si>
    <t>11 Okt 2018</t>
  </si>
  <si>
    <t>SKYB</t>
  </si>
  <si>
    <t>PT Northcliff Citranusa Indonesia Tbk.</t>
  </si>
  <si>
    <t>SLIS</t>
  </si>
  <si>
    <t>PT Gaya Abadi Sempurna Tbk</t>
  </si>
  <si>
    <t>07 Okt 2019</t>
  </si>
  <si>
    <t>SMAR</t>
  </si>
  <si>
    <t>PT Sinar Mas Agro Resources and Technology Tbk</t>
  </si>
  <si>
    <t>SMBR</t>
  </si>
  <si>
    <t>PT Semen Baturaja Tbk</t>
  </si>
  <si>
    <t>SMCB</t>
  </si>
  <si>
    <t>PT Solusi Bangun Indonesia Tbk</t>
  </si>
  <si>
    <t>10 Agt 1977</t>
  </si>
  <si>
    <t>SMDM</t>
  </si>
  <si>
    <t>Suryamas Dutamakmur Tbk</t>
  </si>
  <si>
    <t>12 Okt 1995</t>
  </si>
  <si>
    <t>SMDR</t>
  </si>
  <si>
    <t>Samudera Indonesia Tbk</t>
  </si>
  <si>
    <t>SMGA</t>
  </si>
  <si>
    <t>PT Sumber Mineral Global Abadi Tbk</t>
  </si>
  <si>
    <t>SMGR</t>
  </si>
  <si>
    <t>Semen Indonesia (Persero) Tbk</t>
  </si>
  <si>
    <t>SMIL</t>
  </si>
  <si>
    <t>PT Sarana Mitra Luas Tbk</t>
  </si>
  <si>
    <t>12 Mei 2023</t>
  </si>
  <si>
    <t>SMKL</t>
  </si>
  <si>
    <t>PT Satyamitra Kemas Lestari Tbk</t>
  </si>
  <si>
    <t>SMKM</t>
  </si>
  <si>
    <t>PT Sumber Mas Konstruksi Tbk</t>
  </si>
  <si>
    <t>SMLE</t>
  </si>
  <si>
    <t>PT Sinergi Multi Lestarindo Tbk</t>
  </si>
  <si>
    <t>SMMA</t>
  </si>
  <si>
    <t>PT Sinar Mas Multiartha Tbk</t>
  </si>
  <si>
    <t>SMMT</t>
  </si>
  <si>
    <t>GOLDEN EAGLE ENERGY Tbk</t>
  </si>
  <si>
    <t>01 Des 1997</t>
  </si>
  <si>
    <t>SMRA</t>
  </si>
  <si>
    <t>PT Summarecon Agung Tbk</t>
  </si>
  <si>
    <t>SMRU</t>
  </si>
  <si>
    <t>SMR Utama Tbk</t>
  </si>
  <si>
    <t>10 Okt 2011</t>
  </si>
  <si>
    <t>SMSM</t>
  </si>
  <si>
    <t>Selamat Sempurna Tbk</t>
  </si>
  <si>
    <t>SNLK</t>
  </si>
  <si>
    <t>PT Sunter Lakeside Hotel Tbk.</t>
  </si>
  <si>
    <t>SOCI</t>
  </si>
  <si>
    <t>PT Soechi Lines Tbk.</t>
  </si>
  <si>
    <t>03 Des 2014</t>
  </si>
  <si>
    <t>SOFA</t>
  </si>
  <si>
    <t>PT Boston Furniture Industries Tbk..</t>
  </si>
  <si>
    <t>SOHO</t>
  </si>
  <si>
    <t>PT Soho Global Health Tbk</t>
  </si>
  <si>
    <t>SOLA</t>
  </si>
  <si>
    <t>PT Xolare RCR Energy Tbk</t>
  </si>
  <si>
    <t>08 Mei 2024</t>
  </si>
  <si>
    <t>SONA</t>
  </si>
  <si>
    <t>Sona Topas Tourism Industry Tbk</t>
  </si>
  <si>
    <t>SOSS</t>
  </si>
  <si>
    <t>PT Shield On Service Tbk.</t>
  </si>
  <si>
    <t>SOTS</t>
  </si>
  <si>
    <t>PT Satria Mega Kencana Tbk.</t>
  </si>
  <si>
    <t>10 Des 2018</t>
  </si>
  <si>
    <t>SOUL</t>
  </si>
  <si>
    <t>PT Mitra Tirta Buwana Tbk</t>
  </si>
  <si>
    <t>SPMA</t>
  </si>
  <si>
    <t>Suparma Tbk</t>
  </si>
  <si>
    <t>SPRE</t>
  </si>
  <si>
    <t>PT Soraya Berjaya Indonesia Tbk</t>
  </si>
  <si>
    <t>SPTO</t>
  </si>
  <si>
    <t>PT Surya Pertiwi Tbk</t>
  </si>
  <si>
    <t>14 Mei 2018</t>
  </si>
  <si>
    <t>SQMI</t>
  </si>
  <si>
    <t>Wilton Makmur Indonesia Tbk</t>
  </si>
  <si>
    <t>SRAJ</t>
  </si>
  <si>
    <t>Sejahteraraya Anugrahjaya Tbk</t>
  </si>
  <si>
    <t>SRIL</t>
  </si>
  <si>
    <t>PT Sri Rejeki Isman Tbk</t>
  </si>
  <si>
    <t>SRSN</t>
  </si>
  <si>
    <t>Indo Acidatama Tbk</t>
  </si>
  <si>
    <t>SRTG</t>
  </si>
  <si>
    <t>PT Saratoga Investama Sedaya Tbk.</t>
  </si>
  <si>
    <t>SSIA</t>
  </si>
  <si>
    <t>PT Surya Semesta Internusa Tbk</t>
  </si>
  <si>
    <t>SSMS</t>
  </si>
  <si>
    <t>PT Sawit Sumbermas Sarana Tbk.</t>
  </si>
  <si>
    <t>12 Des 2013</t>
  </si>
  <si>
    <t>SSTM</t>
  </si>
  <si>
    <t>Sunson Textile Manufacturer Tbk</t>
  </si>
  <si>
    <t>20 Agt 1997</t>
  </si>
  <si>
    <t>STAA</t>
  </si>
  <si>
    <t>PT Sumber Tani Agung Resources Tbk</t>
  </si>
  <si>
    <t>STAR</t>
  </si>
  <si>
    <t>PT Buana Artha Anugerah Tbk.</t>
  </si>
  <si>
    <t>STRK</t>
  </si>
  <si>
    <t>PT Lovina Beach Brewery Tbk.</t>
  </si>
  <si>
    <t>10 Okt 2023</t>
  </si>
  <si>
    <t>STTP</t>
  </si>
  <si>
    <t>PT Siantar Top Tbk</t>
  </si>
  <si>
    <t>16 Des 1996</t>
  </si>
  <si>
    <t>SUGI</t>
  </si>
  <si>
    <t>Sugih Energy Tbk</t>
  </si>
  <si>
    <t>SULI</t>
  </si>
  <si>
    <t>PT SLJ Global Tbk</t>
  </si>
  <si>
    <t>SUNI</t>
  </si>
  <si>
    <t>PT Sunindo Pratama Tbk</t>
  </si>
  <si>
    <t>SUPR</t>
  </si>
  <si>
    <t>Solusi Tunas Pratama Tbk</t>
  </si>
  <si>
    <t>11 Okt 2011</t>
  </si>
  <si>
    <t>SURE</t>
  </si>
  <si>
    <t>PT Super Energy Tbk.</t>
  </si>
  <si>
    <t>SURI</t>
  </si>
  <si>
    <t>PT Maja Agung Latexindo Tbk.</t>
  </si>
  <si>
    <t>07 Des 2023</t>
  </si>
  <si>
    <t>SWAT</t>
  </si>
  <si>
    <t>PT Sriwahana Adityakarta Tbk.</t>
  </si>
  <si>
    <t>SWID</t>
  </si>
  <si>
    <t>PT Saraswanti Indoland Development Tbk</t>
  </si>
  <si>
    <t>TALF</t>
  </si>
  <si>
    <t>PT Tunas Alfin Tbk</t>
  </si>
  <si>
    <t>TAMA</t>
  </si>
  <si>
    <t>PT Lancartama Sejati Tbk.</t>
  </si>
  <si>
    <t>TAMU</t>
  </si>
  <si>
    <t>PT Pelayaran Tamarin Samudra Tbk.</t>
  </si>
  <si>
    <t>TAPG</t>
  </si>
  <si>
    <t>PT Triputra Agro Persada Tbk.</t>
  </si>
  <si>
    <t>TARA</t>
  </si>
  <si>
    <t>PT Agung Semesta Sejahtera Tbk</t>
  </si>
  <si>
    <t>TAXI</t>
  </si>
  <si>
    <t>Express Transindo Utama Tbk</t>
  </si>
  <si>
    <t>TAYS</t>
  </si>
  <si>
    <t>PT Jaya Swarasa Agung Tbk</t>
  </si>
  <si>
    <t>TBIG</t>
  </si>
  <si>
    <t>PT Tower Bersama Infrastructure Tbk</t>
  </si>
  <si>
    <t>26 Okt 2010</t>
  </si>
  <si>
    <t>TBLA</t>
  </si>
  <si>
    <t>Tunas Baru Lampung Tbk</t>
  </si>
  <si>
    <t>TBMS</t>
  </si>
  <si>
    <t>Tembaga Mulia Semanan Tbk</t>
  </si>
  <si>
    <t>23 Mei 1990</t>
  </si>
  <si>
    <t>TCID</t>
  </si>
  <si>
    <t>Mandom Indonesia Tbk</t>
  </si>
  <si>
    <t>TCPI</t>
  </si>
  <si>
    <t>PT Transcoal Pacific Tbk.</t>
  </si>
  <si>
    <t>TDPM</t>
  </si>
  <si>
    <t>PT Tianrong Chemicals Industry Tbk</t>
  </si>
  <si>
    <t>TEBE</t>
  </si>
  <si>
    <t>PT Dana Brata Luhur Tbk.</t>
  </si>
  <si>
    <t>TECH</t>
  </si>
  <si>
    <t>PT Indosterling Technomedia Tbk</t>
  </si>
  <si>
    <t>TELE</t>
  </si>
  <si>
    <t>PT Omni Inovasi Indonesia Tbk</t>
  </si>
  <si>
    <t>TFAS</t>
  </si>
  <si>
    <t>PT Telefast Indonesia Tbk.</t>
  </si>
  <si>
    <t>TFCO</t>
  </si>
  <si>
    <t>Tifico Fiber Indonesia Tbk</t>
  </si>
  <si>
    <t>TGKA</t>
  </si>
  <si>
    <t>Tigaraksa Satria Tbk</t>
  </si>
  <si>
    <t>TGRA</t>
  </si>
  <si>
    <t>PT Terregra Asia Energy</t>
  </si>
  <si>
    <t>16 Mei 2017</t>
  </si>
  <si>
    <t>TGUK</t>
  </si>
  <si>
    <t>PT Platinum Wahab Nusantara Tbk.</t>
  </si>
  <si>
    <t>TIFA</t>
  </si>
  <si>
    <t>KDB Tifa Finance Tbk</t>
  </si>
  <si>
    <t>TINS</t>
  </si>
  <si>
    <t>PT Timah Tbk.</t>
  </si>
  <si>
    <t>19 Okt 1995</t>
  </si>
  <si>
    <t>TIRA</t>
  </si>
  <si>
    <t>Tira Austenite Tbk</t>
  </si>
  <si>
    <t>TIRT</t>
  </si>
  <si>
    <t>Tirta Mahakam Resources Tbk</t>
  </si>
  <si>
    <t>13 Des 1999</t>
  </si>
  <si>
    <t>TKIM</t>
  </si>
  <si>
    <t>Pabrik Kertas Tjiwi Kimia Tbk</t>
  </si>
  <si>
    <t>TLDN</t>
  </si>
  <si>
    <t>PT Teladan Prima Agro Tbk</t>
  </si>
  <si>
    <t>TLKM</t>
  </si>
  <si>
    <t>PT Telkom Indonesia (Persero) Tbk</t>
  </si>
  <si>
    <t>TMAS</t>
  </si>
  <si>
    <t>PT Temas Tbk.</t>
  </si>
  <si>
    <t>TMPO</t>
  </si>
  <si>
    <t>Tempo Inti Media Tbk</t>
  </si>
  <si>
    <t>TNCA</t>
  </si>
  <si>
    <t>PT Trimuda Nuansa Citra Tbk.</t>
  </si>
  <si>
    <t>TOBA</t>
  </si>
  <si>
    <t>PT TBS Energi Utama Tbk</t>
  </si>
  <si>
    <t>TOOL</t>
  </si>
  <si>
    <t>PT Rohartindo Nusantara Luas Tbk</t>
  </si>
  <si>
    <t>TOPS</t>
  </si>
  <si>
    <t>PT Totalindo Eka Persada Tbk.</t>
  </si>
  <si>
    <t>TOSK</t>
  </si>
  <si>
    <t>PT Topindo Solusi Komunika Tbk.</t>
  </si>
  <si>
    <t>TOTL</t>
  </si>
  <si>
    <t>Total Bangun Persada Tbk</t>
  </si>
  <si>
    <t>TOTO</t>
  </si>
  <si>
    <t>Surya Toto Indonesia Tbk</t>
  </si>
  <si>
    <t>30 Okt 1990</t>
  </si>
  <si>
    <t>TOWR</t>
  </si>
  <si>
    <t>Sarana Menara Nusantara Tbk</t>
  </si>
  <si>
    <t>TOYS</t>
  </si>
  <si>
    <t>PT Sunindo Adipersada Tbk.</t>
  </si>
  <si>
    <t>06 Agt 2020</t>
  </si>
  <si>
    <t>TPIA</t>
  </si>
  <si>
    <t>PT Chandra Asri Pacific Tbk</t>
  </si>
  <si>
    <t>26 Mei 2008</t>
  </si>
  <si>
    <t>TPMA</t>
  </si>
  <si>
    <t>Trans Power Marine Tbk</t>
  </si>
  <si>
    <t>TRAM</t>
  </si>
  <si>
    <t>Trada Alam Minera Tbk.</t>
  </si>
  <si>
    <t>TRGU</t>
  </si>
  <si>
    <t>PT Cerestar Indonesia Tbk</t>
  </si>
  <si>
    <t>TRIL</t>
  </si>
  <si>
    <t>Triwira Insanlestari Tbk</t>
  </si>
  <si>
    <t>TRIM</t>
  </si>
  <si>
    <t>PT Trimegah Sekuritas Indonesia Tbk</t>
  </si>
  <si>
    <t>TRIN</t>
  </si>
  <si>
    <t>PT Perintis Triniti Properti Tbk</t>
  </si>
  <si>
    <t>TRIO</t>
  </si>
  <si>
    <t>Trikomsel Oke Tbk</t>
  </si>
  <si>
    <t>TRIS</t>
  </si>
  <si>
    <t>Trisula International Tbk</t>
  </si>
  <si>
    <t>TRJA</t>
  </si>
  <si>
    <t>PT Transkon Jaya Tbk.</t>
  </si>
  <si>
    <t>27 Agt 2020</t>
  </si>
  <si>
    <t>TRON</t>
  </si>
  <si>
    <t>PT Teknologi Karya Digital Nusa Tbk.</t>
  </si>
  <si>
    <t>TRST</t>
  </si>
  <si>
    <t>Trias Sentosa Tbk</t>
  </si>
  <si>
    <t>PT Triniti Dinamik Tbk</t>
  </si>
  <si>
    <t>TRUK</t>
  </si>
  <si>
    <t>PT Guna Timur Raya Tbk.</t>
  </si>
  <si>
    <t>TRUS</t>
  </si>
  <si>
    <t>Trust Finance Indonesia Tbk</t>
  </si>
  <si>
    <t>TSPC</t>
  </si>
  <si>
    <t>Tempo Scan Pacific Tbk</t>
  </si>
  <si>
    <t>TUGU</t>
  </si>
  <si>
    <t>PT Asuransi Tugu Pratama Indonesia Tbk</t>
  </si>
  <si>
    <t>28 Mei 2018</t>
  </si>
  <si>
    <t>TYRE</t>
  </si>
  <si>
    <t>PT King Tire Indonesia Tbk.</t>
  </si>
  <si>
    <t>UANG</t>
  </si>
  <si>
    <t>PT Pakuan Tbk</t>
  </si>
  <si>
    <t>UCID</t>
  </si>
  <si>
    <t>PT Uni-Charm Indonesia Tbk.</t>
  </si>
  <si>
    <t>20 Des 2019</t>
  </si>
  <si>
    <t>UDNG</t>
  </si>
  <si>
    <t>PT Agro Bahari Nusantara Tbk</t>
  </si>
  <si>
    <t>31 Okt 2023</t>
  </si>
  <si>
    <t>UFOE</t>
  </si>
  <si>
    <t>PT Damai Sejahtera Abadi Tbk</t>
  </si>
  <si>
    <t>ULTJ</t>
  </si>
  <si>
    <t>PT Ultrajaya Milk Industry &amp; Trading Company Tbk</t>
  </si>
  <si>
    <t>UNIC</t>
  </si>
  <si>
    <t>Unggul Indah Cahaya Tbk</t>
  </si>
  <si>
    <t>UNIQ</t>
  </si>
  <si>
    <t>PT Ulima Nitra Tbk</t>
  </si>
  <si>
    <t>UNIT</t>
  </si>
  <si>
    <t>Nusantara Inti Corpora Tbk</t>
  </si>
  <si>
    <t>UNSP</t>
  </si>
  <si>
    <t>Bakrie Sumatera Plantations Tbk</t>
  </si>
  <si>
    <t>UNTD</t>
  </si>
  <si>
    <t>PT Terang Dunia Internusa Tbk.</t>
  </si>
  <si>
    <t>UNTR</t>
  </si>
  <si>
    <t>United Tractors Tbk</t>
  </si>
  <si>
    <t>UNVR</t>
  </si>
  <si>
    <t>Unilever Indonesia Tbk</t>
  </si>
  <si>
    <t>URBN</t>
  </si>
  <si>
    <t>PT Urban Jakarta Propertindo Tbk.</t>
  </si>
  <si>
    <t>UVCR</t>
  </si>
  <si>
    <t>PT Trimegah Karya Pratama Tbk.</t>
  </si>
  <si>
    <t>VAST</t>
  </si>
  <si>
    <t>PT Vastland Indonesia Tbk</t>
  </si>
  <si>
    <t>VERN</t>
  </si>
  <si>
    <t>PT Verona Indah Pictures Tbk</t>
  </si>
  <si>
    <t>VICI</t>
  </si>
  <si>
    <t>PT Victoria Care Indonesia Tbk</t>
  </si>
  <si>
    <t>17 Des 2020</t>
  </si>
  <si>
    <t>VICO</t>
  </si>
  <si>
    <t>PT Victoria Investama Tbk.</t>
  </si>
  <si>
    <t>VINS</t>
  </si>
  <si>
    <t>PT Victoria Insurance Tbk.</t>
  </si>
  <si>
    <t>VISI</t>
  </si>
  <si>
    <t>PT Satu Visi Putra Tbk.</t>
  </si>
  <si>
    <t>VIVA</t>
  </si>
  <si>
    <t>PT Visi Media Asia Tbk</t>
  </si>
  <si>
    <t>VKTR</t>
  </si>
  <si>
    <t>PT VKTR Teknologi Mobilitas Tbk</t>
  </si>
  <si>
    <t>VOKS</t>
  </si>
  <si>
    <t>Voksel Electric Tbk</t>
  </si>
  <si>
    <t>20 Des 1990</t>
  </si>
  <si>
    <t>VRNA</t>
  </si>
  <si>
    <t>PT Mizuho Leasing Indonesia Tbk</t>
  </si>
  <si>
    <t>VTNY</t>
  </si>
  <si>
    <t>PT Venteny Fortuna International Tbk</t>
  </si>
  <si>
    <t>15 Des 2022</t>
  </si>
  <si>
    <t>WAPO</t>
  </si>
  <si>
    <t>Wahana Pronatural Tbk</t>
  </si>
  <si>
    <t>WEGE</t>
  </si>
  <si>
    <t>PT Wijaya Karya Bangunan Gedung Tbk.</t>
  </si>
  <si>
    <t>WEHA</t>
  </si>
  <si>
    <t>PT WEHA Transportasi Indonesia Tbk</t>
  </si>
  <si>
    <t>31 Mei 2007</t>
  </si>
  <si>
    <t>WGSH</t>
  </si>
  <si>
    <t>PT Wira Global Solusi Tbk</t>
  </si>
  <si>
    <t>WICO</t>
  </si>
  <si>
    <t>Wicaksana Overseas International Tbk</t>
  </si>
  <si>
    <t>08 Agt 1994</t>
  </si>
  <si>
    <t>WIDI</t>
  </si>
  <si>
    <t>PT Widiant Jaya Krenindo Tbk.</t>
  </si>
  <si>
    <t>WIFI</t>
  </si>
  <si>
    <t>PT Solusi Sinergi Digital Tbk</t>
  </si>
  <si>
    <t>30 Des 2020</t>
  </si>
  <si>
    <t>WIIM</t>
  </si>
  <si>
    <t>Wismilak Inti Makmur Tbk</t>
  </si>
  <si>
    <t>18 Des 2012</t>
  </si>
  <si>
    <t>WIKA</t>
  </si>
  <si>
    <t>PT Wijaya Karya (Persero) Tbk</t>
  </si>
  <si>
    <t>29 Okt 2007</t>
  </si>
  <si>
    <t>WINE</t>
  </si>
  <si>
    <t>PT Hatten Bali Tbk</t>
  </si>
  <si>
    <t>WINR</t>
  </si>
  <si>
    <t>PT Winner Nusantara Jaya Tbk</t>
  </si>
  <si>
    <t>WINS</t>
  </si>
  <si>
    <t>Wintermar Offshore Marine Tbk</t>
  </si>
  <si>
    <t>WIRG</t>
  </si>
  <si>
    <t>PT WIR ASIA Tbk</t>
  </si>
  <si>
    <t>WMPP</t>
  </si>
  <si>
    <t>PT Widodo Makmur Perkasa Tbk</t>
  </si>
  <si>
    <t>WMUU</t>
  </si>
  <si>
    <t>PT Widodo Makmur Unggas Tbk</t>
  </si>
  <si>
    <t>WOMF</t>
  </si>
  <si>
    <t>PT Wahana Ottomitra Multiartha Tbk</t>
  </si>
  <si>
    <t>13 Des 2004</t>
  </si>
  <si>
    <t>WOOD</t>
  </si>
  <si>
    <t>PT Integra Indocabinet Tbk</t>
  </si>
  <si>
    <t>WOWS</t>
  </si>
  <si>
    <t>PT Ginting Jaya Energi Tbk</t>
  </si>
  <si>
    <t>WSBP</t>
  </si>
  <si>
    <t>PT Waskita Beton Precast Tbk.</t>
  </si>
  <si>
    <t>WSKT</t>
  </si>
  <si>
    <t>PT Waskita Karya (Persero) Tbk</t>
  </si>
  <si>
    <t>19 Des 2012</t>
  </si>
  <si>
    <t>WTON</t>
  </si>
  <si>
    <t>Wijaya Karya Beton</t>
  </si>
  <si>
    <t>YELO</t>
  </si>
  <si>
    <t>PT Yelooo Integra Datanet Tbk.</t>
  </si>
  <si>
    <t>29 Okt 2018</t>
  </si>
  <si>
    <t>YOII</t>
  </si>
  <si>
    <t>PT Asuransi Digital Bersama Tbk</t>
  </si>
  <si>
    <t>YPAS</t>
  </si>
  <si>
    <t>Yanaprima Hastapersada Tbk</t>
  </si>
  <si>
    <t>YULE</t>
  </si>
  <si>
    <t>Yulie Sekuritas Indonesia Tbk</t>
  </si>
  <si>
    <t>10 Des 2004</t>
  </si>
  <si>
    <t>YUPI</t>
  </si>
  <si>
    <t>PT Yupi Indo Jelly Gum Tbk</t>
  </si>
  <si>
    <t>ZATA</t>
  </si>
  <si>
    <t>PT Bersama Zatta Jaya Tbk</t>
  </si>
  <si>
    <t>ZBRA</t>
  </si>
  <si>
    <t>PT Dosni Roha Indonesia Tbk</t>
  </si>
  <si>
    <t>01 Agt 1991</t>
  </si>
  <si>
    <t>ZINC</t>
  </si>
  <si>
    <t>PT Kapuas Prima Coal Tbk</t>
  </si>
  <si>
    <t>16 Okt 2017</t>
  </si>
  <si>
    <t>ZONE</t>
  </si>
  <si>
    <t>PT Mega Perintis Tbk.</t>
  </si>
  <si>
    <t>12 Des 2018</t>
  </si>
  <si>
    <t>ZYRX</t>
  </si>
  <si>
    <t>PT Zyrexindo Mandiri Buana Tbk</t>
  </si>
  <si>
    <t>Fixed Asset Schedules</t>
  </si>
  <si>
    <t>A. Acquisition Costs</t>
  </si>
  <si>
    <t>Beginning</t>
  </si>
  <si>
    <t>Land (Tanah Lahan Sawit + Tanah Lahan Sawit (TA))</t>
  </si>
  <si>
    <t>Isinya Rumus</t>
  </si>
  <si>
    <t>Building (Bangunan Mess/Barak + Bangunan Mess/Barak (TA) + Lapangan + Kantor)</t>
  </si>
  <si>
    <t>Equipment, Laboratory, &amp; Machinery (Sarana &amp; Prasarana)</t>
  </si>
  <si>
    <t>Vehicle &amp; Heavy Equipment (Alat Berat + Kendaraan)</t>
  </si>
  <si>
    <t>Office Inventory (Inventaris Tanaman Sawit + Inventaris Tanaman Sawit (TA))</t>
  </si>
  <si>
    <t>Electrical</t>
  </si>
  <si>
    <t>Total</t>
  </si>
  <si>
    <t>Additions</t>
  </si>
  <si>
    <t>AVERAGE</t>
  </si>
  <si>
    <t>Ending</t>
  </si>
  <si>
    <t>B. Depreciation</t>
  </si>
  <si>
    <t>Net Value Fixed Assets</t>
  </si>
  <si>
    <t>tanah</t>
  </si>
  <si>
    <t>nilai tanggungan</t>
  </si>
  <si>
    <t>adjustment tanah</t>
  </si>
  <si>
    <t>LEGENDA</t>
  </si>
  <si>
    <t>Balance Sheet</t>
  </si>
  <si>
    <t>COMMON SIZE</t>
  </si>
  <si>
    <t>Komponen Cash Flow Statement, Changes on Working Capital, Current Assets</t>
  </si>
  <si>
    <t>(IDR)</t>
  </si>
  <si>
    <t>Komponen Cash Flow Statement, Changes on Working Capital, Current Liabilities</t>
  </si>
  <si>
    <t>AVG</t>
  </si>
  <si>
    <t>Growth</t>
  </si>
  <si>
    <t>ASSETS</t>
  </si>
  <si>
    <t>Cash on Hands (Kas + Kas)</t>
  </si>
  <si>
    <t>Cash on Bank (Bank Danomon A/C 006600669813 + Deposito Bank Danamon)</t>
  </si>
  <si>
    <t>Account Receivable (Piutang Dagang)</t>
  </si>
  <si>
    <t>Other Receivable (Piutang Karyawan)</t>
  </si>
  <si>
    <t>Inventory</t>
  </si>
  <si>
    <t>Others</t>
  </si>
  <si>
    <t>Non Current Assets</t>
  </si>
  <si>
    <t>Fixed Asset</t>
  </si>
  <si>
    <t>Accumulated Depreciations</t>
  </si>
  <si>
    <t>Fixed Assets, Net</t>
  </si>
  <si>
    <t>Intangible Assets</t>
  </si>
  <si>
    <t>Total Non Current Asset</t>
  </si>
  <si>
    <t>LIABILITIES &amp; EQUITY</t>
  </si>
  <si>
    <t>Bank Loan-Short Term</t>
  </si>
  <si>
    <t>Account Payables (Hutang Dagang)</t>
  </si>
  <si>
    <t>Tax Payable (Hutang PPh Pasal 29 + Hutang PPh Pasal 25 + Hutang PPh Pasal 21 + Hutang PPN + PPN dan PPh 29)</t>
  </si>
  <si>
    <t>Others (Hutang Gaji Karyawan)</t>
  </si>
  <si>
    <t>Non Current Liabilities</t>
  </si>
  <si>
    <t>Bank Loan-Long Term</t>
  </si>
  <si>
    <t>Related Party acc. Payable &amp; Employee Benefits</t>
  </si>
  <si>
    <t>LIABILITIES</t>
  </si>
  <si>
    <t>Shareholders' Equity</t>
  </si>
  <si>
    <t>Paid Up Capital (Modal Disetor)</t>
  </si>
  <si>
    <t>Addition (Uang Muka Setoran Modal)</t>
  </si>
  <si>
    <t>Retained Earnings</t>
  </si>
  <si>
    <t>Surplus (Laba di Tahan (TA) + Laba Ditahan Tahun Lalu - Deviden)</t>
  </si>
  <si>
    <t>Retained Earnings, Ending Balance</t>
  </si>
  <si>
    <t>LIABILITES &amp; EQUITY</t>
  </si>
  <si>
    <t>Income Statement</t>
  </si>
  <si>
    <t>HORIZONTAL</t>
  </si>
  <si>
    <t>Revenue (Penjualan)</t>
  </si>
  <si>
    <t>Cost of Good Sold (Pupuk + Obat-Obatan + Ongkos Angkut Pembelian TBS + Langsir &amp; Muat TBS + Gaji Pegawai Bag. Lapangan + Keperluan Lapangan + Bibit Sawit)</t>
  </si>
  <si>
    <t>Gross Profit</t>
  </si>
  <si>
    <t>Gross Profit Margin</t>
  </si>
  <si>
    <t>Operating Expenses:</t>
  </si>
  <si>
    <t>General &amp; Administrative Overheads (Iuran &amp; Retribusi + BBM + STNK &amp; Pajak Kendaraan + Spare Parts Kendaraan + Perjalanan Dinas + Pem. &amp; Perawatan Sarana &amp; Prasarana + Gaji Pegawai Bag. Administrasi + Adm. Bank + Rek. Listrik + Keperluan Kantor + STP + PBB + Pemeliharaan Mess + Notaris)</t>
  </si>
  <si>
    <t>Operating Expenses</t>
  </si>
  <si>
    <t>(Exclude Depreciation)</t>
  </si>
  <si>
    <t>EBITDA margin</t>
  </si>
  <si>
    <t>Depreciation</t>
  </si>
  <si>
    <t>EBIT</t>
  </si>
  <si>
    <t>EBIT margin</t>
  </si>
  <si>
    <t>Other Incomes/(Charges):</t>
  </si>
  <si>
    <t>Interest Income (Pendapatan Jasa Giro + Pendapatan Bagi Hasil (Bank) + Pendapatan Bunga Deposito)</t>
  </si>
  <si>
    <t>Interest Expense (Beban Jasa Giro + Beban Lain-Lain)</t>
  </si>
  <si>
    <t>Other Incomes/(Charges)</t>
  </si>
  <si>
    <t>Non Operating Income (Pendapatan Lain-Lain - Beban Lain-Lain)</t>
  </si>
  <si>
    <t>Profit Before Tax</t>
  </si>
  <si>
    <t>Net Profit After Tax</t>
  </si>
  <si>
    <t>Net Profit Margin</t>
  </si>
  <si>
    <t>Bank Loan Schedules</t>
  </si>
  <si>
    <t>Bank Loan-SHORT TERM</t>
  </si>
  <si>
    <t>Principal</t>
  </si>
  <si>
    <t>Addition</t>
  </si>
  <si>
    <t>Repayment</t>
  </si>
  <si>
    <t>Interest Payable</t>
  </si>
  <si>
    <t>Bank Loan-LONG TERM</t>
  </si>
  <si>
    <t>Interenst Payment</t>
  </si>
  <si>
    <t>Financial Ratios</t>
  </si>
  <si>
    <t>Ratio</t>
  </si>
  <si>
    <t>Formula</t>
  </si>
  <si>
    <t>Average</t>
  </si>
  <si>
    <t>Profitability Indicator Ratio</t>
  </si>
  <si>
    <t>Column3</t>
  </si>
  <si>
    <t>Column4</t>
  </si>
  <si>
    <t>Column5</t>
  </si>
  <si>
    <t>Column6</t>
  </si>
  <si>
    <t>GP/Sales</t>
  </si>
  <si>
    <t>EBITDA Margin</t>
  </si>
  <si>
    <t>EBITDA/Sales</t>
  </si>
  <si>
    <t>EBIT Margin</t>
  </si>
  <si>
    <t>EBIT/Sales</t>
  </si>
  <si>
    <t>Net Profit/Sales</t>
  </si>
  <si>
    <t>Return On Asset</t>
  </si>
  <si>
    <t>Net Profit/Asset</t>
  </si>
  <si>
    <t>Return On Equity</t>
  </si>
  <si>
    <t>Net Profit/Equity</t>
  </si>
  <si>
    <t>Liquidity Measurement Ratio</t>
  </si>
  <si>
    <t>Current Ratio</t>
  </si>
  <si>
    <t>CA/CL</t>
  </si>
  <si>
    <t>Quick Ratio</t>
  </si>
  <si>
    <t>(Cash+A/R)/CL</t>
  </si>
  <si>
    <t>Cash Ratio</t>
  </si>
  <si>
    <t>Cash/CL</t>
  </si>
  <si>
    <t>Leverage Ratio</t>
  </si>
  <si>
    <t>Debt to Assets Ratio</t>
  </si>
  <si>
    <t>Liabilities/Asset</t>
  </si>
  <si>
    <t xml:space="preserve"> Debt to Equity Ratio</t>
  </si>
  <si>
    <t>Liabilities/Equity</t>
  </si>
  <si>
    <t>Capitalization Ratio</t>
  </si>
  <si>
    <t>LTD/(LTD+Equity)</t>
  </si>
  <si>
    <t>Interest Coverage</t>
  </si>
  <si>
    <t>EBIT/Interest Expense</t>
  </si>
  <si>
    <t>Equity to Total Asset</t>
  </si>
  <si>
    <t>Cash Flow Indicator</t>
  </si>
  <si>
    <t>Column2</t>
  </si>
  <si>
    <t>Operating Cash Flow/Sales</t>
  </si>
  <si>
    <t>FCF/Operating Cash Ratio</t>
  </si>
  <si>
    <t>FCF/Operating Cash Flow</t>
  </si>
  <si>
    <t>Short Term Debt Coverage</t>
  </si>
  <si>
    <t>Operating Cash Flow/Bank Loan Short Term</t>
  </si>
  <si>
    <t>Capex Coverage</t>
  </si>
  <si>
    <t>Operating CF/Capex</t>
  </si>
  <si>
    <t>Key Drivers</t>
  </si>
  <si>
    <t>Asumsi-asumsi dari Key Drivers Proyeksi Kinerja Keuangan</t>
  </si>
  <si>
    <t>Financial Drivers</t>
  </si>
  <si>
    <t>Interest Rate (Short Term Loan)</t>
  </si>
  <si>
    <t>Interest Rate (Long Term Loan)</t>
  </si>
  <si>
    <t>tidak usah terlalu dipikirin</t>
  </si>
  <si>
    <t>Bank Deposit Rate</t>
  </si>
  <si>
    <t>Corporate Tax Rate</t>
  </si>
  <si>
    <t>Operational Drivers</t>
  </si>
  <si>
    <t>Sales Vol.</t>
  </si>
  <si>
    <t>unit</t>
  </si>
  <si>
    <t>tanya manajemen</t>
  </si>
  <si>
    <t>Increment</t>
  </si>
  <si>
    <t>Sales Price</t>
  </si>
  <si>
    <t>IDR/unit</t>
  </si>
  <si>
    <t>Cost of Goods Sold</t>
  </si>
  <si>
    <t>%/revenue</t>
  </si>
  <si>
    <t>Operating expense</t>
  </si>
  <si>
    <t>Selling</t>
  </si>
  <si>
    <t>tanya manajemen, lihat common size, forecasting statistik</t>
  </si>
  <si>
    <t>G &amp; A</t>
  </si>
  <si>
    <t>inflation</t>
  </si>
  <si>
    <t>Balance Sheet Drivers</t>
  </si>
  <si>
    <t>Working Capital:</t>
  </si>
  <si>
    <t>Acc. Receivable</t>
  </si>
  <si>
    <t>days</t>
  </si>
  <si>
    <t>Account Payable</t>
  </si>
  <si>
    <t>Additional Capex</t>
  </si>
  <si>
    <t>Land</t>
  </si>
  <si>
    <t>Building</t>
  </si>
  <si>
    <t>Equipment</t>
  </si>
  <si>
    <t>Total Additional Capex</t>
  </si>
  <si>
    <t>Add: Interest Expenses</t>
  </si>
  <si>
    <t>Less: Interest Income</t>
  </si>
  <si>
    <t>Non Operating Income</t>
  </si>
  <si>
    <t>Total Taxes on EBIT</t>
  </si>
  <si>
    <t>Free Cash Flow</t>
  </si>
  <si>
    <t>Add: Depreciation</t>
  </si>
  <si>
    <t>Gross Cash Flow</t>
  </si>
  <si>
    <t>Total Net Changes in Working Capital</t>
  </si>
  <si>
    <t>Less: Capital Expenditures</t>
  </si>
  <si>
    <t>Gross Investment</t>
  </si>
  <si>
    <t>Total Asset in Balance Sheet</t>
  </si>
  <si>
    <t>Less Non Operating Fixed Assets *)</t>
  </si>
  <si>
    <t>Less Marketable Securities</t>
  </si>
  <si>
    <t>Total Invested Capital at End of Year</t>
  </si>
  <si>
    <t>Total Invested Capital at Beginning of Year</t>
  </si>
  <si>
    <t>ROIC = NOPLAT/Inves Capital Beginning of Year</t>
  </si>
  <si>
    <t>Catatan</t>
  </si>
  <si>
    <t>*)Book Value Asset yang menganggur (idle) tidak digunakan untuk operasional</t>
  </si>
  <si>
    <t>**)Asumsi Idle Cash tiap tahun</t>
  </si>
  <si>
    <t>DAFTAR PERTANYAAN UNTUK WAJIB PAJAK</t>
  </si>
  <si>
    <t>Pertanyaan</t>
  </si>
  <si>
    <t>Apakah terdapat perjanjian dari pemegang saham yang mengatur posisi dalam susunan manajemen perusahaan yang akan menjalankan perusahaan tanpa melihat jumlah kepemilikan saham ?</t>
  </si>
  <si>
    <t>Jawaban:</t>
  </si>
  <si>
    <t>a. Ada</t>
  </si>
  <si>
    <t>b. Tidak ada</t>
  </si>
  <si>
    <t>Besarnya kerugian pemegang saham minoritas dari perusahaan tertutup apabila dibandingkan dengan pemegang saham minoritas perusahaan terbuka ?</t>
  </si>
  <si>
    <t>a. Rendah</t>
  </si>
  <si>
    <t>b. Sedang</t>
  </si>
  <si>
    <t>c. Tinggi</t>
  </si>
  <si>
    <t>Hal-hal yang dilakukan oleh pemegang saham pengendali terhadap perusahaan yang dikendalikan untuk membuat saham yang dimilikinya lebih menguntungkan ?</t>
  </si>
  <si>
    <t>b. Moderat</t>
  </si>
  <si>
    <t>c. Dominan</t>
  </si>
  <si>
    <t>Apakah manajemen perusahaan ditunjuk oleh pemegang saham mayoritas ?</t>
  </si>
  <si>
    <t>a. Tidak ada</t>
  </si>
  <si>
    <t>b. Sebagian</t>
  </si>
  <si>
    <t>c. Seluruhnya</t>
  </si>
  <si>
    <t>Apakah pemegang saham mayoritas sebagai pengendali operasional perusahaan ?</t>
  </si>
  <si>
    <t>a. Tidak</t>
  </si>
  <si>
    <t>c. Ya</t>
  </si>
  <si>
    <t>Apakah telah ada pembatasan atas perijinan usaha, namun banyak investor yang berminat disebabkan prospek usaha dibidang industri tersebut memiliki prospek yang cerah ?</t>
  </si>
  <si>
    <t>b. Terbatas</t>
  </si>
  <si>
    <t>c. Tidak ada</t>
  </si>
  <si>
    <t xml:space="preserve">Apakah untuk industri tersebut membutuhkan skala ekonomis usaha yang besar, sehingga hanya investor tertentu dengan modal besar yang dapat masuk dibidang industri tersebut ? </t>
  </si>
  <si>
    <t>a. Tidak terbatas</t>
  </si>
  <si>
    <t>b. Segmen tertentu</t>
  </si>
  <si>
    <t>c. Skala besar</t>
  </si>
  <si>
    <t>Apakah kebijakan dividen perusahaan telah diputuskan setiap tahun melalui RUPS, serta ada pembagian dividen setiap tahun ?</t>
  </si>
  <si>
    <t>a. Ya</t>
  </si>
  <si>
    <t>b. Kadang-kadang</t>
  </si>
  <si>
    <t>Apakah tingkat profitabilitas (EBITDA) perusahaan sesuai dengan tingkat profitabilitas industri sejenis ?</t>
  </si>
  <si>
    <t>a. Di atas</t>
  </si>
  <si>
    <t>b. Rata-rata</t>
  </si>
  <si>
    <t>c. Di bawah</t>
  </si>
  <si>
    <t>Apakah laba bersih perusahaan berfluktuasi ?</t>
  </si>
  <si>
    <t>a. Cenderung meningkat</t>
  </si>
  <si>
    <t>b. Sedang, stabil</t>
  </si>
  <si>
    <t>c. Fluktuatif/Menurun</t>
  </si>
  <si>
    <t>Apakah struktur permodalan (debt to equity ratio) perusahaan sesuai dengan rata-rata industri sejenis ?</t>
  </si>
  <si>
    <t>Apakah liquiditas (current ratio) perusahaan sesuai dengan rata-rata industri sejenis ?</t>
  </si>
  <si>
    <t>Pertumbuhan penjualan perusahaan dibandingkan dengan rata-rata industri sejenis ?</t>
  </si>
  <si>
    <t>a. Lebih besar</t>
  </si>
  <si>
    <t>c. Lebih kecil</t>
  </si>
  <si>
    <t>Bagaimana Prospek perusahaan maupun industrinya dimasa mendatang ?</t>
  </si>
  <si>
    <t>a. Meningkat</t>
  </si>
  <si>
    <t>b. Seperti saat ini</t>
  </si>
  <si>
    <t>c. Menurun</t>
  </si>
  <si>
    <t>Apakah kualitas manajemen perusahaan dapat mencapai tingkat keberhasilan operasi dan keuangan perusahaan serta mempunyai probabilitas yang tinggi untuk memperoleh hasil yang diharapkan ?</t>
  </si>
  <si>
    <t>c. Tidak</t>
  </si>
  <si>
    <t>Apakah Perusahaan memiliki pelanggan lebih dari 1 ?</t>
  </si>
  <si>
    <t>a. Tidak, hanya 1</t>
  </si>
  <si>
    <t>b. Ya</t>
  </si>
  <si>
    <t>Apakah pada saat pendirian perusahaan ada rencana pembubaran pada jangka waktu tertentu</t>
  </si>
  <si>
    <t>b. Ada, pada…..............................................</t>
  </si>
  <si>
    <t>Apakah kontrak kerja yang pernah didapatkan selama ini, secara historis dapat dilakukan perpanjangan kontrak?</t>
  </si>
  <si>
    <t>a. Tidak dapat diperpanjang</t>
  </si>
  <si>
    <t>b. Dapat diperpanjang</t>
  </si>
  <si>
    <t>Apakah kontrak kerja yang sedang berlangsung sekarang (pada tanggal penilaian) berakhir, tidak dapat diperpanjang ?</t>
  </si>
  <si>
    <t>Apabila Jawaban nomor 19 adalah tidak dapat diperpanjang, apakah Perusahaan akan mencari kontrak kerja lain ?</t>
  </si>
  <si>
    <t>b. Tidak</t>
  </si>
  <si>
    <t>Apabila Jawaban nomor 20 adalah tidak, apakah Perusahaan akan ditutup ?</t>
  </si>
  <si>
    <t>Apabila Jawaban nomor 21 adalah Ya, tercantum pada dokumen perusahaan yang mana rencana tersebut ? Apabila ada harap dilampirkan</t>
  </si>
  <si>
    <t>Berapakah nilai Aset Non Operasional Perusahaan yang berupa aset tetap (tanah, bangunan, dll) ?</t>
  </si>
  <si>
    <t>Berapakah nilai Aset Non Operasional Perusahaan yang berupa aset lancar (kas, deposito, dll)</t>
  </si>
  <si>
    <t>Medan, ….....................................</t>
  </si>
  <si>
    <t>…...............................................</t>
  </si>
  <si>
    <t>Jabatan:…..................................</t>
  </si>
  <si>
    <t>PERTIMBANGAN PREMI FOR CONTROL (PFC)</t>
  </si>
  <si>
    <t>NO</t>
  </si>
  <si>
    <t>FAKTOR PERTIMBANGAN</t>
  </si>
  <si>
    <t>KONDISI PERUSAHAAN DENGAN PEMEGANG SAHAM</t>
  </si>
  <si>
    <t>KONFIRMASI</t>
  </si>
  <si>
    <t xml:space="preserve">NILAI KENDALI </t>
  </si>
  <si>
    <t>Perjanjian antara Pemegang Saham</t>
  </si>
  <si>
    <t>Apakah terdapat perjanjian dari pemegang saham yang mengatur posisi dalam susunan manajemen perusahaan yang akan menjalankan perusahaan tanpa melihat jumlah kepemilikan saham? 
(Ada/Tidak Ada)</t>
  </si>
  <si>
    <t>Ada</t>
  </si>
  <si>
    <t>Rendah</t>
  </si>
  <si>
    <t>Tidak Ada</t>
  </si>
  <si>
    <t>Sedang</t>
  </si>
  <si>
    <t>Moderat</t>
  </si>
  <si>
    <t>Sebagian</t>
  </si>
  <si>
    <t>Kerugian Saham Minoritas</t>
  </si>
  <si>
    <t>Besarnya kerugian pemegang saham minoritas dari perusahaan tertutup apabila dibandingkan dengan pemegang saham minoritas perusahaan terbuka?
(Rendah, Sedang atau Tinggi)</t>
  </si>
  <si>
    <t>Tinggi</t>
  </si>
  <si>
    <t>Dominan</t>
  </si>
  <si>
    <t>Seluruhnya</t>
  </si>
  <si>
    <t>Pemegang Saham Pengendali</t>
  </si>
  <si>
    <t>Hal-hal yang dilakukan oleh pemegang saham pengendali terhadap perusahaan yang dikendalikan untuk membuat saham yang dimilikinya lebih menguntungkan? 
(Rendah, Moderat atau Dominan)</t>
  </si>
  <si>
    <t>Penunjukkan Manajemen</t>
  </si>
  <si>
    <t>Apakah manajemen perusahaan ditunjuk oleh pemegang saham mayoritas?
(Tidak Ada, Sebagian atau Seluruhnya)</t>
  </si>
  <si>
    <t>Pengendalian Operasional Perusahaan</t>
  </si>
  <si>
    <t>Apakah pemegang saham mayoritas sebagai pengendali operasional perusahaan?
(Tidak, Sebagian atau Ya)</t>
  </si>
  <si>
    <t>JUMLAH</t>
  </si>
  <si>
    <t>Mayoritas</t>
  </si>
  <si>
    <t>Maksimum Skor</t>
  </si>
  <si>
    <t>Jumlah Skor</t>
  </si>
  <si>
    <t>PERTIMBANGAN DISCOUNT LACK OF MARKETABILITY (DLOM)</t>
  </si>
  <si>
    <t>KONDISI PERUSAHAAN DALAM INDUSTRI</t>
  </si>
  <si>
    <t>NILAI MAKETABILITAS</t>
  </si>
  <si>
    <t>Entry Barier Perijinan Usaha</t>
  </si>
  <si>
    <t>Apakah telah ada pembatasan atas perijinan usaha, namun banyak investor yang berminat disebabkan prospek usaha dibidang industri tersebut memiliki prospek yang cerah?
(Ada, Terbatas atau Tidak Ada)</t>
  </si>
  <si>
    <t>Tidak Terbatas</t>
  </si>
  <si>
    <t>Diatas</t>
  </si>
  <si>
    <t>Tidak, Meningkat</t>
  </si>
  <si>
    <t>Terbatas</t>
  </si>
  <si>
    <t>Segmen Tertentu</t>
  </si>
  <si>
    <t>Kadang-kadang</t>
  </si>
  <si>
    <t>Rata-rata</t>
  </si>
  <si>
    <t>Sedang, Stabil</t>
  </si>
  <si>
    <t>Entry Barier Skala Ekonomis Usaha</t>
  </si>
  <si>
    <t>Apakah untuk industri tersebut membutuhkan skala ekonomis usaha yang besar, sehingga hanya investor tertentu dengan modal besar yang dapat masuk dibidang industri tersebut? 
(Tidak Terbatas, Segmen Tertentu atau Skala Besar)</t>
  </si>
  <si>
    <t>Skala Besar</t>
  </si>
  <si>
    <t>Dibawah</t>
  </si>
  <si>
    <t>Ya, Menurun</t>
  </si>
  <si>
    <t>Dividen</t>
  </si>
  <si>
    <t>Apakah kebijakan dividen perusahaan telah diputuskan setiap tahun melalui RUPS, serta ada pembagian dividen setiap tahun?
(Ya, Kadang-kadang atau Tidak Ada)</t>
  </si>
  <si>
    <t>Lebih Besar</t>
  </si>
  <si>
    <t>Meningkat</t>
  </si>
  <si>
    <t>Seperti Saat Ini</t>
  </si>
  <si>
    <t>Profitabilitas (EBITDA)</t>
  </si>
  <si>
    <t>Apakah tingkat profitabilitas (EBITDA) perusahaan sesuai dengan tingkat profitabilitas industri sejenis?
(Diatas, Rata-Rata atau Dibawah)</t>
  </si>
  <si>
    <t>Lebih Kecil</t>
  </si>
  <si>
    <t>Menurun</t>
  </si>
  <si>
    <t>Fluktuasi Laba Bersih</t>
  </si>
  <si>
    <t>Apakah laba bersih perusahaan berfluktuasi?
(Tidak, Meningkat; Sedang, Stabil; atau, Ya, Menurun)</t>
  </si>
  <si>
    <t>Struktur Permodalan</t>
  </si>
  <si>
    <t>Apakah struktur permodalan (Debt to Equity Ratio) perusahaan sesuai dengan rata-rata industri sejenis?
(Dibawah, Rata-Rata atau Diatas)</t>
  </si>
  <si>
    <t>Liquiditas</t>
  </si>
  <si>
    <t>Apakah liquiditas (Current Ratio) perusahaan sesuai dengan rata-rata industri sejenis?
(Diatas, Rata-Rata atau Dibawah)</t>
  </si>
  <si>
    <t>Pertumbuhan Penjualan</t>
  </si>
  <si>
    <t>Pertumbuhan penjualan perusahaan dibandingkan dengan rata-rata industri sejenis?
(Lebih Besar, Rata-Rata atau Lebih Kecil)</t>
  </si>
  <si>
    <t>Prospek Perusahaan dan Industri</t>
  </si>
  <si>
    <t>Bagaimana Prospek perusahaan maupun industrinya dimasa mendatang?
(Meningkat, Seperti saat ini atau Menurun)</t>
  </si>
  <si>
    <t>Kualitas Manajemen</t>
  </si>
  <si>
    <t>Apakah kualitas manajemen perusahaan dapat mencapai tingkat keberhasilan operasi dan keuangan perusahaan serta mempunyai probabilitas yang tinggi untuk memperoleh hasil yang diharapkan? 
(Ya, Seperti Saat Ini atau Tidak)</t>
  </si>
  <si>
    <t xml:space="preserve">DLOM Perusahaan tertutup </t>
  </si>
  <si>
    <t>Perhitungan DLOM</t>
  </si>
  <si>
    <t>DLOM Objek Penilaian</t>
  </si>
  <si>
    <t>Cuti Off Date</t>
  </si>
  <si>
    <t>SUBSEQUENT EVENT</t>
  </si>
  <si>
    <t>?</t>
  </si>
  <si>
    <t>Net Profit</t>
  </si>
  <si>
    <t>Ekuitas</t>
  </si>
  <si>
    <t>DER</t>
  </si>
  <si>
    <t>NPM</t>
  </si>
  <si>
    <t>HISTORIS</t>
  </si>
  <si>
    <t>Accounts</t>
  </si>
  <si>
    <t>Revenue</t>
  </si>
  <si>
    <t>COGS</t>
  </si>
  <si>
    <t>Depreciation/Amortization</t>
  </si>
  <si>
    <t>Machinery, Vehicle, Fixture, FurnitUre, etc</t>
  </si>
  <si>
    <t>Cash Flow Available to Investors (CFI)</t>
  </si>
  <si>
    <t>Add: Cash Flow from Non Operational</t>
  </si>
  <si>
    <t>Cash Flow Available to Investor</t>
  </si>
  <si>
    <t>Laporan Proyeksi Laba Rugi</t>
  </si>
  <si>
    <t>diisi sesuai proyeksi penilai</t>
  </si>
  <si>
    <t>'-1e+07x + 9e+07</t>
  </si>
  <si>
    <t>Revenue Growth</t>
  </si>
  <si>
    <t>Cost of Good Sold</t>
  </si>
  <si>
    <t>General &amp; Administrative Overheads</t>
  </si>
  <si>
    <t>Operating Expenses (Exclude Depreciation)</t>
  </si>
  <si>
    <t>Depreciation Growth</t>
  </si>
  <si>
    <t>Other Income/(Charge)</t>
  </si>
  <si>
    <t>Interest Income Growth</t>
  </si>
  <si>
    <t>Interest Expense Growth</t>
  </si>
  <si>
    <t>Net Profit After Tax Margin</t>
  </si>
  <si>
    <t>Laporan Proyeksi Neraca</t>
  </si>
  <si>
    <t>Average Growth</t>
  </si>
  <si>
    <t>Cash on Hands</t>
  </si>
  <si>
    <t>Cash on Hands Growth</t>
  </si>
  <si>
    <t>Cash in Banks</t>
  </si>
  <si>
    <t>Cash in Banks Growth</t>
  </si>
  <si>
    <t>Account Receivable</t>
  </si>
  <si>
    <t>Account Receivable Growth</t>
  </si>
  <si>
    <t>Other Receivable</t>
  </si>
  <si>
    <t>Other Receivable Growth</t>
  </si>
  <si>
    <t>Inventory Growth</t>
  </si>
  <si>
    <t>Others Growth</t>
  </si>
  <si>
    <t>Accumulated Depreciations Growth</t>
  </si>
  <si>
    <t>Other Non Current Asset</t>
  </si>
  <si>
    <t>Account Payables</t>
  </si>
  <si>
    <t>Tax Payable</t>
  </si>
  <si>
    <t>Other Non Current Liabilites</t>
  </si>
  <si>
    <t>Paid Up Capital</t>
  </si>
  <si>
    <t>Surplus</t>
  </si>
  <si>
    <t>Current Profit</t>
  </si>
  <si>
    <t>Balance Control</t>
  </si>
  <si>
    <t>copas number only atu-atu</t>
  </si>
  <si>
    <t>Proyeksi Skedul Utang</t>
  </si>
  <si>
    <t>Bank loan-SHORT TERM</t>
  </si>
  <si>
    <t>interest rate 14%</t>
  </si>
  <si>
    <t>Bank loan-LONG TERM</t>
  </si>
  <si>
    <t>DCF, Noplat</t>
  </si>
  <si>
    <t>Beta Levered</t>
  </si>
  <si>
    <t>Equity Risk Premium</t>
  </si>
  <si>
    <t>Rating Based Default Spread</t>
  </si>
  <si>
    <t>Risk Free (SUN)</t>
  </si>
  <si>
    <t>Perusahaan Pembanding</t>
  </si>
  <si>
    <t>BL</t>
  </si>
  <si>
    <t>Market Cap*)</t>
  </si>
  <si>
    <t>Debt</t>
  </si>
  <si>
    <t>BU</t>
  </si>
  <si>
    <t>*) Market Cap :</t>
  </si>
  <si>
    <t>Jumlah Lembar Saham x Harga Pasar Saham saat Cut Off Date (Lihat di Stockbit)</t>
  </si>
  <si>
    <t>PT Ancol Makanan, Tbk</t>
  </si>
  <si>
    <t>PT Citra Dara Food, Tbk</t>
  </si>
  <si>
    <t>PT Surya Sehat, Tbk</t>
  </si>
  <si>
    <t>Relevered Beta</t>
  </si>
  <si>
    <t>Struktur Kapital</t>
  </si>
  <si>
    <t>Nilai</t>
  </si>
  <si>
    <t>Bobot (%) Pasar</t>
  </si>
  <si>
    <t>Biaya Mdl (%)</t>
  </si>
  <si>
    <t>WACC</t>
  </si>
  <si>
    <t>Hutang</t>
  </si>
  <si>
    <t>Weighted Average Cost of Capital (WACC)</t>
  </si>
  <si>
    <t>**) Menurut Wajib Pajak</t>
  </si>
  <si>
    <t>Bunga Pinjaman Investasi</t>
  </si>
  <si>
    <t>1. Bank Persero</t>
  </si>
  <si>
    <t>2. Bank Swasta</t>
  </si>
  <si>
    <t>3. Bank Umum</t>
  </si>
  <si>
    <t>rata-rata</t>
  </si>
  <si>
    <t>GROWTH</t>
  </si>
  <si>
    <t>Uraian</t>
  </si>
  <si>
    <t>Penjualan</t>
  </si>
  <si>
    <t>Laba Bersih</t>
  </si>
  <si>
    <t>Y = -3E+06x + 7E+07</t>
  </si>
  <si>
    <t>Year</t>
  </si>
  <si>
    <t>x</t>
  </si>
  <si>
    <t>-3E+06</t>
  </si>
  <si>
    <t>7E+07</t>
  </si>
  <si>
    <t>Proyeksi Sales</t>
  </si>
  <si>
    <t>MEAN (AVERAGE GROWTH)</t>
  </si>
  <si>
    <t>INDUSTRI</t>
  </si>
  <si>
    <t>Pendapatan Bersih</t>
  </si>
  <si>
    <t>DATA PENJUALAN/PENDAPATAN PT NSK INDONESIA</t>
  </si>
  <si>
    <t>GROWTH PT NSK INDONESIA</t>
  </si>
  <si>
    <t>PEMBANDING 1</t>
  </si>
  <si>
    <t>PANGSA PASAR</t>
  </si>
  <si>
    <t>PENJUALAN PERUSAHAAN</t>
  </si>
  <si>
    <t>PENJUALAN TOTAL INDUSTRI</t>
  </si>
  <si>
    <t>PERHITUNGAN KESEBANDINGAN</t>
  </si>
  <si>
    <t>URAIAN</t>
  </si>
  <si>
    <t>(dalam USD)</t>
  </si>
  <si>
    <t>RASIO</t>
  </si>
  <si>
    <t>SKOR KESEBANDINGAN</t>
  </si>
  <si>
    <t>OBYEK PENILAIAN</t>
  </si>
  <si>
    <t>Pendapatan</t>
  </si>
  <si>
    <t>Laba Kotor</t>
  </si>
  <si>
    <t>Laba Usaha</t>
  </si>
  <si>
    <t>Aset Lancar</t>
  </si>
  <si>
    <t>Aset Tidak Lancar</t>
  </si>
  <si>
    <t>Total Aset</t>
  </si>
  <si>
    <t>Liabilitas Jk Pendek</t>
  </si>
  <si>
    <t>Liabilitas Jk Panjang</t>
  </si>
  <si>
    <t>Total Liabilitas</t>
  </si>
  <si>
    <t>Harga Pasar Saham (IDR)*)</t>
  </si>
  <si>
    <t>Jumlah Lembar</t>
  </si>
  <si>
    <t>Market Cap (IDR)</t>
  </si>
  <si>
    <t>Kurs</t>
  </si>
  <si>
    <t>Market Cap (USD)</t>
  </si>
  <si>
    <t>*) Historis harga pasar saham pada tanggal Penilaian, sumber Stockbit.com</t>
  </si>
  <si>
    <t>PERHITUNGAN NILAI</t>
  </si>
  <si>
    <t>MULTIPLE</t>
  </si>
  <si>
    <t>MULTIPLE VALUE</t>
  </si>
  <si>
    <t>FUNDAMENTAL</t>
  </si>
  <si>
    <t>WEIGHTED</t>
  </si>
  <si>
    <t>VALUE</t>
  </si>
  <si>
    <t>Skor Kesebandingan</t>
  </si>
  <si>
    <t>P/S</t>
  </si>
  <si>
    <t>P/B</t>
  </si>
  <si>
    <t>INDICATED VALUE OF EQUITY</t>
  </si>
  <si>
    <t>PFC</t>
  </si>
  <si>
    <t>CONTROLING INDICATED VALUE OF EQUITY</t>
  </si>
  <si>
    <t>MARKET VALUE OF EQUITY</t>
  </si>
  <si>
    <t>SHARES</t>
  </si>
  <si>
    <t>Nilai Pasar Saham</t>
  </si>
  <si>
    <t>Menurut WP</t>
  </si>
  <si>
    <t>Selisih</t>
  </si>
  <si>
    <t>Tarif</t>
  </si>
  <si>
    <t>ANALISIS KESEBANDINGAN</t>
  </si>
  <si>
    <t>CUT OFF DATE:</t>
  </si>
  <si>
    <t>PERUSAHAAN PEMBANDING</t>
  </si>
  <si>
    <t>KODE EMITEN</t>
  </si>
  <si>
    <t>TAHUN</t>
  </si>
  <si>
    <t>PARAMETER</t>
  </si>
  <si>
    <t>ROA</t>
  </si>
  <si>
    <t>ROE</t>
  </si>
  <si>
    <t>RATA-RATA</t>
  </si>
  <si>
    <t>MEDIAN</t>
  </si>
  <si>
    <t>BOBOT KESEBANDINGAN</t>
  </si>
  <si>
    <t>SKOR RATA-RATA</t>
  </si>
  <si>
    <t>SKOR MEDIAN</t>
  </si>
  <si>
    <t>BOBOT RATA-RATA</t>
  </si>
  <si>
    <t>BOBOT MEDIAN</t>
  </si>
  <si>
    <t>Metode Penyesuaian Aset Bersih</t>
  </si>
  <si>
    <t>Penyesuaian</t>
  </si>
  <si>
    <t>Cash on Bank (Deposit)</t>
  </si>
  <si>
    <t>Intangible Asset</t>
  </si>
  <si>
    <t>Deficit</t>
  </si>
  <si>
    <t>Current profit</t>
  </si>
  <si>
    <t>Changes on Asset Revaluation</t>
  </si>
  <si>
    <t>Nett Asset Value</t>
  </si>
  <si>
    <t>Interest Bearing Debt</t>
  </si>
  <si>
    <t>Equity Value</t>
  </si>
  <si>
    <t>*)</t>
  </si>
  <si>
    <t>Equity Value (100%) Less DLOM</t>
  </si>
  <si>
    <t>Market Value of Equity (100%)</t>
  </si>
  <si>
    <t>Percentage of Shares</t>
  </si>
  <si>
    <t>Paling Tinggi (Resiko Rendah)</t>
  </si>
  <si>
    <t>Paling Rendah (Resiko Tinggi)</t>
  </si>
  <si>
    <t>DLOC (PFC)</t>
  </si>
  <si>
    <t>*)DLOM perusahaan terbuka pemegang saham mayoritas maksimal 20% (pasal 41 huruf b ayat 1 POJK 35)</t>
  </si>
  <si>
    <t>RATE OF RETURN ON NETT TANGIBLE ASSET</t>
  </si>
  <si>
    <t>BORROWING CAPACITY</t>
  </si>
  <si>
    <t>No</t>
  </si>
  <si>
    <t>Jenis Aktiva</t>
  </si>
  <si>
    <t>Jumlah</t>
  </si>
  <si>
    <t>Borrowing Capacity (%)</t>
  </si>
  <si>
    <t>Borrowing Capacity</t>
  </si>
  <si>
    <t>Piutang</t>
  </si>
  <si>
    <t>CALK 5</t>
  </si>
  <si>
    <t>Persediaan</t>
  </si>
  <si>
    <t>CALK 7</t>
  </si>
  <si>
    <t>Aktiva Tetap</t>
  </si>
  <si>
    <t>TINGKAT BALIKAN RATA-RATA TERTIMBANG</t>
  </si>
  <si>
    <t>Jenis Modal</t>
  </si>
  <si>
    <t>Biaya Modal</t>
  </si>
  <si>
    <t>Bobot</t>
  </si>
  <si>
    <t>Biaya Modal Tertimbang</t>
  </si>
  <si>
    <t>Discount Rate Analysis (CAPM)</t>
  </si>
  <si>
    <t>BU = B/(1+ ( (1-t)x DER))</t>
  </si>
  <si>
    <t>=</t>
  </si>
  <si>
    <t>Tax Rate</t>
  </si>
  <si>
    <t>BL = BU x ( 1+ ((1-t)x DER ))</t>
  </si>
  <si>
    <t>Risk Free</t>
  </si>
  <si>
    <t>Ke = Rf + (β.Rp) - RBDS</t>
  </si>
  <si>
    <t>Beta</t>
  </si>
  <si>
    <t>Kd = i x (1 - t)</t>
  </si>
  <si>
    <t>Equity Risk Premium (Rating)</t>
  </si>
  <si>
    <t>WACC (%)</t>
  </si>
  <si>
    <t>pinjaman inves</t>
  </si>
  <si>
    <t>Country Default Spread (Based on Rating)</t>
  </si>
  <si>
    <t>BANK PERSERO</t>
  </si>
  <si>
    <t>Debt Rate</t>
  </si>
  <si>
    <t xml:space="preserve">Hutang </t>
  </si>
  <si>
    <t>BANK PEMDAS</t>
  </si>
  <si>
    <t>DER industry</t>
  </si>
  <si>
    <t xml:space="preserve">Ekuitas </t>
  </si>
  <si>
    <t>BANK SWASNAS</t>
  </si>
  <si>
    <t>CoE</t>
  </si>
  <si>
    <t>BANK ASENG</t>
  </si>
  <si>
    <t>CoD</t>
  </si>
  <si>
    <t>BANK OM OM</t>
  </si>
  <si>
    <t>Metode Kapitalisasi Kelebihan Pendapatan</t>
  </si>
  <si>
    <t>*)Kecuali Dinyatakan Lain</t>
  </si>
  <si>
    <t>FCFF Model</t>
  </si>
  <si>
    <t>Nett Tangible Asset Value</t>
  </si>
  <si>
    <t>aktiva berwujudnya (tidak termasuk non operating asset)</t>
  </si>
  <si>
    <t>Return on Tangibel Asset</t>
  </si>
  <si>
    <t>Earning Return on Nett Tangible Asset</t>
  </si>
  <si>
    <t>pendapatan yang digenerate oleh aktiva berwujud operasional</t>
  </si>
  <si>
    <t>arus kas bebas</t>
  </si>
  <si>
    <t>Excess Earning</t>
  </si>
  <si>
    <t>pendapatan yang digenerate dari aktiva tidak berwujud</t>
  </si>
  <si>
    <t>Capitalization Rate</t>
  </si>
  <si>
    <t>Capitalized Excess Earning</t>
  </si>
  <si>
    <t>atb ---&gt; goodwill</t>
  </si>
  <si>
    <t>Enterprise Value</t>
  </si>
  <si>
    <t>Non Operating Asset</t>
  </si>
  <si>
    <t>Equity Value (100%)</t>
  </si>
  <si>
    <t>US$</t>
  </si>
  <si>
    <t>In IDR</t>
  </si>
  <si>
    <t>Rp</t>
  </si>
  <si>
    <t>Rounded</t>
  </si>
  <si>
    <t>RASIO KEUANGAN OBYEK PENILAIAN DAN PERUSAHAAN PEMBANDING</t>
  </si>
  <si>
    <t>NO.</t>
  </si>
  <si>
    <t>EMITEN</t>
  </si>
  <si>
    <t>NAMA PERUSAHAAN</t>
  </si>
  <si>
    <t>TOTAL</t>
  </si>
  <si>
    <t>SKOR DER</t>
  </si>
  <si>
    <t>SKOR ROA</t>
  </si>
  <si>
    <t>SKOR ROE</t>
  </si>
  <si>
    <t>SKOR NPM</t>
  </si>
  <si>
    <t>SKOR PANGSA PASAR</t>
  </si>
  <si>
    <t>TOTAL SKOR</t>
  </si>
  <si>
    <t>DATA PEMBANDING YANG DIGUNAKAN</t>
  </si>
  <si>
    <t>SALES</t>
  </si>
  <si>
    <t>PAS</t>
  </si>
  <si>
    <t>OBYEK PEMBANDING</t>
  </si>
  <si>
    <t>MEAN</t>
  </si>
  <si>
    <t>STANDARD DEVIASI</t>
  </si>
  <si>
    <t>BATAS BAWAH</t>
  </si>
  <si>
    <t>BATAS ATAS</t>
  </si>
  <si>
    <t>MAX SCORE</t>
  </si>
  <si>
    <t>TOTAL REVENUE of INDUSTRY</t>
  </si>
  <si>
    <t>PENGGUNAAN</t>
  </si>
  <si>
    <t>NILAI YANG DIHASILKAN</t>
  </si>
  <si>
    <t>KETERANGAN</t>
  </si>
  <si>
    <t>Perusahaan yang mempunyai laba negatif, sangat umum untuk menilai perusahaan start up, dengan beban penjualan dan beban operasional cukup tinggi yang tidak dapat ditutup oleh penjualan</t>
  </si>
  <si>
    <t>Nilai Ekuitas</t>
  </si>
  <si>
    <t>Perusahaan yang mempunyai aset base stabil dan aset menjadi komponen yang sangat dominan dalam perusahaan tersebut, contohnya perusahaan yang bergerak dalam industri keuangan seperti bank, multifinance, asuransi, dan perusahaan properti/real estate</t>
  </si>
  <si>
    <t>EV/EBIT</t>
  </si>
  <si>
    <t>Perusahaan yang masih dalam tahap pertumbuhan tetapi secara kinerja laba belum mencapai tahap stabil</t>
  </si>
  <si>
    <t>Nilai Enterprise (Debt + Equity)</t>
  </si>
  <si>
    <t>Untuk menghasilkan Nilai Ekuitas, Nilai Enterprise harus dikurangkan dengan Hutang berbunga (pinjaman dari bank atau bukan, jangka panjang atau pendek, yang mengandung bunga)</t>
  </si>
  <si>
    <t>EV/EBITDA</t>
  </si>
  <si>
    <t>Perusahaan yang sedang berkebang namun kemungkinan masih mengalami kerugian secara keuangan karena laba operasional dari investasi perusahaan dengan pengeluaran barang modal yang tinggi belum dapat menutupi bunga pinjaman dan depresiasi, sehingga meski membukukan EBITDA positif, perusahan mungkin masih mencatat nilai rugi bersih</t>
  </si>
  <si>
    <t>EV/S</t>
  </si>
  <si>
    <t>Perusahaan yang baru berdiri (start up) yang mempunyai karakteristik biaya operasional masih lebih tinggi dari tingkat pendapatan, misalnya e commerce atau bisnis berbasis internet, dan sangat cocok untuk perusahaan yang menjadikan pangsa pasar sebagai hal yang kritikal, contohnya perusahaan retail barang konsumsi yang sangat mementingkan pangsa pasar untuk mempertahankan perusahaannya</t>
  </si>
  <si>
    <t>FS</t>
  </si>
  <si>
    <t>(dalam IDR)</t>
  </si>
  <si>
    <t>Liabilitas Jangka Pendek</t>
  </si>
  <si>
    <t>Liabilitas Jangka Panjang</t>
  </si>
  <si>
    <t>Harga Pasar Saham (IDR)</t>
  </si>
  <si>
    <t>Total Skor</t>
  </si>
  <si>
    <t>Laba per Lembar Saham</t>
  </si>
  <si>
    <t>Bobot Pembanding</t>
  </si>
  <si>
    <t>Market Cap (idr)</t>
  </si>
  <si>
    <t>Growth Rate</t>
  </si>
  <si>
    <t>Net Fixed Assets at the End of  Year</t>
  </si>
  <si>
    <t>Add: Net Current Asset at the End of Year</t>
  </si>
  <si>
    <t>Less: Net Fixed Assets at the Beginning of Year</t>
  </si>
  <si>
    <t>Less: Net Current Assets at the Beginning of Year</t>
  </si>
  <si>
    <t>Total Net Investment</t>
  </si>
  <si>
    <t>Total Invested Capital Beginning of Year</t>
  </si>
  <si>
    <t>Growth Rate = Net Investment/Invested Capital</t>
  </si>
  <si>
    <t>Discounted Cash Flow</t>
  </si>
  <si>
    <t>Period (n year)</t>
  </si>
  <si>
    <t>Discount Factor</t>
  </si>
  <si>
    <t>PV of Free Cash Flow</t>
  </si>
  <si>
    <t>Total PV FCF Explicit Period</t>
  </si>
  <si>
    <t>Growth Rate (SPI 3305.31. c)</t>
  </si>
  <si>
    <t>Terminal Value</t>
  </si>
  <si>
    <t>PV of Terminal Value</t>
  </si>
  <si>
    <t>Bank Loan Short Term + Bank Loan Long Term</t>
  </si>
  <si>
    <t>Surplus Asset Cash</t>
  </si>
  <si>
    <t>Iddle Non Operating Asset (Building)</t>
  </si>
  <si>
    <t>Hasil Perhitungan Nilai Pasar Masing-Masing Pendekatan</t>
  </si>
  <si>
    <t>PENDEKATAN</t>
  </si>
  <si>
    <t>NILAI (IDR)</t>
  </si>
  <si>
    <t>Pendekatan Pendapatan (Discounted Cash Flow Method)</t>
  </si>
  <si>
    <t>Pendekatan Pasar (Guideline Publicly Traded Company Method)</t>
  </si>
  <si>
    <t>Pendekatan Aset (Excess Earning Method)</t>
  </si>
  <si>
    <t>Perbandingan Nilai Pasar</t>
  </si>
  <si>
    <t>Perbandingan Pendekatan</t>
  </si>
  <si>
    <t>%</t>
  </si>
  <si>
    <t>Pendekatan Pendapatan (Discounted Cash Flow Method) : Pendekatan Pasar (Guideline Publicly Traded Company Method)</t>
  </si>
  <si>
    <t>Pendekatan Pendapatan (Discounted Cash Flow Method) : Pendekatan Aset (Excess Earning Method)</t>
  </si>
  <si>
    <t>Pendekatan Aset (Excess Earning Method) : Pendekatan Pasar (Guideline Publicly Traded Company Method)</t>
  </si>
  <si>
    <t>STOCK VALUATION DIVIDEND DISCOUNT MODEL</t>
  </si>
  <si>
    <t>nice to know aja</t>
  </si>
  <si>
    <t>Single Growth</t>
  </si>
  <si>
    <t>Dividend Per Share</t>
  </si>
  <si>
    <t>IDR</t>
  </si>
  <si>
    <t>*Financial Statement CALK 19</t>
  </si>
  <si>
    <t>Exchange Rate</t>
  </si>
  <si>
    <t>IDR/USD</t>
  </si>
  <si>
    <t>Cost of Equity</t>
  </si>
  <si>
    <t>Market Value of Share</t>
  </si>
  <si>
    <t>Indikasi Nilai Saham</t>
  </si>
  <si>
    <t>Per Lembar</t>
  </si>
  <si>
    <t>Nilai Pengalihan Saham yang Dilaporkan</t>
  </si>
  <si>
    <t>Potensi Pengalihan Saham yang Belum Dikenakan Pajak</t>
  </si>
  <si>
    <t>PT CITRA TUBINDO TBK</t>
  </si>
  <si>
    <t>Commercial Statutory 22% Valuation Summary</t>
  </si>
  <si>
    <t>Basis</t>
  </si>
  <si>
    <t>Commercial earnings, statutory 22% normalized NOPLAT, no fiscal correction, no DLOM/DLOC</t>
  </si>
  <si>
    <t>Valuation Date</t>
  </si>
  <si>
    <t>Method</t>
  </si>
  <si>
    <t>Rebuilt Indication</t>
  </si>
  <si>
    <t>Change</t>
  </si>
  <si>
    <t>Use Status</t>
  </si>
  <si>
    <t>Notes</t>
  </si>
  <si>
    <t>Preliminary indication</t>
  </si>
  <si>
    <t>Book NAV proxy pending independent FMV asset appraisal</t>
  </si>
  <si>
    <t>Normalized indication</t>
  </si>
  <si>
    <t>Uses commercial EBIT x 78%, maintenance capex = depreciation, no 2021 WC release</t>
  </si>
  <si>
    <t>Base indication</t>
  </si>
  <si>
    <t>5-year FCFF, source WACC, base terminal growth 0%, operating WC days</t>
  </si>
  <si>
    <t>Key model corrections</t>
  </si>
  <si>
    <t>Fiscal NPAT and fiscal corrections excluded from earning power.</t>
  </si>
  <si>
    <t>Tax payable excluded from operating WC in EEM/DCF; retained as liability in AAM.</t>
  </si>
  <si>
    <t>Capex normalized to depreciation; 2021 one-off WC release not capitalized in EEM.</t>
  </si>
  <si>
    <t>DLOM/DLOC/minority discounts not applied.</t>
  </si>
  <si>
    <t>Selected sensitivities</t>
  </si>
  <si>
    <t>DCF source WACC, g = PDF/workbook reinvestment growth</t>
  </si>
  <si>
    <t>DCF source WACC, g = 0%</t>
  </si>
  <si>
    <t>DCF source WACC, g = 3%</t>
  </si>
  <si>
    <t>DCF corrected WACC, g = 0%</t>
  </si>
  <si>
    <t>DCF no incremental WC release, source WACC, g = 0%</t>
  </si>
  <si>
    <t>Commercial Statutory 22% Valuation Assumptions</t>
  </si>
  <si>
    <t>Assumption</t>
  </si>
  <si>
    <t>Value</t>
  </si>
  <si>
    <t>Status</t>
  </si>
  <si>
    <t>Source / Notes</t>
  </si>
  <si>
    <t>Valuation date</t>
  </si>
  <si>
    <t>Locked</t>
  </si>
  <si>
    <t>Tanggal penilaian 31 Desember 2021.</t>
  </si>
  <si>
    <t>Earning power basis</t>
  </si>
  <si>
    <t>Commercial profit</t>
  </si>
  <si>
    <t>Fiscal correction is reconciliation only.</t>
  </si>
  <si>
    <t>Statutory corporate tax rate</t>
  </si>
  <si>
    <t>Confirmed by user</t>
  </si>
  <si>
    <t>Used for normalized forward-looking NOPLAT.</t>
  </si>
  <si>
    <t>Source WACC</t>
  </si>
  <si>
    <t>Workbook-derived</t>
  </si>
  <si>
    <t>Used as base discount rate; see sensitivity.</t>
  </si>
  <si>
    <t>Corrected WACC sensitivity</t>
  </si>
  <si>
    <t>Sensitivity</t>
  </si>
  <si>
    <t>Adds country/default spread rather than subtracting it in CAPM sensitivity.</t>
  </si>
  <si>
    <t>Base terminal growth</t>
  </si>
  <si>
    <t>Base case locked at 0%; sensitivities at workbook -6.20% and 3.00% retained.</t>
  </si>
  <si>
    <t>Revenue growth</t>
  </si>
  <si>
    <t>Workbook historical average; lower than actual 2020-2021 average.</t>
  </si>
  <si>
    <t>Return on net tangible assets</t>
  </si>
  <si>
    <t>Used as required return for EEM.</t>
  </si>
  <si>
    <t>Explicit DCF forecast years</t>
  </si>
  <si>
    <t>Model input</t>
  </si>
  <si>
    <t>2022E-2026E.</t>
  </si>
  <si>
    <t>Maintenance capex</t>
  </si>
  <si>
    <t>Equals depreciation</t>
  </si>
  <si>
    <t>Model convention</t>
  </si>
  <si>
    <t>Avoids zero-capex overstatement.</t>
  </si>
  <si>
    <t>Operating WC policy</t>
  </si>
  <si>
    <t>Historical AR/AP/other-payable days</t>
  </si>
  <si>
    <t>Formula-derived</t>
  </si>
  <si>
    <t>Tax payable and debt are excluded from operating WC.</t>
  </si>
  <si>
    <t>Review</t>
  </si>
  <si>
    <t>Cash, bank/deposit, and employee receivable treated as non-operating absent minimum cash data.</t>
  </si>
  <si>
    <t>DLOM/DLOC/minority discount</t>
  </si>
  <si>
    <t>No DLOM, DLOC, or minority discount applied.</t>
  </si>
  <si>
    <t>Fiscal correction</t>
  </si>
  <si>
    <t>Do not use</t>
  </si>
  <si>
    <t>Fiscal correction and fiscal NPAT are not earning-power inputs.</t>
  </si>
  <si>
    <t>Historical Commercial Drivers</t>
  </si>
  <si>
    <t>Driver</t>
  </si>
  <si>
    <t>2019A</t>
  </si>
  <si>
    <t>2020A</t>
  </si>
  <si>
    <t>2021A</t>
  </si>
  <si>
    <t>Normalized / Avg</t>
  </si>
  <si>
    <t>Treatment</t>
  </si>
  <si>
    <t>Commercial source</t>
  </si>
  <si>
    <t>Actual 2020-2021 average shown</t>
  </si>
  <si>
    <t>Workbook revenue growth</t>
  </si>
  <si>
    <t>Used for DCF base</t>
  </si>
  <si>
    <t>COGS % revenue</t>
  </si>
  <si>
    <t>Used</t>
  </si>
  <si>
    <t>G&amp;A % revenue</t>
  </si>
  <si>
    <t>Depreciation % revenue</t>
  </si>
  <si>
    <t>Commercial NPAT</t>
  </si>
  <si>
    <t>Statutory NOPLAT</t>
  </si>
  <si>
    <t>Commercial EBIT x (1-tax)</t>
  </si>
  <si>
    <t>AR days</t>
  </si>
  <si>
    <t>Inventory days</t>
  </si>
  <si>
    <t>AP days</t>
  </si>
  <si>
    <t>Other payable days</t>
  </si>
  <si>
    <t>Tax payable</t>
  </si>
  <si>
    <t>Excluded from operating WC</t>
  </si>
  <si>
    <t>Operating NWC excl cash/tax/debt</t>
  </si>
  <si>
    <t>AAM - Commercial Source Book NAV Proxy</t>
  </si>
  <si>
    <t>Item</t>
  </si>
  <si>
    <t>Book / Source</t>
  </si>
  <si>
    <t>FMV Adjustment</t>
  </si>
  <si>
    <t>FMV / Adjusted</t>
  </si>
  <si>
    <t>Cash on hand</t>
  </si>
  <si>
    <t>Included in AAM assets</t>
  </si>
  <si>
    <t>Cash on bank / deposit</t>
  </si>
  <si>
    <t>Account receivable</t>
  </si>
  <si>
    <t>Other receivable</t>
  </si>
  <si>
    <t>Other current assets</t>
  </si>
  <si>
    <t>Fixed assets net</t>
  </si>
  <si>
    <t>No independent FMV appraisal supplied</t>
  </si>
  <si>
    <t>Other non-current / intangible assets</t>
  </si>
  <si>
    <t>Included if any</t>
  </si>
  <si>
    <t>Adjusted total assets</t>
  </si>
  <si>
    <t>Asset side only; not fiscal PDF replacement</t>
  </si>
  <si>
    <t>Bank loan short-term</t>
  </si>
  <si>
    <t>Liability</t>
  </si>
  <si>
    <t>Account payable</t>
  </si>
  <si>
    <t>AAM liability; not earning-power input</t>
  </si>
  <si>
    <t>Other payable</t>
  </si>
  <si>
    <t>Bank loan long-term</t>
  </si>
  <si>
    <t>Related party / employee benefit liabilities</t>
  </si>
  <si>
    <t>Equity Value 100% - AAM</t>
  </si>
  <si>
    <t>No DLOM/DLOC</t>
  </si>
  <si>
    <t>EEM - Commercial Normalized Excess Earnings</t>
  </si>
  <si>
    <t>Line Item</t>
  </si>
  <si>
    <t>Amount / Rate</t>
  </si>
  <si>
    <t>Formula / Treatment</t>
  </si>
  <si>
    <t>Source</t>
  </si>
  <si>
    <t>Operating tangible assets</t>
  </si>
  <si>
    <t>Operating current assets</t>
  </si>
  <si>
    <t>AR + inventory</t>
  </si>
  <si>
    <t>Cash, deposit, employee receivable excluded</t>
  </si>
  <si>
    <t>Operating current liabilities</t>
  </si>
  <si>
    <t>AP + other payable</t>
  </si>
  <si>
    <t>Tax payable and debt excluded from operating WC</t>
  </si>
  <si>
    <t>Net operating working capital</t>
  </si>
  <si>
    <t>Operating CA - operating CL</t>
  </si>
  <si>
    <t>May be negative due supplier/other payable financing</t>
  </si>
  <si>
    <t>Net operating tangible assets</t>
  </si>
  <si>
    <t>Fixed assets net + operating NWC</t>
  </si>
  <si>
    <t>EEM tangible asset base</t>
  </si>
  <si>
    <t>Non-operating asset</t>
  </si>
  <si>
    <t>Review if minimum operating cash should be retained</t>
  </si>
  <si>
    <t>Employee receivable</t>
  </si>
  <si>
    <t>Non-trade receivable</t>
  </si>
  <si>
    <t>Total non-operating assets</t>
  </si>
  <si>
    <t>Added after EV</t>
  </si>
  <si>
    <t>No debt in source balance sheet</t>
  </si>
  <si>
    <t>Commercial EBIT 2021</t>
  </si>
  <si>
    <t>No fiscal correction</t>
  </si>
  <si>
    <t>Statutory tax rate</t>
  </si>
  <si>
    <t>Confirmed input</t>
  </si>
  <si>
    <t>22%</t>
  </si>
  <si>
    <t>EBIT x (1-tax)</t>
  </si>
  <si>
    <t>Forward-looking normalized basis</t>
  </si>
  <si>
    <t>Return on NTA rate</t>
  </si>
  <si>
    <t>Borrowing capacity sheet</t>
  </si>
  <si>
    <t>NTA x return rate</t>
  </si>
  <si>
    <t>Charge for tangible assets</t>
  </si>
  <si>
    <t>NOPLAT - required return</t>
  </si>
  <si>
    <t>Capitalized below</t>
  </si>
  <si>
    <t>WACC - terminal growth</t>
  </si>
  <si>
    <t>Base g = 0%</t>
  </si>
  <si>
    <t>Excess / cap rate</t>
  </si>
  <si>
    <t>Positive cap rate check in STAT_CHECKS</t>
  </si>
  <si>
    <t>NTA + capitalized excess</t>
  </si>
  <si>
    <t>Before non-operating assets/debt</t>
  </si>
  <si>
    <t>Debt bridge</t>
  </si>
  <si>
    <t>Zero per source</t>
  </si>
  <si>
    <t>EV + non-operating assets - debt</t>
  </si>
  <si>
    <t>DCF - Commercial Statutory 22% FCFF</t>
  </si>
  <si>
    <t>2022E</t>
  </si>
  <si>
    <t>2023E</t>
  </si>
  <si>
    <t>2024E</t>
  </si>
  <si>
    <t>2025E</t>
  </si>
  <si>
    <t>2026E</t>
  </si>
  <si>
    <t>Period</t>
  </si>
  <si>
    <t>G&amp;A expense</t>
  </si>
  <si>
    <t>D&amp;A % revenue</t>
  </si>
  <si>
    <t>Operating NWC</t>
  </si>
  <si>
    <t>Change in NWC</t>
  </si>
  <si>
    <t>D&amp;A add-back</t>
  </si>
  <si>
    <t>Discount factor</t>
  </si>
  <si>
    <t>PV FCF</t>
  </si>
  <si>
    <t>Sensitivity and Cross-Checks</t>
  </si>
  <si>
    <t>DCF sensitivity - with operating WC days</t>
  </si>
  <si>
    <t>Terminal Growth</t>
  </si>
  <si>
    <t>Corrected WACC Sensitivity</t>
  </si>
  <si>
    <t>DCF sensitivity - no incremental operating WC release</t>
  </si>
  <si>
    <t>EEM cap-rate sensitivity</t>
  </si>
  <si>
    <t>Cap Rate</t>
  </si>
  <si>
    <t>Model Checks</t>
  </si>
  <si>
    <t>Check</t>
  </si>
  <si>
    <t>Actual</t>
  </si>
  <si>
    <t>Expected</t>
  </si>
  <si>
    <t>Difference</t>
  </si>
  <si>
    <t>Tax rate confirmed</t>
  </si>
  <si>
    <t>Statutory 22%</t>
  </si>
  <si>
    <t>Fiscal correction used in EEM/DCF</t>
  </si>
  <si>
    <t>Fiscal correction excluded by instruction</t>
  </si>
  <si>
    <t>DLOM/DLOC applied</t>
  </si>
  <si>
    <t>No discounts applied</t>
  </si>
  <si>
    <t>AAM summary tie</t>
  </si>
  <si>
    <t>AAM output tie</t>
  </si>
  <si>
    <t>EEM summary tie</t>
  </si>
  <si>
    <t>EEM output tie</t>
  </si>
  <si>
    <t>DCF summary tie</t>
  </si>
  <si>
    <t>DCF output tie</t>
  </si>
  <si>
    <t>EEM cap rate positive</t>
  </si>
  <si>
    <t>Cap rate must be positive</t>
  </si>
  <si>
    <t>DCF terminal growth &lt; WACC</t>
  </si>
  <si>
    <t>Gordon growth denominator check</t>
  </si>
  <si>
    <t>Commercial NOPLAT statutory</t>
  </si>
  <si>
    <t>EBIT x (1-22%)</t>
  </si>
  <si>
    <t>Audit Trail</t>
  </si>
  <si>
    <t>Area</t>
  </si>
  <si>
    <t>Correction / Decision</t>
  </si>
  <si>
    <t>Rationale</t>
  </si>
  <si>
    <t>Evidence / Source</t>
  </si>
  <si>
    <t>Commercial profit locked as earning power</t>
  </si>
  <si>
    <t>User instruction; transaction is related-party FMV valuation</t>
  </si>
  <si>
    <t>INCOME STATEMENT + PDF commercial column</t>
  </si>
  <si>
    <t>Fiscal</t>
  </si>
  <si>
    <t>Fiscal corrections are reconciliation only</t>
  </si>
  <si>
    <t>Do not use fiscal correction in DCF/EEM</t>
  </si>
  <si>
    <t>PDF fiscal NPAT Rp 2.590.960.070 excluded</t>
  </si>
  <si>
    <t>Tax</t>
  </si>
  <si>
    <t>Statutory 22% used for normalized forward-looking NOPLAT</t>
  </si>
  <si>
    <t>User confirmed; consistent with forward-looking normalized NOPLAT</t>
  </si>
  <si>
    <t>STAT_ASSUMPTIONS!B5</t>
  </si>
  <si>
    <t>Tax payable is not operating WC driver for earning power; debt is financing</t>
  </si>
  <si>
    <t>STAT_DCF rows 16-25</t>
  </si>
  <si>
    <t>Capex</t>
  </si>
  <si>
    <t>Maintenance capex equals depreciation</t>
  </si>
  <si>
    <t>Avoids old model's zero-capex overstatement</t>
  </si>
  <si>
    <t>STAT_DCF rows 26-28</t>
  </si>
  <si>
    <t>Commercial/source book NAV used as proxy</t>
  </si>
  <si>
    <t>No independent FMV asset appraisal supplied; do not import fiscal fixed asset uplift</t>
  </si>
  <si>
    <t>STAT_AAM</t>
  </si>
  <si>
    <t>Discounts</t>
  </si>
  <si>
    <t>No DLOM/DLOC/minority discount</t>
  </si>
  <si>
    <t>100% controlling, marketable basis</t>
  </si>
  <si>
    <t>STAT_CHECKS</t>
  </si>
  <si>
    <t>Corrected WACC scenario included</t>
  </si>
  <si>
    <t>Prior CAPM sign issue may understate WACC</t>
  </si>
  <si>
    <t>STAT_SENS</t>
  </si>
  <si>
    <t>Base case locked at 0%</t>
  </si>
  <si>
    <t>User confirmed 0% base case with -6.20% and 3.00% sensitivities retained</t>
  </si>
  <si>
    <t>STAT_ASSUMPTIONS!B8 and STAT_SENS</t>
  </si>
  <si>
    <t>Argumentasi Final Per Bagian Model</t>
  </si>
  <si>
    <t>Sheet / Area</t>
  </si>
  <si>
    <t>Section</t>
  </si>
  <si>
    <t>Accounting / Valuation Argument</t>
  </si>
  <si>
    <t>Evidence / Formula</t>
  </si>
  <si>
    <t>Non-Formula Rationale</t>
  </si>
  <si>
    <t>Conclusion</t>
  </si>
  <si>
    <t>Workbook structure</t>
  </si>
  <si>
    <t>Original sheets preserved</t>
  </si>
  <si>
    <t>The original workbook and PDF are treated as source evidence. New work is isolated in STAT_* sheets so audit adjustments are transparent and reversible.</t>
  </si>
  <si>
    <t>No direct source-sheet edits except workbook-copy additions.</t>
  </si>
  <si>
    <t>This protects the original evidence trail and avoids overwriting user/source formulas.</t>
  </si>
  <si>
    <t>Appropriate.</t>
  </si>
  <si>
    <t>Method outputs</t>
  </si>
  <si>
    <t>The summary only links to AAM, EEM, and DCF output cells; it does not weight the methods because the user requested three separate indications.</t>
  </si>
  <si>
    <t>STAT_SUMMARY!C7:C9 link to STAT_AAM, STAT_EEM, STAT_DCF.</t>
  </si>
  <si>
    <t>Non-formula text explains basis and corrections; valuation cells remain formula-driven.</t>
  </si>
  <si>
    <t>STAT_ASSUMPTIONS</t>
  </si>
  <si>
    <t>Confirmed and source-backed inputs</t>
  </si>
  <si>
    <t>Inputs such as 22% statutory tax, 0% terminal growth, no DLOM/DLOC, and commercial earning-power basis are intentionally hardcoded as audit assumptions because they are not mechanical formulas.</t>
  </si>
  <si>
    <t>STAT_ASSUMPTIONS!B5, B8, B15; user confirmations.</t>
  </si>
  <si>
    <t>Input cells are not formula-driven by design; changing them later will recalculate valuation formulas.</t>
  </si>
  <si>
    <t>Appropriate with documented source.</t>
  </si>
  <si>
    <t>STAT_HIST</t>
  </si>
  <si>
    <t>Commercial historical drivers</t>
  </si>
  <si>
    <t>Historical margins and working-capital days are derived from commercial statements, using revenue, COGS, G&amp;A, depreciation, AR, inventory, AP, and other payable. Fiscal profit is excluded.</t>
  </si>
  <si>
    <t>Links to INCOME STATEMENT and BALANCE SHEET commercial/source rows.</t>
  </si>
  <si>
    <t>Labels/status text are non-formula; calculations are formula-driven.</t>
  </si>
  <si>
    <t>Asset Accumulation Method</t>
  </si>
  <si>
    <t>AAM uses commercial/source book assets less liabilities as a proxy because no independent fair-value appraisal of assets/liabilities was provided. Zero FMV adjustments are placeholders, not a conclusion that fair value equals book value.</t>
  </si>
  <si>
    <t>STAT_AAM!C3:C17 are adjustment inputs; STAT_AAM!D18 is output.</t>
  </si>
  <si>
    <t>Adjustment column uses hardcoded zero because unobserved FMV changes should not be invented. This is conservative but limits AAM to book NAV proxy.</t>
  </si>
  <si>
    <t>Appropriate with limitation.</t>
  </si>
  <si>
    <t>STAT_EEM</t>
  </si>
  <si>
    <t>Excess Earning Method</t>
  </si>
  <si>
    <t>EEM normalizes earning power from commercial EBIT after statutory tax, charges a required return on net operating tangible assets, capitalizes residual excess earnings, then adds non-operating assets and subtracts debt.</t>
  </si>
  <si>
    <t>STAT_EEM!B14 = commercial EBIT x (1 - 22%); B17 excess; B22 equity value.</t>
  </si>
  <si>
    <t>Non-operating classification of cash/deposit/employee receivable is judgmental and documented.</t>
  </si>
  <si>
    <t>Appropriate with review item for minimum cash.</t>
  </si>
  <si>
    <t>STAT_DCF</t>
  </si>
  <si>
    <t>DCF uses FCFF based on commercial operations: revenue growth, operating margins, statutory-tax NOPLAT, operating working capital, maintenance capex equal to depreciation, source WACC, and confirmed 0% terminal growth.</t>
  </si>
  <si>
    <t>STAT_DCF!B39 is equity value; rows 5-28 build FCFF; rows 31-39 value and bridge.</t>
  </si>
  <si>
    <t>Forecast assumptions are model inputs; formulas are auditable and separable from source data.</t>
  </si>
  <si>
    <t>Appropriate with sensitivity.</t>
  </si>
  <si>
    <t>Sensitivity analysis</t>
  </si>
  <si>
    <t>Sensitivity is necessary because DCF is highly sensitive to terminal growth and WACC. It retains the workbook reinvestment-growth case, 0% base, 3% upside, corrected-WACC case, and no-incremental-WC case.</t>
  </si>
  <si>
    <t>STAT_SENS!A5:A7, B5:C14, B19:B20.</t>
  </si>
  <si>
    <t>Sensitivity points are hardcoded or linked assumptions; outputs are formula-driven.</t>
  </si>
  <si>
    <t>Model controls</t>
  </si>
  <si>
    <t>Checks validate that tax rate, fiscal exclusion, no discounts, method summary ties, cap rate, terminal growth denominator, and statutory NOPLAT logic are internally consistent.</t>
  </si>
  <si>
    <t>STAT_CHECKS!E3:E11.</t>
  </si>
  <si>
    <t>Expected values and zero flags are hardcoded control assertions, not valuation estimates.</t>
  </si>
  <si>
    <t>STAT_AUDIT_TRAIL</t>
  </si>
  <si>
    <t>Judgment log</t>
  </si>
  <si>
    <t>Audit trail records why key corrections were made, especially fiscal exclusion, working-capital treatment, maintenance capex, AAM limitation, no discounts, WACC sensitivity, and terminal growth confirmation.</t>
  </si>
  <si>
    <t>Text-only log.</t>
  </si>
  <si>
    <t>No formulas are needed because this sheet documents reasoning, not calculations.</t>
  </si>
  <si>
    <t>Non-Formula Inputs and Rationale</t>
  </si>
  <si>
    <t>Cell / Area</t>
  </si>
  <si>
    <t>Input / Content</t>
  </si>
  <si>
    <t>STAT_ASSUMPTIONS!B3</t>
  </si>
  <si>
    <t>User instruction</t>
  </si>
  <si>
    <t>Earning power basis cannot be formula-derived from workbook because workbook mixes commercial and fiscal bases.</t>
  </si>
  <si>
    <t>User confirmation + statutory basis</t>
  </si>
  <si>
    <t>Normalized forward-looking NOPLAT uses statutory tax, not effective tax or fiscal correction.</t>
  </si>
  <si>
    <t>STAT_ASSUMPTIONS!B8</t>
  </si>
  <si>
    <t>0%</t>
  </si>
  <si>
    <t>User confirmation</t>
  </si>
  <si>
    <t>Terminal growth base case is a valuation assumption; sensitivities retain -6.20% and 3%.</t>
  </si>
  <si>
    <t>STAT_ASSUMPTIONS!B14</t>
  </si>
  <si>
    <t>Non-operating assets formula source</t>
  </si>
  <si>
    <t>Analyst judgment</t>
  </si>
  <si>
    <t>Cash/deposit/non-trade receivable are treated as surplus absent minimum cash policy.</t>
  </si>
  <si>
    <t>Review if minimum cash data is supplied</t>
  </si>
  <si>
    <t>STAT_ASSUMPTIONS!B15</t>
  </si>
  <si>
    <t>0 discounts</t>
  </si>
  <si>
    <t>Valuation is 100% controlling, marketable basis; no DLOM/DLOC/minority discount.</t>
  </si>
  <si>
    <t>STAT_AAM!C3:C17</t>
  </si>
  <si>
    <t>0 FMV adjustment</t>
  </si>
  <si>
    <t>No independent appraisal supplied</t>
  </si>
  <si>
    <t>Do not manufacture asset revaluation. AAM is book NAV proxy until FMV evidence is available.</t>
  </si>
  <si>
    <t>Limitation</t>
  </si>
  <si>
    <t>STAT_SENS!A6</t>
  </si>
  <si>
    <t>User-confirmed base terminal growth</t>
  </si>
  <si>
    <t>Used as base DCF sensitivity anchor.</t>
  </si>
  <si>
    <t>STAT_SENS!A7</t>
  </si>
  <si>
    <t>3%</t>
  </si>
  <si>
    <t>Sensitivity assumption</t>
  </si>
  <si>
    <t>Upside terminal growth sensitivity only, not selected base case.</t>
  </si>
  <si>
    <t>Sensitivity only</t>
  </si>
  <si>
    <t>STAT_CHECKS expected values</t>
  </si>
  <si>
    <t>0 / 22%</t>
  </si>
  <si>
    <t>Control assertions</t>
  </si>
  <si>
    <t>Expected values test compliance with confirmed assumptions and internal formula ties.</t>
  </si>
  <si>
    <t>Control only</t>
  </si>
  <si>
    <t>Text entries</t>
  </si>
  <si>
    <t>Analyst documentation</t>
  </si>
  <si>
    <t>Reasoning and audit trail should be stable text rather than formulas.</t>
  </si>
  <si>
    <t>Documentation</t>
  </si>
  <si>
    <t>Bridge and Driver Validity Test</t>
  </si>
  <si>
    <t>Bridge / Test</t>
  </si>
  <si>
    <t>Formula / Source</t>
  </si>
  <si>
    <t>Validity</t>
  </si>
  <si>
    <t>Interpretation</t>
  </si>
  <si>
    <t>AAM value</t>
  </si>
  <si>
    <t>Final model</t>
  </si>
  <si>
    <t>Base</t>
  </si>
  <si>
    <t>Commercial/source book NAV proxy.</t>
  </si>
  <si>
    <t>EEM value</t>
  </si>
  <si>
    <t>Commercial statutory excess earnings.</t>
  </si>
  <si>
    <t>DCF value</t>
  </si>
  <si>
    <t>Commercial FCFF, g = 0%.</t>
  </si>
  <si>
    <t>EEM - AAM spread</t>
  </si>
  <si>
    <t>EEM less AAM</t>
  </si>
  <si>
    <t>Explained</t>
  </si>
  <si>
    <t>Spread is capitalized excess earnings plus tax-payable classification difference.</t>
  </si>
  <si>
    <t>Excess earnings / cap rate</t>
  </si>
  <si>
    <t>Supported with caveat</t>
  </si>
  <si>
    <t>Explains most of AAM-to-EEM spread.</t>
  </si>
  <si>
    <t>Tax payable classification difference</t>
  </si>
  <si>
    <t>Actual 2021 tax payable</t>
  </si>
  <si>
    <t>Judgmental</t>
  </si>
  <si>
    <t>AAM subtracts it as liability; EEM/DCF exclude it from operating WC. If treated as debt-like, subtract this amount.</t>
  </si>
  <si>
    <t>AAM + cap excess + tax payable</t>
  </si>
  <si>
    <t>Bridge check</t>
  </si>
  <si>
    <t>Ties</t>
  </si>
  <si>
    <t>Should equal EEM.</t>
  </si>
  <si>
    <t>EEM if tax payable is debt-like</t>
  </si>
  <si>
    <t>Conservative</t>
  </si>
  <si>
    <t>Transaction-style debt-like treatment.</t>
  </si>
  <si>
    <t>DCF - EEM spread</t>
  </si>
  <si>
    <t>DCF less EEM</t>
  </si>
  <si>
    <t>Explained with caveat</t>
  </si>
  <si>
    <t>Mostly growth and operating WC release.</t>
  </si>
  <si>
    <t>DCF no incremental WC release</t>
  </si>
  <si>
    <t>Final sensitivity</t>
  </si>
  <si>
    <t>Supported</t>
  </si>
  <si>
    <t>Growth effect without added supplier-financing release.</t>
  </si>
  <si>
    <t>Growth/forecast premium over EEM</t>
  </si>
  <si>
    <t>DCF no WC less EEM</t>
  </si>
  <si>
    <t>DCF captures future growth; EEM is single-period capitalization.</t>
  </si>
  <si>
    <t>Operating WC release effect</t>
  </si>
  <si>
    <t>DCF base less no-WC case</t>
  </si>
  <si>
    <t>Moderate risk</t>
  </si>
  <si>
    <t>Depends on sustainability of negative operating NWC.</t>
  </si>
  <si>
    <t>No-growth DCF using avg margin</t>
  </si>
  <si>
    <t>Historical avg EBIT margin, no growth</t>
  </si>
  <si>
    <t>Anchor</t>
  </si>
  <si>
    <t>Shows growth is the main reason DCF exceeds asset/earning-power anchors.</t>
  </si>
  <si>
    <t>No-growth DCF using 2021 actual EBIT</t>
  </si>
  <si>
    <t>2021 EBIT statutory NOPLAT / WACC</t>
  </si>
  <si>
    <t>Single-period actual 2021 operating earnings capitalized as perpetuity.</t>
  </si>
  <si>
    <t>Strict 3-year avg NOPLAT EEM</t>
  </si>
  <si>
    <t>3-year avg NOPLAT, 2021 NTA</t>
  </si>
  <si>
    <t>Stress test</t>
  </si>
  <si>
    <t>Shows EEM premium weakens if 2021 is not representative.</t>
  </si>
  <si>
    <t>2021 revenue x 3-year avg margin EEM</t>
  </si>
  <si>
    <t>2021 revenue with avg EBIT margin</t>
  </si>
  <si>
    <t>Less punitive than strict average; still below final EEM.</t>
  </si>
  <si>
    <t>Historical Driver Validity Test</t>
  </si>
  <si>
    <t>Model / Test</t>
  </si>
  <si>
    <t>Reasoning</t>
  </si>
  <si>
    <t>Valid but limited sample</t>
  </si>
  <si>
    <t>Model growth 22.76% is below 2019-2021 CAGR and average YoY, but only two historical growth observations are available.</t>
  </si>
  <si>
    <t>Valid / conservative vs 2021</t>
  </si>
  <si>
    <t>DCF uses 3-year average margin, below 2021 actual margin. EEM uses 2021 actual EBIT, which is more optimistic.</t>
  </si>
  <si>
    <t>Statutory NOPLAT / NTA</t>
  </si>
  <si>
    <t>Mixed</t>
  </si>
  <si>
    <t>2021 return exceeds required return, but 2019 and 2020 do not. EEM premium depends on 2021 being representative.</t>
  </si>
  <si>
    <t>Operating NWC / revenue</t>
  </si>
  <si>
    <t>Supported with sustainability risk</t>
  </si>
  <si>
    <t>Operating NWC is negative in all years; forecast uses historical average. Other payable/AP scaling remains a key risk.</t>
  </si>
  <si>
    <t>Tax payable treatment</t>
  </si>
  <si>
    <t>AAM deducts tax payable. EEM/DCF exclude it from operating WC; debt-like treatment would reduce EEM/DCF by 2021 tax payable.</t>
  </si>
  <si>
    <t>Depreciation proxy</t>
  </si>
  <si>
    <t>Reasonable minimal assumption</t>
  </si>
  <si>
    <t>Depreciation is company-data based and avoids zero-capex overstatement. Actual capex is lumpy and includes expansion year effects.</t>
  </si>
  <si>
    <t>Conservative / confirmed</t>
  </si>
  <si>
    <t>Not derived from financial statements; deliberately minimal and confirmed. Sensitivities -6.20% and 3% retained.</t>
  </si>
  <si>
    <t>External valuation input</t>
  </si>
  <si>
    <t>Cannot be validated solely from company financial statements; corrected WACC sensitivity is included.</t>
  </si>
  <si>
    <t>Split Akun Gabungan - Summary</t>
  </si>
  <si>
    <t>Source workbook</t>
  </si>
  <si>
    <t>/Users/persiapantubel/Desktop/codex/penilaian-bisnis/KKP Saham Baru Edit - COMMERCIAL STATUTORY 22 VALUATION.xlsx</t>
  </si>
  <si>
    <t>Workbook final sebelumnya hanya dibaca dan disalin.</t>
  </si>
  <si>
    <t>Output workbook</t>
  </si>
  <si>
    <t>/Users/persiapantubel/Desktop/codex/penilaian-bisnis/KKP Saham Baru Edit - DETAIL AKUN SPLIT.xlsx</t>
  </si>
  <si>
    <t>Workbook ini berisi sheet split tambahan.</t>
  </si>
  <si>
    <t>Detected source rows</t>
  </si>
  <si>
    <t>Rows dengan label akun gabungan berisi tanda + di dalam kurung.</t>
  </si>
  <si>
    <t>Generated detail rows</t>
  </si>
  <si>
    <t>Jumlah baris detail per komponen/periode.</t>
  </si>
  <si>
    <t>Original sheets changed</t>
  </si>
  <si>
    <t>OK</t>
  </si>
  <si>
    <t>Sheet sumber tidak diubah agar formula asli tetap utuh.</t>
  </si>
  <si>
    <t>Formula-derived split</t>
  </si>
  <si>
    <t>Jumlah cell split dengan jumlah komponen = jumlah numeric terms.</t>
  </si>
  <si>
    <t>Formula zero-fill split</t>
  </si>
  <si>
    <t>Formula memiliki lebih sedikit numeric terms; komponen sisa diasumsikan nol.</t>
  </si>
  <si>
    <t>Equal fallback split</t>
  </si>
  <si>
    <t>Dipakai untuk angka utuh/formula referensi tanpa detail numeric terms.</t>
  </si>
  <si>
    <t>Detected Combined Account Index</t>
  </si>
  <si>
    <t>Source Sheet</t>
  </si>
  <si>
    <t>Row</t>
  </si>
  <si>
    <t>Base Account</t>
  </si>
  <si>
    <t>Components</t>
  </si>
  <si>
    <t>Periods</t>
  </si>
  <si>
    <t>Detail Rows</t>
  </si>
  <si>
    <t>Tanah Lahan Sawit + Tanah Lahan Sawit (TA)</t>
  </si>
  <si>
    <t>formula_numeric_terms; formula_reference_equal_fallback</t>
  </si>
  <si>
    <t>Bangunan Mess/Barak + Bangunan Mess/Barak (TA) + Lapangan + Kantor</t>
  </si>
  <si>
    <t>Vehicle &amp; Heavy Equipment</t>
  </si>
  <si>
    <t>Alat Berat + Kendaraan</t>
  </si>
  <si>
    <t>Office Inventory</t>
  </si>
  <si>
    <t>Inventaris Tanaman Sawit + Inventaris Tanaman Sawit (TA)</t>
  </si>
  <si>
    <t>no_formula</t>
  </si>
  <si>
    <t>formula_reference_equal_fallback</t>
  </si>
  <si>
    <t>formula_reference_equal_fallback; no_formula</t>
  </si>
  <si>
    <t>formula_numeric_terms_zero_fill_for_missing_components; no_formula</t>
  </si>
  <si>
    <t>formula_numeric_terms; no_formula</t>
  </si>
  <si>
    <t>Kas</t>
  </si>
  <si>
    <t>Cash on Bank</t>
  </si>
  <si>
    <t>Bank Danomon A/C 006600669813 + Deposito Bank Danamon</t>
  </si>
  <si>
    <t>Hutang PPh Pasal 29 + Hutang PPh Pasal 25 + Hutang PPh Pasal 21 + Hutang PPN + PPN dan PPh 29</t>
  </si>
  <si>
    <t>formula_numeric_terms; formula_numeric_terms_zero_fill_for_missing_components</t>
  </si>
  <si>
    <t>Laba di Tahan (TA) + Laba Ditahan Tahun Lalu + Deviden</t>
  </si>
  <si>
    <t>INCOME STATEMENT</t>
  </si>
  <si>
    <t>Pupuk + Obat-Obatan + Ongkos Angkut Pembelian TBS + Langsir &amp; Muat TBS + Gaji Pegawai Bag. Lapangan + Keperluan Lapangan + Bibit Sawit</t>
  </si>
  <si>
    <t>Iuran &amp; Retribusi + BBM + STNK &amp; Pajak Kendaraan + Spare Parts Kendaraan + Perjalanan Dinas + Pem. &amp; Perawatan Sarana &amp; Prasarana + Gaji Pegawai Bag. Administrasi + Adm. Bank + Rek. Listrik + Keperluan Kantor + STP + PBB + Pemeliharaan Mess + Notaris</t>
  </si>
  <si>
    <t>formula_numeric_terms_zero_fill_for_missing_components</t>
  </si>
  <si>
    <t>Pendapatan Jasa Giro + Pendapatan Bagi Hasil (Bank) + Pendapatan Bunga Deposito</t>
  </si>
  <si>
    <t>Beban Jasa Giro + Beban Lain-Lain</t>
  </si>
  <si>
    <t>formula_numeric_terms</t>
  </si>
  <si>
    <t>Pendapatan Lain-Lain + Beban Lain-Lain</t>
  </si>
  <si>
    <t>Long-Format Detail Split</t>
  </si>
  <si>
    <t>Source Label</t>
  </si>
  <si>
    <t>Component #</t>
  </si>
  <si>
    <t>Component</t>
  </si>
  <si>
    <t>Source Cell</t>
  </si>
  <si>
    <t>Source Formula</t>
  </si>
  <si>
    <t>Source Value</t>
  </si>
  <si>
    <t>Split Value</t>
  </si>
  <si>
    <t>Allocation Basis</t>
  </si>
  <si>
    <t>Tanah Lahan Sawit</t>
  </si>
  <si>
    <t>Tanah Lahan Sawit (TA)</t>
  </si>
  <si>
    <t>F</t>
  </si>
  <si>
    <t>Bangunan Mess/Barak</t>
  </si>
  <si>
    <t>Bangunan Mess/Barak (TA)</t>
  </si>
  <si>
    <t>Lapangan</t>
  </si>
  <si>
    <t>Kantor</t>
  </si>
  <si>
    <t>Alat Berat</t>
  </si>
  <si>
    <t>Kendaraan</t>
  </si>
  <si>
    <t>Inventaris Tanaman Sawit</t>
  </si>
  <si>
    <t>Inventaris Tanaman Sawit (TA)</t>
  </si>
  <si>
    <t>C21</t>
  </si>
  <si>
    <t>E21</t>
  </si>
  <si>
    <t>C26</t>
  </si>
  <si>
    <t>D26</t>
  </si>
  <si>
    <t>E26</t>
  </si>
  <si>
    <t>E27</t>
  </si>
  <si>
    <t>E29</t>
  </si>
  <si>
    <t>E36</t>
  </si>
  <si>
    <t>E40</t>
  </si>
  <si>
    <t>C45</t>
  </si>
  <si>
    <t>E45</t>
  </si>
  <si>
    <t>F46</t>
  </si>
  <si>
    <t>F48</t>
  </si>
  <si>
    <t>C49</t>
  </si>
  <si>
    <t>D49</t>
  </si>
  <si>
    <t>E49</t>
  </si>
  <si>
    <t>C54</t>
  </si>
  <si>
    <t>C55</t>
  </si>
  <si>
    <t>D55</t>
  </si>
  <si>
    <t>C57</t>
  </si>
  <si>
    <t>D57</t>
  </si>
  <si>
    <t>C58</t>
  </si>
  <si>
    <t>E58</t>
  </si>
  <si>
    <t>C63</t>
  </si>
  <si>
    <t>D63</t>
  </si>
  <si>
    <t>E63</t>
  </si>
  <si>
    <t>C64</t>
  </si>
  <si>
    <t>D64</t>
  </si>
  <si>
    <t>E64</t>
  </si>
  <si>
    <t>C66</t>
  </si>
  <si>
    <t>D66</t>
  </si>
  <si>
    <t>E66</t>
  </si>
  <si>
    <t>C67</t>
  </si>
  <si>
    <t>D67</t>
  </si>
  <si>
    <t>E67</t>
  </si>
  <si>
    <t>Bank Danomon A/C 006600669813</t>
  </si>
  <si>
    <t>Deposito Bank Danamon</t>
  </si>
  <si>
    <t>Hutang PPh Pasal 29</t>
  </si>
  <si>
    <t>Hutang PPh Pasal 25</t>
  </si>
  <si>
    <t>Hutang PPh Pasal 21</t>
  </si>
  <si>
    <t>Hutang PPN</t>
  </si>
  <si>
    <t>PPN dan PPh 29</t>
  </si>
  <si>
    <t>E32</t>
  </si>
  <si>
    <t>Laba di Tahan (TA)</t>
  </si>
  <si>
    <t>Laba Ditahan Tahun Lalu</t>
  </si>
  <si>
    <t>Deviden</t>
  </si>
  <si>
    <t>Pupuk</t>
  </si>
  <si>
    <t>Obat-Obatan</t>
  </si>
  <si>
    <t>Ongkos Angkut Pembelian TBS</t>
  </si>
  <si>
    <t>Langsir &amp; Muat TBS</t>
  </si>
  <si>
    <t>Gaji Pegawai Bag. Lapangan</t>
  </si>
  <si>
    <t>Keperluan Lapangan</t>
  </si>
  <si>
    <t>Bibit Sawit</t>
  </si>
  <si>
    <t>Iuran &amp; Retribusi</t>
  </si>
  <si>
    <t>BBM</t>
  </si>
  <si>
    <t>STNK &amp; Pajak Kendaraan</t>
  </si>
  <si>
    <t>Spare Parts Kendaraan</t>
  </si>
  <si>
    <t>Perjalanan Dinas</t>
  </si>
  <si>
    <t>Pem. &amp; Perawatan Sarana &amp; Prasarana</t>
  </si>
  <si>
    <t>Gaji Pegawai Bag. Administrasi</t>
  </si>
  <si>
    <t>Adm. Bank</t>
  </si>
  <si>
    <t>Rek. Listrik</t>
  </si>
  <si>
    <t>Keperluan Kantor</t>
  </si>
  <si>
    <t>STP</t>
  </si>
  <si>
    <t>PBB</t>
  </si>
  <si>
    <t>Pemeliharaan Mess</t>
  </si>
  <si>
    <t>Notaris</t>
  </si>
  <si>
    <t>Pendapatan Jasa Giro</t>
  </si>
  <si>
    <t>Pendapatan Bagi Hasil (Bank)</t>
  </si>
  <si>
    <t>Pendapatan Bunga Deposito</t>
  </si>
  <si>
    <t>Beban Jasa Giro</t>
  </si>
  <si>
    <t>Beban Lain-Lain</t>
  </si>
  <si>
    <t>Pendapatan Lain-Lain</t>
  </si>
  <si>
    <t>Detail Split - FIXED ASSET</t>
  </si>
  <si>
    <t>Source Row</t>
  </si>
  <si>
    <t>C</t>
  </si>
  <si>
    <t>D</t>
  </si>
  <si>
    <t>E</t>
  </si>
  <si>
    <t>Detail Split - BALANCE SHEET</t>
  </si>
  <si>
    <t>Detail Split - INCOME STATEMENT</t>
  </si>
  <si>
    <t>Final Account Category Review</t>
  </si>
  <si>
    <t>Amount</t>
  </si>
  <si>
    <t>Final indication</t>
  </si>
  <si>
    <t>Still book/source NAV proxy pending FMV asset appraisal.</t>
  </si>
  <si>
    <t>Valid if 2021 commercial earning power is representative; surplus cash classification is material.</t>
  </si>
  <si>
    <t>Growth case; read with no-incremental-WC sensitivity.</t>
  </si>
  <si>
    <t>Zero</t>
  </si>
  <si>
    <t>No debt bridge adjustment needed from bank loans.</t>
  </si>
  <si>
    <t>Surplus asset cash current model</t>
  </si>
  <si>
    <t>Cash on hand + bank/deposit + employee receivable currently added to EEM/DCF.</t>
  </si>
  <si>
    <t>Operating working capital</t>
  </si>
  <si>
    <t>Negative</t>
  </si>
  <si>
    <t>AR + inventory - AP - other payable; key DCF driver.</t>
  </si>
  <si>
    <t>Cash flow source reliability</t>
  </si>
  <si>
    <t>Control failure</t>
  </si>
  <si>
    <t>Source CFS roll-forward does not tie; use rebuilt FCFF.</t>
  </si>
  <si>
    <t>Account Category Mapping and Treatment</t>
  </si>
  <si>
    <t>Account / Category</t>
  </si>
  <si>
    <t>2021 Amount</t>
  </si>
  <si>
    <t>Accounting Category</t>
  </si>
  <si>
    <t>AAM Treatment</t>
  </si>
  <si>
    <t>EEM/DCF Treatment</t>
  </si>
  <si>
    <t>Review Conclusion</t>
  </si>
  <si>
    <t>Source Workbook Reference / Diagnostic</t>
  </si>
  <si>
    <t>BANK LOAN-SHORT TERM</t>
  </si>
  <si>
    <t>Current liability / debt</t>
  </si>
  <si>
    <t>Liability; debt if nonzero</t>
  </si>
  <si>
    <t>Exclude from operating WC; subtract as interest-bearing debt</t>
  </si>
  <si>
    <t>Zero balance. Current treatment acceptable; keep debt bridge active.</t>
  </si>
  <si>
    <t>BALANCE SHEET!E30; DCF!C30 and EEM!D32 debt bridge.</t>
  </si>
  <si>
    <t>BANK LOAN-LONG TERM</t>
  </si>
  <si>
    <t>Non-current liability / debt</t>
  </si>
  <si>
    <t>Zero balance. Current treatment acceptable.</t>
  </si>
  <si>
    <t>BALANCE SHEET!E37; DCF!C30 and EEM!D32 debt bridge.</t>
  </si>
  <si>
    <t>CURRENT ASSET</t>
  </si>
  <si>
    <t>Current asset</t>
  </si>
  <si>
    <t>AAM includes all current assets</t>
  </si>
  <si>
    <t>DCF/EEM only include AR+inventory in operating WC; cash/non-trade receivable treated separately</t>
  </si>
  <si>
    <t>Correct distinction; do not use total current asset as operating WC.</t>
  </si>
  <si>
    <t>BALANCE SHEET!E15. Source CFS!E8 uses non-cash current assets only.</t>
  </si>
  <si>
    <t>Current asset; liquidity</t>
  </si>
  <si>
    <t>Included in AAM asset side</t>
  </si>
  <si>
    <t>Currently added as surplus/non-operating asset</t>
  </si>
  <si>
    <t>Needs minimum operating cash policy; without data, all-cash-as-surplus is transparent but may overstate equity if some cash is operational.</t>
  </si>
  <si>
    <t>BALANCE SHEET!E8+E9. Source EEM/DCF surplus bridge only uses E8 cash on hand.</t>
  </si>
  <si>
    <t>CASH ON HAND</t>
  </si>
  <si>
    <t>Cash; likely operating cash unless proven surplus</t>
  </si>
  <si>
    <t>Included in AAM</t>
  </si>
  <si>
    <t>Currently added as surplus asset cash</t>
  </si>
  <si>
    <t>High review priority: cash on hand normally supports operations; consider minimum cash haircut if evidence available.</t>
  </si>
  <si>
    <t>BALANCE SHEET!E8; ROIC!D10, DCF!C31, and EEM!D33.</t>
  </si>
  <si>
    <t>CASH ON BANK</t>
  </si>
  <si>
    <t>Cash/bank plus deposit</t>
  </si>
  <si>
    <t>Split sheet uses equal fallback for Bank Danamon vs Deposito. Deposito is more supportable as excess/marketable securities than operating bank cash.</t>
  </si>
  <si>
    <t>BALANCE SHEET!E9. Not captured by source EEM!D33 or DCF!C31 surplus bridge.</t>
  </si>
  <si>
    <t>Non-current operating asset</t>
  </si>
  <si>
    <t>Included in AAM; no FMV adjustment yet</t>
  </si>
  <si>
    <t>Included in NTA/operating invested capital</t>
  </si>
  <si>
    <t>Appropriate as operating fixed asset unless idle assets are identified. AAM remains book NAV proxy without appraisal.</t>
  </si>
  <si>
    <t>BALANCE SHEET!E21 and fixed asset schedule; no source FMV appraisal adjustment.</t>
  </si>
  <si>
    <t>NON CURRENT ASSET</t>
  </si>
  <si>
    <t>Other non-current asset</t>
  </si>
  <si>
    <t>Included if nonzero</t>
  </si>
  <si>
    <t>Classify operating/non-operating case-by-case</t>
  </si>
  <si>
    <t>Zero balance.</t>
  </si>
  <si>
    <t>BALANCE SHEET!E22.</t>
  </si>
  <si>
    <t>INTANGIBLE ASSETS</t>
  </si>
  <si>
    <t>Intangible asset</t>
  </si>
  <si>
    <t>Included in AAM if recognized</t>
  </si>
  <si>
    <t>Not part of NTA in EEM; excess earnings captures unrecognized intangibles/goodwill</t>
  </si>
  <si>
    <t>Zero recognized balance. EEM premium represents economic intangible.</t>
  </si>
  <si>
    <t>BALANCE SHEET!E23.</t>
  </si>
  <si>
    <t>CURRENT LIABILITIES</t>
  </si>
  <si>
    <t>Current liability</t>
  </si>
  <si>
    <t>AAM subtracts all liabilities</t>
  </si>
  <si>
    <t>Only AP+other payable in operating WC; debt/tax payable excluded</t>
  </si>
  <si>
    <t>Correct distinction. Tax payable remains key judgmental item.</t>
  </si>
  <si>
    <t>BALANCE SHEET!E34. Source CFS!E9 includes bank loan, AP, tax payable, and other payable.</t>
  </si>
  <si>
    <t>NON CURRENT LIABILITIES</t>
  </si>
  <si>
    <t>Non-current liability</t>
  </si>
  <si>
    <t>Debt-like/financing if interest-bearing</t>
  </si>
  <si>
    <t>BALANCE SHEET!E39.</t>
  </si>
  <si>
    <t>MODAL DISETOR</t>
  </si>
  <si>
    <t>Equity</t>
  </si>
  <si>
    <t>Not used directly; NAV from assets less liabilities</t>
  </si>
  <si>
    <t>Not operating/debt item</t>
  </si>
  <si>
    <t>Do not use for enterprise-to-equity bridge; only equity roll-forward evidence.</t>
  </si>
  <si>
    <t>BALANCE SHEET!E42; source CFS!E22 incorrectly uses ending capital as financing cash flow.</t>
  </si>
  <si>
    <t>PENAMBAHAN MODAL DISETOR</t>
  </si>
  <si>
    <t>Equity / capital advance</t>
  </si>
  <si>
    <t>Equity component</t>
  </si>
  <si>
    <t>2021 ending zero; cash flow source wrongly uses ending capital amounts for financing.</t>
  </si>
  <si>
    <t>BALANCE SHEET!E43; movement differs from source CFS financing formula.</t>
  </si>
  <si>
    <t>RETAINED EARNINGS SURPLUS</t>
  </si>
  <si>
    <t>Equity retained earnings</t>
  </si>
  <si>
    <t>Not used for AAM value except balance check</t>
  </si>
  <si>
    <t>Contains dividend deduction; split now captures Deviden as negative. Equity side remains mixed fiscal/commercial issue.</t>
  </si>
  <si>
    <t>BALANCE SHEET!E45; split captures dividend deduction as negative component.</t>
  </si>
  <si>
    <t>RETAINED EARNINGS CURRENT PROFIT</t>
  </si>
  <si>
    <t>Equity current profit</t>
  </si>
  <si>
    <t>Not used as earning power</t>
  </si>
  <si>
    <t>Do not use in EEM/DCF earning power</t>
  </si>
  <si>
    <t>Balance sheet current profit is fiscal Rp 2.591bn; commercial NPAT is Rp 1.838bn. Correctly excluded from earning power.</t>
  </si>
  <si>
    <t>BALANCE SHEET!E46 fiscal current profit; not used for commercial earning power.</t>
  </si>
  <si>
    <t>REVENUE</t>
  </si>
  <si>
    <t>Operating income</t>
  </si>
  <si>
    <t>Not direct AAM item</t>
  </si>
  <si>
    <t>Main DCF forecast driver</t>
  </si>
  <si>
    <t>Use commercial revenue. Growth supported by history but sample is short.</t>
  </si>
  <si>
    <t>INCOME STATEMENT!E6, commercial basis.</t>
  </si>
  <si>
    <t>COST OF GOOD SOLD</t>
  </si>
  <si>
    <t>Used in operating margin/DCF</t>
  </si>
  <si>
    <t>Correctly split from formula terms. Negative sign retained.</t>
  </si>
  <si>
    <t>INCOME STATEMENT!E7, commercial basis.</t>
  </si>
  <si>
    <t>SELLING EXPENSE</t>
  </si>
  <si>
    <t>Operating expense if nonzero</t>
  </si>
  <si>
    <t>Zero balance in workbook.</t>
  </si>
  <si>
    <t>INCOME STATEMENT!E12.</t>
  </si>
  <si>
    <t>GENERAL &amp; ADMINISTRATIVE OVERHEADS</t>
  </si>
  <si>
    <t>Operating expense in EBITDA/EBIT</t>
  </si>
  <si>
    <t>Correctly treated as operating. Split shows detail including bank admin/PBB/STP etc.</t>
  </si>
  <si>
    <t>INCOME STATEMENT!E13.</t>
  </si>
  <si>
    <t>OPERATING EXPENSE</t>
  </si>
  <si>
    <t>Included before EBITDA/EBIT</t>
  </si>
  <si>
    <t>Correct as operating expense excluding depreciation per workbook structure.</t>
  </si>
  <si>
    <t>INCOME STATEMENT!E15.</t>
  </si>
  <si>
    <t>INTEREST INCOME</t>
  </si>
  <si>
    <t>Financing/non-operating income</t>
  </si>
  <si>
    <t>Cash/deposit asset may be non-operating</t>
  </si>
  <si>
    <t>Excluded from NOPLAT; reflected through surplus assets</t>
  </si>
  <si>
    <t>Correct to exclude from operating earnings. Deposit interest supports treating deposit as surplus/marketable asset.</t>
  </si>
  <si>
    <t>INCOME STATEMENT!E26 and CFS!E25; financing/non-operating.</t>
  </si>
  <si>
    <t>INTEREST EXPENSE</t>
  </si>
  <si>
    <t>Financing/non-operating expense</t>
  </si>
  <si>
    <t>Debt if any should be liability</t>
  </si>
  <si>
    <t>Excluded from NOPLAT; debt bridge if loan exists</t>
  </si>
  <si>
    <t>Correct to exclude from operating earnings. Source debt balance is zero, so expense appears bank charges/other.</t>
  </si>
  <si>
    <t>INCOME STATEMENT!E27 and CFS!E24; financing/non-operating.</t>
  </si>
  <si>
    <t>NON OPERATING INCOME</t>
  </si>
  <si>
    <t>Non-operating income/expense</t>
  </si>
  <si>
    <t>Not operating asset</t>
  </si>
  <si>
    <t>Excluded from NOPLAT/FCFF</t>
  </si>
  <si>
    <t>Correctly excluded; immaterial net Rp -213k.</t>
  </si>
  <si>
    <t>INCOME STATEMENT!E30 and CFI!D8; excluded from operating NOPLAT.</t>
  </si>
  <si>
    <t>WORKING CAPITAL</t>
  </si>
  <si>
    <t>Operating WC</t>
  </si>
  <si>
    <t>Not AAM total-current-assets substitute</t>
  </si>
  <si>
    <t>AR+inventory-AP-other payable</t>
  </si>
  <si>
    <t>Current model definition is defensible. Excludes cash, tax payable, debt; WC is negative and material.</t>
  </si>
  <si>
    <t>Source CFS!E10 is annual cash-flow change; final operating WC is BS stock AR+inventory-AP-other payable.</t>
  </si>
  <si>
    <t>CASH FLOW FROM FINANCING</t>
  </si>
  <si>
    <t>Financing cash flow</t>
  </si>
  <si>
    <t>Not AAM input</t>
  </si>
  <si>
    <t>Not FCFF input</t>
  </si>
  <si>
    <t>Source CFS is unreliable: equity injection uses ending paid-up capital/addition, not movement. Do not use for valuation.</t>
  </si>
  <si>
    <t>CASH FLOW STATEMENT!E28; distorted by CFS!E22 ending capital formula.</t>
  </si>
  <si>
    <t>CASH FLOW FROM OPERATIONS</t>
  </si>
  <si>
    <t>Operating cash flow source statement</t>
  </si>
  <si>
    <t>Rebuilt in DCF instead of using source CFS</t>
  </si>
  <si>
    <t>Source CFO mixes all current liabilities incl tax payable; current DCF rebuild is preferred.</t>
  </si>
  <si>
    <t>CASH FLOW STATEMENT!E11; not used directly for FCFF valuation.</t>
  </si>
  <si>
    <t>CASH FLOW FROM NON OPERATIONS</t>
  </si>
  <si>
    <t>Non-operating cash flow</t>
  </si>
  <si>
    <t>Excluded from FCFF and treated separately if asset/income identifiable</t>
  </si>
  <si>
    <t>Immaterial and correctly not part of operating NOPLAT.</t>
  </si>
  <si>
    <t>CASH FLOW STATEMENT!E13 and CFI!D8.</t>
  </si>
  <si>
    <t>CASH FLOW AVAILABLE TO INVESTOR</t>
  </si>
  <si>
    <t>Valuation FCFF output/equity value context</t>
  </si>
  <si>
    <t>N/A</t>
  </si>
  <si>
    <t>Use rebuilt FCFF, not source cash flow statement</t>
  </si>
  <si>
    <t>DCF value should be read with no-WC case because WC release is material.</t>
  </si>
  <si>
    <t>CFI!D9 is source period cash flow, not equity value.</t>
  </si>
  <si>
    <t>NON OPERATING FIXED ASSETS</t>
  </si>
  <si>
    <t>Idle/non-operating asset</t>
  </si>
  <si>
    <t>Add as non-operating asset if identified</t>
  </si>
  <si>
    <t>Exclude from operating invested capital; add separately</t>
  </si>
  <si>
    <t>No specific idle fixed assets identified. Keep zero until appraisal/asset-use evidence exists.</t>
  </si>
  <si>
    <t>ROIC!D9 and DCF!C32; zero in source.</t>
  </si>
  <si>
    <t>EXCESS CASH</t>
  </si>
  <si>
    <t>Surplus/non-operating asset</t>
  </si>
  <si>
    <t>Included in AAM as cash; add in EEM/DCF bridge if surplus</t>
  </si>
  <si>
    <t>Currently all cash + employee receivable treated as non-operating</t>
  </si>
  <si>
    <t>Material judgment. Need minimum operating cash policy to reduce overstatement risk.</t>
  </si>
  <si>
    <t>ROIC!D10 uses only BALANCE SHEET!E8 cash on hand despite note referring to cash/deposit.</t>
  </si>
  <si>
    <t>MARKETABLE SECURITIES</t>
  </si>
  <si>
    <t>Potential cash equivalent/investment</t>
  </si>
  <si>
    <t>Add as non-operating if investment/deposit not needed for operations</t>
  </si>
  <si>
    <t>No separate marketable securities line. Deposit Bank Danamon is proxy but split is equal fallback; verify actual deposit balance.</t>
  </si>
  <si>
    <t>ROIC!D11 is zero; deposit split is only proxy/fallback from SPLIT sheets.</t>
  </si>
  <si>
    <t>INTEREST PAYABLE</t>
  </si>
  <si>
    <t>Financing liability</t>
  </si>
  <si>
    <t>Subtract in AAM if liability exists</t>
  </si>
  <si>
    <t>Debt-like/financing, not operating WC</t>
  </si>
  <si>
    <t>ACC PAYABLES schedule shows zero. No adjustment needed.</t>
  </si>
  <si>
    <t>ACC PAYABLES schedule; no balance identified.</t>
  </si>
  <si>
    <t>INTEREST BEARING DEBT</t>
  </si>
  <si>
    <t>Subtract liability in AAM</t>
  </si>
  <si>
    <t>Subtract from enterprise value in EEM/DCF</t>
  </si>
  <si>
    <t>Zero per BS. Debt bridge correctly zero.</t>
  </si>
  <si>
    <t>DCF!C30/EEM!D32 = BALANCE SHEET!E30+E37; zero.</t>
  </si>
  <si>
    <t>SURPLUS ASSET CASH</t>
  </si>
  <si>
    <t>Non-operating asset bridge</t>
  </si>
  <si>
    <t>Already in AAM asset side</t>
  </si>
  <si>
    <t>Added to EEM/DCF equity bridge</t>
  </si>
  <si>
    <t>Current amount includes cash on hand, bank/deposit, employee receivable. Needs minimum-cash validation.</t>
  </si>
  <si>
    <t>Source DCF!C31 = ROIC!D10*-1, i.e. cash on hand only; final review expands bridge with caveat.</t>
  </si>
  <si>
    <t>High-Impact Classification Issues</t>
  </si>
  <si>
    <t>Severity</t>
  </si>
  <si>
    <t>Observation</t>
  </si>
  <si>
    <t>Valuation Risk</t>
  </si>
  <si>
    <t>Recommended Treatment</t>
  </si>
  <si>
    <t>High</t>
  </si>
  <si>
    <t>Cash / Excess Cash / Surplus Asset Cash</t>
  </si>
  <si>
    <t>Current model treats all cash and employee receivable as non-operating assets.</t>
  </si>
  <si>
    <t>May overstate EEM/DCF if some cash is required for operations.</t>
  </si>
  <si>
    <t>Obtain minimum operating cash policy; at least test scenario excluding cash on hand from surplus.</t>
  </si>
  <si>
    <t>Cash on Bank / Marketable Securities</t>
  </si>
  <si>
    <t>Balance sheet combines bank account and deposit without formula detail in 2021.</t>
  </si>
  <si>
    <t>Equal split in SPLIT_BALANCE_SHEET is only fallback; deposit amount is not verified.</t>
  </si>
  <si>
    <t>Request bank/deposit subledger or use PDF/supporting schedule.</t>
  </si>
  <si>
    <t>Retained Earnings Current Profit</t>
  </si>
  <si>
    <t>Balance sheet current profit is fiscal, while earning power must be commercial.</t>
  </si>
  <si>
    <t>Equity side should not drive EEM/DCF; AAM uses asset less liabilities instead.</t>
  </si>
  <si>
    <t>Keep fiscal profit out of earning power; disclose mixed-basis equity.</t>
  </si>
  <si>
    <t>Source CFS uses ending paid-up capital/addition as equity injection.</t>
  </si>
  <si>
    <t>Cash flow roll-forward is unreliable and overstates financing cash flow.</t>
  </si>
  <si>
    <t>Do not use source CFS for FCFF; retain rebuilt DCF.</t>
  </si>
  <si>
    <t>Operating WC is negative due AP and other payable.</t>
  </si>
  <si>
    <t>DCF value materially depends on sustainability of supplier/other-payable financing.</t>
  </si>
  <si>
    <t>Use no-incremental-WC sensitivity as important cross-check.</t>
  </si>
  <si>
    <t>Medium</t>
  </si>
  <si>
    <t>AAM subtracts tax payable; EEM/DCF exclude tax payable from operating WC.</t>
  </si>
  <si>
    <t>Correct for operating valuation, but transaction bridge may treat tax payable as debt-like item.</t>
  </si>
  <si>
    <t>Show debt-like sensitivity reducing EEM/DCF by tax payable.</t>
  </si>
  <si>
    <t>Fixed Asset / Non-operating Fixed Asset</t>
  </si>
  <si>
    <t>No idle fixed asset identified; all fixed assets treated operating.</t>
  </si>
  <si>
    <t>If plantation land/buildings are idle or surplus, operating NTA and AAM/bridge change.</t>
  </si>
  <si>
    <t>Need asset-use review/appraisal for full FMV AAM.</t>
  </si>
  <si>
    <t>Interest Income / Deposit</t>
  </si>
  <si>
    <t>Interest income includes deposit interest.</t>
  </si>
  <si>
    <t>Supports non-operating treatment of deposit, but amount of deposit must be verified.</t>
  </si>
  <si>
    <t>Tie deposit interest to deposit balance when support is available.</t>
  </si>
  <si>
    <t>Low</t>
  </si>
  <si>
    <t>Recognized intangible assets are zero.</t>
  </si>
  <si>
    <t>EEM premium represents unrecognized economic intangible/goodwill.</t>
  </si>
  <si>
    <t>No separate recognized intangible adjustment needed.</t>
  </si>
  <si>
    <t>Bridge / Account</t>
  </si>
  <si>
    <t>Final Review Amount</t>
  </si>
  <si>
    <t>Difference / Impact</t>
  </si>
  <si>
    <t>DCF Surplus Asset Cash</t>
  </si>
  <si>
    <t>DCF!C31 = ROIC!D10 * -1; ROIC!D10 = BALANCE SHEET!E8 * -1</t>
  </si>
  <si>
    <t>Source DCF only adds cash on hand. Final review also considers cash on bank/deposit and employee receivable, with minimum-cash sensitivity.</t>
  </si>
  <si>
    <t>EEM Non Operating Asset</t>
  </si>
  <si>
    <t>EEM!D33 = BALANCE SHEET!E8</t>
  </si>
  <si>
    <t>Source EEM also only adds cash on hand. This is inconsistent with the ROIC note mentioning cash/deposit as non-operating.</t>
  </si>
  <si>
    <t>ROIC Excess Cash</t>
  </si>
  <si>
    <t>ROIC!D10 = BALANCE SHEET!E8 * -1</t>
  </si>
  <si>
    <t>Source excess cash excludes BALANCE SHEET!E9 cash on bank/deposit even though deposit is a stronger excess-cash candidate.</t>
  </si>
  <si>
    <t>Marketable Securities / Deposit Proxy</t>
  </si>
  <si>
    <t>ROIC!D11 = 0; SPLIT_BALANCE_SHEET equal fallback splits BALANCE SHEET!E9</t>
  </si>
  <si>
    <t>No verified marketable securities line exists. The proxy is for review only, not a hard valuation input.</t>
  </si>
  <si>
    <t>Operating Working Capital</t>
  </si>
  <si>
    <t>CFS!E10 = CFS!E8 + CFS!E9 annual change</t>
  </si>
  <si>
    <t>Do not compare mechanically: source CFS is a period change and includes tax/debt movements; final WC is operating balance-stock.</t>
  </si>
  <si>
    <t>CFI!D9 = FCF!E20 + INCOME STATEMENT!E30</t>
  </si>
  <si>
    <t>This is a source period cash-flow measure, not Equity Value. It should not be substituted for DCF/EEM/AAM indications.</t>
  </si>
  <si>
    <t>CFS!E28 includes CFS!E22 = ending paid-up/additional capital</t>
  </si>
  <si>
    <t>Source financing cash flow does not represent movement; corrected paid-up/addition movement is diagnostic only.</t>
  </si>
  <si>
    <t>DCF!C30/EEM!D32 = (BALANCE SHEET!E30 + E37) * -1</t>
  </si>
  <si>
    <t>Debt bridge is correctly zero because short-term and long-term bank loans are zero.</t>
  </si>
  <si>
    <t>Non Operating Fixed Assets</t>
  </si>
  <si>
    <t>ROIC!D9 and DCF!C32</t>
  </si>
  <si>
    <t>No idle/non-operating fixed asset identified from workbook. Keep zero until asset-use evidence or appraisal says otherwise.</t>
  </si>
  <si>
    <t>Classification Sensitivity and Valuation Impact</t>
  </si>
  <si>
    <t>Scenario</t>
  </si>
  <si>
    <t>Equity Value / Amount</t>
  </si>
  <si>
    <t>Type</t>
  </si>
  <si>
    <t>Base AAM</t>
  </si>
  <si>
    <t>Book/source NAV proxy; includes all assets and liabilities.</t>
  </si>
  <si>
    <t>Base EEM</t>
  </si>
  <si>
    <t>Includes surplus asset cash and zero debt.</t>
  </si>
  <si>
    <t>Base DCF</t>
  </si>
  <si>
    <t>Growth case with operating WC policy.</t>
  </si>
  <si>
    <t>Useful for transaction settlement perspective.</t>
  </si>
  <si>
    <t>DCF if tax payable is debt-like</t>
  </si>
  <si>
    <t>EEM if cash on hand is operating cash</t>
  </si>
  <si>
    <t>Tests minimum cash issue; cash on hand not added as surplus.</t>
  </si>
  <si>
    <t>DCF if cash on hand is operating cash</t>
  </si>
  <si>
    <t>EEM if no surplus cash/employee receivable is added</t>
  </si>
  <si>
    <t>Most conservative surplus asset bridge.</t>
  </si>
  <si>
    <t>DCF if no surplus cash/employee receivable is added</t>
  </si>
  <si>
    <t>DCF no incremental operating WC release</t>
  </si>
  <si>
    <t>Existing sensitivity</t>
  </si>
  <si>
    <t>Tests sustainability of negative operating WC.</t>
  </si>
  <si>
    <t>Cash Flow Classification Review</t>
  </si>
  <si>
    <t>Cash Flow Item</t>
  </si>
  <si>
    <t>Source Formula Logic</t>
  </si>
  <si>
    <t>Valuation Use</t>
  </si>
  <si>
    <t>Cash Flow from Operations - source</t>
  </si>
  <si>
    <t>EBITDA + tax + all current-asset/current-liability changes</t>
  </si>
  <si>
    <t>Not used for valuation</t>
  </si>
  <si>
    <t>Includes tax payable/current liability movements; rebuilt FCFF preferred.</t>
  </si>
  <si>
    <t>Cash Flow from Non Operations - source</t>
  </si>
  <si>
    <t>Non-operating income line</t>
  </si>
  <si>
    <t>Excluded from operating FCFF</t>
  </si>
  <si>
    <t>Immaterial.</t>
  </si>
  <si>
    <t>Capex - source</t>
  </si>
  <si>
    <t>Actual capex from fixed asset schedule</t>
  </si>
  <si>
    <t>DCF uses maintenance capex = depreciation</t>
  </si>
  <si>
    <t>Actual 2021 capex is zero, but projecting zero capex is not prudent.</t>
  </si>
  <si>
    <t>Cash Flow before Financing - source</t>
  </si>
  <si>
    <t>CFO + non-op + capex</t>
  </si>
  <si>
    <t>Not used as FCFF</t>
  </si>
  <si>
    <t>Source CFS has classification weaknesses.</t>
  </si>
  <si>
    <t>Equity Injection - source</t>
  </si>
  <si>
    <t>Ending paid-up capital + addition</t>
  </si>
  <si>
    <t>Invalid financing movement</t>
  </si>
  <si>
    <t>Correct movement of paid-up capital + addition is negative due capital advance falling to zero.</t>
  </si>
  <si>
    <t>Corrected paid-up/addition movement</t>
  </si>
  <si>
    <t>Movement E42-D42 + E43-D43</t>
  </si>
  <si>
    <t>Diagnostic only</t>
  </si>
  <si>
    <t>Shows source financing line is not a valid cash-flow movement.</t>
  </si>
  <si>
    <t>New Loan - source</t>
  </si>
  <si>
    <t>Loan schedule addition</t>
  </si>
  <si>
    <t>Debt financing</t>
  </si>
  <si>
    <t>Zero.</t>
  </si>
  <si>
    <t>Interest Payment - source</t>
  </si>
  <si>
    <t>Interest expense</t>
  </si>
  <si>
    <t>Financing/non-operating</t>
  </si>
  <si>
    <t>Excluded from NOPLAT; zero debt in BS.</t>
  </si>
  <si>
    <t>Interest Income - source</t>
  </si>
  <si>
    <t>Interest income</t>
  </si>
  <si>
    <t>Non-operating/financing income</t>
  </si>
  <si>
    <t>Supports surplus asset/deposit treatment.</t>
  </si>
  <si>
    <t>Principal Repayment - source</t>
  </si>
  <si>
    <t>Loan schedule repayment</t>
  </si>
  <si>
    <t>Cash Flow from Financing - source</t>
  </si>
  <si>
    <t>Sum financing rows</t>
  </si>
  <si>
    <t>Do not rely</t>
  </si>
  <si>
    <t>Materially distorted by equity injection formula.</t>
  </si>
  <si>
    <t>Cash roll-forward gap</t>
  </si>
  <si>
    <t>Beginning cash + net cash flow - ending cash</t>
  </si>
  <si>
    <t>Confirms source CFS should not be used directly.</t>
  </si>
  <si>
    <t>211437892119000</t>
  </si>
  <si>
    <t>Nama Objek Pajak</t>
  </si>
  <si>
    <t>NPWP Objek Pajak</t>
  </si>
  <si>
    <t>Nama Subjek Pajak</t>
  </si>
  <si>
    <t>Helga</t>
  </si>
  <si>
    <t>Sektor Perusahaan</t>
  </si>
  <si>
    <t>Basic Materials</t>
  </si>
  <si>
    <t>Consumer Cyclicals</t>
  </si>
  <si>
    <t>Consumer Non-Cyclicals</t>
  </si>
  <si>
    <t>Energy</t>
  </si>
  <si>
    <t>Financials</t>
  </si>
  <si>
    <t>Healthcare</t>
  </si>
  <si>
    <t>Industrials</t>
  </si>
  <si>
    <t>Infrastructures</t>
  </si>
  <si>
    <t>Properties &amp; Real Estate</t>
  </si>
  <si>
    <t>Transportation &amp; Logistic</t>
  </si>
  <si>
    <t>Technology</t>
  </si>
  <si>
    <t>Tertutup</t>
  </si>
  <si>
    <t>Terbuka (Tbk)</t>
  </si>
  <si>
    <t>NPWP Subjek Pajak</t>
  </si>
  <si>
    <t>Orang Pribadi</t>
  </si>
  <si>
    <t>Badan</t>
  </si>
  <si>
    <t>Lembar Saham</t>
  </si>
  <si>
    <t>Jenis Peralihan yang Diketahui</t>
  </si>
  <si>
    <t>Modal Disetor</t>
  </si>
  <si>
    <t>Saham</t>
  </si>
  <si>
    <t>Bisnis</t>
  </si>
  <si>
    <t>Jenis Subjek Pajak</t>
  </si>
  <si>
    <t>Tahun Transaksi Pengalihan</t>
  </si>
  <si>
    <t>27%-33%</t>
  </si>
  <si>
    <t>20%-26%</t>
  </si>
  <si>
    <t>34%-40%</t>
  </si>
  <si>
    <t>Status DLOM Objek Penilaian</t>
  </si>
  <si>
    <t>Potensi Resistensi Wajib Pajak</t>
  </si>
  <si>
    <t>DLOC</t>
  </si>
  <si>
    <t>Jenis Kepemilikan Saham yang Dinilai</t>
  </si>
  <si>
    <t>Jenis Kepemilikan Saham</t>
  </si>
  <si>
    <t>Minoritas</t>
  </si>
  <si>
    <t>Persentase Perhitungan</t>
  </si>
  <si>
    <t>30%-43%</t>
  </si>
  <si>
    <t>44%-57%</t>
  </si>
  <si>
    <t>58%-70%</t>
  </si>
  <si>
    <t>-30%-43%</t>
  </si>
  <si>
    <t>-44%-57%</t>
  </si>
  <si>
    <t>-58%-70%</t>
  </si>
  <si>
    <t>Resistensi Wajib Pajak Keseluruhan</t>
  </si>
  <si>
    <t>Tahun Pengalihan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</si>
</sst>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1" formatCode="_(* #,##0_);_(* \(#,##0\);_(* &quot;-&quot;_);_(@_)"/>
    <numFmt numFmtId="43" formatCode="_(* #,##0.00_);_(* \(#,##0.00\);_(* &quot;-&quot;??_);_(@_)"/>
    <numFmt numFmtId="164" formatCode="_(* #,##0_);_(* \(#,##0\);_(* &quot;-&quot;??_);_(@_)"/>
    <numFmt numFmtId="165" formatCode="0.0000"/>
    <numFmt numFmtId="166" formatCode="_(* #,##0_);_(* \(#,##0\);_(* \-??_);_(@_)"/>
    <numFmt numFmtId="167" formatCode="0.000000"/>
    <numFmt numFmtId="168" formatCode="_(* #,##0.000000000_);_(* \(#,##0.000000000\);_(* \-_);_(@_)"/>
    <numFmt numFmtId="169" formatCode="0.00000000000000000%"/>
    <numFmt numFmtId="170" formatCode="0.0%"/>
    <numFmt numFmtId="171" formatCode="_(* #,##0.0000_);_(* \(#,##0.0000\);_(* &quot;-&quot;??_);_(@_)"/>
    <numFmt numFmtId="172" formatCode="_-* #,##0_-;\(#,##0\)_-;_-* &quot;-&quot;_-;_-@_-"/>
    <numFmt numFmtId="173" formatCode="_-* #,##0.000_-;\(#,##0.000\)_-;_-* &quot;-&quot;_-;_-@_-"/>
    <numFmt numFmtId="174" formatCode="_-* #,##0.0000_-;\(#,##0.0000\)_-;_-* &quot;-&quot;_-;_-@_-"/>
    <numFmt numFmtId="175" formatCode="_(* #,##0.000_);_(* \(#,##0.000\);_(* &quot;-&quot;_);_(@_)"/>
    <numFmt numFmtId="176" formatCode="_-* #,##0.000_-;\-* #,##0.000_-;_-* &quot;-&quot;_-;_-@_-"/>
    <numFmt numFmtId="177" formatCode="[$-421]dd\ mmmm\ yyyy;@"/>
    <numFmt numFmtId="178" formatCode="0.0000000000"/>
    <numFmt numFmtId="179" formatCode="_-* #,##0_-;\-* #,##0_-;_-* &quot;-&quot;??_-;_-@_-"/>
    <numFmt numFmtId="180" formatCode="_-* #,##0.00000_-;\-* #,##0.00000_-;_-* &quot;-&quot;??_-;_-@_-"/>
    <numFmt numFmtId="181" formatCode="_-* #,##0.00_-;\-* #,##0.00_-;_-* &quot;-&quot;??_-;_-@_-"/>
    <numFmt numFmtId="182" formatCode="0.000000%"/>
    <numFmt numFmtId="183" formatCode="_-* #,##0.00_-;\-* #,##0.00_-;_-* &quot;-&quot;_-;_-@_-"/>
    <numFmt numFmtId="184" formatCode="&quot;Rp&quot;#,##0;[Red]\(&quot;Rp&quot;#,##0\);\-"/>
    <numFmt numFmtId="185" formatCode="0.00%;[Red]\(0.00%\);\-"/>
    <numFmt numFmtId="186" formatCode="#,##0;[Red]\(#,##0\);\-"/>
    <numFmt numFmtId="187" formatCode="_(* #,##0.00_);_(* \(#,##0.00\);_(* \-??_);_(@_)"/>
    <numFmt numFmtId="188" formatCode="_(* #,##0_);_(* \(#,##0\);_(* \-_);_(@_)"/>
  </numFmts>
  <fonts count="6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color indexed="8"/>
      <name val="Calibri"/>
      <family val="2"/>
    </font>
    <font>
      <b/>
      <sz val="14"/>
      <color theme="0"/>
      <name val="Calibri"/>
      <family val="2"/>
    </font>
    <font>
      <b/>
      <sz val="12"/>
      <color indexed="8"/>
      <name val="Calibri"/>
      <family val="2"/>
    </font>
    <font>
      <b/>
      <sz val="11"/>
      <color theme="0"/>
      <name val="Calibri"/>
      <family val="2"/>
    </font>
    <font>
      <b/>
      <i/>
      <sz val="11"/>
      <color theme="1"/>
      <name val="Calibri"/>
      <family val="2"/>
      <scheme val="minor"/>
    </font>
    <font>
      <b/>
      <u/>
      <sz val="11"/>
      <color theme="1"/>
      <name val="Calibri"/>
      <family val="2"/>
      <scheme val="minor"/>
    </font>
    <font>
      <u/>
      <sz val="11"/>
      <color theme="1"/>
      <name val="Calibri"/>
      <family val="2"/>
      <scheme val="minor"/>
    </font>
    <font>
      <b/>
      <sz val="11"/>
      <color indexed="8"/>
      <name val="Calibri"/>
      <family val="2"/>
    </font>
    <font>
      <sz val="11"/>
      <color theme="0"/>
      <name val="Calibri"/>
      <family val="2"/>
    </font>
    <font>
      <sz val="11"/>
      <color rgb="FFFF0000"/>
      <name val="Calibri"/>
      <family val="2"/>
    </font>
    <font>
      <sz val="10"/>
      <name val="Arial"/>
      <family val="2"/>
    </font>
    <font>
      <u/>
      <sz val="11"/>
      <color theme="10"/>
      <name val="Calibri"/>
      <family val="2"/>
      <scheme val="minor"/>
    </font>
    <font>
      <sz val="11"/>
      <color theme="10"/>
      <name val="Calibri"/>
      <family val="2"/>
      <scheme val="minor"/>
    </font>
    <font>
      <b/>
      <sz val="11"/>
      <color theme="10"/>
      <name val="Calibri"/>
      <family val="2"/>
      <scheme val="minor"/>
    </font>
    <font>
      <u/>
      <sz val="11"/>
      <color theme="0"/>
      <name val="Calibri"/>
      <family val="2"/>
      <scheme val="minor"/>
    </font>
    <font>
      <sz val="11"/>
      <name val="Calibri"/>
      <family val="2"/>
      <scheme val="minor"/>
    </font>
    <font>
      <sz val="11"/>
      <color theme="0" tint="-4.9989318521683403E-2"/>
      <name val="Calibri"/>
      <family val="2"/>
      <scheme val="minor"/>
    </font>
    <font>
      <i/>
      <sz val="11"/>
      <color theme="0" tint="-4.9989318521683403E-2"/>
      <name val="Calibri"/>
      <family val="2"/>
      <scheme val="minor"/>
    </font>
    <font>
      <b/>
      <sz val="11"/>
      <color theme="1"/>
      <name val="Arial"/>
      <family val="2"/>
    </font>
    <font>
      <sz val="11"/>
      <color theme="1"/>
      <name val="Arial"/>
      <family val="2"/>
    </font>
    <font>
      <sz val="10"/>
      <color theme="1"/>
      <name val="Arial"/>
      <family val="2"/>
    </font>
    <font>
      <i/>
      <sz val="11"/>
      <color theme="1"/>
      <name val="Arial"/>
      <family val="2"/>
    </font>
    <font>
      <sz val="11"/>
      <color theme="1"/>
      <name val="Calibri"/>
      <family val="2"/>
    </font>
    <font>
      <sz val="11"/>
      <color rgb="FF0000FF"/>
      <name val="Calibri"/>
      <family val="2"/>
      <scheme val="minor"/>
    </font>
    <font>
      <sz val="11"/>
      <color rgb="FF0070C0"/>
      <name val="Calibri"/>
      <family val="2"/>
      <scheme val="minor"/>
    </font>
    <font>
      <sz val="11"/>
      <color rgb="FFFF0000"/>
      <name val="Calibri"/>
      <family val="2"/>
      <scheme val="minor"/>
    </font>
    <font>
      <b/>
      <i/>
      <sz val="11"/>
      <color rgb="FFFF0000"/>
      <name val="Calibri"/>
      <family val="2"/>
      <scheme val="minor"/>
    </font>
    <font>
      <b/>
      <i/>
      <sz val="11"/>
      <color theme="0"/>
      <name val="Calibri"/>
      <family val="2"/>
      <scheme val="minor"/>
    </font>
    <font>
      <b/>
      <i/>
      <u/>
      <sz val="11"/>
      <color theme="3"/>
      <name val="Calibri"/>
      <family val="2"/>
      <scheme val="minor"/>
    </font>
    <font>
      <b/>
      <i/>
      <sz val="11"/>
      <color theme="3"/>
      <name val="Calibri"/>
      <family val="2"/>
      <scheme val="minor"/>
    </font>
    <font>
      <b/>
      <sz val="20"/>
      <color theme="1"/>
      <name val="Calibri"/>
      <family val="2"/>
      <scheme val="minor"/>
    </font>
    <font>
      <sz val="11"/>
      <color theme="0"/>
      <name val="Calibri (Body)"/>
    </font>
    <font>
      <sz val="11"/>
      <color theme="1"/>
      <name val="Calibri (Body)"/>
    </font>
    <font>
      <b/>
      <sz val="11"/>
      <color theme="1"/>
      <name val="Calibri (Body)"/>
    </font>
    <font>
      <i/>
      <sz val="11"/>
      <color theme="0"/>
      <name val="Calibri"/>
      <family val="2"/>
      <scheme val="minor"/>
    </font>
    <font>
      <i/>
      <u/>
      <sz val="11"/>
      <color theme="10"/>
      <name val="Calibri"/>
      <family val="2"/>
      <scheme val="minor"/>
    </font>
    <font>
      <i/>
      <sz val="11"/>
      <color rgb="FFFF0000"/>
      <name val="Calibri"/>
      <family val="2"/>
      <scheme val="minor"/>
    </font>
    <font>
      <i/>
      <sz val="11"/>
      <name val="Calibri"/>
      <family val="2"/>
      <scheme val="minor"/>
    </font>
    <font>
      <b/>
      <sz val="13"/>
      <color rgb="FFFFFFFF"/>
      <name val="Calibri"/>
      <family val="2"/>
    </font>
    <font>
      <b/>
      <sz val="11"/>
      <color rgb="FFFFFFFF"/>
      <name val="Calibri"/>
      <family val="2"/>
    </font>
    <font>
      <sz val="11"/>
      <color rgb="FF000000"/>
      <name val="Calibri"/>
      <family val="2"/>
    </font>
    <font>
      <sz val="11"/>
      <color rgb="FF008000"/>
      <name val="Calibri"/>
      <family val="2"/>
    </font>
    <font>
      <sz val="11"/>
      <color rgb="FF0000FF"/>
      <name val="Calibri"/>
      <family val="2"/>
    </font>
    <font>
      <sz val="10"/>
      <color rgb="FFFF0000"/>
      <name val="Arial"/>
      <family val="2"/>
    </font>
    <font>
      <b/>
      <sz val="11"/>
      <color rgb="FFFF0000"/>
      <name val="Calibri"/>
      <family val="2"/>
      <scheme val="minor"/>
    </font>
    <font>
      <u/>
      <sz val="11"/>
      <color rgb="FFFF0000"/>
      <name val="Calibri"/>
      <family val="2"/>
      <scheme val="minor"/>
    </font>
    <font>
      <b/>
      <sz val="13"/>
      <color rgb="FFFF0000"/>
      <name val="Calibri"/>
      <family val="2"/>
    </font>
    <font>
      <b/>
      <sz val="11"/>
      <color rgb="FFFF0000"/>
      <name val="Calibri"/>
      <family val="2"/>
    </font>
    <font>
      <sz val="11"/>
      <color rgb="FFFF0000"/>
      <name val="Calibri"/>
      <family val="2"/>
    </font>
    <font>
      <b/>
      <sz val="14"/>
      <color rgb="FFFFFFFF"/>
      <name val="Calibri"/>
      <family val="2"/>
    </font>
    <font>
      <b/>
      <sz val="11"/>
      <color rgb="FFFFFFFF"/>
      <name val="Calibri"/>
      <family val="2"/>
    </font>
    <font>
      <sz val="14"/>
      <color theme="1"/>
      <name val="Calibri"/>
      <family val="2"/>
      <scheme val="minor"/>
    </font>
    <font>
      <sz val="14"/>
      <color theme="1"/>
      <name val="Calibri"/>
      <family val="2"/>
    </font>
    <font>
      <i/>
      <sz val="8"/>
      <color rgb="FFFF0000"/>
      <name val="Calibri"/>
      <family val="2"/>
      <scheme val="minor"/>
    </font>
  </fonts>
  <fills count="42">
    <fill>
      <patternFill patternType="none"/>
    </fill>
    <fill>
      <patternFill patternType="gray125"/>
    </fill>
    <fill>
      <patternFill patternType="solid">
        <fgColor theme="4"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249977111117893"/>
        <bgColor indexed="64"/>
      </patternFill>
    </fill>
    <fill>
      <patternFill patternType="solid">
        <fgColor theme="6" tint="0.39994506668294322"/>
        <bgColor indexed="64"/>
      </patternFill>
    </fill>
    <fill>
      <patternFill patternType="solid">
        <fgColor theme="5" tint="-0.249977111117893"/>
        <bgColor indexed="64"/>
      </patternFill>
    </fill>
    <fill>
      <patternFill patternType="solid">
        <fgColor theme="3" tint="0.39994506668294322"/>
        <bgColor indexed="64"/>
      </patternFill>
    </fill>
    <fill>
      <patternFill patternType="solid">
        <fgColor theme="5" tint="0.39994506668294322"/>
        <bgColor indexed="64"/>
      </patternFill>
    </fill>
    <fill>
      <patternFill patternType="solid">
        <fgColor theme="4" tint="0.79995117038483843"/>
        <bgColor indexed="64"/>
      </patternFill>
    </fill>
    <fill>
      <patternFill patternType="solid">
        <fgColor rgb="FFFFFF99"/>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5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249977111117893"/>
        <bgColor indexed="64"/>
      </patternFill>
    </fill>
    <fill>
      <patternFill patternType="solid">
        <fgColor rgb="FF7030A0"/>
        <bgColor indexed="64"/>
      </patternFill>
    </fill>
    <fill>
      <patternFill patternType="solid">
        <fgColor rgb="FFFF0000"/>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2"/>
        <bgColor indexed="64"/>
      </patternFill>
    </fill>
    <fill>
      <patternFill patternType="solid">
        <fgColor theme="0" tint="-0.14999847407452621"/>
        <bgColor indexed="64"/>
      </patternFill>
    </fill>
    <fill>
      <patternFill patternType="solid">
        <fgColor theme="8"/>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1F4E78"/>
      </patternFill>
    </fill>
    <fill>
      <patternFill patternType="solid">
        <fgColor rgb="FF5B9BD5"/>
      </patternFill>
    </fill>
    <fill>
      <patternFill patternType="solid">
        <fgColor rgb="FFFFF2CC"/>
      </patternFill>
    </fill>
    <fill>
      <patternFill patternType="solid">
        <fgColor rgb="FF17365D"/>
      </patternFill>
    </fill>
    <fill>
      <patternFill patternType="solid">
        <fgColor theme="0"/>
        <bgColor indexed="64"/>
      </patternFill>
    </fill>
    <fill>
      <patternFill patternType="solid">
        <fgColor theme="0"/>
        <bgColor indexed="34"/>
      </patternFill>
    </fill>
  </fills>
  <borders count="104">
    <border>
      <left/>
      <right/>
      <top/>
      <bottom/>
      <diagonal/>
    </border>
    <border>
      <left/>
      <right/>
      <top/>
      <bottom style="thin">
        <color indexed="64"/>
      </bottom>
      <diagonal/>
    </border>
    <border>
      <left/>
      <right/>
      <top style="thin">
        <color indexed="64"/>
      </top>
      <bottom style="thin">
        <color indexed="64"/>
      </bottom>
      <diagonal/>
    </border>
    <border>
      <left/>
      <right/>
      <top/>
      <bottom style="double">
        <color auto="1"/>
      </bottom>
      <diagonal/>
    </border>
    <border>
      <left/>
      <right/>
      <top/>
      <bottom style="medium">
        <color auto="1"/>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right/>
      <top style="thin">
        <color auto="1"/>
      </top>
      <bottom style="double">
        <color auto="1"/>
      </bottom>
      <diagonal/>
    </border>
    <border>
      <left/>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medium">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medium">
        <color indexed="64"/>
      </right>
      <top/>
      <bottom style="thin">
        <color auto="1"/>
      </bottom>
      <diagonal/>
    </border>
    <border>
      <left/>
      <right style="thin">
        <color indexed="64"/>
      </right>
      <top style="medium">
        <color indexed="64"/>
      </top>
      <bottom/>
      <diagonal/>
    </border>
    <border>
      <left style="medium">
        <color auto="1"/>
      </left>
      <right style="medium">
        <color auto="1"/>
      </right>
      <top style="medium">
        <color auto="1"/>
      </top>
      <bottom style="medium">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auto="1"/>
      </left>
      <right/>
      <top style="thin">
        <color auto="1"/>
      </top>
      <bottom/>
      <diagonal/>
    </border>
    <border>
      <left style="thin">
        <color auto="1"/>
      </left>
      <right/>
      <top/>
      <bottom style="thin">
        <color auto="1"/>
      </bottom>
      <diagonal/>
    </border>
    <border>
      <left style="thin">
        <color auto="1"/>
      </left>
      <right/>
      <top/>
      <bottom style="medium">
        <color indexed="64"/>
      </bottom>
      <diagonal/>
    </border>
    <border>
      <left/>
      <right style="medium">
        <color auto="1"/>
      </right>
      <top style="thin">
        <color auto="1"/>
      </top>
      <bottom/>
      <diagonal/>
    </border>
    <border>
      <left style="medium">
        <color indexed="64"/>
      </left>
      <right/>
      <top style="medium">
        <color indexed="64"/>
      </top>
      <bottom style="medium">
        <color indexed="64"/>
      </bottom>
      <diagonal/>
    </border>
    <border>
      <left style="thin">
        <color indexed="64"/>
      </left>
      <right/>
      <top/>
      <bottom/>
      <diagonal/>
    </border>
    <border>
      <left style="mediumDashed">
        <color indexed="64"/>
      </left>
      <right/>
      <top/>
      <bottom/>
      <diagonal/>
    </border>
    <border>
      <left style="mediumDashed">
        <color indexed="64"/>
      </left>
      <right/>
      <top/>
      <bottom style="medium">
        <color indexed="64"/>
      </bottom>
      <diagonal/>
    </border>
    <border>
      <left/>
      <right style="thin">
        <color indexed="64"/>
      </right>
      <top/>
      <bottom/>
      <diagonal/>
    </border>
    <border>
      <left style="thin">
        <color indexed="64"/>
      </left>
      <right/>
      <top style="medium">
        <color auto="1"/>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style="medium">
        <color auto="1"/>
      </bottom>
      <diagonal/>
    </border>
    <border>
      <left/>
      <right style="medium">
        <color rgb="FFC00000"/>
      </right>
      <top/>
      <bottom/>
      <diagonal/>
    </border>
    <border>
      <left/>
      <right style="medium">
        <color rgb="FFC00000"/>
      </right>
      <top/>
      <bottom style="medium">
        <color indexed="64"/>
      </bottom>
      <diagonal/>
    </border>
    <border>
      <left/>
      <right style="mediumDashed">
        <color indexed="64"/>
      </right>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style="medium">
        <color auto="1"/>
      </left>
      <right style="medium">
        <color auto="1"/>
      </right>
      <top style="medium">
        <color auto="1"/>
      </top>
      <bottom style="thin">
        <color auto="1"/>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style="thin">
        <color auto="1"/>
      </left>
      <right style="thin">
        <color indexed="64"/>
      </right>
      <top style="medium">
        <color indexed="64"/>
      </top>
      <bottom style="medium">
        <color indexed="64"/>
      </bottom>
      <diagonal/>
    </border>
    <border>
      <left/>
      <right/>
      <top style="medium">
        <color indexed="64"/>
      </top>
      <bottom style="medium">
        <color indexed="64"/>
      </bottom>
      <diagonal/>
    </border>
    <border>
      <left/>
      <right/>
      <top/>
      <bottom style="thin">
        <color auto="1"/>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auto="1"/>
      </bottom>
      <diagonal/>
    </border>
    <border>
      <left style="thin">
        <color indexed="64"/>
      </left>
      <right style="thin">
        <color indexed="64"/>
      </right>
      <top/>
      <bottom style="thin">
        <color auto="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medium">
        <color indexed="64"/>
      </bottom>
      <diagonal/>
    </border>
    <border>
      <left style="medium">
        <color indexed="64"/>
      </left>
      <right style="medium">
        <color indexed="64"/>
      </right>
      <top style="thin">
        <color indexed="64"/>
      </top>
      <bottom style="thin">
        <color auto="1"/>
      </bottom>
      <diagonal/>
    </border>
    <border>
      <left style="medium">
        <color indexed="64"/>
      </left>
      <right style="medium">
        <color indexed="64"/>
      </right>
      <top style="thin">
        <color indexed="64"/>
      </top>
      <bottom style="medium">
        <color indexed="64"/>
      </bottom>
      <diagonal/>
    </border>
    <border>
      <left/>
      <right style="medium">
        <color auto="1"/>
      </right>
      <top style="thin">
        <color indexed="64"/>
      </top>
      <bottom style="thin">
        <color indexed="64"/>
      </bottom>
      <diagonal/>
    </border>
    <border>
      <left style="thin">
        <color rgb="FFD9E2F3"/>
      </left>
      <right style="thin">
        <color rgb="FFD9E2F3"/>
      </right>
      <top style="thin">
        <color rgb="FFD9E2F3"/>
      </top>
      <bottom style="thin">
        <color rgb="FFD9E2F3"/>
      </bottom>
      <diagonal/>
    </border>
  </borders>
  <cellStyleXfs count="10">
    <xf numFmtId="0" fontId="0" fillId="0" borderId="0"/>
    <xf numFmtId="43" fontId="1" fillId="0" borderId="0"/>
    <xf numFmtId="9" fontId="1" fillId="0" borderId="0"/>
    <xf numFmtId="0" fontId="6" fillId="0" borderId="0"/>
    <xf numFmtId="187" fontId="6" fillId="0" borderId="0"/>
    <xf numFmtId="9" fontId="6" fillId="0" borderId="0"/>
    <xf numFmtId="188" fontId="6" fillId="0" borderId="0"/>
    <xf numFmtId="0" fontId="17" fillId="0" borderId="0"/>
    <xf numFmtId="41" fontId="1" fillId="0" borderId="0"/>
    <xf numFmtId="0" fontId="16" fillId="0" borderId="0"/>
  </cellStyleXfs>
  <cellXfs count="773">
    <xf numFmtId="0" fontId="0" fillId="0" borderId="0" xfId="0"/>
    <xf numFmtId="0" fontId="5" fillId="0" borderId="0" xfId="0" applyFont="1"/>
    <xf numFmtId="0" fontId="3" fillId="0" borderId="0" xfId="0" applyFont="1"/>
    <xf numFmtId="0" fontId="0" fillId="0" borderId="1" xfId="0" applyBorder="1"/>
    <xf numFmtId="9" fontId="0" fillId="0" borderId="0" xfId="0" applyNumberFormat="1"/>
    <xf numFmtId="0" fontId="0" fillId="2" borderId="0" xfId="0" applyFill="1"/>
    <xf numFmtId="0" fontId="4" fillId="2" borderId="0" xfId="0" applyFont="1" applyFill="1"/>
    <xf numFmtId="0" fontId="2" fillId="2" borderId="0" xfId="0" applyFont="1" applyFill="1"/>
    <xf numFmtId="0" fontId="2" fillId="2" borderId="0" xfId="0" applyFont="1" applyFill="1" applyAlignment="1">
      <alignment horizontal="center"/>
    </xf>
    <xf numFmtId="9" fontId="0" fillId="0" borderId="0" xfId="2" applyFont="1"/>
    <xf numFmtId="164" fontId="0" fillId="0" borderId="0" xfId="1" applyNumberFormat="1" applyFont="1"/>
    <xf numFmtId="164" fontId="3" fillId="0" borderId="0" xfId="1" applyNumberFormat="1" applyFont="1"/>
    <xf numFmtId="164" fontId="0" fillId="0" borderId="0" xfId="0" applyNumberFormat="1"/>
    <xf numFmtId="164" fontId="3" fillId="0" borderId="0" xfId="0" applyNumberFormat="1" applyFont="1"/>
    <xf numFmtId="164" fontId="0" fillId="0" borderId="1" xfId="1" applyNumberFormat="1" applyFont="1" applyBorder="1"/>
    <xf numFmtId="0" fontId="3" fillId="0" borderId="2" xfId="0" applyFont="1" applyBorder="1"/>
    <xf numFmtId="0" fontId="0" fillId="0" borderId="2" xfId="0" applyBorder="1"/>
    <xf numFmtId="164" fontId="3" fillId="0" borderId="2" xfId="1" applyNumberFormat="1" applyFont="1" applyBorder="1"/>
    <xf numFmtId="0" fontId="5" fillId="0" borderId="2" xfId="0" applyFont="1" applyBorder="1"/>
    <xf numFmtId="164" fontId="0" fillId="0" borderId="2" xfId="1" applyNumberFormat="1" applyFont="1" applyBorder="1"/>
    <xf numFmtId="0" fontId="3" fillId="0" borderId="1" xfId="0" applyFont="1" applyBorder="1"/>
    <xf numFmtId="0" fontId="3" fillId="0" borderId="3" xfId="0" applyFont="1" applyBorder="1"/>
    <xf numFmtId="0" fontId="0" fillId="0" borderId="3" xfId="0" applyBorder="1"/>
    <xf numFmtId="164" fontId="3" fillId="0" borderId="3" xfId="1" applyNumberFormat="1" applyFont="1" applyBorder="1"/>
    <xf numFmtId="164" fontId="3" fillId="0" borderId="1" xfId="1" applyNumberFormat="1" applyFont="1" applyBorder="1"/>
    <xf numFmtId="0" fontId="3" fillId="0" borderId="4" xfId="0" applyFont="1" applyBorder="1"/>
    <xf numFmtId="0" fontId="0" fillId="0" borderId="4" xfId="0" applyBorder="1"/>
    <xf numFmtId="164" fontId="3" fillId="0" borderId="4" xfId="1" applyNumberFormat="1" applyFont="1" applyBorder="1"/>
    <xf numFmtId="164" fontId="0" fillId="0" borderId="1" xfId="0" applyNumberFormat="1" applyBorder="1"/>
    <xf numFmtId="164" fontId="0" fillId="3" borderId="0" xfId="1" applyNumberFormat="1" applyFont="1" applyFill="1"/>
    <xf numFmtId="164" fontId="0" fillId="0" borderId="4" xfId="1" applyNumberFormat="1" applyFont="1" applyBorder="1"/>
    <xf numFmtId="0" fontId="0" fillId="0" borderId="0" xfId="0" applyAlignment="1">
      <alignment horizontal="center"/>
    </xf>
    <xf numFmtId="0" fontId="3" fillId="0" borderId="0" xfId="0" applyFont="1" applyAlignment="1">
      <alignment horizontal="center"/>
    </xf>
    <xf numFmtId="164" fontId="0" fillId="4" borderId="0" xfId="1" applyNumberFormat="1" applyFont="1" applyFill="1"/>
    <xf numFmtId="10" fontId="0" fillId="0" borderId="0" xfId="2" applyNumberFormat="1" applyFont="1"/>
    <xf numFmtId="10" fontId="3" fillId="0" borderId="0" xfId="2" applyNumberFormat="1" applyFont="1"/>
    <xf numFmtId="0" fontId="3" fillId="5" borderId="0" xfId="0" applyFont="1" applyFill="1"/>
    <xf numFmtId="43" fontId="0" fillId="0" borderId="0" xfId="1" applyFont="1"/>
    <xf numFmtId="10" fontId="5" fillId="0" borderId="0" xfId="0" applyNumberFormat="1" applyFont="1"/>
    <xf numFmtId="2" fontId="0" fillId="0" borderId="0" xfId="0" applyNumberFormat="1"/>
    <xf numFmtId="165" fontId="0" fillId="0" borderId="0" xfId="0" applyNumberFormat="1"/>
    <xf numFmtId="2" fontId="3" fillId="0" borderId="1" xfId="0" applyNumberFormat="1" applyFont="1" applyBorder="1"/>
    <xf numFmtId="165" fontId="2" fillId="2" borderId="2" xfId="0" applyNumberFormat="1" applyFont="1" applyFill="1" applyBorder="1"/>
    <xf numFmtId="166" fontId="1" fillId="0" borderId="0" xfId="1" applyNumberFormat="1"/>
    <xf numFmtId="10" fontId="1" fillId="0" borderId="0" xfId="2" applyNumberFormat="1" applyAlignment="1">
      <alignment horizontal="center"/>
    </xf>
    <xf numFmtId="10" fontId="0" fillId="4" borderId="0" xfId="0" applyNumberFormat="1" applyFill="1"/>
    <xf numFmtId="0" fontId="6" fillId="0" borderId="0" xfId="3"/>
    <xf numFmtId="0" fontId="6" fillId="10" borderId="6" xfId="3" applyFill="1" applyBorder="1" applyAlignment="1">
      <alignment horizontal="center"/>
    </xf>
    <xf numFmtId="0" fontId="6" fillId="11" borderId="6" xfId="3" applyFill="1" applyBorder="1" applyAlignment="1">
      <alignment horizontal="center"/>
    </xf>
    <xf numFmtId="0" fontId="6" fillId="10" borderId="6" xfId="3" applyFill="1" applyBorder="1"/>
    <xf numFmtId="166" fontId="6" fillId="10" borderId="6" xfId="4" applyNumberFormat="1" applyFill="1" applyBorder="1"/>
    <xf numFmtId="0" fontId="6" fillId="11" borderId="6" xfId="3" applyFill="1" applyBorder="1"/>
    <xf numFmtId="10" fontId="6" fillId="11" borderId="6" xfId="5" applyNumberFormat="1" applyFill="1" applyBorder="1"/>
    <xf numFmtId="167" fontId="6" fillId="0" borderId="0" xfId="3" applyNumberFormat="1"/>
    <xf numFmtId="168" fontId="6" fillId="0" borderId="0" xfId="3" applyNumberFormat="1"/>
    <xf numFmtId="169" fontId="6" fillId="0" borderId="0" xfId="5" applyNumberFormat="1"/>
    <xf numFmtId="10" fontId="6" fillId="0" borderId="0" xfId="5" applyNumberFormat="1"/>
    <xf numFmtId="166" fontId="6" fillId="12" borderId="6" xfId="4" applyNumberFormat="1" applyFill="1" applyBorder="1"/>
    <xf numFmtId="10" fontId="6" fillId="12" borderId="6" xfId="5" applyNumberFormat="1" applyFill="1" applyBorder="1"/>
    <xf numFmtId="43" fontId="6" fillId="0" borderId="0" xfId="3" applyNumberFormat="1"/>
    <xf numFmtId="10" fontId="6" fillId="0" borderId="0" xfId="2" applyNumberFormat="1" applyFont="1"/>
    <xf numFmtId="0" fontId="9" fillId="13" borderId="0" xfId="3" applyFont="1" applyFill="1" applyAlignment="1">
      <alignment horizontal="center"/>
    </xf>
    <xf numFmtId="0" fontId="2" fillId="13" borderId="0" xfId="0" applyFont="1" applyFill="1"/>
    <xf numFmtId="9" fontId="0" fillId="0" borderId="4" xfId="0" applyNumberFormat="1" applyBorder="1"/>
    <xf numFmtId="0" fontId="11" fillId="0" borderId="0" xfId="0" applyFont="1"/>
    <xf numFmtId="0" fontId="12" fillId="0" borderId="0" xfId="0" applyFont="1"/>
    <xf numFmtId="0" fontId="0" fillId="0" borderId="4" xfId="0" applyBorder="1" applyAlignment="1">
      <alignment horizontal="center"/>
    </xf>
    <xf numFmtId="0" fontId="3" fillId="0" borderId="7" xfId="0" applyFont="1" applyBorder="1"/>
    <xf numFmtId="164" fontId="3" fillId="0" borderId="7" xfId="0" applyNumberFormat="1" applyFont="1" applyBorder="1"/>
    <xf numFmtId="164" fontId="3" fillId="0" borderId="4" xfId="0" applyNumberFormat="1" applyFont="1" applyBorder="1"/>
    <xf numFmtId="0" fontId="2" fillId="13" borderId="0" xfId="0" applyFont="1" applyFill="1" applyAlignment="1">
      <alignment horizontal="center"/>
    </xf>
    <xf numFmtId="9" fontId="5" fillId="0" borderId="0" xfId="2" applyFont="1"/>
    <xf numFmtId="43" fontId="0" fillId="0" borderId="0" xfId="0" applyNumberFormat="1"/>
    <xf numFmtId="0" fontId="0" fillId="4" borderId="0" xfId="0" applyFill="1"/>
    <xf numFmtId="9" fontId="0" fillId="14" borderId="0" xfId="2" applyFont="1" applyFill="1"/>
    <xf numFmtId="43" fontId="0" fillId="14" borderId="0" xfId="1" applyFont="1" applyFill="1"/>
    <xf numFmtId="43" fontId="0" fillId="14" borderId="1" xfId="1" applyFont="1" applyFill="1" applyBorder="1"/>
    <xf numFmtId="0" fontId="5" fillId="0" borderId="1" xfId="0" applyFont="1" applyBorder="1"/>
    <xf numFmtId="0" fontId="3" fillId="0" borderId="8" xfId="0" applyFont="1" applyBorder="1"/>
    <xf numFmtId="0" fontId="0" fillId="0" borderId="8" xfId="0" applyBorder="1"/>
    <xf numFmtId="164" fontId="3" fillId="0" borderId="8" xfId="0" applyNumberFormat="1" applyFont="1" applyBorder="1"/>
    <xf numFmtId="0" fontId="5" fillId="0" borderId="0" xfId="0" applyFont="1" applyAlignment="1">
      <alignment horizontal="left" indent="2"/>
    </xf>
    <xf numFmtId="0" fontId="5" fillId="0" borderId="0" xfId="0" applyFont="1" applyAlignment="1">
      <alignment horizontal="left" indent="3"/>
    </xf>
    <xf numFmtId="170" fontId="0" fillId="0" borderId="0" xfId="2" applyNumberFormat="1" applyFont="1"/>
    <xf numFmtId="10" fontId="0" fillId="0" borderId="0" xfId="0" applyNumberFormat="1"/>
    <xf numFmtId="0" fontId="2" fillId="15" borderId="0" xfId="0" applyFont="1" applyFill="1" applyAlignment="1">
      <alignment horizontal="center"/>
    </xf>
    <xf numFmtId="0" fontId="2" fillId="17" borderId="0" xfId="0" applyFont="1" applyFill="1" applyAlignment="1">
      <alignment horizontal="center"/>
    </xf>
    <xf numFmtId="10" fontId="0" fillId="18" borderId="0" xfId="2" applyNumberFormat="1" applyFont="1" applyFill="1"/>
    <xf numFmtId="10" fontId="3" fillId="18" borderId="0" xfId="2" applyNumberFormat="1" applyFont="1" applyFill="1"/>
    <xf numFmtId="9" fontId="0" fillId="18" borderId="0" xfId="2" applyFont="1" applyFill="1"/>
    <xf numFmtId="0" fontId="0" fillId="18" borderId="0" xfId="0" applyFill="1"/>
    <xf numFmtId="0" fontId="3" fillId="16" borderId="0" xfId="0" applyFont="1" applyFill="1"/>
    <xf numFmtId="10" fontId="3" fillId="16" borderId="0" xfId="0" applyNumberFormat="1" applyFont="1" applyFill="1"/>
    <xf numFmtId="10" fontId="3" fillId="16" borderId="0" xfId="2" applyNumberFormat="1" applyFont="1" applyFill="1"/>
    <xf numFmtId="9" fontId="3" fillId="16" borderId="0" xfId="2" applyFont="1" applyFill="1"/>
    <xf numFmtId="9" fontId="5" fillId="0" borderId="0" xfId="0" applyNumberFormat="1" applyFont="1"/>
    <xf numFmtId="10" fontId="0" fillId="0" borderId="0" xfId="2" applyNumberFormat="1" applyFont="1" applyAlignment="1">
      <alignment horizontal="center"/>
    </xf>
    <xf numFmtId="164" fontId="0" fillId="4" borderId="1" xfId="1" applyNumberFormat="1" applyFont="1" applyFill="1" applyBorder="1"/>
    <xf numFmtId="164" fontId="3" fillId="4" borderId="1" xfId="1" applyNumberFormat="1" applyFont="1" applyFill="1" applyBorder="1"/>
    <xf numFmtId="164" fontId="5" fillId="0" borderId="0" xfId="1" applyNumberFormat="1" applyFont="1"/>
    <xf numFmtId="164" fontId="10" fillId="0" borderId="0" xfId="1" applyNumberFormat="1" applyFont="1"/>
    <xf numFmtId="0" fontId="10" fillId="0" borderId="0" xfId="0" applyFont="1"/>
    <xf numFmtId="0" fontId="0" fillId="19" borderId="0" xfId="0" applyFill="1"/>
    <xf numFmtId="164" fontId="3" fillId="19" borderId="0" xfId="1" applyNumberFormat="1" applyFont="1" applyFill="1"/>
    <xf numFmtId="164" fontId="0" fillId="19" borderId="0" xfId="1" applyNumberFormat="1" applyFont="1" applyFill="1"/>
    <xf numFmtId="164" fontId="3" fillId="19" borderId="1" xfId="1" applyNumberFormat="1" applyFont="1" applyFill="1" applyBorder="1"/>
    <xf numFmtId="0" fontId="0" fillId="3" borderId="0" xfId="0" applyFill="1"/>
    <xf numFmtId="164" fontId="0" fillId="3" borderId="1" xfId="1" applyNumberFormat="1" applyFont="1" applyFill="1" applyBorder="1"/>
    <xf numFmtId="164" fontId="3" fillId="3" borderId="2" xfId="0" applyNumberFormat="1" applyFont="1" applyFill="1" applyBorder="1"/>
    <xf numFmtId="0" fontId="10" fillId="0" borderId="9" xfId="0" applyFont="1" applyBorder="1"/>
    <xf numFmtId="0" fontId="0" fillId="0" borderId="9" xfId="0" applyBorder="1"/>
    <xf numFmtId="0" fontId="3" fillId="0" borderId="6" xfId="3" applyFont="1" applyBorder="1" applyAlignment="1">
      <alignment horizontal="center" vertical="center"/>
    </xf>
    <xf numFmtId="0" fontId="3" fillId="0" borderId="0" xfId="3" applyFont="1"/>
    <xf numFmtId="9" fontId="3" fillId="0" borderId="0" xfId="5" applyFont="1" applyAlignment="1">
      <alignment horizontal="center" vertical="center"/>
    </xf>
    <xf numFmtId="0" fontId="16" fillId="0" borderId="0" xfId="3" applyFont="1"/>
    <xf numFmtId="164" fontId="0" fillId="21" borderId="0" xfId="1" applyNumberFormat="1" applyFont="1" applyFill="1"/>
    <xf numFmtId="164" fontId="3" fillId="21" borderId="1" xfId="1" applyNumberFormat="1" applyFont="1" applyFill="1" applyBorder="1"/>
    <xf numFmtId="164" fontId="0" fillId="21" borderId="1" xfId="1" applyNumberFormat="1" applyFont="1" applyFill="1" applyBorder="1"/>
    <xf numFmtId="0" fontId="0" fillId="21" borderId="0" xfId="0" applyFill="1"/>
    <xf numFmtId="164" fontId="0" fillId="21" borderId="4" xfId="1" applyNumberFormat="1" applyFont="1" applyFill="1" applyBorder="1"/>
    <xf numFmtId="164" fontId="3" fillId="21" borderId="0" xfId="1" applyNumberFormat="1" applyFont="1" applyFill="1"/>
    <xf numFmtId="9" fontId="0" fillId="21" borderId="0" xfId="2" applyFont="1" applyFill="1"/>
    <xf numFmtId="9" fontId="5" fillId="21" borderId="0" xfId="2" applyFont="1" applyFill="1"/>
    <xf numFmtId="0" fontId="0" fillId="21" borderId="1" xfId="0" applyFill="1" applyBorder="1"/>
    <xf numFmtId="0" fontId="13" fillId="21" borderId="0" xfId="3" applyFont="1" applyFill="1"/>
    <xf numFmtId="0" fontId="6" fillId="21" borderId="0" xfId="3" applyFill="1"/>
    <xf numFmtId="166" fontId="6" fillId="20" borderId="6" xfId="4" applyNumberFormat="1" applyFill="1" applyBorder="1"/>
    <xf numFmtId="164" fontId="0" fillId="22" borderId="0" xfId="1" applyNumberFormat="1" applyFont="1" applyFill="1"/>
    <xf numFmtId="0" fontId="0" fillId="22" borderId="0" xfId="0" applyFill="1"/>
    <xf numFmtId="164" fontId="3" fillId="24" borderId="0" xfId="1" applyNumberFormat="1" applyFont="1" applyFill="1"/>
    <xf numFmtId="164" fontId="4" fillId="27" borderId="0" xfId="1" applyNumberFormat="1" applyFont="1" applyFill="1"/>
    <xf numFmtId="164" fontId="2" fillId="27" borderId="0" xfId="1" applyNumberFormat="1" applyFont="1" applyFill="1"/>
    <xf numFmtId="164" fontId="0" fillId="18" borderId="0" xfId="1" applyNumberFormat="1" applyFont="1" applyFill="1"/>
    <xf numFmtId="0" fontId="17" fillId="0" borderId="0" xfId="7"/>
    <xf numFmtId="0" fontId="18" fillId="0" borderId="0" xfId="7" applyFont="1"/>
    <xf numFmtId="0" fontId="19" fillId="0" borderId="0" xfId="7" applyFont="1"/>
    <xf numFmtId="9" fontId="0" fillId="0" borderId="1" xfId="2" applyFont="1" applyBorder="1"/>
    <xf numFmtId="9" fontId="3" fillId="0" borderId="0" xfId="0" applyNumberFormat="1" applyFont="1"/>
    <xf numFmtId="164" fontId="2" fillId="30" borderId="4" xfId="1" applyNumberFormat="1" applyFont="1" applyFill="1" applyBorder="1"/>
    <xf numFmtId="0" fontId="0" fillId="30" borderId="0" xfId="0" applyFill="1"/>
    <xf numFmtId="0" fontId="0" fillId="31" borderId="0" xfId="0" applyFill="1"/>
    <xf numFmtId="164" fontId="10" fillId="21" borderId="0" xfId="1" applyNumberFormat="1" applyFont="1" applyFill="1"/>
    <xf numFmtId="164" fontId="10" fillId="31" borderId="0" xfId="1" applyNumberFormat="1" applyFont="1" applyFill="1"/>
    <xf numFmtId="10" fontId="20" fillId="2" borderId="4" xfId="7" applyNumberFormat="1" applyFont="1" applyFill="1" applyBorder="1"/>
    <xf numFmtId="0" fontId="18" fillId="0" borderId="1" xfId="7" applyFont="1" applyBorder="1"/>
    <xf numFmtId="9" fontId="22" fillId="21" borderId="0" xfId="2" applyFont="1" applyFill="1"/>
    <xf numFmtId="9" fontId="22" fillId="0" borderId="0" xfId="2" applyFont="1"/>
    <xf numFmtId="9" fontId="23" fillId="21" borderId="0" xfId="2" applyFont="1" applyFill="1"/>
    <xf numFmtId="9" fontId="23" fillId="0" borderId="0" xfId="2" applyFont="1"/>
    <xf numFmtId="0" fontId="3" fillId="0" borderId="14" xfId="0" applyFont="1" applyBorder="1"/>
    <xf numFmtId="0" fontId="25" fillId="0" borderId="0" xfId="0" applyFont="1"/>
    <xf numFmtId="0" fontId="25" fillId="0" borderId="0" xfId="0" applyFont="1" applyAlignment="1">
      <alignment horizontal="center"/>
    </xf>
    <xf numFmtId="0" fontId="24" fillId="0" borderId="6" xfId="0" applyFont="1" applyBorder="1" applyAlignment="1">
      <alignment horizontal="center"/>
    </xf>
    <xf numFmtId="0" fontId="25" fillId="0" borderId="11" xfId="0" applyFont="1" applyBorder="1" applyAlignment="1">
      <alignment horizontal="left" vertical="top" wrapText="1"/>
    </xf>
    <xf numFmtId="0" fontId="25" fillId="0" borderId="11" xfId="0" applyFont="1" applyBorder="1"/>
    <xf numFmtId="0" fontId="25" fillId="0" borderId="12" xfId="0" applyFont="1" applyBorder="1"/>
    <xf numFmtId="0" fontId="25" fillId="0" borderId="10" xfId="0" applyFont="1" applyBorder="1" applyAlignment="1">
      <alignment horizontal="left" vertical="top" wrapText="1"/>
    </xf>
    <xf numFmtId="0" fontId="25" fillId="0" borderId="10" xfId="0" applyFont="1" applyBorder="1"/>
    <xf numFmtId="0" fontId="27" fillId="0" borderId="11" xfId="0" applyFont="1" applyBorder="1"/>
    <xf numFmtId="0" fontId="25" fillId="0" borderId="10" xfId="0" applyFont="1" applyBorder="1" applyAlignment="1">
      <alignment horizontal="center" vertical="top" wrapText="1"/>
    </xf>
    <xf numFmtId="0" fontId="25" fillId="0" borderId="11" xfId="0" applyFont="1" applyBorder="1" applyAlignment="1">
      <alignment horizontal="center"/>
    </xf>
    <xf numFmtId="0" fontId="25" fillId="0" borderId="12" xfId="0" applyFont="1" applyBorder="1" applyAlignment="1">
      <alignment horizontal="center"/>
    </xf>
    <xf numFmtId="0" fontId="25" fillId="0" borderId="11" xfId="0" applyFont="1" applyBorder="1" applyAlignment="1">
      <alignment horizontal="center" vertical="top" wrapText="1"/>
    </xf>
    <xf numFmtId="14" fontId="5" fillId="0" borderId="0" xfId="0" applyNumberFormat="1" applyFont="1"/>
    <xf numFmtId="11" fontId="9" fillId="13" borderId="0" xfId="3" quotePrefix="1" applyNumberFormat="1" applyFont="1" applyFill="1" applyAlignment="1">
      <alignment horizontal="center"/>
    </xf>
    <xf numFmtId="164" fontId="6" fillId="0" borderId="0" xfId="1" applyNumberFormat="1" applyFont="1"/>
    <xf numFmtId="164" fontId="6" fillId="0" borderId="0" xfId="3" applyNumberFormat="1"/>
    <xf numFmtId="0" fontId="0" fillId="0" borderId="0" xfId="0" applyAlignment="1">
      <alignment horizontal="center" vertical="top" wrapText="1"/>
    </xf>
    <xf numFmtId="0" fontId="0" fillId="0" borderId="0" xfId="0" applyAlignment="1">
      <alignment horizontal="center" vertical="top"/>
    </xf>
    <xf numFmtId="0" fontId="0" fillId="0" borderId="18" xfId="0" applyBorder="1"/>
    <xf numFmtId="0" fontId="0" fillId="0" borderId="17" xfId="0" applyBorder="1"/>
    <xf numFmtId="0" fontId="0" fillId="0" borderId="6" xfId="0" applyBorder="1"/>
    <xf numFmtId="0" fontId="0" fillId="0" borderId="25" xfId="0" applyBorder="1"/>
    <xf numFmtId="0" fontId="0" fillId="0" borderId="24" xfId="0" applyBorder="1"/>
    <xf numFmtId="164" fontId="0" fillId="0" borderId="6" xfId="1" applyNumberFormat="1" applyFont="1" applyBorder="1"/>
    <xf numFmtId="164" fontId="0" fillId="0" borderId="25" xfId="1" applyNumberFormat="1" applyFont="1" applyBorder="1"/>
    <xf numFmtId="164" fontId="0" fillId="0" borderId="6" xfId="0" applyNumberFormat="1" applyBorder="1"/>
    <xf numFmtId="0" fontId="0" fillId="0" borderId="26" xfId="0" applyBorder="1"/>
    <xf numFmtId="43" fontId="0" fillId="0" borderId="27" xfId="0" applyNumberFormat="1" applyBorder="1"/>
    <xf numFmtId="0" fontId="0" fillId="0" borderId="28" xfId="0" applyBorder="1"/>
    <xf numFmtId="164" fontId="0" fillId="0" borderId="24" xfId="0" applyNumberFormat="1" applyBorder="1"/>
    <xf numFmtId="9" fontId="0" fillId="0" borderId="24" xfId="2" applyFont="1" applyBorder="1"/>
    <xf numFmtId="9" fontId="0" fillId="0" borderId="6" xfId="2" applyFont="1" applyBorder="1"/>
    <xf numFmtId="9" fontId="0" fillId="0" borderId="25" xfId="2" applyFont="1" applyBorder="1"/>
    <xf numFmtId="0" fontId="0" fillId="0" borderId="27" xfId="0" applyBorder="1"/>
    <xf numFmtId="0" fontId="0" fillId="0" borderId="15" xfId="0" applyBorder="1"/>
    <xf numFmtId="0" fontId="0" fillId="0" borderId="16" xfId="0" applyBorder="1"/>
    <xf numFmtId="0" fontId="0" fillId="0" borderId="32" xfId="0" applyBorder="1"/>
    <xf numFmtId="43" fontId="0" fillId="0" borderId="33" xfId="0" applyNumberFormat="1" applyBorder="1"/>
    <xf numFmtId="0" fontId="0" fillId="0" borderId="34" xfId="0" applyBorder="1"/>
    <xf numFmtId="43" fontId="0" fillId="0" borderId="35" xfId="0" applyNumberFormat="1" applyBorder="1"/>
    <xf numFmtId="0" fontId="0" fillId="0" borderId="35" xfId="0" applyBorder="1"/>
    <xf numFmtId="164" fontId="0" fillId="0" borderId="24" xfId="1" applyNumberFormat="1" applyFont="1" applyBorder="1"/>
    <xf numFmtId="43" fontId="3" fillId="0" borderId="25" xfId="1" applyFont="1" applyBorder="1"/>
    <xf numFmtId="164" fontId="3" fillId="0" borderId="25" xfId="1" applyNumberFormat="1" applyFont="1" applyBorder="1"/>
    <xf numFmtId="9" fontId="0" fillId="0" borderId="36" xfId="2" applyFont="1" applyBorder="1" applyAlignment="1">
      <alignment horizontal="center"/>
    </xf>
    <xf numFmtId="0" fontId="0" fillId="0" borderId="38" xfId="0"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9" fontId="0" fillId="0" borderId="39" xfId="0" applyNumberFormat="1" applyBorder="1"/>
    <xf numFmtId="0" fontId="0" fillId="0" borderId="40" xfId="0" applyBorder="1"/>
    <xf numFmtId="9" fontId="0" fillId="0" borderId="40" xfId="0" applyNumberFormat="1" applyBorder="1"/>
    <xf numFmtId="0" fontId="3" fillId="0" borderId="40" xfId="0" applyFont="1" applyBorder="1"/>
    <xf numFmtId="0" fontId="3" fillId="0" borderId="41" xfId="0" applyFont="1" applyBorder="1"/>
    <xf numFmtId="43" fontId="0" fillId="0" borderId="39" xfId="0" applyNumberFormat="1" applyBorder="1"/>
    <xf numFmtId="43" fontId="0" fillId="0" borderId="40" xfId="0" applyNumberFormat="1" applyBorder="1"/>
    <xf numFmtId="43" fontId="3" fillId="0" borderId="40" xfId="0" applyNumberFormat="1" applyFont="1" applyBorder="1"/>
    <xf numFmtId="43" fontId="3" fillId="0" borderId="41" xfId="0" applyNumberFormat="1" applyFont="1" applyBorder="1"/>
    <xf numFmtId="0" fontId="0" fillId="0" borderId="24" xfId="0" applyBorder="1" applyAlignment="1">
      <alignment horizontal="center" vertical="top" wrapText="1"/>
    </xf>
    <xf numFmtId="0" fontId="0" fillId="0" borderId="6" xfId="0" applyBorder="1" applyAlignment="1">
      <alignment horizontal="center" vertical="top" wrapText="1"/>
    </xf>
    <xf numFmtId="164" fontId="0" fillId="0" borderId="6" xfId="1" applyNumberFormat="1" applyFont="1"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6" xfId="0" applyBorder="1" applyAlignment="1">
      <alignment vertical="top" wrapText="1"/>
    </xf>
    <xf numFmtId="0" fontId="3" fillId="0" borderId="27" xfId="0" applyFont="1" applyBorder="1" applyAlignment="1">
      <alignment horizontal="left" vertical="top"/>
    </xf>
    <xf numFmtId="0" fontId="3" fillId="0" borderId="27" xfId="0" applyFont="1" applyBorder="1"/>
    <xf numFmtId="0" fontId="3" fillId="32" borderId="29" xfId="0" applyFont="1" applyFill="1" applyBorder="1" applyAlignment="1">
      <alignment horizontal="center"/>
    </xf>
    <xf numFmtId="0" fontId="3" fillId="32" borderId="37" xfId="0" applyFont="1" applyFill="1" applyBorder="1" applyAlignment="1">
      <alignment horizontal="center"/>
    </xf>
    <xf numFmtId="0" fontId="3" fillId="32" borderId="31" xfId="0" applyFont="1" applyFill="1" applyBorder="1" applyAlignment="1">
      <alignment horizontal="center"/>
    </xf>
    <xf numFmtId="0" fontId="3" fillId="32" borderId="6" xfId="0" applyFont="1" applyFill="1" applyBorder="1" applyAlignment="1">
      <alignment horizontal="center"/>
    </xf>
    <xf numFmtId="0" fontId="3" fillId="32" borderId="25" xfId="0" applyFont="1" applyFill="1" applyBorder="1" applyAlignment="1">
      <alignment horizontal="center"/>
    </xf>
    <xf numFmtId="0" fontId="3" fillId="32" borderId="24" xfId="0" applyFont="1" applyFill="1" applyBorder="1" applyAlignment="1">
      <alignment horizontal="center"/>
    </xf>
    <xf numFmtId="0" fontId="0" fillId="0" borderId="14" xfId="0" applyBorder="1"/>
    <xf numFmtId="0" fontId="28" fillId="0" borderId="0" xfId="3" applyFont="1"/>
    <xf numFmtId="9" fontId="0" fillId="0" borderId="24" xfId="0" applyNumberFormat="1" applyBorder="1"/>
    <xf numFmtId="9" fontId="0" fillId="0" borderId="6" xfId="0" applyNumberFormat="1" applyBorder="1"/>
    <xf numFmtId="9" fontId="0" fillId="0" borderId="25" xfId="0" applyNumberFormat="1" applyBorder="1"/>
    <xf numFmtId="0" fontId="3" fillId="0" borderId="42" xfId="0" applyFont="1" applyBorder="1" applyAlignment="1">
      <alignment horizontal="center"/>
    </xf>
    <xf numFmtId="0" fontId="3" fillId="0" borderId="43" xfId="0" applyFont="1" applyBorder="1" applyAlignment="1">
      <alignment horizontal="center"/>
    </xf>
    <xf numFmtId="0" fontId="3" fillId="0" borderId="44" xfId="0" applyFont="1" applyBorder="1" applyAlignment="1">
      <alignment horizontal="center"/>
    </xf>
    <xf numFmtId="164" fontId="0" fillId="0" borderId="27" xfId="0" applyNumberFormat="1" applyBorder="1" applyAlignment="1">
      <alignment horizontal="center" vertical="top" wrapText="1"/>
    </xf>
    <xf numFmtId="0" fontId="10" fillId="0" borderId="24" xfId="0" applyFont="1" applyBorder="1"/>
    <xf numFmtId="0" fontId="10" fillId="0" borderId="6" xfId="0" applyFont="1" applyBorder="1"/>
    <xf numFmtId="0" fontId="10" fillId="0" borderId="25" xfId="0" applyFont="1" applyBorder="1"/>
    <xf numFmtId="0" fontId="10" fillId="0" borderId="26" xfId="0" applyFont="1" applyBorder="1"/>
    <xf numFmtId="0" fontId="10" fillId="0" borderId="27" xfId="0" applyFont="1" applyBorder="1"/>
    <xf numFmtId="0" fontId="10" fillId="0" borderId="28" xfId="0" applyFont="1" applyBorder="1"/>
    <xf numFmtId="0" fontId="10" fillId="0" borderId="21" xfId="0" applyFont="1" applyBorder="1"/>
    <xf numFmtId="0" fontId="10" fillId="0" borderId="22" xfId="0" applyFont="1" applyBorder="1"/>
    <xf numFmtId="0" fontId="10" fillId="0" borderId="23" xfId="0" applyFont="1" applyBorder="1"/>
    <xf numFmtId="9" fontId="10" fillId="0" borderId="26" xfId="2" applyFont="1" applyBorder="1"/>
    <xf numFmtId="9" fontId="10" fillId="0" borderId="27" xfId="2" applyFont="1" applyBorder="1"/>
    <xf numFmtId="9" fontId="10" fillId="0" borderId="28" xfId="2" applyFont="1" applyBorder="1"/>
    <xf numFmtId="0" fontId="3" fillId="0" borderId="32" xfId="0" applyFont="1" applyBorder="1" applyAlignment="1">
      <alignment horizontal="center"/>
    </xf>
    <xf numFmtId="172" fontId="2" fillId="33" borderId="0" xfId="1" applyNumberFormat="1" applyFont="1" applyFill="1"/>
    <xf numFmtId="172" fontId="1" fillId="33" borderId="0" xfId="1" applyNumberFormat="1" applyFill="1"/>
    <xf numFmtId="172" fontId="1" fillId="0" borderId="0" xfId="1" applyNumberFormat="1"/>
    <xf numFmtId="9" fontId="0" fillId="0" borderId="0" xfId="0" applyNumberFormat="1" applyProtection="1">
      <protection locked="0"/>
    </xf>
    <xf numFmtId="173" fontId="1" fillId="0" borderId="0" xfId="1" applyNumberFormat="1"/>
    <xf numFmtId="172" fontId="0" fillId="0" borderId="0" xfId="1" applyNumberFormat="1" applyFont="1"/>
    <xf numFmtId="174" fontId="1" fillId="0" borderId="0" xfId="1" applyNumberFormat="1"/>
    <xf numFmtId="172" fontId="21" fillId="0" borderId="0" xfId="1" applyNumberFormat="1" applyFont="1"/>
    <xf numFmtId="172" fontId="29" fillId="0" borderId="0" xfId="1" applyNumberFormat="1" applyFont="1"/>
    <xf numFmtId="9" fontId="30" fillId="3" borderId="0" xfId="2" applyFont="1" applyFill="1" applyProtection="1">
      <protection locked="0"/>
    </xf>
    <xf numFmtId="10" fontId="30" fillId="3" borderId="0" xfId="2" applyNumberFormat="1" applyFont="1" applyFill="1" applyProtection="1">
      <protection locked="0"/>
    </xf>
    <xf numFmtId="10" fontId="1" fillId="0" borderId="0" xfId="2" applyNumberFormat="1"/>
    <xf numFmtId="175" fontId="30" fillId="3" borderId="0" xfId="8" applyNumberFormat="1" applyFont="1" applyFill="1" applyProtection="1">
      <protection locked="0"/>
    </xf>
    <xf numFmtId="0" fontId="16" fillId="0" borderId="0" xfId="9" applyAlignment="1">
      <alignment vertical="center"/>
    </xf>
    <xf numFmtId="172" fontId="2" fillId="33" borderId="10" xfId="1" applyNumberFormat="1" applyFont="1" applyFill="1" applyBorder="1"/>
    <xf numFmtId="0" fontId="0" fillId="0" borderId="11" xfId="0" applyBorder="1" applyAlignment="1">
      <alignment horizontal="center"/>
    </xf>
    <xf numFmtId="0" fontId="0" fillId="0" borderId="11" xfId="0" applyBorder="1"/>
    <xf numFmtId="10" fontId="1" fillId="0" borderId="11" xfId="2" applyNumberFormat="1" applyBorder="1" applyAlignment="1">
      <alignment horizontal="center"/>
    </xf>
    <xf numFmtId="10" fontId="6" fillId="0" borderId="11" xfId="2" applyNumberFormat="1" applyFont="1" applyBorder="1" applyAlignment="1">
      <alignment horizontal="center"/>
    </xf>
    <xf numFmtId="10" fontId="30" fillId="0" borderId="0" xfId="2" applyNumberFormat="1" applyFont="1" applyProtection="1">
      <protection locked="0"/>
    </xf>
    <xf numFmtId="176" fontId="1" fillId="0" borderId="0" xfId="8" applyNumberFormat="1"/>
    <xf numFmtId="172" fontId="2" fillId="33" borderId="12" xfId="1" applyNumberFormat="1" applyFont="1" applyFill="1" applyBorder="1"/>
    <xf numFmtId="10" fontId="2" fillId="33" borderId="12" xfId="2" applyNumberFormat="1" applyFont="1" applyFill="1" applyBorder="1"/>
    <xf numFmtId="172" fontId="3" fillId="0" borderId="0" xfId="1" applyNumberFormat="1" applyFont="1"/>
    <xf numFmtId="9" fontId="3" fillId="0" borderId="4" xfId="0" applyNumberFormat="1" applyFont="1" applyBorder="1"/>
    <xf numFmtId="0" fontId="5" fillId="0" borderId="45" xfId="0" applyFont="1" applyBorder="1"/>
    <xf numFmtId="164" fontId="0" fillId="0" borderId="6" xfId="1" applyNumberFormat="1" applyFont="1" applyBorder="1" applyAlignment="1">
      <alignment vertical="top" wrapText="1"/>
    </xf>
    <xf numFmtId="0" fontId="0" fillId="0" borderId="6" xfId="0" applyBorder="1" applyAlignment="1">
      <alignment horizontal="center" vertical="top"/>
    </xf>
    <xf numFmtId="0" fontId="3" fillId="32" borderId="6" xfId="0" applyFont="1" applyFill="1" applyBorder="1" applyAlignment="1">
      <alignment horizontal="center" vertical="top" wrapText="1"/>
    </xf>
    <xf numFmtId="0" fontId="3" fillId="0" borderId="6" xfId="0" applyFont="1" applyBorder="1" applyAlignment="1">
      <alignment horizontal="center" vertical="top" wrapText="1"/>
    </xf>
    <xf numFmtId="0" fontId="3" fillId="32" borderId="30" xfId="0" applyFont="1" applyFill="1" applyBorder="1" applyAlignment="1">
      <alignment horizontal="center"/>
    </xf>
    <xf numFmtId="0" fontId="3" fillId="0" borderId="41" xfId="0" applyFont="1" applyBorder="1" applyAlignment="1">
      <alignment horizontal="center" vertical="center" wrapText="1"/>
    </xf>
    <xf numFmtId="0" fontId="0" fillId="0" borderId="47" xfId="0" applyBorder="1"/>
    <xf numFmtId="0" fontId="0" fillId="0" borderId="48" xfId="0" applyBorder="1"/>
    <xf numFmtId="0" fontId="0" fillId="0" borderId="48" xfId="1" applyNumberFormat="1" applyFont="1" applyBorder="1"/>
    <xf numFmtId="0" fontId="0" fillId="0" borderId="49" xfId="0" applyBorder="1"/>
    <xf numFmtId="0" fontId="0" fillId="0" borderId="50" xfId="0" applyBorder="1"/>
    <xf numFmtId="0" fontId="0" fillId="0" borderId="51" xfId="0" applyBorder="1"/>
    <xf numFmtId="0" fontId="0" fillId="0" borderId="11" xfId="1" applyNumberFormat="1" applyFont="1" applyBorder="1"/>
    <xf numFmtId="0" fontId="0" fillId="0" borderId="52" xfId="0" applyBorder="1"/>
    <xf numFmtId="0" fontId="0" fillId="0" borderId="53" xfId="0" applyBorder="1"/>
    <xf numFmtId="0" fontId="0" fillId="0" borderId="54" xfId="0" applyBorder="1"/>
    <xf numFmtId="0" fontId="0" fillId="0" borderId="55" xfId="0" applyBorder="1"/>
    <xf numFmtId="0" fontId="0" fillId="0" borderId="56" xfId="0" applyBorder="1"/>
    <xf numFmtId="0" fontId="3" fillId="0" borderId="48" xfId="0" applyFont="1" applyBorder="1"/>
    <xf numFmtId="177" fontId="0" fillId="0" borderId="0" xfId="0" applyNumberFormat="1"/>
    <xf numFmtId="171" fontId="0" fillId="0" borderId="6" xfId="1" applyNumberFormat="1" applyFont="1" applyBorder="1" applyAlignment="1">
      <alignment vertical="top" wrapText="1"/>
    </xf>
    <xf numFmtId="165" fontId="0" fillId="0" borderId="6" xfId="0" applyNumberFormat="1" applyBorder="1" applyAlignment="1">
      <alignment vertical="top" wrapText="1"/>
    </xf>
    <xf numFmtId="165" fontId="0" fillId="0" borderId="27" xfId="0" applyNumberFormat="1" applyBorder="1" applyAlignment="1">
      <alignment vertical="top" wrapText="1"/>
    </xf>
    <xf numFmtId="178" fontId="0" fillId="0" borderId="0" xfId="0" applyNumberFormat="1"/>
    <xf numFmtId="43" fontId="3" fillId="0" borderId="35" xfId="0" applyNumberFormat="1" applyFont="1" applyBorder="1"/>
    <xf numFmtId="165" fontId="0" fillId="0" borderId="24" xfId="0" applyNumberFormat="1" applyBorder="1" applyAlignment="1">
      <alignment horizontal="center"/>
    </xf>
    <xf numFmtId="165" fontId="0" fillId="0" borderId="6" xfId="0" applyNumberFormat="1" applyBorder="1" applyAlignment="1">
      <alignment horizontal="center"/>
    </xf>
    <xf numFmtId="165" fontId="0" fillId="0" borderId="25" xfId="0" applyNumberFormat="1" applyBorder="1" applyAlignment="1">
      <alignment horizontal="center"/>
    </xf>
    <xf numFmtId="0" fontId="0" fillId="0" borderId="58" xfId="0" applyBorder="1" applyAlignment="1">
      <alignment horizontal="center" vertical="top" wrapText="1"/>
    </xf>
    <xf numFmtId="0" fontId="0" fillId="0" borderId="12" xfId="0" applyBorder="1" applyAlignment="1">
      <alignment horizontal="center" vertical="top" wrapText="1"/>
    </xf>
    <xf numFmtId="164" fontId="0" fillId="0" borderId="12" xfId="1" applyNumberFormat="1" applyFont="1" applyBorder="1" applyAlignment="1">
      <alignment horizontal="center" vertical="top" wrapText="1"/>
    </xf>
    <xf numFmtId="165" fontId="0" fillId="0" borderId="12" xfId="0" applyNumberFormat="1" applyBorder="1" applyAlignment="1">
      <alignment vertical="top" wrapText="1"/>
    </xf>
    <xf numFmtId="164" fontId="0" fillId="0" borderId="27" xfId="1" applyNumberFormat="1" applyFont="1" applyBorder="1" applyAlignment="1">
      <alignment horizontal="center" vertical="top" wrapText="1"/>
    </xf>
    <xf numFmtId="171" fontId="0" fillId="0" borderId="27" xfId="1" applyNumberFormat="1" applyFont="1" applyBorder="1" applyAlignment="1">
      <alignment vertical="top" wrapText="1"/>
    </xf>
    <xf numFmtId="0" fontId="3" fillId="0" borderId="33" xfId="0" applyFont="1" applyBorder="1"/>
    <xf numFmtId="0" fontId="3" fillId="0" borderId="2" xfId="0" applyFont="1" applyBorder="1" applyAlignment="1">
      <alignment horizontal="center"/>
    </xf>
    <xf numFmtId="0" fontId="0" fillId="0" borderId="7" xfId="0" applyBorder="1"/>
    <xf numFmtId="0" fontId="3" fillId="0" borderId="36" xfId="0" applyFont="1" applyBorder="1"/>
    <xf numFmtId="0" fontId="3" fillId="0" borderId="36" xfId="0" applyFont="1" applyBorder="1" applyAlignment="1">
      <alignment horizontal="center"/>
    </xf>
    <xf numFmtId="0" fontId="0" fillId="0" borderId="38" xfId="0" applyBorder="1"/>
    <xf numFmtId="9" fontId="10" fillId="0" borderId="24" xfId="0" applyNumberFormat="1" applyFont="1" applyBorder="1" applyAlignment="1">
      <alignment horizontal="center"/>
    </xf>
    <xf numFmtId="9" fontId="10" fillId="0" borderId="6" xfId="0" applyNumberFormat="1" applyFont="1" applyBorder="1" applyAlignment="1">
      <alignment horizontal="center"/>
    </xf>
    <xf numFmtId="9" fontId="10" fillId="0" borderId="25" xfId="0" applyNumberFormat="1" applyFont="1" applyBorder="1" applyAlignment="1">
      <alignment horizontal="center"/>
    </xf>
    <xf numFmtId="0" fontId="0" fillId="32" borderId="60" xfId="0" applyFill="1" applyBorder="1"/>
    <xf numFmtId="0" fontId="0" fillId="32" borderId="51" xfId="0" applyFill="1" applyBorder="1"/>
    <xf numFmtId="0" fontId="0" fillId="32" borderId="54" xfId="0" applyFill="1" applyBorder="1"/>
    <xf numFmtId="0" fontId="3" fillId="0" borderId="34" xfId="0" applyFont="1" applyBorder="1"/>
    <xf numFmtId="41" fontId="3" fillId="0" borderId="16" xfId="0" applyNumberFormat="1" applyFont="1" applyBorder="1"/>
    <xf numFmtId="41" fontId="3" fillId="0" borderId="20" xfId="0" applyNumberFormat="1" applyFont="1" applyBorder="1"/>
    <xf numFmtId="10" fontId="0" fillId="0" borderId="6" xfId="2" applyNumberFormat="1" applyFont="1" applyBorder="1" applyAlignment="1">
      <alignment vertical="top"/>
    </xf>
    <xf numFmtId="0" fontId="3" fillId="0" borderId="6" xfId="0" applyFont="1" applyBorder="1" applyAlignment="1">
      <alignment horizontal="center"/>
    </xf>
    <xf numFmtId="0" fontId="3" fillId="0" borderId="6" xfId="0" applyFont="1" applyBorder="1"/>
    <xf numFmtId="164" fontId="3" fillId="0" borderId="6" xfId="1" applyNumberFormat="1" applyFont="1" applyBorder="1"/>
    <xf numFmtId="10" fontId="0" fillId="0" borderId="6" xfId="0" applyNumberFormat="1" applyBorder="1"/>
    <xf numFmtId="10" fontId="0" fillId="0" borderId="6" xfId="2" applyNumberFormat="1" applyFont="1" applyBorder="1"/>
    <xf numFmtId="164" fontId="1" fillId="0" borderId="0" xfId="1" applyNumberFormat="1"/>
    <xf numFmtId="10" fontId="3" fillId="0" borderId="14" xfId="0" applyNumberFormat="1" applyFont="1" applyBorder="1"/>
    <xf numFmtId="171" fontId="0" fillId="0" borderId="0" xfId="0" applyNumberFormat="1"/>
    <xf numFmtId="0" fontId="4" fillId="0" borderId="0" xfId="0" applyFont="1"/>
    <xf numFmtId="164" fontId="4" fillId="0" borderId="0" xfId="1" applyNumberFormat="1" applyFont="1"/>
    <xf numFmtId="164" fontId="31" fillId="0" borderId="0" xfId="1" applyNumberFormat="1" applyFont="1"/>
    <xf numFmtId="164" fontId="0" fillId="32" borderId="0" xfId="1" applyNumberFormat="1" applyFont="1" applyFill="1"/>
    <xf numFmtId="164" fontId="0" fillId="32" borderId="1" xfId="1" applyNumberFormat="1" applyFont="1" applyFill="1" applyBorder="1"/>
    <xf numFmtId="164" fontId="0" fillId="32" borderId="0" xfId="0" applyNumberFormat="1" applyFill="1"/>
    <xf numFmtId="164" fontId="0" fillId="32" borderId="1" xfId="0" applyNumberFormat="1" applyFill="1" applyBorder="1"/>
    <xf numFmtId="164" fontId="3" fillId="32" borderId="0" xfId="1" applyNumberFormat="1" applyFont="1" applyFill="1"/>
    <xf numFmtId="0" fontId="0" fillId="32" borderId="0" xfId="0" applyFill="1"/>
    <xf numFmtId="9" fontId="32" fillId="0" borderId="0" xfId="2" applyFont="1"/>
    <xf numFmtId="0" fontId="3" fillId="0" borderId="24" xfId="0" applyFont="1" applyBorder="1" applyAlignment="1">
      <alignment horizontal="center"/>
    </xf>
    <xf numFmtId="43" fontId="3" fillId="0" borderId="6" xfId="1" applyFont="1" applyBorder="1"/>
    <xf numFmtId="43" fontId="3" fillId="0" borderId="27" xfId="1" applyFont="1" applyBorder="1"/>
    <xf numFmtId="0" fontId="0" fillId="0" borderId="61" xfId="0" applyBorder="1"/>
    <xf numFmtId="0" fontId="3" fillId="0" borderId="10" xfId="0" applyFont="1" applyBorder="1"/>
    <xf numFmtId="43" fontId="3" fillId="0" borderId="10" xfId="1" applyFont="1" applyBorder="1"/>
    <xf numFmtId="0" fontId="3" fillId="0" borderId="63" xfId="0" applyFont="1" applyBorder="1" applyAlignment="1">
      <alignment horizontal="center" vertical="center"/>
    </xf>
    <xf numFmtId="41" fontId="0" fillId="0" borderId="13" xfId="1" applyNumberFormat="1" applyFont="1" applyBorder="1"/>
    <xf numFmtId="41" fontId="3" fillId="0" borderId="13" xfId="1" applyNumberFormat="1" applyFont="1" applyBorder="1"/>
    <xf numFmtId="41" fontId="3" fillId="0" borderId="4" xfId="1" applyNumberFormat="1" applyFont="1" applyBorder="1" applyAlignment="1">
      <alignment horizontal="center"/>
    </xf>
    <xf numFmtId="0" fontId="3" fillId="0" borderId="0" xfId="0" applyFont="1" applyAlignment="1">
      <alignment horizontal="left" vertical="top"/>
    </xf>
    <xf numFmtId="41" fontId="3" fillId="0" borderId="0" xfId="1" applyNumberFormat="1" applyFont="1" applyAlignment="1">
      <alignment horizontal="center"/>
    </xf>
    <xf numFmtId="41" fontId="3" fillId="0" borderId="0" xfId="1" applyNumberFormat="1" applyFont="1"/>
    <xf numFmtId="43" fontId="1" fillId="0" borderId="0" xfId="1"/>
    <xf numFmtId="0" fontId="3" fillId="0" borderId="13" xfId="0" applyFont="1" applyBorder="1" applyAlignment="1">
      <alignment horizontal="center" vertical="center"/>
    </xf>
    <xf numFmtId="41" fontId="0" fillId="0" borderId="13" xfId="0" applyNumberFormat="1" applyBorder="1" applyAlignment="1">
      <alignment horizontal="center"/>
    </xf>
    <xf numFmtId="0" fontId="3" fillId="0" borderId="13" xfId="0" applyFont="1" applyBorder="1"/>
    <xf numFmtId="0" fontId="25" fillId="0" borderId="51" xfId="0" applyFont="1" applyBorder="1"/>
    <xf numFmtId="0" fontId="25" fillId="0" borderId="54" xfId="0" applyFont="1" applyBorder="1"/>
    <xf numFmtId="0" fontId="24" fillId="0" borderId="25" xfId="0" applyFont="1" applyBorder="1" applyAlignment="1">
      <alignment horizontal="center"/>
    </xf>
    <xf numFmtId="0" fontId="25" fillId="0" borderId="25" xfId="0" applyFont="1" applyBorder="1" applyAlignment="1">
      <alignment horizontal="center"/>
    </xf>
    <xf numFmtId="0" fontId="25" fillId="0" borderId="25" xfId="0" applyFont="1" applyBorder="1"/>
    <xf numFmtId="41" fontId="3" fillId="0" borderId="5" xfId="1" applyNumberFormat="1" applyFont="1" applyBorder="1"/>
    <xf numFmtId="41" fontId="3" fillId="0" borderId="4" xfId="1" applyNumberFormat="1" applyFont="1" applyBorder="1"/>
    <xf numFmtId="43" fontId="3" fillId="0" borderId="63" xfId="1" applyFont="1" applyBorder="1" applyAlignment="1">
      <alignment horizontal="center" vertical="center"/>
    </xf>
    <xf numFmtId="43" fontId="0" fillId="0" borderId="13" xfId="1" applyFont="1" applyBorder="1"/>
    <xf numFmtId="43" fontId="3" fillId="0" borderId="13" xfId="1" applyFont="1" applyBorder="1"/>
    <xf numFmtId="43" fontId="3" fillId="0" borderId="62" xfId="1" applyFont="1" applyBorder="1"/>
    <xf numFmtId="43" fontId="3" fillId="0" borderId="64" xfId="1" applyFont="1" applyBorder="1"/>
    <xf numFmtId="0" fontId="3" fillId="0" borderId="48" xfId="0" applyFont="1" applyBorder="1" applyAlignment="1">
      <alignment horizontal="center" vertical="center" wrapText="1"/>
    </xf>
    <xf numFmtId="0" fontId="3" fillId="0" borderId="12" xfId="0" applyFont="1" applyBorder="1" applyAlignment="1">
      <alignment horizontal="center" vertical="center" wrapText="1"/>
    </xf>
    <xf numFmtId="164" fontId="21" fillId="0" borderId="1" xfId="1" applyNumberFormat="1" applyFont="1" applyBorder="1"/>
    <xf numFmtId="164" fontId="0" fillId="0" borderId="0" xfId="2" applyNumberFormat="1" applyFont="1"/>
    <xf numFmtId="9" fontId="33" fillId="0" borderId="0" xfId="2" applyFont="1"/>
    <xf numFmtId="9" fontId="33" fillId="0" borderId="2" xfId="2" applyFont="1" applyBorder="1"/>
    <xf numFmtId="11" fontId="0" fillId="0" borderId="0" xfId="0" applyNumberFormat="1"/>
    <xf numFmtId="9" fontId="1" fillId="0" borderId="1" xfId="2" applyBorder="1"/>
    <xf numFmtId="9" fontId="22" fillId="0" borderId="1" xfId="2" applyFont="1" applyBorder="1"/>
    <xf numFmtId="9" fontId="31" fillId="0" borderId="0" xfId="2" applyFont="1"/>
    <xf numFmtId="9" fontId="3" fillId="0" borderId="6" xfId="2" applyFont="1" applyBorder="1" applyAlignment="1">
      <alignment vertical="center"/>
    </xf>
    <xf numFmtId="43" fontId="3" fillId="0" borderId="6" xfId="1" applyFont="1" applyBorder="1" applyAlignment="1">
      <alignment vertical="center"/>
    </xf>
    <xf numFmtId="43" fontId="0" fillId="0" borderId="6" xfId="1" applyFont="1" applyBorder="1"/>
    <xf numFmtId="15" fontId="0" fillId="0" borderId="0" xfId="0" applyNumberFormat="1"/>
    <xf numFmtId="179" fontId="0" fillId="0" borderId="0" xfId="1" applyNumberFormat="1" applyFont="1"/>
    <xf numFmtId="180" fontId="0" fillId="0" borderId="0" xfId="1" applyNumberFormat="1" applyFont="1"/>
    <xf numFmtId="181" fontId="0" fillId="0" borderId="0" xfId="0" applyNumberFormat="1"/>
    <xf numFmtId="182" fontId="0" fillId="0" borderId="13" xfId="2" applyNumberFormat="1" applyFont="1" applyBorder="1"/>
    <xf numFmtId="183" fontId="5" fillId="0" borderId="0" xfId="0" applyNumberFormat="1" applyFont="1"/>
    <xf numFmtId="0" fontId="0" fillId="32" borderId="5" xfId="0" applyFill="1" applyBorder="1" applyAlignment="1">
      <alignment horizontal="center"/>
    </xf>
    <xf numFmtId="0" fontId="0" fillId="32" borderId="65" xfId="0" applyFill="1" applyBorder="1" applyAlignment="1">
      <alignment horizontal="center"/>
    </xf>
    <xf numFmtId="0" fontId="10" fillId="0" borderId="50" xfId="0" applyFont="1" applyBorder="1"/>
    <xf numFmtId="0" fontId="10" fillId="0" borderId="11" xfId="0" applyFont="1" applyBorder="1"/>
    <xf numFmtId="0" fontId="10" fillId="0" borderId="51" xfId="0" applyFont="1" applyBorder="1"/>
    <xf numFmtId="0" fontId="0" fillId="0" borderId="66" xfId="0" applyBorder="1"/>
    <xf numFmtId="0" fontId="3" fillId="0" borderId="9" xfId="0" applyFont="1" applyBorder="1"/>
    <xf numFmtId="43" fontId="3" fillId="0" borderId="46" xfId="0" applyNumberFormat="1" applyFont="1" applyBorder="1"/>
    <xf numFmtId="10" fontId="3" fillId="0" borderId="0" xfId="0" applyNumberFormat="1" applyFont="1"/>
    <xf numFmtId="0" fontId="0" fillId="0" borderId="0" xfId="1" applyNumberFormat="1" applyFont="1"/>
    <xf numFmtId="0" fontId="0" fillId="25" borderId="0" xfId="0" applyFill="1"/>
    <xf numFmtId="0" fontId="0" fillId="25" borderId="17" xfId="0" applyFill="1" applyBorder="1"/>
    <xf numFmtId="0" fontId="0" fillId="25" borderId="18" xfId="0" applyFill="1" applyBorder="1"/>
    <xf numFmtId="0" fontId="0" fillId="25" borderId="19" xfId="0" applyFill="1" applyBorder="1"/>
    <xf numFmtId="0" fontId="0" fillId="25" borderId="4" xfId="0" applyFill="1" applyBorder="1"/>
    <xf numFmtId="0" fontId="0" fillId="25" borderId="20" xfId="0" applyFill="1" applyBorder="1"/>
    <xf numFmtId="0" fontId="0" fillId="25" borderId="15" xfId="0" applyFill="1" applyBorder="1"/>
    <xf numFmtId="0" fontId="0" fillId="25" borderId="14" xfId="0" applyFill="1" applyBorder="1"/>
    <xf numFmtId="0" fontId="0" fillId="25" borderId="16" xfId="0" applyFill="1" applyBorder="1"/>
    <xf numFmtId="0" fontId="0" fillId="25" borderId="0" xfId="0" quotePrefix="1" applyFill="1"/>
    <xf numFmtId="0" fontId="0" fillId="0" borderId="67" xfId="0" applyBorder="1"/>
    <xf numFmtId="0" fontId="0" fillId="0" borderId="68" xfId="0" applyBorder="1"/>
    <xf numFmtId="0" fontId="0" fillId="0" borderId="69" xfId="0" applyBorder="1"/>
    <xf numFmtId="0" fontId="0" fillId="0" borderId="70" xfId="0" applyBorder="1"/>
    <xf numFmtId="0" fontId="0" fillId="0" borderId="71" xfId="0" applyBorder="1"/>
    <xf numFmtId="0" fontId="0" fillId="0" borderId="62" xfId="0" applyBorder="1"/>
    <xf numFmtId="0" fontId="0" fillId="0" borderId="5" xfId="0" applyBorder="1"/>
    <xf numFmtId="0" fontId="0" fillId="0" borderId="72" xfId="0" applyBorder="1"/>
    <xf numFmtId="0" fontId="0" fillId="0" borderId="63" xfId="0" applyBorder="1"/>
    <xf numFmtId="0" fontId="0" fillId="0" borderId="73" xfId="0" applyBorder="1"/>
    <xf numFmtId="0" fontId="0" fillId="0" borderId="74" xfId="0" applyBorder="1"/>
    <xf numFmtId="0" fontId="0" fillId="0" borderId="75" xfId="0" applyBorder="1"/>
    <xf numFmtId="0" fontId="0" fillId="0" borderId="76" xfId="0" applyBorder="1"/>
    <xf numFmtId="0" fontId="0" fillId="34" borderId="15" xfId="0" applyFill="1" applyBorder="1"/>
    <xf numFmtId="0" fontId="0" fillId="34" borderId="14" xfId="0" applyFill="1" applyBorder="1"/>
    <xf numFmtId="0" fontId="0" fillId="34" borderId="16" xfId="0" applyFill="1" applyBorder="1"/>
    <xf numFmtId="0" fontId="0" fillId="34" borderId="17" xfId="0" applyFill="1" applyBorder="1"/>
    <xf numFmtId="0" fontId="0" fillId="34" borderId="0" xfId="0" applyFill="1"/>
    <xf numFmtId="0" fontId="0" fillId="34" borderId="18" xfId="0" applyFill="1" applyBorder="1"/>
    <xf numFmtId="0" fontId="0" fillId="34" borderId="75" xfId="0" applyFill="1" applyBorder="1"/>
    <xf numFmtId="0" fontId="0" fillId="34" borderId="68" xfId="0" applyFill="1" applyBorder="1"/>
    <xf numFmtId="0" fontId="0" fillId="34" borderId="70" xfId="0" applyFill="1" applyBorder="1"/>
    <xf numFmtId="0" fontId="0" fillId="34" borderId="19" xfId="0" applyFill="1" applyBorder="1"/>
    <xf numFmtId="0" fontId="0" fillId="34" borderId="4" xfId="0" applyFill="1" applyBorder="1"/>
    <xf numFmtId="0" fontId="0" fillId="34" borderId="69" xfId="0" applyFill="1" applyBorder="1"/>
    <xf numFmtId="0" fontId="0" fillId="34" borderId="74" xfId="0" applyFill="1" applyBorder="1"/>
    <xf numFmtId="0" fontId="0" fillId="34" borderId="76" xfId="0" applyFill="1" applyBorder="1"/>
    <xf numFmtId="0" fontId="0" fillId="34" borderId="71" xfId="0" applyFill="1" applyBorder="1"/>
    <xf numFmtId="0" fontId="0" fillId="34" borderId="67" xfId="0" applyFill="1" applyBorder="1"/>
    <xf numFmtId="0" fontId="0" fillId="34" borderId="62" xfId="0" applyFill="1" applyBorder="1"/>
    <xf numFmtId="0" fontId="0" fillId="34" borderId="5" xfId="0" applyFill="1" applyBorder="1"/>
    <xf numFmtId="0" fontId="0" fillId="34" borderId="72" xfId="0" applyFill="1" applyBorder="1"/>
    <xf numFmtId="10" fontId="0" fillId="34" borderId="0" xfId="0" applyNumberFormat="1" applyFill="1"/>
    <xf numFmtId="9" fontId="0" fillId="34" borderId="0" xfId="2" applyFont="1" applyFill="1"/>
    <xf numFmtId="0" fontId="0" fillId="34" borderId="63" xfId="0" applyFill="1" applyBorder="1"/>
    <xf numFmtId="10" fontId="0" fillId="34" borderId="1" xfId="0" applyNumberFormat="1" applyFill="1" applyBorder="1"/>
    <xf numFmtId="0" fontId="0" fillId="34" borderId="73" xfId="0" applyFill="1" applyBorder="1"/>
    <xf numFmtId="0" fontId="0" fillId="34" borderId="20" xfId="0" applyFill="1" applyBorder="1"/>
    <xf numFmtId="0" fontId="0" fillId="34" borderId="0" xfId="0" applyFill="1" applyAlignment="1">
      <alignment horizontal="center"/>
    </xf>
    <xf numFmtId="0" fontId="0" fillId="34" borderId="70" xfId="0" applyFill="1" applyBorder="1" applyAlignment="1">
      <alignment horizontal="left"/>
    </xf>
    <xf numFmtId="0" fontId="0" fillId="34" borderId="73" xfId="0" applyFill="1" applyBorder="1" applyAlignment="1">
      <alignment horizontal="left"/>
    </xf>
    <xf numFmtId="10" fontId="34" fillId="32" borderId="0" xfId="7" applyNumberFormat="1" applyFont="1" applyFill="1"/>
    <xf numFmtId="10" fontId="35" fillId="32" borderId="0" xfId="0" applyNumberFormat="1" applyFont="1" applyFill="1"/>
    <xf numFmtId="0" fontId="5" fillId="0" borderId="0" xfId="0" applyFont="1" applyAlignment="1">
      <alignment wrapText="1"/>
    </xf>
    <xf numFmtId="10" fontId="3" fillId="19" borderId="0" xfId="2" applyNumberFormat="1" applyFont="1" applyFill="1"/>
    <xf numFmtId="9" fontId="0" fillId="4" borderId="39" xfId="0" applyNumberFormat="1" applyFill="1" applyBorder="1"/>
    <xf numFmtId="164" fontId="2" fillId="35" borderId="0" xfId="1" applyNumberFormat="1" applyFont="1" applyFill="1"/>
    <xf numFmtId="0" fontId="31" fillId="0" borderId="0" xfId="0" applyFont="1"/>
    <xf numFmtId="41" fontId="0" fillId="0" borderId="0" xfId="8" applyFont="1"/>
    <xf numFmtId="41" fontId="0" fillId="0" borderId="0" xfId="0" applyNumberFormat="1"/>
    <xf numFmtId="10" fontId="0" fillId="0" borderId="0" xfId="8" applyNumberFormat="1" applyFont="1"/>
    <xf numFmtId="41" fontId="3" fillId="0" borderId="0" xfId="0" applyNumberFormat="1" applyFont="1"/>
    <xf numFmtId="0" fontId="37" fillId="0" borderId="0" xfId="3" applyFont="1"/>
    <xf numFmtId="9" fontId="37" fillId="0" borderId="0" xfId="3" applyNumberFormat="1" applyFont="1"/>
    <xf numFmtId="0" fontId="0" fillId="0" borderId="0" xfId="0" applyAlignment="1">
      <alignment horizontal="right"/>
    </xf>
    <xf numFmtId="10" fontId="4" fillId="0" borderId="0" xfId="0" applyNumberFormat="1" applyFont="1"/>
    <xf numFmtId="164" fontId="4" fillId="0" borderId="0" xfId="0" applyNumberFormat="1" applyFont="1"/>
    <xf numFmtId="0" fontId="28" fillId="0" borderId="0" xfId="3" applyFont="1" applyAlignment="1">
      <alignment horizontal="center" vertical="center"/>
    </xf>
    <xf numFmtId="0" fontId="38" fillId="0" borderId="0" xfId="3" applyFont="1"/>
    <xf numFmtId="0" fontId="38" fillId="0" borderId="0" xfId="3" applyFont="1" applyAlignment="1">
      <alignment horizontal="center" vertical="center"/>
    </xf>
    <xf numFmtId="9" fontId="38" fillId="0" borderId="0" xfId="3" applyNumberFormat="1" applyFont="1" applyAlignment="1">
      <alignment horizontal="center" vertical="center"/>
    </xf>
    <xf numFmtId="0" fontId="39" fillId="0" borderId="0" xfId="3" applyFont="1"/>
    <xf numFmtId="9" fontId="39" fillId="0" borderId="0" xfId="5" applyFont="1" applyAlignment="1">
      <alignment horizontal="center" vertical="center"/>
    </xf>
    <xf numFmtId="0" fontId="2" fillId="0" borderId="0" xfId="0" applyFont="1"/>
    <xf numFmtId="179" fontId="0" fillId="0" borderId="0" xfId="0" applyNumberFormat="1"/>
    <xf numFmtId="164" fontId="5" fillId="22" borderId="0" xfId="1" applyNumberFormat="1" applyFont="1" applyFill="1"/>
    <xf numFmtId="164" fontId="5" fillId="0" borderId="1" xfId="1" applyNumberFormat="1" applyFont="1" applyBorder="1"/>
    <xf numFmtId="164" fontId="5" fillId="32" borderId="0" xfId="1" applyNumberFormat="1" applyFont="1" applyFill="1"/>
    <xf numFmtId="164" fontId="5" fillId="32" borderId="1" xfId="1" applyNumberFormat="1" applyFont="1" applyFill="1" applyBorder="1"/>
    <xf numFmtId="164" fontId="10" fillId="32" borderId="0" xfId="1" applyNumberFormat="1" applyFont="1" applyFill="1"/>
    <xf numFmtId="164" fontId="10" fillId="24" borderId="0" xfId="1" applyNumberFormat="1" applyFont="1" applyFill="1"/>
    <xf numFmtId="41" fontId="4" fillId="0" borderId="0" xfId="8" applyFont="1"/>
    <xf numFmtId="164" fontId="5" fillId="32" borderId="0" xfId="0" applyNumberFormat="1" applyFont="1" applyFill="1"/>
    <xf numFmtId="164" fontId="5" fillId="32" borderId="1" xfId="0" applyNumberFormat="1" applyFont="1" applyFill="1" applyBorder="1"/>
    <xf numFmtId="164" fontId="10" fillId="0" borderId="1" xfId="1" applyNumberFormat="1" applyFont="1" applyBorder="1"/>
    <xf numFmtId="164" fontId="5" fillId="19" borderId="0" xfId="1" applyNumberFormat="1" applyFont="1" applyFill="1"/>
    <xf numFmtId="164" fontId="10" fillId="0" borderId="2" xfId="1" applyNumberFormat="1" applyFont="1" applyBorder="1"/>
    <xf numFmtId="164" fontId="10" fillId="0" borderId="3" xfId="1" applyNumberFormat="1" applyFont="1" applyBorder="1"/>
    <xf numFmtId="164" fontId="10" fillId="0" borderId="0" xfId="0" applyNumberFormat="1" applyFont="1"/>
    <xf numFmtId="164" fontId="5" fillId="4" borderId="0" xfId="1" applyNumberFormat="1" applyFont="1" applyFill="1"/>
    <xf numFmtId="164" fontId="5" fillId="0" borderId="4" xfId="1" applyNumberFormat="1" applyFont="1" applyBorder="1"/>
    <xf numFmtId="164" fontId="10" fillId="25" borderId="0" xfId="1" applyNumberFormat="1" applyFont="1" applyFill="1"/>
    <xf numFmtId="164" fontId="10" fillId="24" borderId="1" xfId="1" applyNumberFormat="1" applyFont="1" applyFill="1" applyBorder="1"/>
    <xf numFmtId="164" fontId="40" fillId="27" borderId="0" xfId="1" applyNumberFormat="1" applyFont="1" applyFill="1"/>
    <xf numFmtId="164" fontId="10" fillId="19" borderId="0" xfId="1" applyNumberFormat="1" applyFont="1" applyFill="1"/>
    <xf numFmtId="10" fontId="5" fillId="0" borderId="1" xfId="0" applyNumberFormat="1" applyFont="1" applyBorder="1"/>
    <xf numFmtId="164" fontId="41" fillId="21" borderId="0" xfId="7" applyNumberFormat="1" applyFont="1" applyFill="1"/>
    <xf numFmtId="10" fontId="5" fillId="21" borderId="0" xfId="2" applyNumberFormat="1" applyFont="1" applyFill="1"/>
    <xf numFmtId="164" fontId="5" fillId="21" borderId="0" xfId="1" applyNumberFormat="1" applyFont="1" applyFill="1"/>
    <xf numFmtId="164" fontId="10" fillId="21" borderId="4" xfId="0" applyNumberFormat="1" applyFont="1" applyFill="1" applyBorder="1"/>
    <xf numFmtId="164" fontId="5" fillId="21" borderId="1" xfId="1" applyNumberFormat="1" applyFont="1" applyFill="1" applyBorder="1"/>
    <xf numFmtId="164" fontId="5" fillId="21" borderId="0" xfId="0" applyNumberFormat="1" applyFont="1" applyFill="1"/>
    <xf numFmtId="9" fontId="5" fillId="21" borderId="0" xfId="0" applyNumberFormat="1" applyFont="1" applyFill="1"/>
    <xf numFmtId="41" fontId="5" fillId="21" borderId="0" xfId="8" applyFont="1" applyFill="1"/>
    <xf numFmtId="9" fontId="5" fillId="21" borderId="1" xfId="2" applyFont="1" applyFill="1" applyBorder="1"/>
    <xf numFmtId="164" fontId="10" fillId="21" borderId="8" xfId="0" applyNumberFormat="1" applyFont="1" applyFill="1" applyBorder="1"/>
    <xf numFmtId="10" fontId="5" fillId="0" borderId="0" xfId="2" applyNumberFormat="1" applyFont="1"/>
    <xf numFmtId="164" fontId="10" fillId="0" borderId="4" xfId="0" applyNumberFormat="1" applyFont="1" applyBorder="1"/>
    <xf numFmtId="9" fontId="5" fillId="14" borderId="0" xfId="2" applyFont="1" applyFill="1"/>
    <xf numFmtId="43" fontId="5" fillId="14" borderId="1" xfId="1" applyFont="1" applyFill="1" applyBorder="1"/>
    <xf numFmtId="43" fontId="5" fillId="14" borderId="0" xfId="1" applyFont="1" applyFill="1"/>
    <xf numFmtId="164" fontId="5" fillId="0" borderId="0" xfId="0" applyNumberFormat="1" applyFont="1"/>
    <xf numFmtId="10" fontId="5" fillId="14" borderId="0" xfId="2" applyNumberFormat="1" applyFont="1" applyFill="1"/>
    <xf numFmtId="164" fontId="10" fillId="0" borderId="8" xfId="0" applyNumberFormat="1" applyFont="1" applyBorder="1"/>
    <xf numFmtId="9" fontId="42" fillId="0" borderId="0" xfId="2" applyFont="1"/>
    <xf numFmtId="9" fontId="5" fillId="0" borderId="1" xfId="2" applyFont="1" applyBorder="1"/>
    <xf numFmtId="0" fontId="33" fillId="2" borderId="0" xfId="0" applyFont="1" applyFill="1" applyAlignment="1">
      <alignment horizontal="center"/>
    </xf>
    <xf numFmtId="164" fontId="43" fillId="0" borderId="1" xfId="1" applyNumberFormat="1" applyFont="1" applyBorder="1"/>
    <xf numFmtId="164" fontId="10" fillId="21" borderId="3" xfId="1" applyNumberFormat="1" applyFont="1" applyFill="1" applyBorder="1"/>
    <xf numFmtId="164" fontId="10" fillId="21" borderId="2" xfId="1" applyNumberFormat="1" applyFont="1" applyFill="1" applyBorder="1"/>
    <xf numFmtId="164" fontId="10" fillId="21" borderId="1" xfId="1" applyNumberFormat="1" applyFont="1" applyFill="1" applyBorder="1"/>
    <xf numFmtId="164" fontId="10" fillId="21" borderId="4" xfId="1" applyNumberFormat="1" applyFont="1" applyFill="1" applyBorder="1"/>
    <xf numFmtId="0" fontId="0" fillId="18" borderId="0" xfId="2" applyNumberFormat="1" applyFont="1" applyFill="1"/>
    <xf numFmtId="0" fontId="0" fillId="0" borderId="0" xfId="2" applyNumberFormat="1" applyFont="1"/>
    <xf numFmtId="9" fontId="38" fillId="0" borderId="0" xfId="2" applyFont="1" applyAlignment="1">
      <alignment horizontal="center"/>
    </xf>
    <xf numFmtId="0" fontId="44" fillId="36" borderId="0" xfId="0" applyFont="1" applyFill="1" applyAlignment="1">
      <alignment horizontal="left" vertical="center"/>
    </xf>
    <xf numFmtId="0" fontId="46" fillId="0" borderId="0" xfId="0" applyFont="1"/>
    <xf numFmtId="184" fontId="47" fillId="0" borderId="0" xfId="0" applyNumberFormat="1" applyFont="1"/>
    <xf numFmtId="0" fontId="45" fillId="37" borderId="103" xfId="0" applyFont="1" applyFill="1" applyBorder="1" applyAlignment="1">
      <alignment horizontal="center" vertical="center" wrapText="1"/>
    </xf>
    <xf numFmtId="0" fontId="46" fillId="0" borderId="103" xfId="0" applyFont="1" applyBorder="1" applyAlignment="1">
      <alignment vertical="top" wrapText="1"/>
    </xf>
    <xf numFmtId="184" fontId="47" fillId="0" borderId="103" xfId="0" applyNumberFormat="1" applyFont="1" applyBorder="1" applyAlignment="1">
      <alignment vertical="top" wrapText="1"/>
    </xf>
    <xf numFmtId="185" fontId="47" fillId="0" borderId="103" xfId="0" applyNumberFormat="1" applyFont="1" applyBorder="1" applyAlignment="1">
      <alignment vertical="top" wrapText="1"/>
    </xf>
    <xf numFmtId="185" fontId="48" fillId="38" borderId="103" xfId="0" applyNumberFormat="1" applyFont="1" applyFill="1" applyBorder="1" applyAlignment="1">
      <alignment vertical="top" wrapText="1"/>
    </xf>
    <xf numFmtId="184" fontId="48" fillId="38" borderId="103" xfId="0" applyNumberFormat="1" applyFont="1" applyFill="1" applyBorder="1" applyAlignment="1">
      <alignment vertical="top" wrapText="1"/>
    </xf>
    <xf numFmtId="186" fontId="47" fillId="0" borderId="103" xfId="0" applyNumberFormat="1" applyFont="1" applyBorder="1" applyAlignment="1">
      <alignment vertical="top" wrapText="1"/>
    </xf>
    <xf numFmtId="184" fontId="48" fillId="0" borderId="103" xfId="0" applyNumberFormat="1" applyFont="1" applyBorder="1" applyAlignment="1">
      <alignment vertical="top" wrapText="1"/>
    </xf>
    <xf numFmtId="185" fontId="48" fillId="0" borderId="103" xfId="0" applyNumberFormat="1" applyFont="1" applyBorder="1" applyAlignment="1">
      <alignment vertical="top" wrapText="1"/>
    </xf>
    <xf numFmtId="186" fontId="48" fillId="38" borderId="103" xfId="0" applyNumberFormat="1" applyFont="1" applyFill="1" applyBorder="1" applyAlignment="1">
      <alignment vertical="top" wrapText="1"/>
    </xf>
    <xf numFmtId="186" fontId="48" fillId="0" borderId="103" xfId="0" applyNumberFormat="1" applyFont="1" applyBorder="1" applyAlignment="1">
      <alignment vertical="top" wrapText="1"/>
    </xf>
    <xf numFmtId="0" fontId="44" fillId="39" borderId="0" xfId="0" applyFont="1" applyFill="1" applyAlignment="1">
      <alignment wrapText="1"/>
    </xf>
    <xf numFmtId="0" fontId="45" fillId="36" borderId="103" xfId="0" applyFont="1" applyFill="1" applyBorder="1" applyAlignment="1">
      <alignment vertical="top" wrapText="1"/>
    </xf>
    <xf numFmtId="0" fontId="0" fillId="0" borderId="103" xfId="0" applyBorder="1" applyAlignment="1">
      <alignment vertical="top" wrapText="1"/>
    </xf>
    <xf numFmtId="184" fontId="0" fillId="0" borderId="103" xfId="0" applyNumberFormat="1" applyBorder="1" applyAlignment="1">
      <alignment vertical="top" wrapText="1"/>
    </xf>
    <xf numFmtId="185" fontId="0" fillId="0" borderId="103" xfId="0" applyNumberFormat="1" applyBorder="1" applyAlignment="1">
      <alignment vertical="top" wrapText="1"/>
    </xf>
    <xf numFmtId="0" fontId="55" fillId="39" borderId="0" xfId="0" applyFont="1" applyFill="1"/>
    <xf numFmtId="0" fontId="0" fillId="0" borderId="0" xfId="0" applyAlignment="1">
      <alignment wrapText="1"/>
    </xf>
    <xf numFmtId="0" fontId="56" fillId="36" borderId="103" xfId="0" applyFont="1" applyFill="1" applyBorder="1" applyAlignment="1">
      <alignment vertical="top" wrapText="1"/>
    </xf>
    <xf numFmtId="164" fontId="42" fillId="0" borderId="0" xfId="1" applyNumberFormat="1" applyFont="1"/>
    <xf numFmtId="164" fontId="32" fillId="0" borderId="1" xfId="1" applyNumberFormat="1" applyFont="1" applyBorder="1"/>
    <xf numFmtId="164" fontId="32" fillId="0" borderId="4" xfId="1" applyNumberFormat="1" applyFont="1" applyBorder="1"/>
    <xf numFmtId="43" fontId="42" fillId="22" borderId="0" xfId="1" applyFont="1" applyFill="1"/>
    <xf numFmtId="37" fontId="42" fillId="22" borderId="0" xfId="0" applyNumberFormat="1" applyFont="1" applyFill="1"/>
    <xf numFmtId="164" fontId="42" fillId="19" borderId="0" xfId="1" applyNumberFormat="1" applyFont="1" applyFill="1"/>
    <xf numFmtId="164" fontId="32" fillId="26" borderId="0" xfId="1" applyNumberFormat="1" applyFont="1" applyFill="1"/>
    <xf numFmtId="164" fontId="42" fillId="3" borderId="0" xfId="1" applyNumberFormat="1" applyFont="1" applyFill="1"/>
    <xf numFmtId="164" fontId="32" fillId="0" borderId="3" xfId="1" applyNumberFormat="1" applyFont="1" applyBorder="1"/>
    <xf numFmtId="0" fontId="31" fillId="0" borderId="1" xfId="0" applyFont="1" applyBorder="1"/>
    <xf numFmtId="164" fontId="31" fillId="0" borderId="1" xfId="1" applyNumberFormat="1" applyFont="1" applyBorder="1"/>
    <xf numFmtId="164" fontId="32" fillId="0" borderId="0" xfId="1" applyNumberFormat="1" applyFont="1"/>
    <xf numFmtId="164" fontId="32" fillId="25" borderId="4" xfId="1" applyNumberFormat="1" applyFont="1" applyFill="1" applyBorder="1"/>
    <xf numFmtId="164" fontId="42" fillId="23" borderId="0" xfId="1" applyNumberFormat="1" applyFont="1" applyFill="1"/>
    <xf numFmtId="164" fontId="42" fillId="4" borderId="1" xfId="1" applyNumberFormat="1" applyFont="1" applyFill="1" applyBorder="1"/>
    <xf numFmtId="164" fontId="42" fillId="19" borderId="1" xfId="1" applyNumberFormat="1" applyFont="1" applyFill="1" applyBorder="1"/>
    <xf numFmtId="164" fontId="42" fillId="4" borderId="0" xfId="1" applyNumberFormat="1" applyFont="1" applyFill="1"/>
    <xf numFmtId="164" fontId="32" fillId="19" borderId="0" xfId="1" applyNumberFormat="1" applyFont="1" applyFill="1"/>
    <xf numFmtId="9" fontId="32" fillId="19" borderId="0" xfId="2" applyFont="1" applyFill="1"/>
    <xf numFmtId="9" fontId="31" fillId="0" borderId="0" xfId="0" applyNumberFormat="1" applyFont="1"/>
    <xf numFmtId="164" fontId="42" fillId="0" borderId="0" xfId="0" applyNumberFormat="1" applyFont="1"/>
    <xf numFmtId="164" fontId="32" fillId="0" borderId="8" xfId="0" applyNumberFormat="1" applyFont="1" applyBorder="1"/>
    <xf numFmtId="164" fontId="31" fillId="21" borderId="0" xfId="1" applyNumberFormat="1" applyFont="1" applyFill="1"/>
    <xf numFmtId="164" fontId="32" fillId="21" borderId="0" xfId="1" applyNumberFormat="1" applyFont="1" applyFill="1"/>
    <xf numFmtId="164" fontId="32" fillId="31" borderId="0" xfId="1" applyNumberFormat="1" applyFont="1" applyFill="1"/>
    <xf numFmtId="164" fontId="50" fillId="21" borderId="1" xfId="1" applyNumberFormat="1" applyFont="1" applyFill="1" applyBorder="1"/>
    <xf numFmtId="164" fontId="50" fillId="0" borderId="1" xfId="1" applyNumberFormat="1" applyFont="1" applyBorder="1"/>
    <xf numFmtId="164" fontId="50" fillId="21" borderId="3" xfId="1" applyNumberFormat="1" applyFont="1" applyFill="1" applyBorder="1"/>
    <xf numFmtId="164" fontId="50" fillId="0" borderId="3" xfId="1" applyNumberFormat="1" applyFont="1" applyBorder="1"/>
    <xf numFmtId="164" fontId="50" fillId="0" borderId="0" xfId="1" applyNumberFormat="1" applyFont="1"/>
    <xf numFmtId="164" fontId="50" fillId="0" borderId="4" xfId="1" applyNumberFormat="1" applyFont="1" applyBorder="1"/>
    <xf numFmtId="164" fontId="50" fillId="30" borderId="4" xfId="1" applyNumberFormat="1" applyFont="1" applyFill="1" applyBorder="1"/>
    <xf numFmtId="9" fontId="50" fillId="0" borderId="0" xfId="0" applyNumberFormat="1" applyFont="1"/>
    <xf numFmtId="164" fontId="31" fillId="0" borderId="0" xfId="0" applyNumberFormat="1" applyFont="1"/>
    <xf numFmtId="9" fontId="31" fillId="4" borderId="0" xfId="0" applyNumberFormat="1" applyFont="1" applyFill="1"/>
    <xf numFmtId="10" fontId="31" fillId="0" borderId="0" xfId="0" applyNumberFormat="1" applyFont="1"/>
    <xf numFmtId="0" fontId="50" fillId="0" borderId="0" xfId="0" applyFont="1"/>
    <xf numFmtId="164" fontId="50" fillId="0" borderId="0" xfId="0" applyNumberFormat="1" applyFont="1"/>
    <xf numFmtId="10" fontId="51" fillId="0" borderId="0" xfId="7" applyNumberFormat="1" applyFont="1"/>
    <xf numFmtId="164" fontId="31" fillId="0" borderId="4" xfId="1" applyNumberFormat="1" applyFont="1" applyBorder="1"/>
    <xf numFmtId="164" fontId="42" fillId="0" borderId="9" xfId="1" applyNumberFormat="1" applyFont="1" applyBorder="1"/>
    <xf numFmtId="9" fontId="31" fillId="4" borderId="0" xfId="2" applyFont="1" applyFill="1"/>
    <xf numFmtId="164" fontId="32" fillId="0" borderId="9" xfId="1" applyNumberFormat="1" applyFont="1" applyBorder="1"/>
    <xf numFmtId="164" fontId="50" fillId="0" borderId="4" xfId="0" applyNumberFormat="1" applyFont="1" applyBorder="1"/>
    <xf numFmtId="0" fontId="50" fillId="2" borderId="0" xfId="0" applyFont="1" applyFill="1" applyAlignment="1">
      <alignment horizontal="center"/>
    </xf>
    <xf numFmtId="164" fontId="50" fillId="30" borderId="0" xfId="1" applyNumberFormat="1" applyFont="1" applyFill="1"/>
    <xf numFmtId="164" fontId="50" fillId="28" borderId="1" xfId="1" applyNumberFormat="1" applyFont="1" applyFill="1" applyBorder="1"/>
    <xf numFmtId="164" fontId="50" fillId="31" borderId="0" xfId="1" applyNumberFormat="1" applyFont="1" applyFill="1"/>
    <xf numFmtId="164" fontId="50" fillId="29" borderId="0" xfId="1" applyNumberFormat="1" applyFont="1" applyFill="1"/>
    <xf numFmtId="164" fontId="42" fillId="0" borderId="0" xfId="0" applyNumberFormat="1" applyFont="1" applyAlignment="1">
      <alignment horizontal="right"/>
    </xf>
    <xf numFmtId="0" fontId="42" fillId="0" borderId="0" xfId="0" applyFont="1" applyAlignment="1">
      <alignment horizontal="right"/>
    </xf>
    <xf numFmtId="10" fontId="51" fillId="3" borderId="0" xfId="7" applyNumberFormat="1" applyFont="1" applyFill="1"/>
    <xf numFmtId="171" fontId="42" fillId="0" borderId="0" xfId="0" applyNumberFormat="1" applyFont="1"/>
    <xf numFmtId="10" fontId="50" fillId="0" borderId="14" xfId="0" applyNumberFormat="1" applyFont="1" applyBorder="1"/>
    <xf numFmtId="0" fontId="50" fillId="0" borderId="4" xfId="0" applyFont="1" applyBorder="1"/>
    <xf numFmtId="0" fontId="53" fillId="37" borderId="103" xfId="0" applyFont="1" applyFill="1" applyBorder="1" applyAlignment="1">
      <alignment horizontal="center" vertical="center" wrapText="1"/>
    </xf>
    <xf numFmtId="184" fontId="54" fillId="0" borderId="103" xfId="0" applyNumberFormat="1" applyFont="1" applyBorder="1" applyAlignment="1">
      <alignment vertical="top" wrapText="1"/>
    </xf>
    <xf numFmtId="0" fontId="52" fillId="39" borderId="0" xfId="0" applyFont="1" applyFill="1" applyAlignment="1">
      <alignment wrapText="1"/>
    </xf>
    <xf numFmtId="0" fontId="53" fillId="36" borderId="103" xfId="0" applyFont="1" applyFill="1" applyBorder="1" applyAlignment="1">
      <alignment vertical="top" wrapText="1"/>
    </xf>
    <xf numFmtId="0" fontId="15" fillId="10" borderId="6" xfId="3" applyFont="1" applyFill="1" applyBorder="1" applyAlignment="1">
      <alignment horizontal="center"/>
    </xf>
    <xf numFmtId="166" fontId="15" fillId="20" borderId="6" xfId="4" applyNumberFormat="1" applyFont="1" applyFill="1" applyBorder="1"/>
    <xf numFmtId="0" fontId="50" fillId="32" borderId="6" xfId="0" applyFont="1" applyFill="1" applyBorder="1" applyAlignment="1">
      <alignment horizontal="center"/>
    </xf>
    <xf numFmtId="10" fontId="16" fillId="40" borderId="0" xfId="2" applyNumberFormat="1" applyFont="1" applyFill="1" applyAlignment="1">
      <alignment horizontal="right"/>
    </xf>
    <xf numFmtId="0" fontId="0" fillId="40" borderId="0" xfId="0" quotePrefix="1" applyFill="1" applyAlignment="1">
      <alignment horizontal="right"/>
    </xf>
    <xf numFmtId="166" fontId="16" fillId="41" borderId="0" xfId="4" applyNumberFormat="1" applyFont="1" applyFill="1" applyAlignment="1" applyProtection="1">
      <alignment horizontal="right"/>
      <protection locked="0"/>
    </xf>
    <xf numFmtId="0" fontId="6" fillId="40" borderId="0" xfId="3" applyFill="1" applyAlignment="1">
      <alignment horizontal="right"/>
    </xf>
    <xf numFmtId="0" fontId="14" fillId="40" borderId="0" xfId="3" applyFont="1" applyFill="1"/>
    <xf numFmtId="9" fontId="14" fillId="40" borderId="0" xfId="5" applyFont="1" applyFill="1"/>
    <xf numFmtId="0" fontId="2" fillId="0" borderId="0" xfId="0" applyFont="1" applyAlignment="1">
      <alignment horizontal="center"/>
    </xf>
    <xf numFmtId="0" fontId="6" fillId="0" borderId="6" xfId="3" applyBorder="1"/>
    <xf numFmtId="0" fontId="0" fillId="40" borderId="6" xfId="0" applyFill="1" applyBorder="1" applyAlignment="1">
      <alignment horizontal="right"/>
    </xf>
    <xf numFmtId="0" fontId="0" fillId="0" borderId="6" xfId="0" applyBorder="1" applyAlignment="1">
      <alignment horizontal="left"/>
    </xf>
    <xf numFmtId="0" fontId="0" fillId="40" borderId="6" xfId="0" quotePrefix="1" applyFill="1" applyBorder="1" applyAlignment="1">
      <alignment horizontal="right"/>
    </xf>
    <xf numFmtId="0" fontId="16" fillId="0" borderId="6" xfId="3" applyFont="1" applyBorder="1"/>
    <xf numFmtId="166" fontId="16" fillId="41" borderId="6" xfId="4" applyNumberFormat="1" applyFont="1" applyFill="1" applyBorder="1" applyAlignment="1" applyProtection="1">
      <alignment horizontal="right"/>
      <protection locked="0"/>
    </xf>
    <xf numFmtId="166" fontId="49" fillId="41" borderId="6" xfId="4" applyNumberFormat="1" applyFont="1" applyFill="1" applyBorder="1" applyAlignment="1" applyProtection="1">
      <alignment horizontal="right"/>
      <protection locked="0"/>
    </xf>
    <xf numFmtId="10" fontId="16" fillId="40" borderId="6" xfId="2" applyNumberFormat="1" applyFont="1" applyFill="1" applyBorder="1" applyAlignment="1">
      <alignment horizontal="right"/>
    </xf>
    <xf numFmtId="1" fontId="16" fillId="40" borderId="6" xfId="5" applyNumberFormat="1" applyFont="1" applyFill="1" applyBorder="1" applyAlignment="1">
      <alignment horizontal="right"/>
    </xf>
    <xf numFmtId="14" fontId="28" fillId="41" borderId="6" xfId="3" applyNumberFormat="1" applyFont="1" applyFill="1" applyBorder="1" applyAlignment="1" applyProtection="1">
      <alignment horizontal="right"/>
      <protection locked="0"/>
    </xf>
    <xf numFmtId="0" fontId="6" fillId="40" borderId="6" xfId="3" applyFill="1" applyBorder="1" applyAlignment="1">
      <alignment horizontal="right"/>
    </xf>
    <xf numFmtId="0" fontId="1" fillId="0" borderId="0" xfId="3" applyFont="1"/>
    <xf numFmtId="0" fontId="1" fillId="0" borderId="0" xfId="3" applyFont="1" applyAlignment="1">
      <alignment horizontal="center" vertical="center"/>
    </xf>
    <xf numFmtId="0" fontId="1" fillId="0" borderId="10" xfId="3" applyFont="1" applyBorder="1" applyAlignment="1">
      <alignment horizontal="left" vertical="top" wrapText="1"/>
    </xf>
    <xf numFmtId="0" fontId="1" fillId="0" borderId="0" xfId="3" applyFont="1" applyAlignment="1">
      <alignment horizontal="left" vertical="center"/>
    </xf>
    <xf numFmtId="0" fontId="1" fillId="0" borderId="12" xfId="3" applyFont="1" applyBorder="1" applyAlignment="1">
      <alignment horizontal="left" vertical="top" wrapText="1"/>
    </xf>
    <xf numFmtId="0" fontId="1" fillId="0" borderId="10" xfId="3" applyFont="1" applyBorder="1" applyAlignment="1">
      <alignment horizontal="left" vertical="center" wrapText="1"/>
    </xf>
    <xf numFmtId="0" fontId="1" fillId="0" borderId="12" xfId="3" applyFont="1" applyBorder="1" applyAlignment="1">
      <alignment horizontal="left" vertical="center" wrapText="1"/>
    </xf>
    <xf numFmtId="0" fontId="1" fillId="0" borderId="10" xfId="3" applyFont="1" applyBorder="1" applyAlignment="1">
      <alignment horizontal="left" wrapText="1"/>
    </xf>
    <xf numFmtId="0" fontId="1" fillId="0" borderId="12" xfId="3" applyFont="1" applyBorder="1" applyAlignment="1">
      <alignment horizontal="left" wrapText="1"/>
    </xf>
    <xf numFmtId="9" fontId="1" fillId="0" borderId="0" xfId="3" applyNumberFormat="1" applyFont="1" applyAlignment="1">
      <alignment horizontal="center" vertical="center"/>
    </xf>
    <xf numFmtId="9" fontId="1" fillId="0" borderId="0" xfId="3" applyNumberFormat="1" applyFont="1" applyAlignment="1">
      <alignment horizontal="right"/>
    </xf>
    <xf numFmtId="0" fontId="0" fillId="0" borderId="0" xfId="3" applyFont="1"/>
    <xf numFmtId="0" fontId="1" fillId="0" borderId="0" xfId="3" applyFont="1" applyAlignment="1">
      <alignment horizontal="center"/>
    </xf>
    <xf numFmtId="0" fontId="28" fillId="0" borderId="10" xfId="3" applyFont="1" applyBorder="1" applyAlignment="1">
      <alignment horizontal="left" vertical="top" wrapText="1"/>
    </xf>
    <xf numFmtId="0" fontId="28" fillId="0" borderId="12" xfId="3" applyFont="1" applyBorder="1" applyAlignment="1">
      <alignment horizontal="left" vertical="top" wrapText="1"/>
    </xf>
    <xf numFmtId="0" fontId="28" fillId="0" borderId="10" xfId="3" applyFont="1" applyBorder="1" applyAlignment="1">
      <alignment horizontal="left" vertical="center" wrapText="1"/>
    </xf>
    <xf numFmtId="0" fontId="28" fillId="0" borderId="12" xfId="3" applyFont="1" applyBorder="1" applyAlignment="1">
      <alignment horizontal="left" vertical="center" wrapText="1"/>
    </xf>
    <xf numFmtId="0" fontId="28" fillId="0" borderId="0" xfId="3" applyFont="1" applyAlignment="1">
      <alignment horizontal="right"/>
    </xf>
    <xf numFmtId="0" fontId="28" fillId="0" borderId="0" xfId="3" applyFont="1" applyAlignment="1">
      <alignment horizontal="center"/>
    </xf>
    <xf numFmtId="9" fontId="1" fillId="0" borderId="0" xfId="3" quotePrefix="1" applyNumberFormat="1" applyFont="1" applyAlignment="1">
      <alignment horizontal="right"/>
    </xf>
    <xf numFmtId="41" fontId="3" fillId="0" borderId="0" xfId="8" applyFont="1"/>
    <xf numFmtId="41" fontId="0" fillId="0" borderId="0" xfId="0" applyNumberFormat="1" applyAlignment="1">
      <alignment horizontal="right"/>
    </xf>
    <xf numFmtId="0" fontId="0" fillId="0" borderId="0" xfId="4" applyNumberFormat="1" applyFont="1"/>
    <xf numFmtId="0" fontId="59" fillId="0" borderId="0" xfId="0" applyFont="1" applyAlignment="1">
      <alignment horizontal="center"/>
    </xf>
    <xf numFmtId="0" fontId="31" fillId="0" borderId="0" xfId="0" applyFont="1"/>
    <xf numFmtId="0" fontId="36" fillId="0" borderId="0" xfId="0" applyFont="1" applyAlignment="1">
      <alignment horizontal="center"/>
    </xf>
    <xf numFmtId="0" fontId="0" fillId="0" borderId="0" xfId="0"/>
    <xf numFmtId="0" fontId="0" fillId="0" borderId="0" xfId="0" applyAlignment="1">
      <alignment horizontal="center"/>
    </xf>
    <xf numFmtId="9" fontId="3" fillId="0" borderId="0" xfId="2" applyFont="1" applyAlignment="1">
      <alignment horizontal="center"/>
    </xf>
    <xf numFmtId="0" fontId="26" fillId="0" borderId="0" xfId="0" applyFont="1" applyAlignment="1">
      <alignment horizontal="center"/>
    </xf>
    <xf numFmtId="0" fontId="25" fillId="0" borderId="0" xfId="0" applyFont="1"/>
    <xf numFmtId="0" fontId="24" fillId="0" borderId="0" xfId="0" applyFont="1" applyAlignment="1">
      <alignment horizontal="center"/>
    </xf>
    <xf numFmtId="0" fontId="3" fillId="0" borderId="13" xfId="3" applyFont="1" applyBorder="1" applyAlignment="1">
      <alignment horizontal="center" vertical="center"/>
    </xf>
    <xf numFmtId="0" fontId="1" fillId="0" borderId="82" xfId="0" applyFont="1" applyBorder="1"/>
    <xf numFmtId="0" fontId="28" fillId="0" borderId="6" xfId="3" applyFont="1" applyBorder="1" applyAlignment="1">
      <alignment horizontal="center" vertical="center"/>
    </xf>
    <xf numFmtId="0" fontId="1" fillId="0" borderId="12" xfId="0" applyFont="1" applyBorder="1"/>
    <xf numFmtId="0" fontId="1" fillId="0" borderId="11" xfId="0" applyFont="1" applyBorder="1"/>
    <xf numFmtId="0" fontId="28" fillId="0" borderId="6" xfId="3" applyFont="1" applyBorder="1" applyAlignment="1">
      <alignment horizontal="left" vertical="center" wrapText="1"/>
    </xf>
    <xf numFmtId="0" fontId="28" fillId="12" borderId="6" xfId="3" applyFont="1" applyFill="1" applyBorder="1" applyAlignment="1" applyProtection="1">
      <alignment horizontal="center" vertical="center"/>
      <protection locked="0"/>
    </xf>
    <xf numFmtId="0" fontId="1" fillId="0" borderId="12" xfId="0" applyFont="1" applyBorder="1" applyProtection="1">
      <protection locked="0"/>
    </xf>
    <xf numFmtId="0" fontId="28" fillId="0" borderId="6" xfId="3" applyFont="1" applyBorder="1" applyAlignment="1">
      <alignment horizontal="left" vertical="center"/>
    </xf>
    <xf numFmtId="0" fontId="28" fillId="0" borderId="6" xfId="3" applyFont="1" applyBorder="1" applyAlignment="1">
      <alignment horizontal="left" vertical="top" wrapText="1"/>
    </xf>
    <xf numFmtId="0" fontId="58" fillId="0" borderId="0" xfId="3" applyFont="1" applyAlignment="1">
      <alignment horizontal="center"/>
    </xf>
    <xf numFmtId="0" fontId="28" fillId="0" borderId="0" xfId="3" applyFont="1"/>
    <xf numFmtId="0" fontId="1" fillId="0" borderId="79" xfId="0" applyFont="1" applyBorder="1"/>
    <xf numFmtId="0" fontId="1" fillId="0" borderId="78" xfId="0" applyFont="1" applyBorder="1"/>
    <xf numFmtId="0" fontId="1" fillId="0" borderId="80" xfId="0" applyFont="1" applyBorder="1"/>
    <xf numFmtId="0" fontId="1" fillId="0" borderId="63" xfId="0" applyFont="1" applyBorder="1"/>
    <xf numFmtId="0" fontId="1" fillId="0" borderId="81" xfId="0" applyFont="1" applyBorder="1"/>
    <xf numFmtId="0" fontId="1" fillId="0" borderId="6" xfId="3" applyFont="1" applyBorder="1" applyAlignment="1">
      <alignment horizontal="center" vertical="center"/>
    </xf>
    <xf numFmtId="0" fontId="1" fillId="0" borderId="6" xfId="3" applyFont="1" applyBorder="1" applyAlignment="1">
      <alignment horizontal="left" vertical="center" wrapText="1"/>
    </xf>
    <xf numFmtId="0" fontId="1" fillId="12" borderId="6" xfId="3" applyFont="1" applyFill="1" applyBorder="1" applyAlignment="1" applyProtection="1">
      <alignment horizontal="center" vertical="center"/>
      <protection locked="0"/>
    </xf>
    <xf numFmtId="0" fontId="1" fillId="0" borderId="6" xfId="3" applyFont="1" applyBorder="1" applyAlignment="1">
      <alignment horizontal="left" wrapText="1"/>
    </xf>
    <xf numFmtId="0" fontId="1" fillId="0" borderId="6" xfId="3" applyFont="1" applyBorder="1" applyAlignment="1">
      <alignment horizontal="left" vertical="center"/>
    </xf>
    <xf numFmtId="0" fontId="1" fillId="0" borderId="6" xfId="3" applyFont="1" applyBorder="1" applyAlignment="1">
      <alignment horizontal="left" vertical="top" wrapText="1"/>
    </xf>
    <xf numFmtId="0" fontId="3" fillId="0" borderId="6" xfId="3" applyFont="1" applyBorder="1" applyAlignment="1">
      <alignment horizontal="center" vertical="center"/>
    </xf>
    <xf numFmtId="0" fontId="1" fillId="0" borderId="83" xfId="0" applyFont="1" applyBorder="1"/>
    <xf numFmtId="0" fontId="57" fillId="0" borderId="0" xfId="3" applyFont="1" applyAlignment="1">
      <alignment horizontal="center"/>
    </xf>
    <xf numFmtId="0" fontId="1" fillId="0" borderId="0" xfId="3" applyFont="1"/>
    <xf numFmtId="0" fontId="0" fillId="0" borderId="70" xfId="0" applyBorder="1" applyAlignment="1">
      <alignment horizontal="left"/>
    </xf>
    <xf numFmtId="0" fontId="0" fillId="0" borderId="70" xfId="0" applyBorder="1"/>
    <xf numFmtId="164" fontId="5" fillId="0" borderId="77" xfId="1" applyNumberFormat="1" applyFont="1" applyBorder="1" applyAlignment="1">
      <alignment horizontal="center"/>
    </xf>
    <xf numFmtId="0" fontId="0" fillId="0" borderId="77" xfId="0" applyBorder="1"/>
    <xf numFmtId="164" fontId="5" fillId="0" borderId="0" xfId="1" applyNumberFormat="1" applyFont="1" applyAlignment="1">
      <alignment horizontal="left"/>
    </xf>
    <xf numFmtId="164" fontId="5" fillId="0" borderId="70" xfId="1" applyNumberFormat="1" applyFont="1" applyBorder="1" applyAlignment="1">
      <alignment horizontal="left"/>
    </xf>
    <xf numFmtId="0" fontId="3" fillId="25" borderId="39" xfId="0" applyFont="1" applyFill="1" applyBorder="1" applyAlignment="1">
      <alignment horizontal="center"/>
    </xf>
    <xf numFmtId="0" fontId="0" fillId="0" borderId="84" xfId="0" applyBorder="1"/>
    <xf numFmtId="0" fontId="0" fillId="0" borderId="16" xfId="0" applyBorder="1"/>
    <xf numFmtId="164" fontId="0" fillId="34" borderId="77" xfId="1" applyNumberFormat="1" applyFont="1" applyFill="1" applyBorder="1" applyAlignment="1">
      <alignment horizontal="left"/>
    </xf>
    <xf numFmtId="164" fontId="0" fillId="34" borderId="70" xfId="1" applyNumberFormat="1" applyFont="1" applyFill="1" applyBorder="1" applyAlignment="1">
      <alignment horizontal="left"/>
    </xf>
    <xf numFmtId="164" fontId="0" fillId="34" borderId="0" xfId="1" applyNumberFormat="1" applyFont="1" applyFill="1" applyAlignment="1">
      <alignment horizontal="left"/>
    </xf>
    <xf numFmtId="0" fontId="0" fillId="25" borderId="0" xfId="0" applyFill="1"/>
    <xf numFmtId="1" fontId="0" fillId="34" borderId="70" xfId="0" applyNumberFormat="1" applyFill="1" applyBorder="1" applyAlignment="1">
      <alignment horizontal="left"/>
    </xf>
    <xf numFmtId="0" fontId="3" fillId="3" borderId="0" xfId="0" applyFont="1" applyFill="1" applyAlignment="1">
      <alignment horizontal="center"/>
    </xf>
    <xf numFmtId="0" fontId="2" fillId="2" borderId="4" xfId="0" applyFont="1" applyFill="1" applyBorder="1" applyAlignment="1">
      <alignment horizontal="center"/>
    </xf>
    <xf numFmtId="0" fontId="0" fillId="0" borderId="4" xfId="0" applyBorder="1"/>
    <xf numFmtId="0" fontId="2" fillId="2" borderId="2" xfId="0" applyFont="1" applyFill="1" applyBorder="1" applyAlignment="1">
      <alignment horizontal="center"/>
    </xf>
    <xf numFmtId="0" fontId="0" fillId="0" borderId="2" xfId="0" applyBorder="1"/>
    <xf numFmtId="0" fontId="8" fillId="7" borderId="0" xfId="3" applyFont="1" applyFill="1" applyAlignment="1">
      <alignment horizontal="center"/>
    </xf>
    <xf numFmtId="0" fontId="6" fillId="0" borderId="0" xfId="3"/>
    <xf numFmtId="0" fontId="7" fillId="6" borderId="0" xfId="3" applyFont="1" applyFill="1" applyAlignment="1">
      <alignment horizontal="center"/>
    </xf>
    <xf numFmtId="0" fontId="9" fillId="8" borderId="6" xfId="3" applyFont="1" applyFill="1" applyBorder="1" applyAlignment="1">
      <alignment horizontal="center"/>
    </xf>
    <xf numFmtId="0" fontId="0" fillId="0" borderId="82" xfId="0" applyBorder="1"/>
    <xf numFmtId="0" fontId="0" fillId="0" borderId="83" xfId="0" applyBorder="1"/>
    <xf numFmtId="0" fontId="9" fillId="9" borderId="6" xfId="3" applyFont="1" applyFill="1" applyBorder="1" applyAlignment="1">
      <alignment horizontal="center"/>
    </xf>
    <xf numFmtId="0" fontId="3" fillId="32" borderId="21" xfId="0" applyFont="1" applyFill="1" applyBorder="1" applyAlignment="1">
      <alignment horizontal="center"/>
    </xf>
    <xf numFmtId="0" fontId="0" fillId="0" borderId="86" xfId="0" applyBorder="1"/>
    <xf numFmtId="0" fontId="0" fillId="0" borderId="87" xfId="0" applyBorder="1"/>
    <xf numFmtId="0" fontId="3" fillId="32" borderId="85" xfId="0" applyFont="1" applyFill="1" applyBorder="1" applyAlignment="1">
      <alignment horizontal="center"/>
    </xf>
    <xf numFmtId="0" fontId="0" fillId="0" borderId="31" xfId="0" applyBorder="1"/>
    <xf numFmtId="0" fontId="3" fillId="32" borderId="21" xfId="0" applyFont="1" applyFill="1" applyBorder="1" applyAlignment="1">
      <alignment horizontal="center" vertical="center"/>
    </xf>
    <xf numFmtId="0" fontId="0" fillId="0" borderId="58" xfId="0" applyBorder="1"/>
    <xf numFmtId="0" fontId="3" fillId="32" borderId="22" xfId="0" applyFont="1" applyFill="1" applyBorder="1" applyAlignment="1">
      <alignment horizontal="center"/>
    </xf>
    <xf numFmtId="0" fontId="0" fillId="0" borderId="30" xfId="0" applyBorder="1"/>
    <xf numFmtId="0" fontId="3" fillId="0" borderId="88" xfId="0" applyFont="1" applyBorder="1" applyAlignment="1">
      <alignment horizontal="center" vertical="center" wrapText="1"/>
    </xf>
    <xf numFmtId="0" fontId="0" fillId="0" borderId="41" xfId="0" applyBorder="1"/>
    <xf numFmtId="0" fontId="3" fillId="0" borderId="90" xfId="0" applyFont="1" applyBorder="1" applyAlignment="1">
      <alignment horizontal="center"/>
    </xf>
    <xf numFmtId="0" fontId="0" fillId="0" borderId="91" xfId="0" applyBorder="1"/>
    <xf numFmtId="0" fontId="0" fillId="0" borderId="57" xfId="0" applyBorder="1"/>
    <xf numFmtId="0" fontId="3" fillId="0" borderId="46" xfId="0" applyFont="1" applyBorder="1" applyAlignment="1">
      <alignment horizontal="center" vertical="center" wrapText="1"/>
    </xf>
    <xf numFmtId="0" fontId="0" fillId="0" borderId="9" xfId="0" applyBorder="1"/>
    <xf numFmtId="0" fontId="0" fillId="0" borderId="89" xfId="0" applyBorder="1"/>
    <xf numFmtId="0" fontId="37" fillId="0" borderId="0" xfId="0" applyFont="1" applyAlignment="1">
      <alignment horizontal="center" vertical="center"/>
    </xf>
    <xf numFmtId="172" fontId="2" fillId="33" borderId="6" xfId="1" applyNumberFormat="1" applyFont="1" applyFill="1" applyBorder="1" applyAlignment="1">
      <alignment horizontal="center"/>
    </xf>
    <xf numFmtId="0" fontId="0" fillId="0" borderId="0" xfId="0" applyAlignment="1">
      <alignment horizontal="left" vertical="top" wrapText="1"/>
    </xf>
    <xf numFmtId="0" fontId="0" fillId="0" borderId="6" xfId="0" applyBorder="1" applyAlignment="1">
      <alignment horizontal="left" vertical="top" wrapText="1"/>
    </xf>
    <xf numFmtId="0" fontId="3" fillId="0" borderId="22" xfId="0" applyFont="1" applyBorder="1" applyAlignment="1">
      <alignment horizontal="center" vertical="top" wrapText="1"/>
    </xf>
    <xf numFmtId="0" fontId="0" fillId="0" borderId="45" xfId="0" applyBorder="1"/>
    <xf numFmtId="0" fontId="0" fillId="0" borderId="98" xfId="0" applyBorder="1"/>
    <xf numFmtId="0" fontId="0" fillId="0" borderId="1" xfId="0" applyBorder="1"/>
    <xf numFmtId="0" fontId="0" fillId="0" borderId="73" xfId="0" applyBorder="1"/>
    <xf numFmtId="0" fontId="0" fillId="0" borderId="12" xfId="0" applyBorder="1" applyAlignment="1">
      <alignment horizontal="center" vertical="top" wrapText="1"/>
    </xf>
    <xf numFmtId="0" fontId="0" fillId="0" borderId="81" xfId="0" applyBorder="1"/>
    <xf numFmtId="0" fontId="0" fillId="0" borderId="27" xfId="0" applyBorder="1" applyAlignment="1">
      <alignment horizontal="center" vertical="top" wrapText="1"/>
    </xf>
    <xf numFmtId="0" fontId="0" fillId="0" borderId="94" xfId="0" applyBorder="1"/>
    <xf numFmtId="0" fontId="0" fillId="0" borderId="12" xfId="0" applyBorder="1" applyAlignment="1">
      <alignment horizontal="left" vertical="top" wrapText="1"/>
    </xf>
    <xf numFmtId="0" fontId="0" fillId="0" borderId="92" xfId="0" applyBorder="1"/>
    <xf numFmtId="0" fontId="0" fillId="0" borderId="6" xfId="0" applyBorder="1" applyAlignment="1">
      <alignment horizontal="center" vertical="top" wrapText="1"/>
    </xf>
    <xf numFmtId="0" fontId="0" fillId="0" borderId="27" xfId="0" applyBorder="1" applyAlignment="1">
      <alignment horizontal="left" vertical="top" wrapText="1"/>
    </xf>
    <xf numFmtId="0" fontId="0" fillId="0" borderId="93" xfId="0" applyBorder="1"/>
    <xf numFmtId="0" fontId="3" fillId="0" borderId="23" xfId="0" applyFont="1" applyBorder="1" applyAlignment="1">
      <alignment horizontal="center" vertical="center" wrapText="1"/>
    </xf>
    <xf numFmtId="0" fontId="0" fillId="0" borderId="59" xfId="0" applyBorder="1"/>
    <xf numFmtId="0" fontId="3" fillId="0" borderId="22" xfId="0" applyFont="1" applyBorder="1" applyAlignment="1">
      <alignment horizontal="center" vertical="center"/>
    </xf>
    <xf numFmtId="0" fontId="0" fillId="0" borderId="97" xfId="0" applyBorder="1"/>
    <xf numFmtId="0" fontId="3" fillId="0" borderId="22" xfId="0" applyFont="1" applyBorder="1" applyAlignment="1">
      <alignment horizontal="center"/>
    </xf>
    <xf numFmtId="0" fontId="0" fillId="0" borderId="25" xfId="0" applyBorder="1" applyAlignment="1">
      <alignment horizontal="center" vertical="top" wrapText="1"/>
    </xf>
    <xf numFmtId="0" fontId="3" fillId="0" borderId="95" xfId="0" applyFont="1" applyBorder="1" applyAlignment="1">
      <alignment horizontal="center" vertical="center" wrapText="1"/>
    </xf>
    <xf numFmtId="0" fontId="0" fillId="0" borderId="96" xfId="0" applyBorder="1"/>
    <xf numFmtId="0" fontId="3" fillId="0" borderId="23" xfId="0" applyFont="1" applyBorder="1" applyAlignment="1">
      <alignment horizontal="center" vertical="center"/>
    </xf>
    <xf numFmtId="0" fontId="3" fillId="0" borderId="21" xfId="0" applyFont="1" applyBorder="1" applyAlignment="1">
      <alignment horizontal="center"/>
    </xf>
    <xf numFmtId="0" fontId="0" fillId="0" borderId="59" xfId="0" applyBorder="1" applyAlignment="1">
      <alignment horizontal="center" vertical="top" wrapText="1"/>
    </xf>
    <xf numFmtId="0" fontId="0" fillId="0" borderId="51" xfId="0" applyBorder="1"/>
    <xf numFmtId="0" fontId="3" fillId="0" borderId="21" xfId="0" applyFont="1" applyBorder="1" applyAlignment="1">
      <alignment horizontal="center" vertical="top" wrapText="1"/>
    </xf>
    <xf numFmtId="0" fontId="0" fillId="0" borderId="100" xfId="0" applyBorder="1" applyAlignment="1">
      <alignment horizontal="center" vertical="center" textRotation="90" wrapText="1"/>
    </xf>
    <xf numFmtId="0" fontId="0" fillId="0" borderId="40" xfId="0" applyBorder="1"/>
    <xf numFmtId="0" fontId="0" fillId="0" borderId="44" xfId="0" applyBorder="1"/>
    <xf numFmtId="0" fontId="0" fillId="32" borderId="35" xfId="0" applyFill="1" applyBorder="1" applyAlignment="1">
      <alignment horizontal="center"/>
    </xf>
    <xf numFmtId="0" fontId="0" fillId="0" borderId="7" xfId="0" applyBorder="1"/>
    <xf numFmtId="0" fontId="0" fillId="0" borderId="35" xfId="0" applyBorder="1"/>
    <xf numFmtId="41" fontId="0" fillId="0" borderId="41" xfId="0" applyNumberFormat="1" applyBorder="1" applyAlignment="1">
      <alignment horizontal="left"/>
    </xf>
    <xf numFmtId="0" fontId="0" fillId="0" borderId="99" xfId="0" applyBorder="1"/>
    <xf numFmtId="0" fontId="0" fillId="0" borderId="20" xfId="0" applyBorder="1"/>
    <xf numFmtId="0" fontId="0" fillId="32" borderId="102" xfId="0" applyFill="1" applyBorder="1" applyAlignment="1">
      <alignment horizontal="center"/>
    </xf>
    <xf numFmtId="0" fontId="0" fillId="0" borderId="102" xfId="0" applyBorder="1"/>
    <xf numFmtId="41" fontId="0" fillId="0" borderId="39" xfId="0" applyNumberFormat="1" applyBorder="1" applyAlignment="1">
      <alignment horizontal="left"/>
    </xf>
    <xf numFmtId="0" fontId="0" fillId="0" borderId="101" xfId="0" applyBorder="1" applyAlignment="1">
      <alignment horizontal="center" vertical="center" textRotation="90" wrapText="1"/>
    </xf>
    <xf numFmtId="0" fontId="3" fillId="0" borderId="1" xfId="0" applyFont="1" applyBorder="1" applyAlignment="1">
      <alignment horizontal="center"/>
    </xf>
    <xf numFmtId="0" fontId="3" fillId="0" borderId="0" xfId="0" applyFont="1" applyAlignment="1">
      <alignment horizontal="center"/>
    </xf>
  </cellXfs>
  <cellStyles count="10">
    <cellStyle name="Comma" xfId="1" builtinId="3"/>
    <cellStyle name="Comma [0]" xfId="8" builtinId="6"/>
    <cellStyle name="Comma [0] 2" xfId="6" xr:uid="{00000000-0005-0000-0000-000006000000}"/>
    <cellStyle name="Comma 2" xfId="4" xr:uid="{00000000-0005-0000-0000-000004000000}"/>
    <cellStyle name="Hyperlink" xfId="7" builtinId="8"/>
    <cellStyle name="Normal" xfId="0" builtinId="0"/>
    <cellStyle name="Normal 2" xfId="3" xr:uid="{00000000-0005-0000-0000-000003000000}"/>
    <cellStyle name="Normal 2 2" xfId="9" xr:uid="{00000000-0005-0000-0000-000009000000}"/>
    <cellStyle name="Percent" xfId="2" builtinId="5"/>
    <cellStyle name="Percent 2" xfId="5" xr:uid="{00000000-0005-0000-0000-000005000000}"/>
  </cellStyles>
  <dxfs count="28">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3743705557422"/>
        </patternFill>
      </fill>
    </dxf>
    <dxf>
      <fill>
        <patternFill>
          <bgColor theme="0" tint="-0.14993743705557422"/>
        </patternFill>
      </fill>
    </dxf>
    <dxf>
      <font>
        <color theme="0"/>
      </font>
    </dxf>
    <dxf>
      <font>
        <b/>
        <color theme="0"/>
      </font>
      <fill>
        <patternFill>
          <bgColor rgb="FFFF0000"/>
        </patternFill>
      </fill>
    </dxf>
    <dxf>
      <font>
        <b/>
        <color theme="0"/>
      </font>
      <fill>
        <patternFill>
          <bgColor rgb="FFFF0000"/>
        </patternFill>
      </fill>
    </dxf>
    <dxf>
      <font>
        <b/>
        <color theme="0"/>
      </font>
      <fill>
        <patternFill>
          <bgColor rgb="FFFF0000"/>
        </patternFill>
      </fill>
    </dxf>
    <dxf>
      <font>
        <strike val="0"/>
        <condense val="0"/>
        <extend val="0"/>
        <outline val="0"/>
        <shadow val="0"/>
        <vertAlign val="baseline"/>
        <sz val="11"/>
        <color theme="1"/>
        <name val="Calibri"/>
        <family val="2"/>
        <scheme val="minor"/>
      </font>
      <numFmt numFmtId="14" formatCode="0.00%"/>
    </dxf>
    <dxf>
      <font>
        <i/>
        <strike val="0"/>
        <condense val="0"/>
        <extend val="0"/>
        <outline val="0"/>
        <shadow val="0"/>
        <vertAlign val="baseline"/>
        <sz val="11"/>
        <color theme="1"/>
        <name val="Calibri"/>
        <family val="2"/>
        <scheme val="minor"/>
      </font>
      <numFmt numFmtId="14" formatCode="0.00%"/>
    </dxf>
    <dxf>
      <font>
        <strike val="0"/>
        <condense val="0"/>
        <extend val="0"/>
        <outline val="0"/>
        <shadow val="0"/>
        <vertAlign val="baseline"/>
        <sz val="11"/>
        <color theme="1"/>
        <name val="Calibri"/>
        <family val="2"/>
        <scheme val="minor"/>
      </font>
      <numFmt numFmtId="14" formatCode="0.00%"/>
    </dxf>
    <dxf>
      <font>
        <strike val="0"/>
        <condense val="0"/>
        <extend val="0"/>
        <outline val="0"/>
        <shadow val="0"/>
        <vertAlign val="baseline"/>
        <sz val="11"/>
        <color theme="1"/>
        <name val="Calibri"/>
        <family val="2"/>
        <scheme val="minor"/>
      </font>
      <numFmt numFmtId="14" formatCode="0.00%"/>
    </dxf>
    <dxf>
      <font>
        <strike val="0"/>
        <condense val="0"/>
        <extend val="0"/>
        <outline val="0"/>
        <shadow val="0"/>
        <vertAlign val="baseline"/>
        <sz val="11"/>
        <color theme="1"/>
        <name val="Calibri"/>
        <family val="2"/>
        <scheme val="minor"/>
      </font>
      <numFmt numFmtId="14" formatCode="0.00%"/>
    </dxf>
    <dxf>
      <font>
        <strike val="0"/>
        <condense val="0"/>
        <extend val="0"/>
        <outline val="0"/>
        <shadow val="0"/>
        <vertAlign val="baseline"/>
        <sz val="11"/>
        <color theme="1"/>
        <name val="Calibri"/>
        <family val="2"/>
        <scheme val="minor"/>
      </font>
    </dxf>
    <dxf>
      <font>
        <strike val="0"/>
        <condense val="0"/>
        <extend val="0"/>
        <outline val="0"/>
        <shadow val="0"/>
        <vertAlign val="baseline"/>
        <sz val="11"/>
        <color theme="1"/>
        <name val="Calibri"/>
        <family val="2"/>
        <scheme val="minor"/>
      </font>
      <numFmt numFmtId="14" formatCode="0.00%"/>
    </dxf>
    <dxf>
      <font>
        <i/>
        <strike val="0"/>
        <condense val="0"/>
        <extend val="0"/>
        <outline val="0"/>
        <shadow val="0"/>
        <vertAlign val="baseline"/>
        <sz val="11"/>
        <color theme="1"/>
        <name val="Calibri"/>
        <family val="2"/>
        <scheme val="minor"/>
      </font>
      <numFmt numFmtId="183" formatCode="_-* #,##0.00_-;\-* #,##0.00_-;_-* &quot;-&quot;_-;_-@_-"/>
    </dxf>
    <dxf>
      <font>
        <strike val="0"/>
        <condense val="0"/>
        <extend val="0"/>
        <outline val="0"/>
        <shadow val="0"/>
        <vertAlign val="baseline"/>
        <sz val="11"/>
        <color theme="1"/>
        <name val="Calibri"/>
        <family val="2"/>
        <scheme val="minor"/>
      </font>
    </dxf>
    <dxf>
      <font>
        <strike val="0"/>
        <condense val="0"/>
        <extend val="0"/>
        <outline val="0"/>
        <shadow val="0"/>
        <vertAlign val="baseline"/>
        <sz val="11"/>
        <color theme="1"/>
        <name val="Calibri"/>
        <family val="2"/>
        <scheme val="minor"/>
      </font>
    </dxf>
    <dxf>
      <font>
        <strike val="0"/>
        <condense val="0"/>
        <extend val="0"/>
        <outline val="0"/>
        <shadow val="0"/>
        <vertAlign val="baseline"/>
        <sz val="11"/>
        <color theme="1"/>
        <name val="Calibri"/>
        <family val="2"/>
        <scheme val="minor"/>
      </font>
    </dxf>
    <dxf>
      <font>
        <strike val="0"/>
        <condense val="0"/>
        <extend val="0"/>
        <outline val="0"/>
        <shadow val="0"/>
        <vertAlign val="baseline"/>
        <sz val="11"/>
        <color theme="1"/>
        <name val="Calibri"/>
        <family val="2"/>
        <scheme val="minor"/>
      </font>
    </dxf>
    <dxf>
      <font>
        <strike val="0"/>
        <condense val="0"/>
        <extend val="0"/>
        <outline val="0"/>
        <shadow val="0"/>
        <vertAlign val="baseline"/>
        <sz val="11"/>
        <color theme="1"/>
        <name val="Calibri"/>
        <family val="2"/>
        <scheme val="minor"/>
      </font>
    </dxf>
    <dxf>
      <font>
        <i/>
        <strike val="0"/>
        <condense val="0"/>
        <extend val="0"/>
        <outline val="0"/>
        <shadow val="0"/>
        <vertAlign val="baseline"/>
        <sz val="11"/>
        <color theme="1"/>
        <name val="Calibri"/>
        <family val="2"/>
        <scheme val="minor"/>
      </font>
      <numFmt numFmtId="14" formatCode="0.00%"/>
    </dxf>
    <dxf>
      <font>
        <strike val="0"/>
        <condense val="0"/>
        <extend val="0"/>
        <outline val="0"/>
        <shadow val="0"/>
        <vertAlign val="baseline"/>
        <sz val="11"/>
        <color theme="1"/>
        <name val="Calibri"/>
        <family val="2"/>
        <scheme val="minor"/>
      </font>
      <numFmt numFmtId="14" formatCode="0.00%"/>
    </dxf>
    <dxf>
      <font>
        <strike val="0"/>
        <condense val="0"/>
        <extend val="0"/>
        <outline val="0"/>
        <shadow val="0"/>
        <vertAlign val="baseline"/>
        <sz val="11"/>
        <color theme="1"/>
        <name val="Calibri"/>
        <family val="2"/>
        <scheme val="minor"/>
      </font>
      <numFmt numFmtId="14" formatCode="0.00%"/>
    </dxf>
    <dxf>
      <font>
        <strike val="0"/>
        <condense val="0"/>
        <extend val="0"/>
        <outline val="0"/>
        <shadow val="0"/>
        <vertAlign val="baseline"/>
        <sz val="11"/>
        <color theme="1"/>
        <name val="Calibri"/>
        <family val="2"/>
        <scheme val="minor"/>
      </font>
      <numFmt numFmtId="14" formatCode="0.00%"/>
    </dxf>
    <dxf>
      <font>
        <strike val="0"/>
        <condense val="0"/>
        <extend val="0"/>
        <outline val="0"/>
        <shadow val="0"/>
        <vertAlign val="baseline"/>
        <sz val="11"/>
        <color theme="1"/>
        <name val="Calibri"/>
        <family val="2"/>
        <scheme val="minor"/>
      </font>
    </dxf>
    <dxf>
      <font>
        <strike val="0"/>
        <condense val="0"/>
        <extend val="0"/>
        <outline val="0"/>
        <shadow val="0"/>
        <vertAlign val="baseline"/>
        <sz val="11"/>
        <color theme="1"/>
        <name val="Calibri"/>
        <family val="2"/>
        <scheme val="minor"/>
      </font>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2.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Sales, COGS, Gross Profit, &amp;</a:t>
            </a:r>
            <a:r>
              <a:rPr lang="en-US" baseline="0"/>
              <a:t> Net Profit</a:t>
            </a:r>
            <a:endParaRPr lang="en-US"/>
          </a:p>
        </c:rich>
      </c:tx>
      <c:overlay val="0"/>
      <c:spPr>
        <a:noFill/>
        <a:ln>
          <a:noFill/>
          <a:prstDash val="solid"/>
        </a:ln>
      </c:spPr>
    </c:title>
    <c:autoTitleDeleted val="0"/>
    <c:plotArea>
      <c:layout>
        <c:manualLayout>
          <c:layoutTarget val="inner"/>
          <c:xMode val="edge"/>
          <c:yMode val="edge"/>
          <c:x val="0.28506257465504897"/>
          <c:y val="0.1016531479602385"/>
          <c:w val="0.66873892988807859"/>
          <c:h val="0.6708661481894227"/>
        </c:manualLayout>
      </c:layout>
      <c:barChart>
        <c:barDir val="col"/>
        <c:grouping val="clustered"/>
        <c:varyColors val="0"/>
        <c:ser>
          <c:idx val="0"/>
          <c:order val="0"/>
          <c:tx>
            <c:v>Revenue</c:v>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solidFill>
                <a:schemeClr val="accent1"/>
              </a:solidFill>
              <a:prstDash val="solid"/>
            </a:ln>
          </c:spPr>
          <c:invertIfNegative val="0"/>
          <c:cat>
            <c:numRef>
              <c:f>'INCOME STATEMENT'!$C$5:$E$5</c:f>
              <c:numCache>
                <c:formatCode>General</c:formatCode>
                <c:ptCount val="3"/>
                <c:pt idx="0">
                  <c:v>2019</c:v>
                </c:pt>
                <c:pt idx="1">
                  <c:v>2020</c:v>
                </c:pt>
                <c:pt idx="2">
                  <c:v>2021</c:v>
                </c:pt>
              </c:numCache>
            </c:numRef>
          </c:cat>
          <c:val>
            <c:numRef>
              <c:f>'INCOME STATEMENT'!$C$6:$E$6</c:f>
              <c:numCache>
                <c:formatCode>_(* #,##0_);_(* \(#,##0\);_(* "-"??_);_(@_)</c:formatCode>
                <c:ptCount val="3"/>
                <c:pt idx="0">
                  <c:v>9335637236</c:v>
                </c:pt>
                <c:pt idx="1">
                  <c:v>11406787320</c:v>
                </c:pt>
                <c:pt idx="2">
                  <c:v>16663916100</c:v>
                </c:pt>
              </c:numCache>
            </c:numRef>
          </c:val>
          <c:extLst>
            <c:ext xmlns:c16="http://schemas.microsoft.com/office/drawing/2014/chart" uri="{C3380CC4-5D6E-409C-BE32-E72D297353CC}">
              <c16:uniqueId val="{00000000-1C91-3A48-8BE2-F7DB9F7298CF}"/>
            </c:ext>
          </c:extLst>
        </c:ser>
        <c:ser>
          <c:idx val="1"/>
          <c:order val="1"/>
          <c:tx>
            <c:v>COGS</c:v>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cat>
            <c:numRef>
              <c:f>'INCOME STATEMENT'!$C$5:$E$5</c:f>
              <c:numCache>
                <c:formatCode>General</c:formatCode>
                <c:ptCount val="3"/>
                <c:pt idx="0">
                  <c:v>2019</c:v>
                </c:pt>
                <c:pt idx="1">
                  <c:v>2020</c:v>
                </c:pt>
                <c:pt idx="2">
                  <c:v>2021</c:v>
                </c:pt>
              </c:numCache>
            </c:numRef>
          </c:cat>
          <c:val>
            <c:numRef>
              <c:f>'INCOME STATEMENT'!$C$7:$E$7</c:f>
              <c:numCache>
                <c:formatCode>_(* #,##0_);_(* \(#,##0\);_(* "-"??_);_(@_)</c:formatCode>
                <c:ptCount val="3"/>
                <c:pt idx="0">
                  <c:v>-6880608086</c:v>
                </c:pt>
                <c:pt idx="1">
                  <c:v>-7565752910</c:v>
                </c:pt>
                <c:pt idx="2">
                  <c:v>-10779658214</c:v>
                </c:pt>
              </c:numCache>
            </c:numRef>
          </c:val>
          <c:extLst>
            <c:ext xmlns:c16="http://schemas.microsoft.com/office/drawing/2014/chart" uri="{C3380CC4-5D6E-409C-BE32-E72D297353CC}">
              <c16:uniqueId val="{00000001-1C91-3A48-8BE2-F7DB9F7298CF}"/>
            </c:ext>
          </c:extLst>
        </c:ser>
        <c:ser>
          <c:idx val="2"/>
          <c:order val="2"/>
          <c:tx>
            <c:v>Gross Profit</c:v>
          </c:tx>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prstDash val="solid"/>
            </a:ln>
          </c:spPr>
          <c:invertIfNegative val="0"/>
          <c:cat>
            <c:numRef>
              <c:f>'INCOME STATEMENT'!$C$5:$E$5</c:f>
              <c:numCache>
                <c:formatCode>General</c:formatCode>
                <c:ptCount val="3"/>
                <c:pt idx="0">
                  <c:v>2019</c:v>
                </c:pt>
                <c:pt idx="1">
                  <c:v>2020</c:v>
                </c:pt>
                <c:pt idx="2">
                  <c:v>2021</c:v>
                </c:pt>
              </c:numCache>
            </c:numRef>
          </c:cat>
          <c:val>
            <c:numRef>
              <c:f>'INCOME STATEMENT'!$C$8:$E$8</c:f>
              <c:numCache>
                <c:formatCode>_(* #,##0_);_(* \(#,##0\);_(* "-"??_);_(@_)</c:formatCode>
                <c:ptCount val="3"/>
                <c:pt idx="0">
                  <c:v>2455029150</c:v>
                </c:pt>
                <c:pt idx="1">
                  <c:v>3841034410</c:v>
                </c:pt>
                <c:pt idx="2">
                  <c:v>5884257886</c:v>
                </c:pt>
              </c:numCache>
            </c:numRef>
          </c:val>
          <c:extLst>
            <c:ext xmlns:c16="http://schemas.microsoft.com/office/drawing/2014/chart" uri="{C3380CC4-5D6E-409C-BE32-E72D297353CC}">
              <c16:uniqueId val="{00000002-1C91-3A48-8BE2-F7DB9F7298CF}"/>
            </c:ext>
          </c:extLst>
        </c:ser>
        <c:ser>
          <c:idx val="3"/>
          <c:order val="3"/>
          <c:tx>
            <c:strRef>
              <c:f>'INCOME STATEMENT'!$A$35</c:f>
              <c:strCache>
                <c:ptCount val="1"/>
                <c:pt idx="0">
                  <c:v>Net Profit After Tax</c:v>
                </c:pt>
              </c:strCache>
            </c:strRef>
          </c:tx>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prstDash val="solid"/>
            </a:ln>
          </c:spPr>
          <c:invertIfNegative val="0"/>
          <c:cat>
            <c:numRef>
              <c:f>'INCOME STATEMENT'!$C$5:$E$5</c:f>
              <c:numCache>
                <c:formatCode>General</c:formatCode>
                <c:ptCount val="3"/>
                <c:pt idx="0">
                  <c:v>2019</c:v>
                </c:pt>
                <c:pt idx="1">
                  <c:v>2020</c:v>
                </c:pt>
                <c:pt idx="2">
                  <c:v>2021</c:v>
                </c:pt>
              </c:numCache>
            </c:numRef>
          </c:cat>
          <c:val>
            <c:numRef>
              <c:f>'INCOME STATEMENT'!$C$35:$E$35</c:f>
              <c:numCache>
                <c:formatCode>_(* #,##0_);_(* \(#,##0\);_(* "-"??_);_(@_)</c:formatCode>
                <c:ptCount val="3"/>
                <c:pt idx="0">
                  <c:v>440745074</c:v>
                </c:pt>
                <c:pt idx="1">
                  <c:v>754862153</c:v>
                </c:pt>
                <c:pt idx="2">
                  <c:v>1838106527</c:v>
                </c:pt>
              </c:numCache>
            </c:numRef>
          </c:val>
          <c:extLst>
            <c:ext xmlns:c16="http://schemas.microsoft.com/office/drawing/2014/chart" uri="{C3380CC4-5D6E-409C-BE32-E72D297353CC}">
              <c16:uniqueId val="{00000003-1C91-3A48-8BE2-F7DB9F7298CF}"/>
            </c:ext>
          </c:extLst>
        </c:ser>
        <c:dLbls>
          <c:showLegendKey val="0"/>
          <c:showVal val="0"/>
          <c:showCatName val="0"/>
          <c:showSerName val="0"/>
          <c:showPercent val="0"/>
          <c:showBubbleSize val="0"/>
        </c:dLbls>
        <c:gapWidth val="150"/>
        <c:axId val="718826104"/>
        <c:axId val="718830040"/>
      </c:barChart>
      <c:catAx>
        <c:axId val="718826104"/>
        <c:scaling>
          <c:orientation val="minMax"/>
        </c:scaling>
        <c:delete val="0"/>
        <c:axPos val="b"/>
        <c:numFmt formatCode="General" sourceLinked="1"/>
        <c:majorTickMark val="none"/>
        <c:minorTickMark val="none"/>
        <c:tickLblPos val="nextTo"/>
        <c:spPr>
          <a:noFill/>
          <a:ln w="9525" cap="flat" cmpd="sng" algn="ctr">
            <a:solidFill>
              <a:schemeClr val="lt1">
                <a:alpha val="10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718830040"/>
        <c:crosses val="autoZero"/>
        <c:auto val="1"/>
        <c:lblAlgn val="ctr"/>
        <c:lblOffset val="100"/>
        <c:noMultiLvlLbl val="0"/>
      </c:catAx>
      <c:valAx>
        <c:axId val="718830040"/>
        <c:scaling>
          <c:orientation val="minMax"/>
        </c:scaling>
        <c:delete val="0"/>
        <c:axPos val="l"/>
        <c:majorGridlines>
          <c:spPr>
            <a:ln w="9525" cap="flat" cmpd="sng" algn="ctr">
              <a:solidFill>
                <a:schemeClr val="lt1">
                  <a:alpha val="10000"/>
                  <a:lumMod val="9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718826104"/>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Assets</a:t>
            </a:r>
          </a:p>
        </c:rich>
      </c:tx>
      <c:overlay val="0"/>
      <c:spPr>
        <a:noFill/>
        <a:ln>
          <a:noFill/>
          <a:prstDash val="solid"/>
        </a:ln>
      </c:spPr>
    </c:title>
    <c:autoTitleDeleted val="0"/>
    <c:plotArea>
      <c:layout>
        <c:manualLayout>
          <c:layoutTarget val="inner"/>
          <c:xMode val="edge"/>
          <c:yMode val="edge"/>
          <c:x val="0.29026277777777781"/>
          <c:y val="0.1897268518518519"/>
          <c:w val="0.83684006961488078"/>
          <c:h val="0.59258043445026609"/>
        </c:manualLayout>
      </c:layout>
      <c:barChart>
        <c:barDir val="col"/>
        <c:grouping val="clustered"/>
        <c:varyColors val="0"/>
        <c:ser>
          <c:idx val="0"/>
          <c:order val="0"/>
          <c:tx>
            <c:strRef>
              <c:f>'BALANCE SHEET'!$A$15</c:f>
              <c:strCache>
                <c:ptCount val="1"/>
                <c:pt idx="0">
                  <c:v>Current Assets</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cat>
            <c:numRef>
              <c:f>'BALANCE SHEET'!$C$4:$E$4</c:f>
              <c:numCache>
                <c:formatCode>General</c:formatCode>
                <c:ptCount val="3"/>
                <c:pt idx="0">
                  <c:v>2019</c:v>
                </c:pt>
                <c:pt idx="1">
                  <c:v>2020</c:v>
                </c:pt>
                <c:pt idx="2">
                  <c:v>2021</c:v>
                </c:pt>
              </c:numCache>
            </c:numRef>
          </c:cat>
          <c:val>
            <c:numRef>
              <c:f>'BALANCE SHEET'!$C$15:$E$15</c:f>
              <c:numCache>
                <c:formatCode>_(* #,##0_);_(* \(#,##0\);_(* "-"??_);_(@_)</c:formatCode>
                <c:ptCount val="3"/>
                <c:pt idx="0">
                  <c:v>706318865</c:v>
                </c:pt>
                <c:pt idx="1">
                  <c:v>1417287289</c:v>
                </c:pt>
                <c:pt idx="2">
                  <c:v>1266935637</c:v>
                </c:pt>
              </c:numCache>
            </c:numRef>
          </c:val>
          <c:extLst>
            <c:ext xmlns:c16="http://schemas.microsoft.com/office/drawing/2014/chart" uri="{C3380CC4-5D6E-409C-BE32-E72D297353CC}">
              <c16:uniqueId val="{00000000-6B84-284D-AEC5-2CF3D2FE95C5}"/>
            </c:ext>
          </c:extLst>
        </c:ser>
        <c:ser>
          <c:idx val="1"/>
          <c:order val="1"/>
          <c:tx>
            <c:strRef>
              <c:f>'BALANCE SHEET'!$A$24</c:f>
              <c:strCache>
                <c:ptCount val="1"/>
                <c:pt idx="0">
                  <c:v>Total Non Current Asset</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cat>
            <c:numRef>
              <c:f>'BALANCE SHEET'!$C$4:$E$4</c:f>
              <c:numCache>
                <c:formatCode>General</c:formatCode>
                <c:ptCount val="3"/>
                <c:pt idx="0">
                  <c:v>2019</c:v>
                </c:pt>
                <c:pt idx="1">
                  <c:v>2020</c:v>
                </c:pt>
                <c:pt idx="2">
                  <c:v>2021</c:v>
                </c:pt>
              </c:numCache>
            </c:numRef>
          </c:cat>
          <c:val>
            <c:numRef>
              <c:f>'BALANCE SHEET'!$C$24:$E$24</c:f>
              <c:numCache>
                <c:formatCode>_(* #,##0_);_(* \(#,##0\);_(* "-"??_);_(@_)</c:formatCode>
                <c:ptCount val="3"/>
                <c:pt idx="0">
                  <c:v>17964211763</c:v>
                </c:pt>
                <c:pt idx="1">
                  <c:v>16993087735</c:v>
                </c:pt>
                <c:pt idx="2">
                  <c:v>16011357394</c:v>
                </c:pt>
              </c:numCache>
            </c:numRef>
          </c:val>
          <c:extLst>
            <c:ext xmlns:c16="http://schemas.microsoft.com/office/drawing/2014/chart" uri="{C3380CC4-5D6E-409C-BE32-E72D297353CC}">
              <c16:uniqueId val="{00000001-6B84-284D-AEC5-2CF3D2FE95C5}"/>
            </c:ext>
          </c:extLst>
        </c:ser>
        <c:dLbls>
          <c:showLegendKey val="0"/>
          <c:showVal val="0"/>
          <c:showCatName val="0"/>
          <c:showSerName val="0"/>
          <c:showPercent val="0"/>
          <c:showBubbleSize val="0"/>
        </c:dLbls>
        <c:gapWidth val="150"/>
        <c:axId val="487199136"/>
        <c:axId val="574435272"/>
      </c:barChart>
      <c:catAx>
        <c:axId val="487199136"/>
        <c:scaling>
          <c:orientation val="minMax"/>
        </c:scaling>
        <c:delete val="0"/>
        <c:axPos val="b"/>
        <c:numFmt formatCode="General" sourceLinked="1"/>
        <c:majorTickMark val="none"/>
        <c:minorTickMark val="none"/>
        <c:tickLblPos val="nextTo"/>
        <c:spPr>
          <a:noFill/>
          <a:ln w="9525" cap="flat" cmpd="sng" algn="ctr">
            <a:solidFill>
              <a:schemeClr val="lt1">
                <a:alpha val="10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574435272"/>
        <c:crosses val="autoZero"/>
        <c:auto val="1"/>
        <c:lblAlgn val="ctr"/>
        <c:lblOffset val="100"/>
        <c:noMultiLvlLbl val="0"/>
      </c:catAx>
      <c:valAx>
        <c:axId val="574435272"/>
        <c:scaling>
          <c:orientation val="minMax"/>
        </c:scaling>
        <c:delete val="0"/>
        <c:axPos val="l"/>
        <c:majorGridlines>
          <c:spPr>
            <a:ln w="9525" cap="flat" cmpd="sng" algn="ctr">
              <a:solidFill>
                <a:schemeClr val="lt1">
                  <a:alpha val="10000"/>
                  <a:lumMod val="9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48719913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Liabilites and Equity</a:t>
            </a:r>
          </a:p>
        </c:rich>
      </c:tx>
      <c:overlay val="0"/>
      <c:spPr>
        <a:noFill/>
        <a:ln>
          <a:noFill/>
          <a:prstDash val="solid"/>
        </a:ln>
      </c:spPr>
    </c:title>
    <c:autoTitleDeleted val="0"/>
    <c:plotArea>
      <c:layout>
        <c:manualLayout>
          <c:layoutTarget val="inner"/>
          <c:xMode val="edge"/>
          <c:yMode val="edge"/>
          <c:x val="0.11675329340214349"/>
          <c:y val="0.1204185954450591"/>
          <c:w val="0.83143447310607177"/>
          <c:h val="0.64409235038777424"/>
        </c:manualLayout>
      </c:layout>
      <c:barChart>
        <c:barDir val="col"/>
        <c:grouping val="clustered"/>
        <c:varyColors val="0"/>
        <c:ser>
          <c:idx val="0"/>
          <c:order val="0"/>
          <c:tx>
            <c:strRef>
              <c:f>'BALANCE SHEET'!$A$48</c:f>
              <c:strCache>
                <c:ptCount val="1"/>
                <c:pt idx="0">
                  <c:v>Shareholders' Equity</c:v>
                </c:pt>
              </c:strCache>
            </c:strRef>
          </c:tx>
          <c:spPr>
            <a:solidFill>
              <a:schemeClr val="accent1"/>
            </a:solidFill>
            <a:ln>
              <a:solidFill>
                <a:schemeClr val="accent1"/>
              </a:solidFill>
              <a:prstDash val="solid"/>
            </a:ln>
          </c:spPr>
          <c:invertIfNegative val="0"/>
          <c:cat>
            <c:numRef>
              <c:f>'BALANCE SHEET'!$C$4:$E$4</c:f>
              <c:numCache>
                <c:formatCode>General</c:formatCode>
                <c:ptCount val="3"/>
                <c:pt idx="0">
                  <c:v>2019</c:v>
                </c:pt>
                <c:pt idx="1">
                  <c:v>2020</c:v>
                </c:pt>
                <c:pt idx="2">
                  <c:v>2021</c:v>
                </c:pt>
              </c:numCache>
            </c:numRef>
          </c:cat>
          <c:val>
            <c:numRef>
              <c:f>'BALANCE SHEET'!$C$48:$E$48</c:f>
              <c:numCache>
                <c:formatCode>_(* #,##0_);_(* \(#,##0\);_(* "-"??_);_(@_)</c:formatCode>
                <c:ptCount val="3"/>
                <c:pt idx="0">
                  <c:v>16645436325</c:v>
                </c:pt>
                <c:pt idx="1">
                  <c:v>17179157089</c:v>
                </c:pt>
                <c:pt idx="2">
                  <c:v>13816821754</c:v>
                </c:pt>
              </c:numCache>
            </c:numRef>
          </c:val>
          <c:extLst>
            <c:ext xmlns:c16="http://schemas.microsoft.com/office/drawing/2014/chart" uri="{C3380CC4-5D6E-409C-BE32-E72D297353CC}">
              <c16:uniqueId val="{00000000-F56C-5543-949B-B7BA77CE934B}"/>
            </c:ext>
          </c:extLst>
        </c:ser>
        <c:ser>
          <c:idx val="1"/>
          <c:order val="1"/>
          <c:tx>
            <c:strRef>
              <c:f>'BALANCE SHEET'!$A$50</c:f>
              <c:strCache>
                <c:ptCount val="1"/>
                <c:pt idx="0">
                  <c:v>LIABILITES &amp; EQUITY</c:v>
                </c:pt>
              </c:strCache>
            </c:strRef>
          </c:tx>
          <c:spPr>
            <a:solidFill>
              <a:schemeClr val="accent2"/>
            </a:solidFill>
            <a:ln>
              <a:solidFill>
                <a:schemeClr val="accent2"/>
              </a:solidFill>
              <a:prstDash val="solid"/>
            </a:ln>
          </c:spPr>
          <c:invertIfNegative val="0"/>
          <c:val>
            <c:numRef>
              <c:f>'BALANCE SHEET'!$C$50:$E$50</c:f>
              <c:numCache>
                <c:formatCode>_(* #,##0_);_(* \(#,##0\);_(* "-"??_);_(@_)</c:formatCode>
                <c:ptCount val="3"/>
                <c:pt idx="0">
                  <c:v>18491672016</c:v>
                </c:pt>
                <c:pt idx="1">
                  <c:v>18447564089</c:v>
                </c:pt>
                <c:pt idx="2">
                  <c:v>17394059536</c:v>
                </c:pt>
              </c:numCache>
            </c:numRef>
          </c:val>
          <c:extLst>
            <c:ext xmlns:c16="http://schemas.microsoft.com/office/drawing/2014/chart" uri="{C3380CC4-5D6E-409C-BE32-E72D297353CC}">
              <c16:uniqueId val="{00000001-F56C-5543-949B-B7BA77CE934B}"/>
            </c:ext>
          </c:extLst>
        </c:ser>
        <c:dLbls>
          <c:showLegendKey val="0"/>
          <c:showVal val="0"/>
          <c:showCatName val="0"/>
          <c:showSerName val="0"/>
          <c:showPercent val="0"/>
          <c:showBubbleSize val="0"/>
        </c:dLbls>
        <c:gapWidth val="150"/>
        <c:axId val="648766368"/>
        <c:axId val="648767024"/>
      </c:barChart>
      <c:catAx>
        <c:axId val="648766368"/>
        <c:scaling>
          <c:orientation val="minMax"/>
        </c:scaling>
        <c:delete val="0"/>
        <c:axPos val="b"/>
        <c:numFmt formatCode="General" sourceLinked="1"/>
        <c:majorTickMark val="none"/>
        <c:minorTickMark val="none"/>
        <c:tickLblPos val="nextTo"/>
        <c:spPr>
          <a:noFill/>
          <a:ln w="9525" cap="flat" cmpd="sng" algn="ctr">
            <a:solidFill>
              <a:schemeClr val="lt1">
                <a:alpha val="10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648767024"/>
        <c:crosses val="autoZero"/>
        <c:auto val="1"/>
        <c:lblAlgn val="ctr"/>
        <c:lblOffset val="100"/>
        <c:noMultiLvlLbl val="0"/>
      </c:catAx>
      <c:valAx>
        <c:axId val="648767024"/>
        <c:scaling>
          <c:orientation val="minMax"/>
        </c:scaling>
        <c:delete val="0"/>
        <c:axPos val="l"/>
        <c:majorGridlines>
          <c:spPr>
            <a:ln w="9525" cap="flat" cmpd="sng" algn="ctr">
              <a:solidFill>
                <a:schemeClr val="lt1">
                  <a:alpha val="10000"/>
                  <a:lumMod val="9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648766368"/>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D"/>
              <a:t>Assets</a:t>
            </a:r>
          </a:p>
        </c:rich>
      </c:tx>
      <c:overlay val="0"/>
      <c:spPr>
        <a:noFill/>
        <a:ln>
          <a:noFill/>
          <a:prstDash val="solid"/>
        </a:ln>
      </c:spPr>
    </c:title>
    <c:autoTitleDeleted val="0"/>
    <c:plotArea>
      <c:layout/>
      <c:barChart>
        <c:barDir val="col"/>
        <c:grouping val="clustered"/>
        <c:varyColors val="0"/>
        <c:ser>
          <c:idx val="0"/>
          <c:order val="0"/>
          <c:tx>
            <c:strRef>
              <c:f>RESUME!$A$2</c:f>
              <c:strCache>
                <c:ptCount val="1"/>
                <c:pt idx="0">
                  <c:v>Current Assets</c:v>
                </c:pt>
              </c:strCache>
            </c:strRef>
          </c:tx>
          <c:spPr>
            <a:solidFill>
              <a:schemeClr val="accent1"/>
            </a:solidFill>
            <a:ln>
              <a:noFill/>
              <a:prstDash val="solid"/>
            </a:ln>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RESUME!$B$2:$H$2</c:f>
              <c:numCache>
                <c:formatCode>_(* #,##0_);_(* \(#,##0\);_(* "-"??_);_(@_)</c:formatCode>
                <c:ptCount val="7"/>
                <c:pt idx="0">
                  <c:v>0</c:v>
                </c:pt>
                <c:pt idx="1">
                  <c:v>706318865</c:v>
                </c:pt>
                <c:pt idx="2">
                  <c:v>1417287289</c:v>
                </c:pt>
                <c:pt idx="3">
                  <c:v>1266935637</c:v>
                </c:pt>
                <c:pt idx="4">
                  <c:v>2804259504.4743266</c:v>
                </c:pt>
                <c:pt idx="5">
                  <c:v>7344841132.3585825</c:v>
                </c:pt>
                <c:pt idx="6">
                  <c:v>20971057653.169388</c:v>
                </c:pt>
              </c:numCache>
            </c:numRef>
          </c:val>
          <c:extLst>
            <c:ext xmlns:c16="http://schemas.microsoft.com/office/drawing/2014/chart" uri="{C3380CC4-5D6E-409C-BE32-E72D297353CC}">
              <c16:uniqueId val="{00000000-F102-0E40-BD26-3A5A531399A8}"/>
            </c:ext>
          </c:extLst>
        </c:ser>
        <c:ser>
          <c:idx val="1"/>
          <c:order val="1"/>
          <c:tx>
            <c:strRef>
              <c:f>RESUME!$A$3</c:f>
              <c:strCache>
                <c:ptCount val="1"/>
                <c:pt idx="0">
                  <c:v>Total Non Current Asset</c:v>
                </c:pt>
              </c:strCache>
            </c:strRef>
          </c:tx>
          <c:spPr>
            <a:solidFill>
              <a:schemeClr val="accent2"/>
            </a:solidFill>
            <a:ln>
              <a:noFill/>
              <a:prstDash val="solid"/>
            </a:ln>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RESUME!$B$3:$H$3</c:f>
              <c:numCache>
                <c:formatCode>_(* #,##0_);_(* \(#,##0\);_(* "-"??_);_(@_)</c:formatCode>
                <c:ptCount val="7"/>
                <c:pt idx="0">
                  <c:v>0</c:v>
                </c:pt>
                <c:pt idx="1">
                  <c:v>17964211763</c:v>
                </c:pt>
                <c:pt idx="2">
                  <c:v>16993087735</c:v>
                </c:pt>
                <c:pt idx="3">
                  <c:v>16011357394</c:v>
                </c:pt>
                <c:pt idx="4">
                  <c:v>15147876561.006126</c:v>
                </c:pt>
                <c:pt idx="5">
                  <c:v>14388089190.090195</c:v>
                </c:pt>
                <c:pt idx="6">
                  <c:v>13719241530.971836</c:v>
                </c:pt>
              </c:numCache>
            </c:numRef>
          </c:val>
          <c:extLst>
            <c:ext xmlns:c16="http://schemas.microsoft.com/office/drawing/2014/chart" uri="{C3380CC4-5D6E-409C-BE32-E72D297353CC}">
              <c16:uniqueId val="{00000001-F102-0E40-BD26-3A5A531399A8}"/>
            </c:ext>
          </c:extLst>
        </c:ser>
        <c:dLbls>
          <c:showLegendKey val="0"/>
          <c:showVal val="0"/>
          <c:showCatName val="0"/>
          <c:showSerName val="0"/>
          <c:showPercent val="0"/>
          <c:showBubbleSize val="0"/>
        </c:dLbls>
        <c:gapWidth val="150"/>
        <c:axId val="790229983"/>
        <c:axId val="790232479"/>
      </c:barChart>
      <c:catAx>
        <c:axId val="7902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90232479"/>
        <c:crosses val="autoZero"/>
        <c:auto val="1"/>
        <c:lblAlgn val="ctr"/>
        <c:lblOffset val="100"/>
        <c:noMultiLvlLbl val="0"/>
      </c:catAx>
      <c:valAx>
        <c:axId val="790232479"/>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9022998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D"/>
              <a:t>Liability</a:t>
            </a:r>
            <a:r>
              <a:rPr lang="en-ID" baseline="0"/>
              <a:t> and Equity</a:t>
            </a:r>
            <a:endParaRPr lang="en-ID"/>
          </a:p>
        </c:rich>
      </c:tx>
      <c:overlay val="0"/>
      <c:spPr>
        <a:noFill/>
        <a:ln>
          <a:noFill/>
          <a:prstDash val="solid"/>
        </a:ln>
      </c:spPr>
    </c:title>
    <c:autoTitleDeleted val="0"/>
    <c:plotArea>
      <c:layout/>
      <c:barChart>
        <c:barDir val="col"/>
        <c:grouping val="clustered"/>
        <c:varyColors val="0"/>
        <c:ser>
          <c:idx val="0"/>
          <c:order val="0"/>
          <c:tx>
            <c:strRef>
              <c:f>RESUME!$A$8</c:f>
              <c:strCache>
                <c:ptCount val="1"/>
                <c:pt idx="0">
                  <c:v>Shareholders' Equity</c:v>
                </c:pt>
              </c:strCache>
            </c:strRef>
          </c:tx>
          <c:spPr>
            <a:solidFill>
              <a:schemeClr val="accent1"/>
            </a:solidFill>
            <a:ln>
              <a:noFill/>
              <a:prstDash val="solid"/>
            </a:ln>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RESUME!$B$8:$H$8</c:f>
              <c:numCache>
                <c:formatCode>_(* #,##0_);_(* \(#,##0\);_(* "-"??_);_(@_)</c:formatCode>
                <c:ptCount val="7"/>
                <c:pt idx="0">
                  <c:v>0</c:v>
                </c:pt>
                <c:pt idx="1">
                  <c:v>16645436325</c:v>
                </c:pt>
                <c:pt idx="2">
                  <c:v>17179157089</c:v>
                </c:pt>
                <c:pt idx="3">
                  <c:v>13816821754</c:v>
                </c:pt>
                <c:pt idx="4">
                  <c:v>15724851098.468904</c:v>
                </c:pt>
                <c:pt idx="5">
                  <c:v>18299019461.37748</c:v>
                </c:pt>
                <c:pt idx="6">
                  <c:v>21662561538.232849</c:v>
                </c:pt>
              </c:numCache>
            </c:numRef>
          </c:val>
          <c:extLst>
            <c:ext xmlns:c16="http://schemas.microsoft.com/office/drawing/2014/chart" uri="{C3380CC4-5D6E-409C-BE32-E72D297353CC}">
              <c16:uniqueId val="{00000000-8FEF-C74E-AA3F-8230F7CE1C62}"/>
            </c:ext>
          </c:extLst>
        </c:ser>
        <c:ser>
          <c:idx val="1"/>
          <c:order val="1"/>
          <c:tx>
            <c:strRef>
              <c:f>RESUME!$A$9</c:f>
              <c:strCache>
                <c:ptCount val="1"/>
                <c:pt idx="0">
                  <c:v>LIABILITES &amp; EQUITY</c:v>
                </c:pt>
              </c:strCache>
            </c:strRef>
          </c:tx>
          <c:spPr>
            <a:solidFill>
              <a:schemeClr val="accent2"/>
            </a:solidFill>
            <a:ln>
              <a:noFill/>
              <a:prstDash val="solid"/>
            </a:ln>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RESUME!$B$9:$H$9</c:f>
              <c:numCache>
                <c:formatCode>_(* #,##0_);_(* \(#,##0\);_(* "-"??_);_(@_)</c:formatCode>
                <c:ptCount val="7"/>
                <c:pt idx="0">
                  <c:v>0</c:v>
                </c:pt>
                <c:pt idx="1">
                  <c:v>18491672016</c:v>
                </c:pt>
                <c:pt idx="2">
                  <c:v>18447564089</c:v>
                </c:pt>
                <c:pt idx="3">
                  <c:v>17394059536</c:v>
                </c:pt>
                <c:pt idx="4">
                  <c:v>21529943363.109032</c:v>
                </c:pt>
                <c:pt idx="5">
                  <c:v>28023251587.346027</c:v>
                </c:pt>
                <c:pt idx="6">
                  <c:v>38461820279.538048</c:v>
                </c:pt>
              </c:numCache>
            </c:numRef>
          </c:val>
          <c:extLst>
            <c:ext xmlns:c16="http://schemas.microsoft.com/office/drawing/2014/chart" uri="{C3380CC4-5D6E-409C-BE32-E72D297353CC}">
              <c16:uniqueId val="{00000001-8FEF-C74E-AA3F-8230F7CE1C62}"/>
            </c:ext>
          </c:extLst>
        </c:ser>
        <c:dLbls>
          <c:showLegendKey val="0"/>
          <c:showVal val="0"/>
          <c:showCatName val="0"/>
          <c:showSerName val="0"/>
          <c:showPercent val="0"/>
          <c:showBubbleSize val="0"/>
        </c:dLbls>
        <c:gapWidth val="150"/>
        <c:axId val="480221007"/>
        <c:axId val="480217679"/>
      </c:barChart>
      <c:catAx>
        <c:axId val="48022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80217679"/>
        <c:crosses val="autoZero"/>
        <c:auto val="1"/>
        <c:lblAlgn val="ctr"/>
        <c:lblOffset val="100"/>
        <c:noMultiLvlLbl val="0"/>
      </c:catAx>
      <c:valAx>
        <c:axId val="480217679"/>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80221007"/>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D"/>
              <a:t>Sales, COGS,</a:t>
            </a:r>
            <a:r>
              <a:rPr lang="en-ID" baseline="0"/>
              <a:t> Gross Profit, &amp; Net Profit</a:t>
            </a:r>
            <a:endParaRPr lang="en-ID"/>
          </a:p>
        </c:rich>
      </c:tx>
      <c:overlay val="0"/>
      <c:spPr>
        <a:noFill/>
        <a:ln>
          <a:noFill/>
          <a:prstDash val="solid"/>
        </a:ln>
      </c:spPr>
    </c:title>
    <c:autoTitleDeleted val="0"/>
    <c:plotArea>
      <c:layout/>
      <c:barChart>
        <c:barDir val="col"/>
        <c:grouping val="clustered"/>
        <c:varyColors val="0"/>
        <c:ser>
          <c:idx val="0"/>
          <c:order val="0"/>
          <c:tx>
            <c:strRef>
              <c:f>RESUME!$A$10</c:f>
              <c:strCache>
                <c:ptCount val="1"/>
                <c:pt idx="0">
                  <c:v>Revenue</c:v>
                </c:pt>
              </c:strCache>
            </c:strRef>
          </c:tx>
          <c:spPr>
            <a:solidFill>
              <a:schemeClr val="accent1"/>
            </a:solidFill>
            <a:ln>
              <a:noFill/>
              <a:prstDash val="solid"/>
            </a:ln>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RESUME!$B$10:$H$10</c:f>
              <c:numCache>
                <c:formatCode>_(* #,##0_);_(* \(#,##0\);_(* "-"??_);_(@_)</c:formatCode>
                <c:ptCount val="7"/>
                <c:pt idx="0">
                  <c:v>0</c:v>
                </c:pt>
                <c:pt idx="1">
                  <c:v>9335637236</c:v>
                </c:pt>
                <c:pt idx="2">
                  <c:v>11406787320</c:v>
                </c:pt>
                <c:pt idx="3">
                  <c:v>16663916100</c:v>
                </c:pt>
                <c:pt idx="4">
                  <c:v>20456242491.420769</c:v>
                </c:pt>
                <c:pt idx="5">
                  <c:v>25111615682.451054</c:v>
                </c:pt>
                <c:pt idx="6">
                  <c:v>30826445396.684601</c:v>
                </c:pt>
              </c:numCache>
            </c:numRef>
          </c:val>
          <c:extLst>
            <c:ext xmlns:c16="http://schemas.microsoft.com/office/drawing/2014/chart" uri="{C3380CC4-5D6E-409C-BE32-E72D297353CC}">
              <c16:uniqueId val="{00000000-F5B0-144E-870F-C00F6119A318}"/>
            </c:ext>
          </c:extLst>
        </c:ser>
        <c:ser>
          <c:idx val="1"/>
          <c:order val="1"/>
          <c:tx>
            <c:strRef>
              <c:f>RESUME!$A$11</c:f>
              <c:strCache>
                <c:ptCount val="1"/>
                <c:pt idx="0">
                  <c:v>COGS</c:v>
                </c:pt>
              </c:strCache>
            </c:strRef>
          </c:tx>
          <c:spPr>
            <a:solidFill>
              <a:schemeClr val="accent2"/>
            </a:solidFill>
            <a:ln>
              <a:noFill/>
              <a:prstDash val="solid"/>
            </a:ln>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RESUME!$B$11:$H$11</c:f>
              <c:numCache>
                <c:formatCode>_(* #,##0_);_(* \(#,##0\);_(* "-"??_);_(@_)</c:formatCode>
                <c:ptCount val="7"/>
                <c:pt idx="0">
                  <c:v>0</c:v>
                </c:pt>
                <c:pt idx="1">
                  <c:v>-6880608086</c:v>
                </c:pt>
                <c:pt idx="2">
                  <c:v>-7565752910</c:v>
                </c:pt>
                <c:pt idx="3">
                  <c:v>-10779658214</c:v>
                </c:pt>
                <c:pt idx="4">
                  <c:v>-13959203284.290001</c:v>
                </c:pt>
                <c:pt idx="5">
                  <c:v>-17135998864.665001</c:v>
                </c:pt>
                <c:pt idx="6">
                  <c:v>-21035760502.196999</c:v>
                </c:pt>
              </c:numCache>
            </c:numRef>
          </c:val>
          <c:extLst>
            <c:ext xmlns:c16="http://schemas.microsoft.com/office/drawing/2014/chart" uri="{C3380CC4-5D6E-409C-BE32-E72D297353CC}">
              <c16:uniqueId val="{00000001-F5B0-144E-870F-C00F6119A318}"/>
            </c:ext>
          </c:extLst>
        </c:ser>
        <c:ser>
          <c:idx val="2"/>
          <c:order val="2"/>
          <c:tx>
            <c:strRef>
              <c:f>RESUME!$A$12</c:f>
              <c:strCache>
                <c:ptCount val="1"/>
                <c:pt idx="0">
                  <c:v>Gross Profit</c:v>
                </c:pt>
              </c:strCache>
            </c:strRef>
          </c:tx>
          <c:spPr>
            <a:solidFill>
              <a:schemeClr val="accent3"/>
            </a:solidFill>
            <a:ln>
              <a:noFill/>
              <a:prstDash val="solid"/>
            </a:ln>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RESUME!$B$12:$H$12</c:f>
              <c:numCache>
                <c:formatCode>_(* #,##0_);_(* \(#,##0\);_(* "-"??_);_(@_)</c:formatCode>
                <c:ptCount val="7"/>
                <c:pt idx="0">
                  <c:v>0</c:v>
                </c:pt>
                <c:pt idx="1">
                  <c:v>2455029150</c:v>
                </c:pt>
                <c:pt idx="2">
                  <c:v>3841034410</c:v>
                </c:pt>
                <c:pt idx="3">
                  <c:v>5884257886</c:v>
                </c:pt>
                <c:pt idx="4">
                  <c:v>6497039207.1307678</c:v>
                </c:pt>
                <c:pt idx="5">
                  <c:v>7975616817.7860527</c:v>
                </c:pt>
                <c:pt idx="6">
                  <c:v>9790684894.4876022</c:v>
                </c:pt>
              </c:numCache>
            </c:numRef>
          </c:val>
          <c:extLst>
            <c:ext xmlns:c16="http://schemas.microsoft.com/office/drawing/2014/chart" uri="{C3380CC4-5D6E-409C-BE32-E72D297353CC}">
              <c16:uniqueId val="{00000002-F5B0-144E-870F-C00F6119A318}"/>
            </c:ext>
          </c:extLst>
        </c:ser>
        <c:ser>
          <c:idx val="3"/>
          <c:order val="3"/>
          <c:tx>
            <c:strRef>
              <c:f>RESUME!$A$21</c:f>
              <c:strCache>
                <c:ptCount val="1"/>
                <c:pt idx="0">
                  <c:v>Net Profit After Tax</c:v>
                </c:pt>
              </c:strCache>
            </c:strRef>
          </c:tx>
          <c:spPr>
            <a:solidFill>
              <a:schemeClr val="accent4"/>
            </a:solidFill>
            <a:ln>
              <a:noFill/>
              <a:prstDash val="solid"/>
            </a:ln>
          </c:spPr>
          <c:invertIfNegative val="0"/>
          <c:cat>
            <c:strRef>
              <c:f>RESUME!$B$1:$H$1</c:f>
              <c:strCache>
                <c:ptCount val="7"/>
                <c:pt idx="0">
                  <c:v>2018</c:v>
                </c:pt>
                <c:pt idx="1">
                  <c:v>2019</c:v>
                </c:pt>
                <c:pt idx="2">
                  <c:v>2020</c:v>
                </c:pt>
                <c:pt idx="3">
                  <c:v>2021</c:v>
                </c:pt>
                <c:pt idx="4">
                  <c:v>2022P</c:v>
                </c:pt>
                <c:pt idx="5">
                  <c:v>2023P</c:v>
                </c:pt>
                <c:pt idx="6">
                  <c:v>2024P</c:v>
                </c:pt>
              </c:strCache>
            </c:strRef>
          </c:cat>
          <c:val>
            <c:numRef>
              <c:f>RESUME!$B$21:$H$21</c:f>
              <c:numCache>
                <c:formatCode>_(* #,##0_);_(* \(#,##0\);_(* "-"??_);_(@_)</c:formatCode>
                <c:ptCount val="7"/>
                <c:pt idx="0">
                  <c:v>0</c:v>
                </c:pt>
                <c:pt idx="1">
                  <c:v>440745074</c:v>
                </c:pt>
                <c:pt idx="2">
                  <c:v>754862153</c:v>
                </c:pt>
                <c:pt idx="3">
                  <c:v>1838106527</c:v>
                </c:pt>
                <c:pt idx="4">
                  <c:v>1908029344.4689045</c:v>
                </c:pt>
                <c:pt idx="5">
                  <c:v>2574168362.9085765</c:v>
                </c:pt>
                <c:pt idx="6">
                  <c:v>3363542076.85537</c:v>
                </c:pt>
              </c:numCache>
            </c:numRef>
          </c:val>
          <c:extLst>
            <c:ext xmlns:c16="http://schemas.microsoft.com/office/drawing/2014/chart" uri="{C3380CC4-5D6E-409C-BE32-E72D297353CC}">
              <c16:uniqueId val="{00000003-F5B0-144E-870F-C00F6119A318}"/>
            </c:ext>
          </c:extLst>
        </c:ser>
        <c:dLbls>
          <c:showLegendKey val="0"/>
          <c:showVal val="0"/>
          <c:showCatName val="0"/>
          <c:showSerName val="0"/>
          <c:showPercent val="0"/>
          <c:showBubbleSize val="0"/>
        </c:dLbls>
        <c:gapWidth val="219"/>
        <c:overlap val="-27"/>
        <c:axId val="798213919"/>
        <c:axId val="798214335"/>
      </c:barChart>
      <c:catAx>
        <c:axId val="7982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98214335"/>
        <c:crosses val="autoZero"/>
        <c:auto val="1"/>
        <c:lblAlgn val="ctr"/>
        <c:lblOffset val="100"/>
        <c:noMultiLvlLbl val="0"/>
      </c:catAx>
      <c:valAx>
        <c:axId val="798214335"/>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98213919"/>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D"/>
              <a:t>Profitability Indicator Ratio</a:t>
            </a:r>
          </a:p>
        </c:rich>
      </c:tx>
      <c:overlay val="0"/>
      <c:spPr>
        <a:noFill/>
        <a:ln>
          <a:noFill/>
          <a:prstDash val="solid"/>
        </a:ln>
      </c:spPr>
    </c:title>
    <c:autoTitleDeleted val="0"/>
    <c:plotArea>
      <c:layout/>
      <c:barChart>
        <c:barDir val="col"/>
        <c:grouping val="clustered"/>
        <c:varyColors val="0"/>
        <c:ser>
          <c:idx val="0"/>
          <c:order val="0"/>
          <c:tx>
            <c:strRef>
              <c:f>'FINANCIAL RATIO'!$D$4</c:f>
              <c:strCache>
                <c:ptCount val="1"/>
                <c:pt idx="0">
                  <c:v>2019</c:v>
                </c:pt>
              </c:strCache>
            </c:strRef>
          </c:tx>
          <c:spPr>
            <a:solidFill>
              <a:schemeClr val="accent1"/>
            </a:solidFill>
            <a:ln>
              <a:noFill/>
              <a:prstDash val="solid"/>
            </a:ln>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RATIO'!$D$6:$D$11</c:f>
              <c:numCache>
                <c:formatCode>0.00%</c:formatCode>
                <c:ptCount val="6"/>
                <c:pt idx="0">
                  <c:v>0.26297392325110264</c:v>
                </c:pt>
                <c:pt idx="1">
                  <c:v>0.11080607984755246</c:v>
                </c:pt>
                <c:pt idx="2">
                  <c:v>7.294240047953808E-2</c:v>
                </c:pt>
                <c:pt idx="3">
                  <c:v>4.7211032611721764E-2</c:v>
                </c:pt>
                <c:pt idx="4">
                  <c:v>2.3606456762349282E-2</c:v>
                </c:pt>
                <c:pt idx="5">
                  <c:v>2.6478433211032094E-2</c:v>
                </c:pt>
              </c:numCache>
            </c:numRef>
          </c:val>
          <c:extLst>
            <c:ext xmlns:c16="http://schemas.microsoft.com/office/drawing/2014/chart" uri="{C3380CC4-5D6E-409C-BE32-E72D297353CC}">
              <c16:uniqueId val="{00000000-49E3-D447-90E8-71D9E7303A37}"/>
            </c:ext>
          </c:extLst>
        </c:ser>
        <c:ser>
          <c:idx val="1"/>
          <c:order val="1"/>
          <c:tx>
            <c:strRef>
              <c:f>'FINANCIAL RATIO'!$E$4</c:f>
              <c:strCache>
                <c:ptCount val="1"/>
                <c:pt idx="0">
                  <c:v>2020</c:v>
                </c:pt>
              </c:strCache>
            </c:strRef>
          </c:tx>
          <c:spPr>
            <a:solidFill>
              <a:schemeClr val="accent2"/>
            </a:solidFill>
            <a:ln>
              <a:noFill/>
              <a:prstDash val="solid"/>
            </a:ln>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RATIO'!$E$6:$E$11</c:f>
              <c:numCache>
                <c:formatCode>0.00%</c:formatCode>
                <c:ptCount val="6"/>
                <c:pt idx="0">
                  <c:v>0.33673235962463793</c:v>
                </c:pt>
                <c:pt idx="1">
                  <c:v>0.17806551880201094</c:v>
                </c:pt>
                <c:pt idx="2">
                  <c:v>7.9808314862137714E-2</c:v>
                </c:pt>
                <c:pt idx="3">
                  <c:v>6.617657819186902E-2</c:v>
                </c:pt>
                <c:pt idx="4">
                  <c:v>4.1001997624489021E-2</c:v>
                </c:pt>
                <c:pt idx="5">
                  <c:v>4.3940581548284834E-2</c:v>
                </c:pt>
              </c:numCache>
            </c:numRef>
          </c:val>
          <c:extLst>
            <c:ext xmlns:c16="http://schemas.microsoft.com/office/drawing/2014/chart" uri="{C3380CC4-5D6E-409C-BE32-E72D297353CC}">
              <c16:uniqueId val="{00000001-49E3-D447-90E8-71D9E7303A37}"/>
            </c:ext>
          </c:extLst>
        </c:ser>
        <c:ser>
          <c:idx val="2"/>
          <c:order val="2"/>
          <c:tx>
            <c:strRef>
              <c:f>'FINANCIAL RATIO'!$F$4</c:f>
              <c:strCache>
                <c:ptCount val="1"/>
                <c:pt idx="0">
                  <c:v>2021</c:v>
                </c:pt>
              </c:strCache>
            </c:strRef>
          </c:tx>
          <c:spPr>
            <a:solidFill>
              <a:schemeClr val="accent3"/>
            </a:solidFill>
            <a:ln>
              <a:noFill/>
              <a:prstDash val="solid"/>
            </a:ln>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RATIO'!$F$6:$F$11</c:f>
              <c:numCache>
                <c:formatCode>0.00%</c:formatCode>
                <c:ptCount val="6"/>
                <c:pt idx="0">
                  <c:v>0.35311374893444164</c:v>
                </c:pt>
                <c:pt idx="1">
                  <c:v>0.1946218861483586</c:v>
                </c:pt>
                <c:pt idx="2">
                  <c:v>0.13570834295067052</c:v>
                </c:pt>
                <c:pt idx="3">
                  <c:v>0.11030459562863498</c:v>
                </c:pt>
                <c:pt idx="4">
                  <c:v>0.10638241426407952</c:v>
                </c:pt>
                <c:pt idx="5">
                  <c:v>0.13303396104591594</c:v>
                </c:pt>
              </c:numCache>
            </c:numRef>
          </c:val>
          <c:extLst>
            <c:ext xmlns:c16="http://schemas.microsoft.com/office/drawing/2014/chart" uri="{C3380CC4-5D6E-409C-BE32-E72D297353CC}">
              <c16:uniqueId val="{00000002-49E3-D447-90E8-71D9E7303A37}"/>
            </c:ext>
          </c:extLst>
        </c:ser>
        <c:ser>
          <c:idx val="3"/>
          <c:order val="3"/>
          <c:tx>
            <c:strRef>
              <c:f>'FINANCIAL RATIO'!$G$4</c:f>
              <c:strCache>
                <c:ptCount val="1"/>
                <c:pt idx="0">
                  <c:v>Average</c:v>
                </c:pt>
              </c:strCache>
            </c:strRef>
          </c:tx>
          <c:spPr>
            <a:solidFill>
              <a:schemeClr val="accent4"/>
            </a:solidFill>
            <a:ln>
              <a:noFill/>
              <a:prstDash val="solid"/>
            </a:ln>
          </c:spPr>
          <c:invertIfNegative val="0"/>
          <c:cat>
            <c:multiLvlStrRef>
              <c:f>'FINANCIAL RATIO'!$B$6:$C$11</c:f>
              <c:multiLvlStrCache>
                <c:ptCount val="6"/>
                <c:lvl>
                  <c:pt idx="0">
                    <c:v>GP/Sales</c:v>
                  </c:pt>
                  <c:pt idx="1">
                    <c:v>EBITDA/Sales</c:v>
                  </c:pt>
                  <c:pt idx="2">
                    <c:v>EBIT/Sales</c:v>
                  </c:pt>
                  <c:pt idx="3">
                    <c:v>Net Profit/Sales</c:v>
                  </c:pt>
                  <c:pt idx="4">
                    <c:v>Net Profit/Asset</c:v>
                  </c:pt>
                  <c:pt idx="5">
                    <c:v>Net Profit/Equity</c:v>
                  </c:pt>
                </c:lvl>
                <c:lvl>
                  <c:pt idx="0">
                    <c:v>Gross Profit Margin</c:v>
                  </c:pt>
                  <c:pt idx="1">
                    <c:v>EBITDA Margin</c:v>
                  </c:pt>
                  <c:pt idx="2">
                    <c:v>EBIT Margin</c:v>
                  </c:pt>
                  <c:pt idx="3">
                    <c:v>Net Profit Margin</c:v>
                  </c:pt>
                  <c:pt idx="4">
                    <c:v>Return On Asset</c:v>
                  </c:pt>
                  <c:pt idx="5">
                    <c:v>Return On Equity</c:v>
                  </c:pt>
                </c:lvl>
              </c:multiLvlStrCache>
            </c:multiLvlStrRef>
          </c:cat>
          <c:val>
            <c:numRef>
              <c:f>'FINANCIAL RATIO'!$G$6:$G$11</c:f>
              <c:numCache>
                <c:formatCode>0.00%</c:formatCode>
                <c:ptCount val="6"/>
                <c:pt idx="0">
                  <c:v>0.31760667727006076</c:v>
                </c:pt>
                <c:pt idx="1">
                  <c:v>0.16116449493264065</c:v>
                </c:pt>
                <c:pt idx="2">
                  <c:v>9.6153019430782097E-2</c:v>
                </c:pt>
                <c:pt idx="3">
                  <c:v>7.4564068810741915E-2</c:v>
                </c:pt>
                <c:pt idx="4">
                  <c:v>5.6996956216972615E-2</c:v>
                </c:pt>
                <c:pt idx="5">
                  <c:v>6.7817658601744282E-2</c:v>
                </c:pt>
              </c:numCache>
            </c:numRef>
          </c:val>
          <c:extLst>
            <c:ext xmlns:c16="http://schemas.microsoft.com/office/drawing/2014/chart" uri="{C3380CC4-5D6E-409C-BE32-E72D297353CC}">
              <c16:uniqueId val="{00000003-49E3-D447-90E8-71D9E7303A37}"/>
            </c:ext>
          </c:extLst>
        </c:ser>
        <c:dLbls>
          <c:showLegendKey val="0"/>
          <c:showVal val="0"/>
          <c:showCatName val="0"/>
          <c:showSerName val="0"/>
          <c:showPercent val="0"/>
          <c:showBubbleSize val="0"/>
        </c:dLbls>
        <c:gapWidth val="150"/>
        <c:axId val="763967519"/>
        <c:axId val="763978335"/>
      </c:barChart>
      <c:catAx>
        <c:axId val="76396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63978335"/>
        <c:crosses val="autoZero"/>
        <c:auto val="1"/>
        <c:lblAlgn val="ctr"/>
        <c:lblOffset val="100"/>
        <c:noMultiLvlLbl val="0"/>
      </c:catAx>
      <c:valAx>
        <c:axId val="763978335"/>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63967519"/>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D"/>
              <a:t>Liquidity Measurement Ratio</a:t>
            </a:r>
          </a:p>
        </c:rich>
      </c:tx>
      <c:overlay val="0"/>
      <c:spPr>
        <a:noFill/>
        <a:ln>
          <a:noFill/>
          <a:prstDash val="solid"/>
        </a:ln>
      </c:spPr>
    </c:title>
    <c:autoTitleDeleted val="0"/>
    <c:plotArea>
      <c:layout/>
      <c:barChart>
        <c:barDir val="col"/>
        <c:grouping val="clustered"/>
        <c:varyColors val="0"/>
        <c:ser>
          <c:idx val="0"/>
          <c:order val="0"/>
          <c:tx>
            <c:strRef>
              <c:f>'FINANCIAL RATIO'!$D$4</c:f>
              <c:strCache>
                <c:ptCount val="1"/>
                <c:pt idx="0">
                  <c:v>2019</c:v>
                </c:pt>
              </c:strCache>
            </c:strRef>
          </c:tx>
          <c:spPr>
            <a:solidFill>
              <a:schemeClr val="accent1"/>
            </a:solidFill>
            <a:ln>
              <a:noFill/>
              <a:prstDash val="solid"/>
            </a:ln>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RATIO'!$D$14:$D$16</c:f>
              <c:numCache>
                <c:formatCode>_(* #,##0.00_);_(* \(#,##0.00\);_(* "-"??_);_(@_)</c:formatCode>
                <c:ptCount val="3"/>
                <c:pt idx="0">
                  <c:v>0.38257242476849074</c:v>
                </c:pt>
                <c:pt idx="1">
                  <c:v>0.36161085404994481</c:v>
                </c:pt>
                <c:pt idx="2">
                  <c:v>0.22696334982725669</c:v>
                </c:pt>
              </c:numCache>
            </c:numRef>
          </c:val>
          <c:extLst>
            <c:ext xmlns:c16="http://schemas.microsoft.com/office/drawing/2014/chart" uri="{C3380CC4-5D6E-409C-BE32-E72D297353CC}">
              <c16:uniqueId val="{00000000-C777-E144-9F52-DAE0716CFCCC}"/>
            </c:ext>
          </c:extLst>
        </c:ser>
        <c:ser>
          <c:idx val="1"/>
          <c:order val="1"/>
          <c:tx>
            <c:strRef>
              <c:f>'FINANCIAL RATIO'!$E$4</c:f>
              <c:strCache>
                <c:ptCount val="1"/>
                <c:pt idx="0">
                  <c:v>2020</c:v>
                </c:pt>
              </c:strCache>
            </c:strRef>
          </c:tx>
          <c:spPr>
            <a:solidFill>
              <a:schemeClr val="accent2"/>
            </a:solidFill>
            <a:ln>
              <a:noFill/>
              <a:prstDash val="solid"/>
            </a:ln>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RATIO'!$E$14:$E$16</c:f>
              <c:numCache>
                <c:formatCode>_(* #,##0.00_);_(* \(#,##0.00\);_(* "-"??_);_(@_)</c:formatCode>
                <c:ptCount val="3"/>
                <c:pt idx="0">
                  <c:v>1.1173758020887616</c:v>
                </c:pt>
                <c:pt idx="1">
                  <c:v>1.1031847734993578</c:v>
                </c:pt>
                <c:pt idx="2">
                  <c:v>0.57072293751138237</c:v>
                </c:pt>
              </c:numCache>
            </c:numRef>
          </c:val>
          <c:extLst>
            <c:ext xmlns:c16="http://schemas.microsoft.com/office/drawing/2014/chart" uri="{C3380CC4-5D6E-409C-BE32-E72D297353CC}">
              <c16:uniqueId val="{00000001-C777-E144-9F52-DAE0716CFCCC}"/>
            </c:ext>
          </c:extLst>
        </c:ser>
        <c:ser>
          <c:idx val="2"/>
          <c:order val="2"/>
          <c:tx>
            <c:strRef>
              <c:f>'FINANCIAL RATIO'!$F$4</c:f>
              <c:strCache>
                <c:ptCount val="1"/>
                <c:pt idx="0">
                  <c:v>2021</c:v>
                </c:pt>
              </c:strCache>
            </c:strRef>
          </c:tx>
          <c:spPr>
            <a:solidFill>
              <a:schemeClr val="accent3"/>
            </a:solidFill>
            <a:ln>
              <a:noFill/>
              <a:prstDash val="solid"/>
            </a:ln>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RATIO'!$F$14:$F$16</c:f>
              <c:numCache>
                <c:formatCode>_(* #,##0.00_);_(* \(#,##0.00\);_(* "-"??_);_(@_)</c:formatCode>
                <c:ptCount val="3"/>
                <c:pt idx="0">
                  <c:v>0.35416589955942718</c:v>
                </c:pt>
                <c:pt idx="1">
                  <c:v>0.34829544831191206</c:v>
                </c:pt>
                <c:pt idx="2">
                  <c:v>0.29488689046838429</c:v>
                </c:pt>
              </c:numCache>
            </c:numRef>
          </c:val>
          <c:extLst>
            <c:ext xmlns:c16="http://schemas.microsoft.com/office/drawing/2014/chart" uri="{C3380CC4-5D6E-409C-BE32-E72D297353CC}">
              <c16:uniqueId val="{00000002-C777-E144-9F52-DAE0716CFCCC}"/>
            </c:ext>
          </c:extLst>
        </c:ser>
        <c:ser>
          <c:idx val="3"/>
          <c:order val="3"/>
          <c:tx>
            <c:strRef>
              <c:f>'FINANCIAL RATIO'!$G$4</c:f>
              <c:strCache>
                <c:ptCount val="1"/>
                <c:pt idx="0">
                  <c:v>Average</c:v>
                </c:pt>
              </c:strCache>
            </c:strRef>
          </c:tx>
          <c:spPr>
            <a:solidFill>
              <a:schemeClr val="accent4"/>
            </a:solidFill>
            <a:ln>
              <a:noFill/>
              <a:prstDash val="solid"/>
            </a:ln>
          </c:spPr>
          <c:invertIfNegative val="0"/>
          <c:cat>
            <c:multiLvlStrRef>
              <c:f>'FINANCIAL RATIO'!$B$14:$C$16</c:f>
              <c:multiLvlStrCache>
                <c:ptCount val="3"/>
                <c:lvl>
                  <c:pt idx="0">
                    <c:v>CA/CL</c:v>
                  </c:pt>
                  <c:pt idx="1">
                    <c:v>(Cash+A/R)/CL</c:v>
                  </c:pt>
                  <c:pt idx="2">
                    <c:v>Cash/CL</c:v>
                  </c:pt>
                </c:lvl>
                <c:lvl>
                  <c:pt idx="0">
                    <c:v>Current Ratio</c:v>
                  </c:pt>
                  <c:pt idx="1">
                    <c:v>Quick Ratio</c:v>
                  </c:pt>
                  <c:pt idx="2">
                    <c:v>Cash Ratio</c:v>
                  </c:pt>
                </c:lvl>
              </c:multiLvlStrCache>
            </c:multiLvlStrRef>
          </c:cat>
          <c:val>
            <c:numRef>
              <c:f>'FINANCIAL RATIO'!$G$14:$G$16</c:f>
              <c:numCache>
                <c:formatCode>_-* #,##0.00_-;\-* #,##0.00_-;_-* "-"_-;_-@_-</c:formatCode>
                <c:ptCount val="3"/>
                <c:pt idx="0">
                  <c:v>0.61803804213889324</c:v>
                </c:pt>
                <c:pt idx="1">
                  <c:v>0.60436369195373818</c:v>
                </c:pt>
                <c:pt idx="2">
                  <c:v>0.3641910592690078</c:v>
                </c:pt>
              </c:numCache>
            </c:numRef>
          </c:val>
          <c:extLst>
            <c:ext xmlns:c16="http://schemas.microsoft.com/office/drawing/2014/chart" uri="{C3380CC4-5D6E-409C-BE32-E72D297353CC}">
              <c16:uniqueId val="{00000003-C777-E144-9F52-DAE0716CFCCC}"/>
            </c:ext>
          </c:extLst>
        </c:ser>
        <c:dLbls>
          <c:showLegendKey val="0"/>
          <c:showVal val="0"/>
          <c:showCatName val="0"/>
          <c:showSerName val="0"/>
          <c:showPercent val="0"/>
          <c:showBubbleSize val="0"/>
        </c:dLbls>
        <c:gapWidth val="219"/>
        <c:overlap val="-27"/>
        <c:axId val="847792255"/>
        <c:axId val="847793087"/>
      </c:barChart>
      <c:catAx>
        <c:axId val="8477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847793087"/>
        <c:crosses val="autoZero"/>
        <c:auto val="1"/>
        <c:lblAlgn val="ctr"/>
        <c:lblOffset val="100"/>
        <c:noMultiLvlLbl val="0"/>
      </c:catAx>
      <c:valAx>
        <c:axId val="847793087"/>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00_);_(* \(#,##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84779225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D"/>
              <a:t>Leverage Ratio</a:t>
            </a:r>
          </a:p>
        </c:rich>
      </c:tx>
      <c:overlay val="0"/>
      <c:spPr>
        <a:noFill/>
        <a:ln>
          <a:noFill/>
          <a:prstDash val="solid"/>
        </a:ln>
      </c:spPr>
    </c:title>
    <c:autoTitleDeleted val="0"/>
    <c:plotArea>
      <c:layout/>
      <c:barChart>
        <c:barDir val="col"/>
        <c:grouping val="clustered"/>
        <c:varyColors val="0"/>
        <c:ser>
          <c:idx val="1"/>
          <c:order val="0"/>
          <c:tx>
            <c:strRef>
              <c:f>'FINANCIAL RATIO'!$D$4</c:f>
              <c:strCache>
                <c:ptCount val="1"/>
                <c:pt idx="0">
                  <c:v>2019</c:v>
                </c:pt>
              </c:strCache>
            </c:strRef>
          </c:tx>
          <c:spPr>
            <a:solidFill>
              <a:schemeClr val="accent2"/>
            </a:solidFill>
            <a:ln>
              <a:noFill/>
              <a:prstDash val="solid"/>
            </a:ln>
          </c:spPr>
          <c:invertIfNegative val="0"/>
          <c:dPt>
            <c:idx val="0"/>
            <c:invertIfNegative val="0"/>
            <c:bubble3D val="0"/>
            <c:extLst>
              <c:ext xmlns:c16="http://schemas.microsoft.com/office/drawing/2014/chart" uri="{C3380CC4-5D6E-409C-BE32-E72D297353CC}">
                <c16:uniqueId val="{00000001-4CE0-1843-A0E9-C7C050523624}"/>
              </c:ext>
            </c:extLst>
          </c:dPt>
          <c:dPt>
            <c:idx val="1"/>
            <c:invertIfNegative val="0"/>
            <c:bubble3D val="0"/>
            <c:spPr>
              <a:ln>
                <a:prstDash val="solid"/>
              </a:ln>
            </c:spPr>
            <c:extLst>
              <c:ext xmlns:c16="http://schemas.microsoft.com/office/drawing/2014/chart" uri="{C3380CC4-5D6E-409C-BE32-E72D297353CC}">
                <c16:uniqueId val="{00000003-4CE0-1843-A0E9-C7C050523624}"/>
              </c:ext>
            </c:extLst>
          </c:dPt>
          <c:dPt>
            <c:idx val="3"/>
            <c:invertIfNegative val="0"/>
            <c:bubble3D val="0"/>
            <c:spPr>
              <a:ln>
                <a:prstDash val="solid"/>
              </a:ln>
            </c:spPr>
            <c:extLst>
              <c:ext xmlns:c16="http://schemas.microsoft.com/office/drawing/2014/chart" uri="{C3380CC4-5D6E-409C-BE32-E72D297353CC}">
                <c16:uniqueId val="{00000005-4CE0-1843-A0E9-C7C050523624}"/>
              </c:ext>
            </c:extLst>
          </c:dPt>
          <c:dPt>
            <c:idx val="4"/>
            <c:invertIfNegative val="0"/>
            <c:bubble3D val="0"/>
            <c:spPr>
              <a:ln>
                <a:prstDash val="solid"/>
              </a:ln>
            </c:spPr>
            <c:extLst>
              <c:ext xmlns:c16="http://schemas.microsoft.com/office/drawing/2014/chart" uri="{C3380CC4-5D6E-409C-BE32-E72D297353CC}">
                <c16:uniqueId val="{00000007-4CE0-1843-A0E9-C7C050523624}"/>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RATIO'!$D$19:$D$23</c:f>
              <c:numCache>
                <c:formatCode>0.00%</c:formatCode>
                <c:ptCount val="5"/>
                <c:pt idx="0">
                  <c:v>9.8885014453269984E-2</c:v>
                </c:pt>
                <c:pt idx="1">
                  <c:v>0.11091542780570518</c:v>
                </c:pt>
                <c:pt idx="2">
                  <c:v>0</c:v>
                </c:pt>
                <c:pt idx="3" formatCode="_(* #,##0.00_);_(* \(#,##0.00\);_(* &quot;-&quot;??_);_(@_)">
                  <c:v>41.831290043611283</c:v>
                </c:pt>
                <c:pt idx="4" formatCode="0%">
                  <c:v>0.89153525717351667</c:v>
                </c:pt>
              </c:numCache>
            </c:numRef>
          </c:val>
          <c:extLst>
            <c:ext xmlns:c16="http://schemas.microsoft.com/office/drawing/2014/chart" uri="{C3380CC4-5D6E-409C-BE32-E72D297353CC}">
              <c16:uniqueId val="{00000008-4CE0-1843-A0E9-C7C050523624}"/>
            </c:ext>
          </c:extLst>
        </c:ser>
        <c:ser>
          <c:idx val="2"/>
          <c:order val="1"/>
          <c:tx>
            <c:strRef>
              <c:f>'FINANCIAL RATIO'!$E$4</c:f>
              <c:strCache>
                <c:ptCount val="1"/>
                <c:pt idx="0">
                  <c:v>2020</c:v>
                </c:pt>
              </c:strCache>
            </c:strRef>
          </c:tx>
          <c:spPr>
            <a:solidFill>
              <a:schemeClr val="accent3"/>
            </a:solidFill>
            <a:ln>
              <a:noFill/>
              <a:prstDash val="solid"/>
            </a:ln>
          </c:spPr>
          <c:invertIfNegative val="0"/>
          <c:dPt>
            <c:idx val="0"/>
            <c:invertIfNegative val="0"/>
            <c:bubble3D val="0"/>
            <c:extLst>
              <c:ext xmlns:c16="http://schemas.microsoft.com/office/drawing/2014/chart" uri="{C3380CC4-5D6E-409C-BE32-E72D297353CC}">
                <c16:uniqueId val="{0000000A-4CE0-1843-A0E9-C7C050523624}"/>
              </c:ext>
            </c:extLst>
          </c:dPt>
          <c:dPt>
            <c:idx val="1"/>
            <c:invertIfNegative val="0"/>
            <c:bubble3D val="0"/>
            <c:spPr>
              <a:ln>
                <a:prstDash val="solid"/>
              </a:ln>
            </c:spPr>
            <c:extLst>
              <c:ext xmlns:c16="http://schemas.microsoft.com/office/drawing/2014/chart" uri="{C3380CC4-5D6E-409C-BE32-E72D297353CC}">
                <c16:uniqueId val="{0000000C-4CE0-1843-A0E9-C7C050523624}"/>
              </c:ext>
            </c:extLst>
          </c:dPt>
          <c:dPt>
            <c:idx val="3"/>
            <c:invertIfNegative val="0"/>
            <c:bubble3D val="0"/>
            <c:spPr>
              <a:ln>
                <a:prstDash val="solid"/>
              </a:ln>
            </c:spPr>
            <c:extLst>
              <c:ext xmlns:c16="http://schemas.microsoft.com/office/drawing/2014/chart" uri="{C3380CC4-5D6E-409C-BE32-E72D297353CC}">
                <c16:uniqueId val="{0000000E-4CE0-1843-A0E9-C7C050523624}"/>
              </c:ext>
            </c:extLst>
          </c:dPt>
          <c:dPt>
            <c:idx val="4"/>
            <c:invertIfNegative val="0"/>
            <c:bubble3D val="0"/>
            <c:spPr>
              <a:ln>
                <a:prstDash val="solid"/>
              </a:ln>
            </c:spPr>
            <c:extLst>
              <c:ext xmlns:c16="http://schemas.microsoft.com/office/drawing/2014/chart" uri="{C3380CC4-5D6E-409C-BE32-E72D297353CC}">
                <c16:uniqueId val="{00000010-4CE0-1843-A0E9-C7C050523624}"/>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RATIO'!$E$19:$E$23</c:f>
              <c:numCache>
                <c:formatCode>0.00%</c:formatCode>
                <c:ptCount val="5"/>
                <c:pt idx="0">
                  <c:v>6.889631516720808E-2</c:v>
                </c:pt>
                <c:pt idx="1">
                  <c:v>7.3834064932800147E-2</c:v>
                </c:pt>
                <c:pt idx="2">
                  <c:v>0</c:v>
                </c:pt>
                <c:pt idx="3" formatCode="_(* #,##0.00_);_(* \(#,##0.00\);_(* &quot;-&quot;??_);_(@_)">
                  <c:v>668.82502894657955</c:v>
                </c:pt>
                <c:pt idx="4" formatCode="0%">
                  <c:v>0.93312369066925749</c:v>
                </c:pt>
              </c:numCache>
            </c:numRef>
          </c:val>
          <c:extLst>
            <c:ext xmlns:c16="http://schemas.microsoft.com/office/drawing/2014/chart" uri="{C3380CC4-5D6E-409C-BE32-E72D297353CC}">
              <c16:uniqueId val="{00000011-4CE0-1843-A0E9-C7C050523624}"/>
            </c:ext>
          </c:extLst>
        </c:ser>
        <c:ser>
          <c:idx val="3"/>
          <c:order val="2"/>
          <c:tx>
            <c:strRef>
              <c:f>'FINANCIAL RATIO'!$F$4</c:f>
              <c:strCache>
                <c:ptCount val="1"/>
                <c:pt idx="0">
                  <c:v>2021</c:v>
                </c:pt>
              </c:strCache>
            </c:strRef>
          </c:tx>
          <c:spPr>
            <a:solidFill>
              <a:schemeClr val="accent4"/>
            </a:solidFill>
            <a:ln>
              <a:noFill/>
              <a:prstDash val="solid"/>
            </a:ln>
          </c:spPr>
          <c:invertIfNegative val="0"/>
          <c:dPt>
            <c:idx val="0"/>
            <c:invertIfNegative val="0"/>
            <c:bubble3D val="0"/>
            <c:extLst>
              <c:ext xmlns:c16="http://schemas.microsoft.com/office/drawing/2014/chart" uri="{C3380CC4-5D6E-409C-BE32-E72D297353CC}">
                <c16:uniqueId val="{00000013-4CE0-1843-A0E9-C7C050523624}"/>
              </c:ext>
            </c:extLst>
          </c:dPt>
          <c:dPt>
            <c:idx val="1"/>
            <c:invertIfNegative val="0"/>
            <c:bubble3D val="0"/>
            <c:spPr>
              <a:ln>
                <a:prstDash val="solid"/>
              </a:ln>
            </c:spPr>
            <c:extLst>
              <c:ext xmlns:c16="http://schemas.microsoft.com/office/drawing/2014/chart" uri="{C3380CC4-5D6E-409C-BE32-E72D297353CC}">
                <c16:uniqueId val="{00000015-4CE0-1843-A0E9-C7C050523624}"/>
              </c:ext>
            </c:extLst>
          </c:dPt>
          <c:dPt>
            <c:idx val="3"/>
            <c:invertIfNegative val="0"/>
            <c:bubble3D val="0"/>
            <c:spPr>
              <a:ln>
                <a:prstDash val="solid"/>
              </a:ln>
            </c:spPr>
            <c:extLst>
              <c:ext xmlns:c16="http://schemas.microsoft.com/office/drawing/2014/chart" uri="{C3380CC4-5D6E-409C-BE32-E72D297353CC}">
                <c16:uniqueId val="{00000017-4CE0-1843-A0E9-C7C050523624}"/>
              </c:ext>
            </c:extLst>
          </c:dPt>
          <c:dPt>
            <c:idx val="4"/>
            <c:invertIfNegative val="0"/>
            <c:bubble3D val="0"/>
            <c:spPr>
              <a:ln>
                <a:prstDash val="solid"/>
              </a:ln>
            </c:spPr>
            <c:extLst>
              <c:ext xmlns:c16="http://schemas.microsoft.com/office/drawing/2014/chart" uri="{C3380CC4-5D6E-409C-BE32-E72D297353CC}">
                <c16:uniqueId val="{00000019-4CE0-1843-A0E9-C7C050523624}"/>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RATIO'!$F$19:$F$23</c:f>
              <c:numCache>
                <c:formatCode>0.00%</c:formatCode>
                <c:ptCount val="5"/>
                <c:pt idx="0">
                  <c:v>0.20703652702161421</c:v>
                </c:pt>
                <c:pt idx="1">
                  <c:v>0.25890453287235771</c:v>
                </c:pt>
                <c:pt idx="2">
                  <c:v>0</c:v>
                </c:pt>
                <c:pt idx="3" formatCode="_(* #,##0.00_);_(* \(#,##0.00\);_(* &quot;-&quot;??_);_(@_)">
                  <c:v>2400.5872840972661</c:v>
                </c:pt>
                <c:pt idx="4" formatCode="0%">
                  <c:v>0.79966358535593929</c:v>
                </c:pt>
              </c:numCache>
            </c:numRef>
          </c:val>
          <c:extLst>
            <c:ext xmlns:c16="http://schemas.microsoft.com/office/drawing/2014/chart" uri="{C3380CC4-5D6E-409C-BE32-E72D297353CC}">
              <c16:uniqueId val="{0000001A-4CE0-1843-A0E9-C7C050523624}"/>
            </c:ext>
          </c:extLst>
        </c:ser>
        <c:ser>
          <c:idx val="4"/>
          <c:order val="3"/>
          <c:tx>
            <c:strRef>
              <c:f>'FINANCIAL RATIO'!$G$4</c:f>
              <c:strCache>
                <c:ptCount val="1"/>
                <c:pt idx="0">
                  <c:v>Average</c:v>
                </c:pt>
              </c:strCache>
            </c:strRef>
          </c:tx>
          <c:spPr>
            <a:solidFill>
              <a:schemeClr val="accent5"/>
            </a:solidFill>
            <a:ln>
              <a:noFill/>
              <a:prstDash val="solid"/>
            </a:ln>
          </c:spPr>
          <c:invertIfNegative val="0"/>
          <c:dPt>
            <c:idx val="0"/>
            <c:invertIfNegative val="0"/>
            <c:bubble3D val="0"/>
            <c:extLst>
              <c:ext xmlns:c16="http://schemas.microsoft.com/office/drawing/2014/chart" uri="{C3380CC4-5D6E-409C-BE32-E72D297353CC}">
                <c16:uniqueId val="{0000001C-4CE0-1843-A0E9-C7C050523624}"/>
              </c:ext>
            </c:extLst>
          </c:dPt>
          <c:dPt>
            <c:idx val="1"/>
            <c:invertIfNegative val="0"/>
            <c:bubble3D val="0"/>
            <c:spPr>
              <a:ln>
                <a:prstDash val="solid"/>
              </a:ln>
            </c:spPr>
            <c:extLst>
              <c:ext xmlns:c16="http://schemas.microsoft.com/office/drawing/2014/chart" uri="{C3380CC4-5D6E-409C-BE32-E72D297353CC}">
                <c16:uniqueId val="{0000001E-4CE0-1843-A0E9-C7C050523624}"/>
              </c:ext>
            </c:extLst>
          </c:dPt>
          <c:dPt>
            <c:idx val="3"/>
            <c:invertIfNegative val="0"/>
            <c:bubble3D val="0"/>
            <c:spPr>
              <a:ln>
                <a:prstDash val="solid"/>
              </a:ln>
            </c:spPr>
            <c:extLst>
              <c:ext xmlns:c16="http://schemas.microsoft.com/office/drawing/2014/chart" uri="{C3380CC4-5D6E-409C-BE32-E72D297353CC}">
                <c16:uniqueId val="{00000020-4CE0-1843-A0E9-C7C050523624}"/>
              </c:ext>
            </c:extLst>
          </c:dPt>
          <c:dPt>
            <c:idx val="4"/>
            <c:invertIfNegative val="0"/>
            <c:bubble3D val="0"/>
            <c:spPr>
              <a:ln>
                <a:prstDash val="solid"/>
              </a:ln>
            </c:spPr>
            <c:extLst>
              <c:ext xmlns:c16="http://schemas.microsoft.com/office/drawing/2014/chart" uri="{C3380CC4-5D6E-409C-BE32-E72D297353CC}">
                <c16:uniqueId val="{00000022-4CE0-1843-A0E9-C7C050523624}"/>
              </c:ext>
            </c:extLst>
          </c:dPt>
          <c:cat>
            <c:strRef>
              <c:f>'FINANCIAL RATIO'!$B$19:$B$23</c:f>
              <c:strCache>
                <c:ptCount val="5"/>
                <c:pt idx="0">
                  <c:v>Debt to Assets Ratio</c:v>
                </c:pt>
                <c:pt idx="1">
                  <c:v> Debt to Equity Ratio</c:v>
                </c:pt>
                <c:pt idx="2">
                  <c:v>Capitalization Ratio</c:v>
                </c:pt>
                <c:pt idx="3">
                  <c:v>Interest Coverage</c:v>
                </c:pt>
                <c:pt idx="4">
                  <c:v>Equity to Total Asset</c:v>
                </c:pt>
              </c:strCache>
            </c:strRef>
          </c:cat>
          <c:val>
            <c:numRef>
              <c:f>'FINANCIAL RATIO'!$G$19:$G$23</c:f>
              <c:numCache>
                <c:formatCode>0.00%</c:formatCode>
                <c:ptCount val="5"/>
                <c:pt idx="0">
                  <c:v>0.1249392855473641</c:v>
                </c:pt>
                <c:pt idx="1">
                  <c:v>0.147884675203621</c:v>
                </c:pt>
                <c:pt idx="2">
                  <c:v>0</c:v>
                </c:pt>
                <c:pt idx="3" formatCode="_-* #,##0.00_-;\-* #,##0.00_-;_-* &quot;-&quot;_-;_-@_-">
                  <c:v>1037.0812010291522</c:v>
                </c:pt>
                <c:pt idx="4">
                  <c:v>0.87477417773290445</c:v>
                </c:pt>
              </c:numCache>
            </c:numRef>
          </c:val>
          <c:extLst>
            <c:ext xmlns:c16="http://schemas.microsoft.com/office/drawing/2014/chart" uri="{C3380CC4-5D6E-409C-BE32-E72D297353CC}">
              <c16:uniqueId val="{00000023-4CE0-1843-A0E9-C7C050523624}"/>
            </c:ext>
          </c:extLst>
        </c:ser>
        <c:dLbls>
          <c:showLegendKey val="0"/>
          <c:showVal val="0"/>
          <c:showCatName val="0"/>
          <c:showSerName val="0"/>
          <c:showPercent val="0"/>
          <c:showBubbleSize val="0"/>
        </c:dLbls>
        <c:gapWidth val="219"/>
        <c:overlap val="-27"/>
        <c:axId val="1778631695"/>
        <c:axId val="1778626703"/>
      </c:barChart>
      <c:catAx>
        <c:axId val="177863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78626703"/>
        <c:crosses val="autoZero"/>
        <c:auto val="1"/>
        <c:lblAlgn val="ctr"/>
        <c:lblOffset val="100"/>
        <c:noMultiLvlLbl val="0"/>
      </c:catAx>
      <c:valAx>
        <c:axId val="1778626703"/>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7863169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ID"/>
              <a:t>None</a:t>
            </a:r>
          </a:p>
        </c:rich>
      </c:tx>
      <c:overlay val="0"/>
      <c:spPr>
        <a:noFill/>
        <a:ln>
          <a:noFill/>
          <a:prstDash val="solid"/>
        </a:ln>
      </c:spPr>
    </c:title>
    <c:autoTitleDeleted val="0"/>
    <c:plotArea>
      <c:layout/>
      <c:barChart>
        <c:barDir val="col"/>
        <c:grouping val="clustered"/>
        <c:varyColors val="0"/>
        <c:ser>
          <c:idx val="0"/>
          <c:order val="0"/>
          <c:tx>
            <c:strRef>
              <c:f>'FINANCIAL RATIO'!$D$4</c:f>
              <c:strCache>
                <c:ptCount val="1"/>
                <c:pt idx="0">
                  <c:v>2019</c:v>
                </c:pt>
              </c:strCache>
            </c:strRef>
          </c:tx>
          <c:spPr>
            <a:solidFill>
              <a:schemeClr val="accent1"/>
            </a:solidFill>
            <a:ln>
              <a:noFill/>
              <a:prstDash val="solid"/>
            </a:ln>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RATIO'!$D$26:$D$28</c:f>
              <c:numCache>
                <c:formatCode>0.00%</c:formatCode>
                <c:ptCount val="3"/>
                <c:pt idx="0">
                  <c:v>0.23858597037285309</c:v>
                </c:pt>
                <c:pt idx="1">
                  <c:v>-3.498479698047233</c:v>
                </c:pt>
                <c:pt idx="2" formatCode="0.00">
                  <c:v>0</c:v>
                </c:pt>
              </c:numCache>
            </c:numRef>
          </c:val>
          <c:extLst>
            <c:ext xmlns:c16="http://schemas.microsoft.com/office/drawing/2014/chart" uri="{C3380CC4-5D6E-409C-BE32-E72D297353CC}">
              <c16:uniqueId val="{00000000-C6E8-FC42-8236-9C1D811349E3}"/>
            </c:ext>
          </c:extLst>
        </c:ser>
        <c:ser>
          <c:idx val="1"/>
          <c:order val="1"/>
          <c:tx>
            <c:strRef>
              <c:f>'FINANCIAL RATIO'!$E$4</c:f>
              <c:strCache>
                <c:ptCount val="1"/>
                <c:pt idx="0">
                  <c:v>2020</c:v>
                </c:pt>
              </c:strCache>
            </c:strRef>
          </c:tx>
          <c:spPr>
            <a:solidFill>
              <a:schemeClr val="accent2"/>
            </a:solidFill>
            <a:ln>
              <a:noFill/>
              <a:prstDash val="solid"/>
            </a:ln>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RATIO'!$E$26:$E$28</c:f>
              <c:numCache>
                <c:formatCode>0.00%</c:formatCode>
                <c:ptCount val="3"/>
                <c:pt idx="0">
                  <c:v>6.2213747051786006E-2</c:v>
                </c:pt>
                <c:pt idx="1">
                  <c:v>0.74069756995015046</c:v>
                </c:pt>
                <c:pt idx="2" formatCode="0.00">
                  <c:v>0</c:v>
                </c:pt>
              </c:numCache>
            </c:numRef>
          </c:val>
          <c:extLst>
            <c:ext xmlns:c16="http://schemas.microsoft.com/office/drawing/2014/chart" uri="{C3380CC4-5D6E-409C-BE32-E72D297353CC}">
              <c16:uniqueId val="{00000001-C6E8-FC42-8236-9C1D811349E3}"/>
            </c:ext>
          </c:extLst>
        </c:ser>
        <c:ser>
          <c:idx val="2"/>
          <c:order val="2"/>
          <c:tx>
            <c:strRef>
              <c:f>'FINANCIAL RATIO'!$F$4</c:f>
              <c:strCache>
                <c:ptCount val="1"/>
                <c:pt idx="0">
                  <c:v>2021</c:v>
                </c:pt>
              </c:strCache>
            </c:strRef>
          </c:tx>
          <c:spPr>
            <a:solidFill>
              <a:schemeClr val="accent3"/>
            </a:solidFill>
            <a:ln>
              <a:noFill/>
              <a:prstDash val="solid"/>
            </a:ln>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RATIO'!$F$26:$F$28</c:f>
              <c:numCache>
                <c:formatCode>0.00%</c:formatCode>
                <c:ptCount val="3"/>
                <c:pt idx="0">
                  <c:v>0.3103722762982466</c:v>
                </c:pt>
                <c:pt idx="1">
                  <c:v>0.98813097806311934</c:v>
                </c:pt>
                <c:pt idx="2" formatCode="0.00">
                  <c:v>0</c:v>
                </c:pt>
              </c:numCache>
            </c:numRef>
          </c:val>
          <c:extLst>
            <c:ext xmlns:c16="http://schemas.microsoft.com/office/drawing/2014/chart" uri="{C3380CC4-5D6E-409C-BE32-E72D297353CC}">
              <c16:uniqueId val="{00000002-C6E8-FC42-8236-9C1D811349E3}"/>
            </c:ext>
          </c:extLst>
        </c:ser>
        <c:ser>
          <c:idx val="3"/>
          <c:order val="3"/>
          <c:tx>
            <c:strRef>
              <c:f>'FINANCIAL RATIO'!$G$4</c:f>
              <c:strCache>
                <c:ptCount val="1"/>
                <c:pt idx="0">
                  <c:v>Average</c:v>
                </c:pt>
              </c:strCache>
            </c:strRef>
          </c:tx>
          <c:spPr>
            <a:solidFill>
              <a:schemeClr val="accent4"/>
            </a:solidFill>
            <a:ln>
              <a:noFill/>
              <a:prstDash val="solid"/>
            </a:ln>
          </c:spPr>
          <c:invertIfNegative val="0"/>
          <c:cat>
            <c:multiLvlStrRef>
              <c:f>'FINANCIAL RATIO'!$B$26:$C$28</c:f>
              <c:multiLvlStrCache>
                <c:ptCount val="3"/>
                <c:lvl>
                  <c:pt idx="0">
                    <c:v>Operating Cash Flow/Sales</c:v>
                  </c:pt>
                  <c:pt idx="1">
                    <c:v>FCF/Operating Cash Flow</c:v>
                  </c:pt>
                  <c:pt idx="2">
                    <c:v>Operating Cash Flow/Bank Loan Short Term</c:v>
                  </c:pt>
                </c:lvl>
                <c:lvl>
                  <c:pt idx="0">
                    <c:v>Operating Cash Flow/Sales</c:v>
                  </c:pt>
                  <c:pt idx="1">
                    <c:v>FCF/Operating Cash Ratio</c:v>
                  </c:pt>
                  <c:pt idx="2">
                    <c:v>Short Term Debt Coverage</c:v>
                  </c:pt>
                </c:lvl>
              </c:multiLvlStrCache>
            </c:multiLvlStrRef>
          </c:cat>
          <c:val>
            <c:numRef>
              <c:f>'FINANCIAL RATIO'!$G$26:$G$28</c:f>
              <c:numCache>
                <c:formatCode>0.00%</c:formatCode>
                <c:ptCount val="3"/>
                <c:pt idx="0">
                  <c:v>0.20372399790762855</c:v>
                </c:pt>
                <c:pt idx="1">
                  <c:v>-0.58988371667798767</c:v>
                </c:pt>
                <c:pt idx="2" formatCode="_-* #,##0.00_-;\-* #,##0.00_-;_-* &quot;-&quot;_-;_-@_-">
                  <c:v>0</c:v>
                </c:pt>
              </c:numCache>
            </c:numRef>
          </c:val>
          <c:extLst>
            <c:ext xmlns:c16="http://schemas.microsoft.com/office/drawing/2014/chart" uri="{C3380CC4-5D6E-409C-BE32-E72D297353CC}">
              <c16:uniqueId val="{00000003-C6E8-FC42-8236-9C1D811349E3}"/>
            </c:ext>
          </c:extLst>
        </c:ser>
        <c:dLbls>
          <c:showLegendKey val="0"/>
          <c:showVal val="0"/>
          <c:showCatName val="0"/>
          <c:showSerName val="0"/>
          <c:showPercent val="0"/>
          <c:showBubbleSize val="0"/>
        </c:dLbls>
        <c:gapWidth val="219"/>
        <c:overlap val="-27"/>
        <c:axId val="1164006975"/>
        <c:axId val="1164005311"/>
      </c:barChart>
      <c:catAx>
        <c:axId val="116400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164005311"/>
        <c:crosses val="autoZero"/>
        <c:auto val="1"/>
        <c:lblAlgn val="ctr"/>
        <c:lblOffset val="100"/>
        <c:noMultiLvlLbl val="0"/>
      </c:catAx>
      <c:valAx>
        <c:axId val="116400531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16400697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0" vertOverflow="ellipsis" vert="horz" wrap="square" anchor="ctr" anchorCtr="1"/>
          <a:lstStyle/>
          <a:p>
            <a:pPr defTabSz="914400">
              <a:defRPr lang="en-US" sz="14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r>
              <a:rPr lang="id-ID"/>
              <a:t>Data Penjualan/Laba</a:t>
            </a:r>
            <a:endParaRPr lang="id-ID" sz="1400" b="0" i="0" strike="noStrike" baseline="0">
              <a:solidFill>
                <a:srgbClr val="333333"/>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prstDash val="solid"/>
        </a:ln>
      </c:spPr>
    </c:title>
    <c:autoTitleDeleted val="0"/>
    <c:plotArea>
      <c:layout>
        <c:manualLayout>
          <c:layoutTarget val="inner"/>
          <c:xMode val="edge"/>
          <c:yMode val="edge"/>
          <c:x val="0.209373140857393"/>
          <c:y val="7.6423519976669602E-2"/>
          <c:w val="0.74618241469816304"/>
          <c:h val="0.89814814814814803"/>
        </c:manualLayout>
      </c:layout>
      <c:lineChart>
        <c:grouping val="standard"/>
        <c:varyColors val="0"/>
        <c:ser>
          <c:idx val="0"/>
          <c:order val="0"/>
          <c:spPr>
            <a:ln>
              <a:prstDash val="solid"/>
            </a:ln>
          </c:spPr>
          <c:marker>
            <c:symbol val="none"/>
          </c:marker>
          <c:cat>
            <c:numRef>
              <c:f>'GROWTH REVENUE'!$C$7:$E$7</c:f>
              <c:numCache>
                <c:formatCode>General</c:formatCode>
                <c:ptCount val="3"/>
                <c:pt idx="0">
                  <c:v>2019</c:v>
                </c:pt>
                <c:pt idx="1">
                  <c:v>2020</c:v>
                </c:pt>
                <c:pt idx="2">
                  <c:v>2021</c:v>
                </c:pt>
              </c:numCache>
            </c:numRef>
          </c:cat>
          <c:val>
            <c:numRef>
              <c:f>'GROWTH REVENUE'!$C$8:$E$8</c:f>
              <c:numCache>
                <c:formatCode>_(* #,##0_);_(* \(#,##0\);_(* \-??_);_(@_)</c:formatCode>
                <c:ptCount val="3"/>
                <c:pt idx="0">
                  <c:v>9335637236</c:v>
                </c:pt>
                <c:pt idx="1">
                  <c:v>11406787320</c:v>
                </c:pt>
                <c:pt idx="2">
                  <c:v>16663916100</c:v>
                </c:pt>
              </c:numCache>
            </c:numRef>
          </c:val>
          <c:smooth val="0"/>
          <c:extLst>
            <c:ext xmlns:c16="http://schemas.microsoft.com/office/drawing/2014/chart" uri="{C3380CC4-5D6E-409C-BE32-E72D297353CC}">
              <c16:uniqueId val="{00000000-F7E4-EA41-89C4-C111844B4002}"/>
            </c:ext>
          </c:extLst>
        </c:ser>
        <c:ser>
          <c:idx val="1"/>
          <c:order val="1"/>
          <c:spPr>
            <a:ln w="28575" cap="rnd" cmpd="sng" algn="ctr">
              <a:solidFill>
                <a:schemeClr val="accent2"/>
              </a:solidFill>
              <a:prstDash val="solid"/>
              <a:round/>
            </a:ln>
          </c:spPr>
          <c:marker>
            <c:symbol val="none"/>
          </c:marker>
          <c:cat>
            <c:numRef>
              <c:f>'GROWTH REVENUE'!$C$7:$E$7</c:f>
              <c:numCache>
                <c:formatCode>General</c:formatCode>
                <c:ptCount val="3"/>
                <c:pt idx="0">
                  <c:v>2019</c:v>
                </c:pt>
                <c:pt idx="1">
                  <c:v>2020</c:v>
                </c:pt>
                <c:pt idx="2">
                  <c:v>2021</c:v>
                </c:pt>
              </c:numCache>
            </c:numRef>
          </c:cat>
          <c:val>
            <c:numRef>
              <c:f>'GROWTH REVENUE'!$C$9:$E$9</c:f>
              <c:numCache>
                <c:formatCode>_(* #,##0_);_(* \(#,##0\);_(* \-??_);_(@_)</c:formatCode>
                <c:ptCount val="3"/>
                <c:pt idx="0">
                  <c:v>440745074</c:v>
                </c:pt>
                <c:pt idx="1">
                  <c:v>754862153</c:v>
                </c:pt>
                <c:pt idx="2">
                  <c:v>1838106527</c:v>
                </c:pt>
              </c:numCache>
            </c:numRef>
          </c:val>
          <c:smooth val="0"/>
          <c:extLst>
            <c:ext xmlns:c16="http://schemas.microsoft.com/office/drawing/2014/chart" uri="{C3380CC4-5D6E-409C-BE32-E72D297353CC}">
              <c16:uniqueId val="{00000001-F7E4-EA41-89C4-C111844B4002}"/>
            </c:ext>
          </c:extLst>
        </c:ser>
        <c:dLbls>
          <c:showLegendKey val="0"/>
          <c:showVal val="0"/>
          <c:showCatName val="0"/>
          <c:showSerName val="0"/>
          <c:showPercent val="0"/>
          <c:showBubbleSize val="0"/>
        </c:dLbls>
        <c:smooth val="0"/>
        <c:axId val="35958732"/>
        <c:axId val="355011761"/>
      </c:lineChart>
      <c:catAx>
        <c:axId val="3595873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355011761"/>
        <c:crosses val="autoZero"/>
        <c:auto val="1"/>
        <c:lblAlgn val="ctr"/>
        <c:lblOffset val="100"/>
        <c:noMultiLvlLbl val="0"/>
      </c:catAx>
      <c:valAx>
        <c:axId val="355011761"/>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35958732"/>
        <c:crosses val="autoZero"/>
        <c:crossBetween val="between"/>
      </c:valAx>
    </c:plotArea>
    <c:legend>
      <c:legendPos val="r"/>
      <c:layout>
        <c:manualLayout>
          <c:xMode val="edge"/>
          <c:yMode val="edge"/>
          <c:x val="0.11550000000000001"/>
          <c:y val="0.14099999999999999"/>
          <c:w val="0.747"/>
          <c:h val="5.8500000000000003E-2"/>
        </c:manualLayout>
      </c:layout>
      <c:overlay val="0"/>
      <c:spPr>
        <a:noFill/>
        <a:ln w="3175">
          <a:noFill/>
          <a:prstDash val="solid"/>
        </a:ln>
      </c:spPr>
      <c:txPr>
        <a:bodyPr rot="0" spcFirstLastPara="0" vertOverflow="ellipsis" vert="horz" wrap="square" anchor="ctr" anchorCtr="1"/>
        <a:lstStyle/>
        <a:p>
          <a:pPr>
            <a:defRPr lang="en-US" sz="575" b="0" i="0"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1"/>
  </c:chart>
  <c:spPr>
    <a:solidFill>
      <a:schemeClr val="bg1"/>
    </a:solidFill>
    <a:ln w="12700" cap="flat" cmpd="sng" algn="ctr">
      <a:solidFill>
        <a:schemeClr val="tx1"/>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0" vertOverflow="ellipsis" vert="horz" wrap="square" anchor="ctr" anchorCtr="1"/>
          <a:lstStyle/>
          <a:p>
            <a:pPr defTabSz="914400">
              <a:defRPr lang="en-US" sz="14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r>
              <a:rPr lang="id-ID"/>
              <a:t>Growth </a:t>
            </a:r>
            <a:r>
              <a:rPr lang="en-US"/>
              <a:t>Penjualan</a:t>
            </a:r>
            <a:r>
              <a:rPr lang="en-US" baseline="0"/>
              <a:t> dan Laba Bersih </a:t>
            </a:r>
            <a:r>
              <a:rPr lang="id-ID"/>
              <a:t>Perusahaan</a:t>
            </a:r>
            <a:endParaRPr lang="id-ID" sz="1400" b="0" i="0" strike="noStrike" baseline="0">
              <a:solidFill>
                <a:srgbClr val="333333"/>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prstDash val="solid"/>
        </a:ln>
      </c:spPr>
    </c:title>
    <c:autoTitleDeleted val="0"/>
    <c:plotArea>
      <c:layout/>
      <c:lineChart>
        <c:grouping val="stacked"/>
        <c:varyColors val="0"/>
        <c:ser>
          <c:idx val="1"/>
          <c:order val="0"/>
          <c:tx>
            <c:strRef>
              <c:f>'GROWTH REVENUE'!$G$8</c:f>
              <c:strCache>
                <c:ptCount val="1"/>
                <c:pt idx="0">
                  <c:v>Penjualan</c:v>
                </c:pt>
              </c:strCache>
            </c:strRef>
          </c:tx>
          <c:spPr>
            <a:ln w="28575" cap="rnd" cmpd="sng" algn="ctr">
              <a:solidFill>
                <a:schemeClr val="accent2"/>
              </a:solidFill>
              <a:prstDash val="solid"/>
              <a:round/>
            </a:ln>
          </c:spPr>
          <c:marker>
            <c:symbol val="none"/>
          </c:marker>
          <c:cat>
            <c:numRef>
              <c:f>'GROWTH REVENUE'!$I$7:$J$7</c:f>
              <c:numCache>
                <c:formatCode>General</c:formatCode>
                <c:ptCount val="2"/>
                <c:pt idx="0">
                  <c:v>2020</c:v>
                </c:pt>
                <c:pt idx="1">
                  <c:v>2021</c:v>
                </c:pt>
              </c:numCache>
            </c:numRef>
          </c:cat>
          <c:val>
            <c:numRef>
              <c:f>'GROWTH REVENUE'!$I$8:$J$8</c:f>
              <c:numCache>
                <c:formatCode>0.00%</c:formatCode>
                <c:ptCount val="2"/>
                <c:pt idx="0">
                  <c:v>0.22185417359762544</c:v>
                </c:pt>
                <c:pt idx="1">
                  <c:v>0.46087725075599989</c:v>
                </c:pt>
              </c:numCache>
            </c:numRef>
          </c:val>
          <c:smooth val="0"/>
          <c:extLst>
            <c:ext xmlns:c16="http://schemas.microsoft.com/office/drawing/2014/chart" uri="{C3380CC4-5D6E-409C-BE32-E72D297353CC}">
              <c16:uniqueId val="{00000000-A523-0742-805F-8E9E9A98C5D9}"/>
            </c:ext>
          </c:extLst>
        </c:ser>
        <c:ser>
          <c:idx val="2"/>
          <c:order val="1"/>
          <c:tx>
            <c:strRef>
              <c:f>'GROWTH REVENUE'!$G$9</c:f>
              <c:strCache>
                <c:ptCount val="1"/>
                <c:pt idx="0">
                  <c:v>Laba Bersih</c:v>
                </c:pt>
              </c:strCache>
            </c:strRef>
          </c:tx>
          <c:spPr>
            <a:ln w="28575" cap="rnd" cmpd="sng" algn="ctr">
              <a:solidFill>
                <a:schemeClr val="accent3"/>
              </a:solidFill>
              <a:prstDash val="solid"/>
              <a:round/>
            </a:ln>
          </c:spPr>
          <c:marker>
            <c:symbol val="none"/>
          </c:marker>
          <c:cat>
            <c:numRef>
              <c:f>'GROWTH REVENUE'!$I$7:$J$7</c:f>
              <c:numCache>
                <c:formatCode>General</c:formatCode>
                <c:ptCount val="2"/>
                <c:pt idx="0">
                  <c:v>2020</c:v>
                </c:pt>
                <c:pt idx="1">
                  <c:v>2021</c:v>
                </c:pt>
              </c:numCache>
            </c:numRef>
          </c:cat>
          <c:val>
            <c:numRef>
              <c:f>'GROWTH REVENUE'!$I$9:$J$9</c:f>
              <c:numCache>
                <c:formatCode>0.00%</c:formatCode>
                <c:ptCount val="2"/>
                <c:pt idx="0">
                  <c:v>0.71269560916295116</c:v>
                </c:pt>
                <c:pt idx="1">
                  <c:v>1.4350227650107132</c:v>
                </c:pt>
              </c:numCache>
            </c:numRef>
          </c:val>
          <c:smooth val="0"/>
          <c:extLst>
            <c:ext xmlns:c16="http://schemas.microsoft.com/office/drawing/2014/chart" uri="{C3380CC4-5D6E-409C-BE32-E72D297353CC}">
              <c16:uniqueId val="{00000001-A523-0742-805F-8E9E9A98C5D9}"/>
            </c:ext>
          </c:extLst>
        </c:ser>
        <c:dLbls>
          <c:showLegendKey val="0"/>
          <c:showVal val="0"/>
          <c:showCatName val="0"/>
          <c:showSerName val="0"/>
          <c:showPercent val="0"/>
          <c:showBubbleSize val="0"/>
        </c:dLbls>
        <c:smooth val="0"/>
        <c:axId val="447100219"/>
        <c:axId val="968977793"/>
      </c:lineChart>
      <c:catAx>
        <c:axId val="44710021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968977793"/>
        <c:crosses val="autoZero"/>
        <c:auto val="1"/>
        <c:lblAlgn val="ctr"/>
        <c:lblOffset val="100"/>
        <c:noMultiLvlLbl val="0"/>
      </c:catAx>
      <c:valAx>
        <c:axId val="968977793"/>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447100219"/>
        <c:crosses val="autoZero"/>
        <c:crossBetween val="between"/>
      </c:valAx>
    </c:plotArea>
    <c:plotVisOnly val="1"/>
    <c:dispBlanksAs val="zero"/>
    <c:showDLblsOverMax val="1"/>
  </c:chart>
  <c:spPr>
    <a:solidFill>
      <a:schemeClr val="bg1"/>
    </a:solidFill>
    <a:ln w="12700" cap="flat" cmpd="sng" algn="ctr">
      <a:solidFill>
        <a:schemeClr val="tx1"/>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0" vertOverflow="ellipsis" vert="horz" wrap="square" anchor="ctr" anchorCtr="1"/>
          <a:lstStyle/>
          <a:p>
            <a:pPr defTabSz="914400">
              <a:defRPr lang="en-US" sz="14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r>
              <a:rPr lang="id-ID"/>
              <a:t>Penjualan/Pendapatan</a:t>
            </a:r>
            <a:endParaRPr lang="id-ID" sz="1400" b="0" i="0" strike="noStrike" baseline="0">
              <a:solidFill>
                <a:srgbClr val="333333"/>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prstDash val="solid"/>
        </a:ln>
      </c:spPr>
    </c:title>
    <c:autoTitleDeleted val="0"/>
    <c:plotArea>
      <c:layout/>
      <c:lineChart>
        <c:grouping val="standard"/>
        <c:varyColors val="0"/>
        <c:ser>
          <c:idx val="1"/>
          <c:order val="0"/>
          <c:tx>
            <c:strRef>
              <c:f>'GROWTH REVENUE'!$A$40</c:f>
              <c:strCache>
                <c:ptCount val="1"/>
                <c:pt idx="0">
                  <c:v>Penjualan</c:v>
                </c:pt>
              </c:strCache>
            </c:strRef>
          </c:tx>
          <c:spPr>
            <a:ln w="28575" cap="rnd" cmpd="sng" algn="ctr">
              <a:solidFill>
                <a:schemeClr val="accent2"/>
              </a:solidFill>
              <a:prstDash val="solid"/>
              <a:round/>
            </a:ln>
          </c:spPr>
          <c:marker>
            <c:symbol val="none"/>
          </c:marker>
          <c:cat>
            <c:numRef>
              <c:f>'GROWTH REVENUE'!$B$39:$E$39</c:f>
              <c:numCache>
                <c:formatCode>General</c:formatCode>
                <c:ptCount val="3"/>
                <c:pt idx="0">
                  <c:v>2019</c:v>
                </c:pt>
                <c:pt idx="1">
                  <c:v>2020</c:v>
                </c:pt>
                <c:pt idx="2">
                  <c:v>2021</c:v>
                </c:pt>
              </c:numCache>
            </c:numRef>
          </c:cat>
          <c:val>
            <c:numRef>
              <c:f>'GROWTH REVENUE'!$B$40:$E$40</c:f>
              <c:numCache>
                <c:formatCode>_(* #,##0_);_(* \(#,##0\);_(* \-??_);_(@_)</c:formatCode>
                <c:ptCount val="3"/>
              </c:numCache>
            </c:numRef>
          </c:val>
          <c:smooth val="0"/>
          <c:extLst>
            <c:ext xmlns:c16="http://schemas.microsoft.com/office/drawing/2014/chart" uri="{C3380CC4-5D6E-409C-BE32-E72D297353CC}">
              <c16:uniqueId val="{00000000-D1CD-8E42-A0E0-5DDE120E2AA6}"/>
            </c:ext>
          </c:extLst>
        </c:ser>
        <c:ser>
          <c:idx val="2"/>
          <c:order val="1"/>
          <c:tx>
            <c:strRef>
              <c:f>'GROWTH REVENUE'!$A$41</c:f>
              <c:strCache>
                <c:ptCount val="1"/>
                <c:pt idx="0">
                  <c:v>Pendapatan Bersih</c:v>
                </c:pt>
              </c:strCache>
            </c:strRef>
          </c:tx>
          <c:spPr>
            <a:ln w="28575" cap="rnd" cmpd="sng" algn="ctr">
              <a:solidFill>
                <a:schemeClr val="accent3"/>
              </a:solidFill>
              <a:prstDash val="solid"/>
              <a:round/>
            </a:ln>
          </c:spPr>
          <c:marker>
            <c:symbol val="none"/>
          </c:marker>
          <c:cat>
            <c:numRef>
              <c:f>'GROWTH REVENUE'!$B$39:$E$39</c:f>
              <c:numCache>
                <c:formatCode>General</c:formatCode>
                <c:ptCount val="3"/>
                <c:pt idx="0">
                  <c:v>2019</c:v>
                </c:pt>
                <c:pt idx="1">
                  <c:v>2020</c:v>
                </c:pt>
                <c:pt idx="2">
                  <c:v>2021</c:v>
                </c:pt>
              </c:numCache>
            </c:numRef>
          </c:cat>
          <c:val>
            <c:numRef>
              <c:f>'GROWTH REVENUE'!$B$41:$E$41</c:f>
              <c:numCache>
                <c:formatCode>_(* #,##0_);_(* \(#,##0\);_(* \-??_);_(@_)</c:formatCode>
                <c:ptCount val="3"/>
              </c:numCache>
            </c:numRef>
          </c:val>
          <c:smooth val="0"/>
          <c:extLst>
            <c:ext xmlns:c16="http://schemas.microsoft.com/office/drawing/2014/chart" uri="{C3380CC4-5D6E-409C-BE32-E72D297353CC}">
              <c16:uniqueId val="{00000001-D1CD-8E42-A0E0-5DDE120E2AA6}"/>
            </c:ext>
          </c:extLst>
        </c:ser>
        <c:dLbls>
          <c:showLegendKey val="0"/>
          <c:showVal val="0"/>
          <c:showCatName val="0"/>
          <c:showSerName val="0"/>
          <c:showPercent val="0"/>
          <c:showBubbleSize val="0"/>
        </c:dLbls>
        <c:smooth val="0"/>
        <c:axId val="153519079"/>
        <c:axId val="818397607"/>
      </c:lineChart>
      <c:catAx>
        <c:axId val="15351907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818397607"/>
        <c:crosses val="autoZero"/>
        <c:auto val="1"/>
        <c:lblAlgn val="ctr"/>
        <c:lblOffset val="100"/>
        <c:noMultiLvlLbl val="0"/>
      </c:catAx>
      <c:valAx>
        <c:axId val="818397607"/>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153519079"/>
        <c:crosses val="autoZero"/>
        <c:crossBetween val="between"/>
      </c:valAx>
    </c:plotArea>
    <c:legend>
      <c:legendPos val="r"/>
      <c:layout>
        <c:manualLayout>
          <c:xMode val="edge"/>
          <c:yMode val="edge"/>
          <c:x val="0.30149999999999999"/>
          <c:y val="0.14224999999999999"/>
          <c:w val="0.38324999999999998"/>
          <c:h val="5.9249999999999997E-2"/>
        </c:manualLayout>
      </c:layout>
      <c:overlay val="0"/>
      <c:spPr>
        <a:noFill/>
        <a:ln w="3175">
          <a:noFill/>
          <a:prstDash val="solid"/>
        </a:ln>
      </c:spPr>
      <c:txPr>
        <a:bodyPr rot="0" spcFirstLastPara="0" vertOverflow="ellipsis" vert="horz" wrap="square" anchor="ctr" anchorCtr="1"/>
        <a:lstStyle/>
        <a:p>
          <a:pPr>
            <a:defRPr lang="en-US" sz="575" b="0" i="0"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1"/>
  </c:chart>
  <c:spPr>
    <a:solidFill>
      <a:schemeClr val="bg1"/>
    </a:solidFill>
    <a:ln w="12700" cap="flat" cmpd="sng" algn="ctr">
      <a:solidFill>
        <a:schemeClr val="tx1"/>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0" vertOverflow="ellipsis" vert="horz" wrap="square" anchor="ctr" anchorCtr="1"/>
          <a:lstStyle/>
          <a:p>
            <a:pPr defTabSz="914400">
              <a:defRPr lang="en-US" sz="14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r>
              <a:rPr lang="id-ID"/>
              <a:t>Growth Industri</a:t>
            </a:r>
            <a:endParaRPr lang="id-ID" sz="1400" b="0" i="0" strike="noStrike" baseline="0">
              <a:solidFill>
                <a:srgbClr val="333333"/>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prstDash val="solid"/>
        </a:ln>
      </c:spPr>
    </c:title>
    <c:autoTitleDeleted val="0"/>
    <c:plotArea>
      <c:layout/>
      <c:lineChart>
        <c:grouping val="standard"/>
        <c:varyColors val="0"/>
        <c:ser>
          <c:idx val="1"/>
          <c:order val="0"/>
          <c:tx>
            <c:strRef>
              <c:f>'GROWTH REVENUE'!$G$40</c:f>
              <c:strCache>
                <c:ptCount val="1"/>
                <c:pt idx="0">
                  <c:v>Penjualan</c:v>
                </c:pt>
              </c:strCache>
            </c:strRef>
          </c:tx>
          <c:spPr>
            <a:ln w="28575" cap="rnd" cmpd="sng" algn="ctr">
              <a:solidFill>
                <a:schemeClr val="accent2"/>
              </a:solidFill>
              <a:prstDash val="solid"/>
              <a:round/>
            </a:ln>
          </c:spPr>
          <c:marker>
            <c:symbol val="none"/>
          </c:marker>
          <c:cat>
            <c:numRef>
              <c:f>'GROWTH REVENUE'!$H$39:$J$39</c:f>
              <c:numCache>
                <c:formatCode>General</c:formatCode>
                <c:ptCount val="3"/>
                <c:pt idx="0">
                  <c:v>2019</c:v>
                </c:pt>
                <c:pt idx="1">
                  <c:v>2020</c:v>
                </c:pt>
                <c:pt idx="2">
                  <c:v>2021</c:v>
                </c:pt>
              </c:numCache>
            </c:numRef>
          </c:cat>
          <c:val>
            <c:numRef>
              <c:f>'GROWTH REVENUE'!$H$40:$J$40</c:f>
              <c:numCache>
                <c:formatCode>0.00%</c:formatCode>
                <c:ptCount val="3"/>
                <c:pt idx="0">
                  <c:v>0</c:v>
                </c:pt>
                <c:pt idx="1">
                  <c:v>0</c:v>
                </c:pt>
                <c:pt idx="2">
                  <c:v>0</c:v>
                </c:pt>
              </c:numCache>
            </c:numRef>
          </c:val>
          <c:smooth val="0"/>
          <c:extLst>
            <c:ext xmlns:c16="http://schemas.microsoft.com/office/drawing/2014/chart" uri="{C3380CC4-5D6E-409C-BE32-E72D297353CC}">
              <c16:uniqueId val="{00000000-DEB9-7945-A1E9-299B985697E1}"/>
            </c:ext>
          </c:extLst>
        </c:ser>
        <c:ser>
          <c:idx val="2"/>
          <c:order val="1"/>
          <c:tx>
            <c:strRef>
              <c:f>'GROWTH REVENUE'!$G$41</c:f>
              <c:strCache>
                <c:ptCount val="1"/>
                <c:pt idx="0">
                  <c:v>Pendapatan Bersih</c:v>
                </c:pt>
              </c:strCache>
            </c:strRef>
          </c:tx>
          <c:spPr>
            <a:ln w="28575" cap="rnd" cmpd="sng" algn="ctr">
              <a:solidFill>
                <a:schemeClr val="accent3"/>
              </a:solidFill>
              <a:prstDash val="solid"/>
              <a:round/>
            </a:ln>
          </c:spPr>
          <c:marker>
            <c:symbol val="none"/>
          </c:marker>
          <c:cat>
            <c:numRef>
              <c:f>'GROWTH REVENUE'!$H$39:$J$39</c:f>
              <c:numCache>
                <c:formatCode>General</c:formatCode>
                <c:ptCount val="3"/>
                <c:pt idx="0">
                  <c:v>2019</c:v>
                </c:pt>
                <c:pt idx="1">
                  <c:v>2020</c:v>
                </c:pt>
                <c:pt idx="2">
                  <c:v>2021</c:v>
                </c:pt>
              </c:numCache>
            </c:numRef>
          </c:cat>
          <c:val>
            <c:numRef>
              <c:f>'GROWTH REVENUE'!$H$41:$J$41</c:f>
              <c:numCache>
                <c:formatCode>0.00%</c:formatCode>
                <c:ptCount val="3"/>
                <c:pt idx="0">
                  <c:v>0</c:v>
                </c:pt>
                <c:pt idx="1">
                  <c:v>0</c:v>
                </c:pt>
                <c:pt idx="2">
                  <c:v>0</c:v>
                </c:pt>
              </c:numCache>
            </c:numRef>
          </c:val>
          <c:smooth val="0"/>
          <c:extLst>
            <c:ext xmlns:c16="http://schemas.microsoft.com/office/drawing/2014/chart" uri="{C3380CC4-5D6E-409C-BE32-E72D297353CC}">
              <c16:uniqueId val="{00000001-DEB9-7945-A1E9-299B985697E1}"/>
            </c:ext>
          </c:extLst>
        </c:ser>
        <c:dLbls>
          <c:showLegendKey val="0"/>
          <c:showVal val="0"/>
          <c:showCatName val="0"/>
          <c:showSerName val="0"/>
          <c:showPercent val="0"/>
          <c:showBubbleSize val="0"/>
        </c:dLbls>
        <c:smooth val="0"/>
        <c:axId val="553655907"/>
        <c:axId val="109596938"/>
      </c:lineChart>
      <c:catAx>
        <c:axId val="55365590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109596938"/>
        <c:crosses val="autoZero"/>
        <c:auto val="1"/>
        <c:lblAlgn val="ctr"/>
        <c:lblOffset val="100"/>
        <c:noMultiLvlLbl val="0"/>
      </c:catAx>
      <c:valAx>
        <c:axId val="109596938"/>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553655907"/>
        <c:crosses val="autoZero"/>
        <c:crossBetween val="between"/>
      </c:valAx>
    </c:plotArea>
    <c:legend>
      <c:legendPos val="r"/>
      <c:layout>
        <c:manualLayout>
          <c:xMode val="edge"/>
          <c:yMode val="edge"/>
          <c:x val="0.30125000000000002"/>
          <c:y val="0.14349999999999999"/>
          <c:w val="0.38250000000000001"/>
          <c:h val="5.9499999999999997E-2"/>
        </c:manualLayout>
      </c:layout>
      <c:overlay val="0"/>
      <c:spPr>
        <a:noFill/>
        <a:ln w="3175">
          <a:noFill/>
          <a:prstDash val="solid"/>
        </a:ln>
      </c:spPr>
      <c:txPr>
        <a:bodyPr rot="0" spcFirstLastPara="0" vertOverflow="ellipsis" vert="horz" wrap="square" anchor="ctr" anchorCtr="1"/>
        <a:lstStyle/>
        <a:p>
          <a:pPr>
            <a:defRPr lang="en-US" sz="575" b="0" i="0"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1"/>
  </c:chart>
  <c:spPr>
    <a:solidFill>
      <a:schemeClr val="bg1"/>
    </a:solidFill>
    <a:ln w="12700" cap="flat" cmpd="sng" algn="ctr">
      <a:solidFill>
        <a:schemeClr val="tx1"/>
      </a:solid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0" vertOverflow="ellipsis" vert="horz" wrap="square" anchor="ctr" anchorCtr="1"/>
          <a:lstStyle/>
          <a:p>
            <a:pPr defTabSz="914400">
              <a:defRPr lang="en-US" sz="14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r>
              <a:rPr lang="id-ID"/>
              <a:t>Data Penjualan</a:t>
            </a:r>
            <a:endParaRPr lang="id-ID" sz="1400" b="0" i="0" strike="noStrike" baseline="0">
              <a:solidFill>
                <a:srgbClr val="333333"/>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prstDash val="solid"/>
        </a:ln>
      </c:spPr>
    </c:title>
    <c:autoTitleDeleted val="0"/>
    <c:plotArea>
      <c:layout/>
      <c:lineChart>
        <c:grouping val="stacked"/>
        <c:varyColors val="0"/>
        <c:ser>
          <c:idx val="1"/>
          <c:order val="0"/>
          <c:tx>
            <c:v>Perusahaan</c:v>
          </c:tx>
          <c:spPr>
            <a:ln w="28575" cap="rnd" cmpd="sng" algn="ctr">
              <a:solidFill>
                <a:schemeClr val="accent2"/>
              </a:solidFill>
              <a:prstDash val="solid"/>
              <a:round/>
            </a:ln>
          </c:spPr>
          <c:marker>
            <c:symbol val="none"/>
          </c:marker>
          <c:cat>
            <c:numRef>
              <c:f>'GROWTH REVENUE'!$B$63:$E$63</c:f>
              <c:numCache>
                <c:formatCode>General</c:formatCode>
                <c:ptCount val="3"/>
                <c:pt idx="0">
                  <c:v>2019</c:v>
                </c:pt>
                <c:pt idx="1">
                  <c:v>2020</c:v>
                </c:pt>
                <c:pt idx="2">
                  <c:v>2021</c:v>
                </c:pt>
              </c:numCache>
            </c:numRef>
          </c:cat>
          <c:val>
            <c:numRef>
              <c:f>'GROWTH REVENUE'!$B$64:$E$64</c:f>
              <c:numCache>
                <c:formatCode>_(* #,##0_);_(* \(#,##0\);_(* \-??_);_(@_)</c:formatCode>
                <c:ptCount val="3"/>
                <c:pt idx="0">
                  <c:v>9335637236</c:v>
                </c:pt>
                <c:pt idx="1">
                  <c:v>11406787320</c:v>
                </c:pt>
                <c:pt idx="2">
                  <c:v>16663916100</c:v>
                </c:pt>
              </c:numCache>
            </c:numRef>
          </c:val>
          <c:smooth val="0"/>
          <c:extLst>
            <c:ext xmlns:c16="http://schemas.microsoft.com/office/drawing/2014/chart" uri="{C3380CC4-5D6E-409C-BE32-E72D297353CC}">
              <c16:uniqueId val="{00000000-9E8A-0A4F-A087-72F8E76910E6}"/>
            </c:ext>
          </c:extLst>
        </c:ser>
        <c:ser>
          <c:idx val="2"/>
          <c:order val="1"/>
          <c:tx>
            <c:v>Industri</c:v>
          </c:tx>
          <c:spPr>
            <a:ln w="28575" cap="rnd" cmpd="sng" algn="ctr">
              <a:solidFill>
                <a:schemeClr val="accent3"/>
              </a:solidFill>
              <a:prstDash val="solid"/>
              <a:round/>
            </a:ln>
          </c:spPr>
          <c:marker>
            <c:symbol val="none"/>
          </c:marker>
          <c:cat>
            <c:numRef>
              <c:f>'GROWTH REVENUE'!$B$63:$E$63</c:f>
              <c:numCache>
                <c:formatCode>General</c:formatCode>
                <c:ptCount val="3"/>
                <c:pt idx="0">
                  <c:v>2019</c:v>
                </c:pt>
                <c:pt idx="1">
                  <c:v>2020</c:v>
                </c:pt>
                <c:pt idx="2">
                  <c:v>2021</c:v>
                </c:pt>
              </c:numCache>
            </c:numRef>
          </c:cat>
          <c:val>
            <c:numRef>
              <c:f>'GROWTH REVENUE'!$B$68:$E$68</c:f>
              <c:numCache>
                <c:formatCode>_(* #,##0_);_(* \(#,##0\);_(* \-??_);_(@_)</c:formatCode>
                <c:ptCount val="3"/>
                <c:pt idx="0">
                  <c:v>0</c:v>
                </c:pt>
                <c:pt idx="1">
                  <c:v>0</c:v>
                </c:pt>
                <c:pt idx="2">
                  <c:v>0</c:v>
                </c:pt>
              </c:numCache>
            </c:numRef>
          </c:val>
          <c:smooth val="0"/>
          <c:extLst>
            <c:ext xmlns:c16="http://schemas.microsoft.com/office/drawing/2014/chart" uri="{C3380CC4-5D6E-409C-BE32-E72D297353CC}">
              <c16:uniqueId val="{00000001-9E8A-0A4F-A087-72F8E76910E6}"/>
            </c:ext>
          </c:extLst>
        </c:ser>
        <c:dLbls>
          <c:showLegendKey val="0"/>
          <c:showVal val="0"/>
          <c:showCatName val="0"/>
          <c:showSerName val="0"/>
          <c:showPercent val="0"/>
          <c:showBubbleSize val="0"/>
        </c:dLbls>
        <c:smooth val="0"/>
        <c:axId val="244834572"/>
        <c:axId val="28173214"/>
      </c:lineChart>
      <c:catAx>
        <c:axId val="2448345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28173214"/>
        <c:crosses val="autoZero"/>
        <c:auto val="1"/>
        <c:lblAlgn val="ctr"/>
        <c:lblOffset val="100"/>
        <c:noMultiLvlLbl val="0"/>
      </c:catAx>
      <c:valAx>
        <c:axId val="28173214"/>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244834572"/>
        <c:crosses val="autoZero"/>
        <c:crossBetween val="between"/>
      </c:valAx>
    </c:plotArea>
    <c:legend>
      <c:legendPos val="b"/>
      <c:layout>
        <c:manualLayout>
          <c:xMode val="edge"/>
          <c:yMode val="edge"/>
          <c:x val="0.33850000000000002"/>
          <c:y val="0.13275000000000001"/>
          <c:w val="0.31111111111111101"/>
          <c:h val="5.5363321799307898E-2"/>
        </c:manualLayout>
      </c:layout>
      <c:overlay val="0"/>
      <c:spPr>
        <a:noFill/>
        <a:ln w="3175">
          <a:noFill/>
          <a:prstDash val="solid"/>
        </a:ln>
      </c:spPr>
      <c:txPr>
        <a:bodyPr rot="0" spcFirstLastPara="0" vertOverflow="ellipsis" vert="horz" wrap="square" anchor="ctr" anchorCtr="1"/>
        <a:lstStyle/>
        <a:p>
          <a:pPr>
            <a:defRPr lang="en-US" sz="575" b="0" i="0"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zero"/>
    <c:showDLblsOverMax val="1"/>
  </c:chart>
  <c:spPr>
    <a:solidFill>
      <a:schemeClr val="bg1"/>
    </a:solidFill>
    <a:ln w="12700" cap="flat" cmpd="sng" algn="ctr">
      <a:solidFill>
        <a:schemeClr val="tx1"/>
      </a:solid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0" vertOverflow="ellipsis" vert="horz" wrap="square" anchor="ctr" anchorCtr="1"/>
          <a:lstStyle/>
          <a:p>
            <a:pPr defTabSz="914400">
              <a:defRPr lang="en-US" sz="14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r>
              <a:rPr lang="id-ID"/>
              <a:t>Growth Penjualan</a:t>
            </a:r>
            <a:endParaRPr lang="id-ID" sz="1400" b="0" i="0" strike="noStrike" baseline="0">
              <a:solidFill>
                <a:srgbClr val="333333"/>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prstDash val="solid"/>
        </a:ln>
      </c:spPr>
    </c:title>
    <c:autoTitleDeleted val="0"/>
    <c:plotArea>
      <c:layout/>
      <c:lineChart>
        <c:grouping val="standard"/>
        <c:varyColors val="0"/>
        <c:ser>
          <c:idx val="1"/>
          <c:order val="0"/>
          <c:tx>
            <c:v>Perusahaan</c:v>
          </c:tx>
          <c:spPr>
            <a:ln w="28575" cap="rnd" cmpd="sng" algn="ctr">
              <a:solidFill>
                <a:schemeClr val="accent2"/>
              </a:solidFill>
              <a:prstDash val="solid"/>
              <a:round/>
            </a:ln>
          </c:spPr>
          <c:marker>
            <c:symbol val="none"/>
          </c:marker>
          <c:cat>
            <c:numRef>
              <c:f>'GROWTH REVENUE'!$H$63:$J$63</c:f>
              <c:numCache>
                <c:formatCode>General</c:formatCode>
                <c:ptCount val="3"/>
                <c:pt idx="0">
                  <c:v>2019</c:v>
                </c:pt>
                <c:pt idx="1">
                  <c:v>2020</c:v>
                </c:pt>
                <c:pt idx="2">
                  <c:v>2021</c:v>
                </c:pt>
              </c:numCache>
            </c:numRef>
          </c:cat>
          <c:val>
            <c:numRef>
              <c:f>'GROWTH REVENUE'!$H$64:$J$64</c:f>
              <c:numCache>
                <c:formatCode>0.00%</c:formatCode>
                <c:ptCount val="3"/>
                <c:pt idx="0">
                  <c:v>0</c:v>
                </c:pt>
                <c:pt idx="1">
                  <c:v>0.22185417359762544</c:v>
                </c:pt>
                <c:pt idx="2">
                  <c:v>0.46087725075599989</c:v>
                </c:pt>
              </c:numCache>
            </c:numRef>
          </c:val>
          <c:smooth val="0"/>
          <c:extLst>
            <c:ext xmlns:c16="http://schemas.microsoft.com/office/drawing/2014/chart" uri="{C3380CC4-5D6E-409C-BE32-E72D297353CC}">
              <c16:uniqueId val="{00000000-8DB8-2E4D-BE2E-91FABC9CF584}"/>
            </c:ext>
          </c:extLst>
        </c:ser>
        <c:ser>
          <c:idx val="2"/>
          <c:order val="1"/>
          <c:tx>
            <c:v>Industri</c:v>
          </c:tx>
          <c:spPr>
            <a:ln w="28575" cap="rnd" cmpd="sng" algn="ctr">
              <a:solidFill>
                <a:schemeClr val="accent3"/>
              </a:solidFill>
              <a:prstDash val="solid"/>
              <a:round/>
            </a:ln>
          </c:spPr>
          <c:marker>
            <c:symbol val="none"/>
          </c:marker>
          <c:cat>
            <c:numRef>
              <c:f>'GROWTH REVENUE'!$H$63:$J$63</c:f>
              <c:numCache>
                <c:formatCode>General</c:formatCode>
                <c:ptCount val="3"/>
                <c:pt idx="0">
                  <c:v>2019</c:v>
                </c:pt>
                <c:pt idx="1">
                  <c:v>2020</c:v>
                </c:pt>
                <c:pt idx="2">
                  <c:v>2021</c:v>
                </c:pt>
              </c:numCache>
            </c:numRef>
          </c:cat>
          <c:val>
            <c:numRef>
              <c:f>'GROWTH REVENUE'!$H$68:$J$68</c:f>
              <c:numCache>
                <c:formatCode>0.00%</c:formatCode>
                <c:ptCount val="3"/>
                <c:pt idx="0">
                  <c:v>0</c:v>
                </c:pt>
                <c:pt idx="1">
                  <c:v>0</c:v>
                </c:pt>
                <c:pt idx="2">
                  <c:v>0</c:v>
                </c:pt>
              </c:numCache>
            </c:numRef>
          </c:val>
          <c:smooth val="0"/>
          <c:extLst>
            <c:ext xmlns:c16="http://schemas.microsoft.com/office/drawing/2014/chart" uri="{C3380CC4-5D6E-409C-BE32-E72D297353CC}">
              <c16:uniqueId val="{00000001-8DB8-2E4D-BE2E-91FABC9CF584}"/>
            </c:ext>
          </c:extLst>
        </c:ser>
        <c:dLbls>
          <c:showLegendKey val="0"/>
          <c:showVal val="0"/>
          <c:showCatName val="0"/>
          <c:showSerName val="0"/>
          <c:showPercent val="0"/>
          <c:showBubbleSize val="0"/>
        </c:dLbls>
        <c:smooth val="0"/>
        <c:axId val="56399298"/>
        <c:axId val="316722527"/>
      </c:lineChart>
      <c:catAx>
        <c:axId val="5639929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316722527"/>
        <c:crosses val="autoZero"/>
        <c:auto val="1"/>
        <c:lblAlgn val="ctr"/>
        <c:lblOffset val="100"/>
        <c:noMultiLvlLbl val="0"/>
      </c:catAx>
      <c:valAx>
        <c:axId val="316722527"/>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56399298"/>
        <c:crosses val="autoZero"/>
        <c:crossBetween val="between"/>
      </c:valAx>
    </c:plotArea>
    <c:plotVisOnly val="1"/>
    <c:dispBlanksAs val="gap"/>
    <c:showDLblsOverMax val="1"/>
  </c:chart>
  <c:spPr>
    <a:solidFill>
      <a:schemeClr val="bg1"/>
    </a:solidFill>
    <a:ln w="12700" cap="flat" cmpd="sng" algn="ctr">
      <a:solidFill>
        <a:schemeClr val="tx1"/>
      </a:solid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0" vertOverflow="ellipsis" vert="horz" wrap="square" anchor="ctr" anchorCtr="1"/>
          <a:lstStyle/>
          <a:p>
            <a:pPr defTabSz="914400">
              <a:defRPr lang="en-US" sz="14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r>
              <a:rPr lang="id-ID"/>
              <a:t>Data Pendapatan Bersih</a:t>
            </a:r>
            <a:endParaRPr lang="id-ID" sz="1400" b="0" i="0" strike="noStrike" baseline="0">
              <a:solidFill>
                <a:srgbClr val="333333"/>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prstDash val="solid"/>
        </a:ln>
      </c:spPr>
    </c:title>
    <c:autoTitleDeleted val="0"/>
    <c:plotArea>
      <c:layout/>
      <c:lineChart>
        <c:grouping val="standard"/>
        <c:varyColors val="0"/>
        <c:ser>
          <c:idx val="1"/>
          <c:order val="0"/>
          <c:tx>
            <c:v>Perusahaan</c:v>
          </c:tx>
          <c:spPr>
            <a:ln w="28575" cap="rnd" cmpd="sng" algn="ctr">
              <a:solidFill>
                <a:schemeClr val="accent2"/>
              </a:solidFill>
              <a:prstDash val="solid"/>
              <a:round/>
            </a:ln>
          </c:spPr>
          <c:marker>
            <c:symbol val="none"/>
          </c:marker>
          <c:cat>
            <c:numRef>
              <c:f>'GROWTH REVENUE'!$B$63:$E$63</c:f>
              <c:numCache>
                <c:formatCode>General</c:formatCode>
                <c:ptCount val="3"/>
                <c:pt idx="0">
                  <c:v>2019</c:v>
                </c:pt>
                <c:pt idx="1">
                  <c:v>2020</c:v>
                </c:pt>
                <c:pt idx="2">
                  <c:v>2021</c:v>
                </c:pt>
              </c:numCache>
            </c:numRef>
          </c:cat>
          <c:val>
            <c:numRef>
              <c:f>'GROWTH REVENUE'!$B$65:$E$65</c:f>
              <c:numCache>
                <c:formatCode>_(* #,##0_);_(* \(#,##0\);_(* \-??_);_(@_)</c:formatCode>
                <c:ptCount val="3"/>
                <c:pt idx="0">
                  <c:v>440745074</c:v>
                </c:pt>
                <c:pt idx="1">
                  <c:v>754862153</c:v>
                </c:pt>
                <c:pt idx="2">
                  <c:v>1838106527</c:v>
                </c:pt>
              </c:numCache>
            </c:numRef>
          </c:val>
          <c:smooth val="0"/>
          <c:extLst>
            <c:ext xmlns:c16="http://schemas.microsoft.com/office/drawing/2014/chart" uri="{C3380CC4-5D6E-409C-BE32-E72D297353CC}">
              <c16:uniqueId val="{00000000-AB21-4E45-BE5D-807846BE753E}"/>
            </c:ext>
          </c:extLst>
        </c:ser>
        <c:ser>
          <c:idx val="2"/>
          <c:order val="1"/>
          <c:tx>
            <c:v>Industri</c:v>
          </c:tx>
          <c:spPr>
            <a:ln w="28575" cap="rnd" cmpd="sng" algn="ctr">
              <a:solidFill>
                <a:schemeClr val="accent3"/>
              </a:solidFill>
              <a:prstDash val="solid"/>
              <a:round/>
            </a:ln>
          </c:spPr>
          <c:marker>
            <c:symbol val="none"/>
          </c:marker>
          <c:cat>
            <c:numRef>
              <c:f>'GROWTH REVENUE'!$B$63:$E$63</c:f>
              <c:numCache>
                <c:formatCode>General</c:formatCode>
                <c:ptCount val="3"/>
                <c:pt idx="0">
                  <c:v>2019</c:v>
                </c:pt>
                <c:pt idx="1">
                  <c:v>2020</c:v>
                </c:pt>
                <c:pt idx="2">
                  <c:v>2021</c:v>
                </c:pt>
              </c:numCache>
            </c:numRef>
          </c:cat>
          <c:val>
            <c:numRef>
              <c:f>'GROWTH REVENUE'!$B$69:$E$69</c:f>
              <c:numCache>
                <c:formatCode>_(* #,##0_);_(* \(#,##0\);_(* \-??_);_(@_)</c:formatCode>
                <c:ptCount val="3"/>
                <c:pt idx="0">
                  <c:v>0</c:v>
                </c:pt>
                <c:pt idx="1">
                  <c:v>0</c:v>
                </c:pt>
                <c:pt idx="2">
                  <c:v>0</c:v>
                </c:pt>
              </c:numCache>
            </c:numRef>
          </c:val>
          <c:smooth val="0"/>
          <c:extLst>
            <c:ext xmlns:c16="http://schemas.microsoft.com/office/drawing/2014/chart" uri="{C3380CC4-5D6E-409C-BE32-E72D297353CC}">
              <c16:uniqueId val="{00000001-AB21-4E45-BE5D-807846BE753E}"/>
            </c:ext>
          </c:extLst>
        </c:ser>
        <c:dLbls>
          <c:showLegendKey val="0"/>
          <c:showVal val="0"/>
          <c:showCatName val="0"/>
          <c:showSerName val="0"/>
          <c:showPercent val="0"/>
          <c:showBubbleSize val="0"/>
        </c:dLbls>
        <c:smooth val="0"/>
        <c:axId val="17343133"/>
        <c:axId val="212563320"/>
      </c:lineChart>
      <c:catAx>
        <c:axId val="1734313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212563320"/>
        <c:crosses val="autoZero"/>
        <c:auto val="1"/>
        <c:lblAlgn val="ctr"/>
        <c:lblOffset val="100"/>
        <c:noMultiLvlLbl val="0"/>
      </c:catAx>
      <c:valAx>
        <c:axId val="212563320"/>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_);_(@_)"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17343133"/>
        <c:crosses val="autoZero"/>
        <c:crossBetween val="between"/>
      </c:valAx>
    </c:plotArea>
    <c:legend>
      <c:legendPos val="r"/>
      <c:layout>
        <c:manualLayout>
          <c:xMode val="edge"/>
          <c:yMode val="edge"/>
          <c:x val="0.33850000000000002"/>
          <c:y val="0.13275000000000001"/>
          <c:w val="0.311"/>
          <c:h val="5.525E-2"/>
        </c:manualLayout>
      </c:layout>
      <c:overlay val="0"/>
      <c:spPr>
        <a:noFill/>
        <a:ln w="3175">
          <a:noFill/>
          <a:prstDash val="solid"/>
        </a:ln>
      </c:spPr>
      <c:txPr>
        <a:bodyPr rot="0" spcFirstLastPara="0" vertOverflow="ellipsis" vert="horz" wrap="square" anchor="ctr" anchorCtr="1"/>
        <a:lstStyle/>
        <a:p>
          <a:pPr>
            <a:defRPr lang="en-US" sz="575" b="0" i="0"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gap"/>
    <c:showDLblsOverMax val="1"/>
  </c:chart>
  <c:spPr>
    <a:solidFill>
      <a:schemeClr val="bg1"/>
    </a:solidFill>
    <a:ln w="12700" cap="flat" cmpd="sng" algn="ctr">
      <a:solidFill>
        <a:schemeClr val="tx1"/>
      </a:solid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0" vertOverflow="ellipsis" vert="horz" wrap="square" anchor="ctr" anchorCtr="1"/>
          <a:lstStyle/>
          <a:p>
            <a:pPr defTabSz="914400">
              <a:defRPr lang="en-US" sz="14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r>
              <a:rPr lang="id-ID"/>
              <a:t>Growth Pendapatan Bersih</a:t>
            </a:r>
            <a:endParaRPr lang="id-ID" sz="1400" b="0" i="0" strike="noStrike" baseline="0">
              <a:solidFill>
                <a:srgbClr val="333333"/>
              </a:solidFill>
              <a:latin typeface="Calibri" panose="020F0502020204030204" pitchFamily="2" charset="0"/>
              <a:ea typeface="Calibri" panose="020F0502020204030204" pitchFamily="2" charset="0"/>
              <a:cs typeface="Calibri" panose="020F0502020204030204" pitchFamily="2" charset="0"/>
            </a:endParaRPr>
          </a:p>
        </c:rich>
      </c:tx>
      <c:overlay val="0"/>
      <c:spPr>
        <a:noFill/>
        <a:ln w="3175">
          <a:noFill/>
          <a:prstDash val="solid"/>
        </a:ln>
      </c:spPr>
    </c:title>
    <c:autoTitleDeleted val="0"/>
    <c:plotArea>
      <c:layout/>
      <c:lineChart>
        <c:grouping val="standard"/>
        <c:varyColors val="0"/>
        <c:ser>
          <c:idx val="1"/>
          <c:order val="0"/>
          <c:tx>
            <c:v>Perusahaan</c:v>
          </c:tx>
          <c:spPr>
            <a:ln w="28575" cap="rnd" cmpd="sng" algn="ctr">
              <a:solidFill>
                <a:schemeClr val="accent2"/>
              </a:solidFill>
              <a:prstDash val="solid"/>
              <a:round/>
            </a:ln>
          </c:spPr>
          <c:marker>
            <c:symbol val="none"/>
          </c:marker>
          <c:cat>
            <c:numRef>
              <c:f>'GROWTH REVENUE'!$H$63:$J$63</c:f>
              <c:numCache>
                <c:formatCode>General</c:formatCode>
                <c:ptCount val="3"/>
                <c:pt idx="0">
                  <c:v>2019</c:v>
                </c:pt>
                <c:pt idx="1">
                  <c:v>2020</c:v>
                </c:pt>
                <c:pt idx="2">
                  <c:v>2021</c:v>
                </c:pt>
              </c:numCache>
            </c:numRef>
          </c:cat>
          <c:val>
            <c:numRef>
              <c:f>'GROWTH REVENUE'!$H$65:$J$65</c:f>
              <c:numCache>
                <c:formatCode>0.00%</c:formatCode>
                <c:ptCount val="3"/>
                <c:pt idx="0">
                  <c:v>0</c:v>
                </c:pt>
                <c:pt idx="1">
                  <c:v>0.71269560916295116</c:v>
                </c:pt>
                <c:pt idx="2">
                  <c:v>1.4350227650107132</c:v>
                </c:pt>
              </c:numCache>
            </c:numRef>
          </c:val>
          <c:smooth val="0"/>
          <c:extLst>
            <c:ext xmlns:c16="http://schemas.microsoft.com/office/drawing/2014/chart" uri="{C3380CC4-5D6E-409C-BE32-E72D297353CC}">
              <c16:uniqueId val="{00000000-CE41-D24E-B32A-1823584ECD16}"/>
            </c:ext>
          </c:extLst>
        </c:ser>
        <c:ser>
          <c:idx val="2"/>
          <c:order val="1"/>
          <c:tx>
            <c:v>Industri</c:v>
          </c:tx>
          <c:spPr>
            <a:ln w="28575" cap="rnd" cmpd="sng" algn="ctr">
              <a:solidFill>
                <a:schemeClr val="accent3"/>
              </a:solidFill>
              <a:prstDash val="solid"/>
              <a:round/>
            </a:ln>
          </c:spPr>
          <c:marker>
            <c:symbol val="none"/>
          </c:marker>
          <c:cat>
            <c:numRef>
              <c:f>'GROWTH REVENUE'!$H$63:$J$63</c:f>
              <c:numCache>
                <c:formatCode>General</c:formatCode>
                <c:ptCount val="3"/>
                <c:pt idx="0">
                  <c:v>2019</c:v>
                </c:pt>
                <c:pt idx="1">
                  <c:v>2020</c:v>
                </c:pt>
                <c:pt idx="2">
                  <c:v>2021</c:v>
                </c:pt>
              </c:numCache>
            </c:numRef>
          </c:cat>
          <c:val>
            <c:numRef>
              <c:f>'GROWTH REVENUE'!$H$69:$J$69</c:f>
              <c:numCache>
                <c:formatCode>0.00%</c:formatCode>
                <c:ptCount val="3"/>
                <c:pt idx="0">
                  <c:v>0</c:v>
                </c:pt>
                <c:pt idx="1">
                  <c:v>0</c:v>
                </c:pt>
                <c:pt idx="2">
                  <c:v>0</c:v>
                </c:pt>
              </c:numCache>
            </c:numRef>
          </c:val>
          <c:smooth val="0"/>
          <c:extLst>
            <c:ext xmlns:c16="http://schemas.microsoft.com/office/drawing/2014/chart" uri="{C3380CC4-5D6E-409C-BE32-E72D297353CC}">
              <c16:uniqueId val="{00000001-CE41-D24E-B32A-1823584ECD16}"/>
            </c:ext>
          </c:extLst>
        </c:ser>
        <c:dLbls>
          <c:showLegendKey val="0"/>
          <c:showVal val="0"/>
          <c:showCatName val="0"/>
          <c:showSerName val="0"/>
          <c:showPercent val="0"/>
          <c:showBubbleSize val="0"/>
        </c:dLbls>
        <c:smooth val="0"/>
        <c:axId val="482959849"/>
        <c:axId val="664211044"/>
      </c:lineChart>
      <c:catAx>
        <c:axId val="48295984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664211044"/>
        <c:crosses val="autoZero"/>
        <c:auto val="1"/>
        <c:lblAlgn val="ctr"/>
        <c:lblOffset val="100"/>
        <c:noMultiLvlLbl val="0"/>
      </c:catAx>
      <c:valAx>
        <c:axId val="664211044"/>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ln w="3175" cap="flat" cmpd="sng" algn="ctr">
            <a:noFill/>
            <a:prstDash val="solid"/>
            <a:round/>
          </a:ln>
        </c:spPr>
        <c:txPr>
          <a:bodyPr rot="0" spcFirstLastPara="0" vertOverflow="ellipsis" vert="horz" wrap="square" anchor="ctr" anchorCtr="1"/>
          <a:lstStyle/>
          <a:p>
            <a:pPr>
              <a:defRPr lang="en-US" sz="900" b="0" i="0" strike="noStrike" kern="1200" baseline="0">
                <a:solidFill>
                  <a:srgbClr val="333333"/>
                </a:solidFill>
                <a:latin typeface="Calibri" panose="020F0502020204030204" pitchFamily="2" charset="0"/>
                <a:ea typeface="Calibri" panose="020F0502020204030204" pitchFamily="2" charset="0"/>
                <a:cs typeface="Calibri" panose="020F0502020204030204" pitchFamily="2" charset="0"/>
              </a:defRPr>
            </a:pPr>
            <a:endParaRPr lang="en-US"/>
          </a:p>
        </c:txPr>
        <c:crossAx val="482959849"/>
        <c:crosses val="autoZero"/>
        <c:crossBetween val="between"/>
      </c:valAx>
    </c:plotArea>
    <c:legend>
      <c:legendPos val="r"/>
      <c:layout>
        <c:manualLayout>
          <c:xMode val="edge"/>
          <c:yMode val="edge"/>
          <c:x val="0.34"/>
          <c:y val="0.13250000000000001"/>
          <c:w val="0.31025000000000003"/>
          <c:h val="5.525E-2"/>
        </c:manualLayout>
      </c:layout>
      <c:overlay val="0"/>
      <c:spPr>
        <a:noFill/>
        <a:ln w="3175">
          <a:noFill/>
          <a:prstDash val="solid"/>
        </a:ln>
      </c:spPr>
      <c:txPr>
        <a:bodyPr rot="0" spcFirstLastPara="0" vertOverflow="ellipsis" vert="horz" wrap="square" anchor="ctr" anchorCtr="1"/>
        <a:lstStyle/>
        <a:p>
          <a:pPr>
            <a:defRPr lang="en-US" sz="575" b="0" i="0" strike="noStrike" kern="1200" baseline="0">
              <a:solidFill>
                <a:srgbClr val="333333"/>
              </a:solidFill>
              <a:latin typeface="Calibri" panose="020F0502020204030204"/>
              <a:ea typeface="Calibri" panose="020F0502020204030204"/>
              <a:cs typeface="Calibri" panose="020F0502020204030204"/>
            </a:defRPr>
          </a:pPr>
          <a:endParaRPr lang="en-US"/>
        </a:p>
      </c:txPr>
    </c:legend>
    <c:plotVisOnly val="1"/>
    <c:dispBlanksAs val="gap"/>
    <c:showDLblsOverMax val="1"/>
  </c:chart>
  <c:spPr>
    <a:solidFill>
      <a:schemeClr val="bg1"/>
    </a:solidFill>
    <a:ln w="12700" cap="flat" cmpd="sng" algn="ctr">
      <a:solidFill>
        <a:schemeClr val="tx1"/>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12</xdr:col>
      <xdr:colOff>84361</xdr:colOff>
      <xdr:row>32</xdr:row>
      <xdr:rowOff>113050</xdr:rowOff>
    </xdr:from>
    <xdr:to>
      <xdr:col>19</xdr:col>
      <xdr:colOff>471764</xdr:colOff>
      <xdr:row>46</xdr:row>
      <xdr:rowOff>189250</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92050</xdr:colOff>
      <xdr:row>2</xdr:row>
      <xdr:rowOff>58430</xdr:rowOff>
    </xdr:from>
    <xdr:to>
      <xdr:col>19</xdr:col>
      <xdr:colOff>479453</xdr:colOff>
      <xdr:row>16</xdr:row>
      <xdr:rowOff>134630</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78443</xdr:colOff>
      <xdr:row>17</xdr:row>
      <xdr:rowOff>69080</xdr:rowOff>
    </xdr:from>
    <xdr:to>
      <xdr:col>19</xdr:col>
      <xdr:colOff>465846</xdr:colOff>
      <xdr:row>31</xdr:row>
      <xdr:rowOff>145280</xdr:rowOff>
    </xdr:to>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89649</xdr:colOff>
      <xdr:row>2</xdr:row>
      <xdr:rowOff>56350</xdr:rowOff>
    </xdr:from>
    <xdr:to>
      <xdr:col>27</xdr:col>
      <xdr:colOff>470648</xdr:colOff>
      <xdr:row>16</xdr:row>
      <xdr:rowOff>132550</xdr:rowOff>
    </xdr:to>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113420</xdr:colOff>
      <xdr:row>17</xdr:row>
      <xdr:rowOff>49628</xdr:rowOff>
    </xdr:from>
    <xdr:to>
      <xdr:col>27</xdr:col>
      <xdr:colOff>494419</xdr:colOff>
      <xdr:row>31</xdr:row>
      <xdr:rowOff>125828</xdr:rowOff>
    </xdr:to>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100854</xdr:colOff>
      <xdr:row>32</xdr:row>
      <xdr:rowOff>112060</xdr:rowOff>
    </xdr:from>
    <xdr:to>
      <xdr:col>27</xdr:col>
      <xdr:colOff>437030</xdr:colOff>
      <xdr:row>46</xdr:row>
      <xdr:rowOff>188260</xdr:rowOff>
    </xdr:to>
    <xdr:graphicFrame macro="">
      <xdr:nvGraphicFramePr>
        <xdr:cNvPr id="7" name="Chart 6">
          <a:extLst>
            <a:ext uri="{FF2B5EF4-FFF2-40B4-BE49-F238E27FC236}">
              <a16:creationId xmlns:a16="http://schemas.microsoft.com/office/drawing/2014/main" id="{00000000-0008-0000-1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373176</xdr:colOff>
      <xdr:row>2</xdr:row>
      <xdr:rowOff>19959</xdr:rowOff>
    </xdr:from>
    <xdr:to>
      <xdr:col>11</xdr:col>
      <xdr:colOff>371945</xdr:colOff>
      <xdr:row>13</xdr:row>
      <xdr:rowOff>27048</xdr:rowOff>
    </xdr:to>
    <xdr:graphicFrame macro="">
      <xdr:nvGraphicFramePr>
        <xdr:cNvPr id="8" name="Chart 7">
          <a:extLst>
            <a:ext uri="{FF2B5EF4-FFF2-40B4-BE49-F238E27FC236}">
              <a16:creationId xmlns:a16="http://schemas.microsoft.com/office/drawing/2014/main" id="{00000000-0008-0000-1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373176</xdr:colOff>
      <xdr:row>13</xdr:row>
      <xdr:rowOff>83042</xdr:rowOff>
    </xdr:from>
    <xdr:to>
      <xdr:col>11</xdr:col>
      <xdr:colOff>371944</xdr:colOff>
      <xdr:row>24</xdr:row>
      <xdr:rowOff>90131</xdr:rowOff>
    </xdr:to>
    <xdr:graphicFrame macro="">
      <xdr:nvGraphicFramePr>
        <xdr:cNvPr id="9" name="Chart 8">
          <a:extLst>
            <a:ext uri="{FF2B5EF4-FFF2-40B4-BE49-F238E27FC236}">
              <a16:creationId xmlns:a16="http://schemas.microsoft.com/office/drawing/2014/main" id="{00000000-0008-0000-1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373176</xdr:colOff>
      <xdr:row>24</xdr:row>
      <xdr:rowOff>169622</xdr:rowOff>
    </xdr:from>
    <xdr:to>
      <xdr:col>11</xdr:col>
      <xdr:colOff>371943</xdr:colOff>
      <xdr:row>35</xdr:row>
      <xdr:rowOff>176711</xdr:rowOff>
    </xdr:to>
    <xdr:graphicFrame macro="">
      <xdr:nvGraphicFramePr>
        <xdr:cNvPr id="10" name="Chart 9">
          <a:extLst>
            <a:ext uri="{FF2B5EF4-FFF2-40B4-BE49-F238E27FC236}">
              <a16:creationId xmlns:a16="http://schemas.microsoft.com/office/drawing/2014/main" id="{00000000-0008-0000-1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373176</xdr:colOff>
      <xdr:row>36</xdr:row>
      <xdr:rowOff>52192</xdr:rowOff>
    </xdr:from>
    <xdr:to>
      <xdr:col>11</xdr:col>
      <xdr:colOff>371943</xdr:colOff>
      <xdr:row>47</xdr:row>
      <xdr:rowOff>59281</xdr:rowOff>
    </xdr:to>
    <xdr:graphicFrame macro="">
      <xdr:nvGraphicFramePr>
        <xdr:cNvPr id="11" name="Chart 10">
          <a:extLst>
            <a:ext uri="{FF2B5EF4-FFF2-40B4-BE49-F238E27FC236}">
              <a16:creationId xmlns:a16="http://schemas.microsoft.com/office/drawing/2014/main" id="{00000000-0008-0000-1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78104</xdr:colOff>
      <xdr:row>10</xdr:row>
      <xdr:rowOff>38099</xdr:rowOff>
    </xdr:from>
    <xdr:to>
      <xdr:col>4</xdr:col>
      <xdr:colOff>1152524</xdr:colOff>
      <xdr:row>33</xdr:row>
      <xdr:rowOff>180974</xdr:rowOff>
    </xdr:to>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238124</xdr:colOff>
      <xdr:row>11</xdr:row>
      <xdr:rowOff>142874</xdr:rowOff>
    </xdr:from>
    <xdr:to>
      <xdr:col>10</xdr:col>
      <xdr:colOff>190499</xdr:colOff>
      <xdr:row>29</xdr:row>
      <xdr:rowOff>95250</xdr:rowOff>
    </xdr:to>
    <xdr:graphicFrame macro="">
      <xdr:nvGraphicFramePr>
        <xdr:cNvPr id="3" name="Chart 2">
          <a:extLst>
            <a:ext uri="{FF2B5EF4-FFF2-40B4-BE49-F238E27FC236}">
              <a16:creationId xmlns:a16="http://schemas.microsoft.com/office/drawing/2014/main" id="{00000000-0008-0000-1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107950</xdr:colOff>
      <xdr:row>42</xdr:row>
      <xdr:rowOff>28575</xdr:rowOff>
    </xdr:from>
    <xdr:to>
      <xdr:col>3</xdr:col>
      <xdr:colOff>1145540</xdr:colOff>
      <xdr:row>55</xdr:row>
      <xdr:rowOff>114300</xdr:rowOff>
    </xdr:to>
    <xdr:graphicFrame macro="">
      <xdr:nvGraphicFramePr>
        <xdr:cNvPr id="4" name="Chart 3">
          <a:extLst>
            <a:ext uri="{FF2B5EF4-FFF2-40B4-BE49-F238E27FC236}">
              <a16:creationId xmlns:a16="http://schemas.microsoft.com/office/drawing/2014/main" id="{00000000-0008-0000-1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333375</xdr:colOff>
      <xdr:row>42</xdr:row>
      <xdr:rowOff>28575</xdr:rowOff>
    </xdr:from>
    <xdr:to>
      <xdr:col>9</xdr:col>
      <xdr:colOff>675640</xdr:colOff>
      <xdr:row>55</xdr:row>
      <xdr:rowOff>95250</xdr:rowOff>
    </xdr:to>
    <xdr:graphicFrame macro="">
      <xdr:nvGraphicFramePr>
        <xdr:cNvPr id="5" name="Chart 4">
          <a:extLst>
            <a:ext uri="{FF2B5EF4-FFF2-40B4-BE49-F238E27FC236}">
              <a16:creationId xmlns:a16="http://schemas.microsoft.com/office/drawing/2014/main" id="{00000000-0008-0000-1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156845</xdr:colOff>
      <xdr:row>70</xdr:row>
      <xdr:rowOff>9525</xdr:rowOff>
    </xdr:from>
    <xdr:to>
      <xdr:col>3</xdr:col>
      <xdr:colOff>1194435</xdr:colOff>
      <xdr:row>84</xdr:row>
      <xdr:rowOff>85725</xdr:rowOff>
    </xdr:to>
    <xdr:graphicFrame macro="">
      <xdr:nvGraphicFramePr>
        <xdr:cNvPr id="6" name="Chart 5">
          <a:extLst>
            <a:ext uri="{FF2B5EF4-FFF2-40B4-BE49-F238E27FC236}">
              <a16:creationId xmlns:a16="http://schemas.microsoft.com/office/drawing/2014/main" id="{00000000-0008-0000-1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322580</xdr:colOff>
      <xdr:row>70</xdr:row>
      <xdr:rowOff>19050</xdr:rowOff>
    </xdr:from>
    <xdr:to>
      <xdr:col>9</xdr:col>
      <xdr:colOff>666115</xdr:colOff>
      <xdr:row>84</xdr:row>
      <xdr:rowOff>95250</xdr:rowOff>
    </xdr:to>
    <xdr:graphicFrame macro="">
      <xdr:nvGraphicFramePr>
        <xdr:cNvPr id="7" name="Chart 6">
          <a:extLst>
            <a:ext uri="{FF2B5EF4-FFF2-40B4-BE49-F238E27FC236}">
              <a16:creationId xmlns:a16="http://schemas.microsoft.com/office/drawing/2014/main" id="{00000000-0008-0000-1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147320</xdr:colOff>
      <xdr:row>85</xdr:row>
      <xdr:rowOff>28575</xdr:rowOff>
    </xdr:from>
    <xdr:to>
      <xdr:col>3</xdr:col>
      <xdr:colOff>1184910</xdr:colOff>
      <xdr:row>99</xdr:row>
      <xdr:rowOff>104775</xdr:rowOff>
    </xdr:to>
    <xdr:graphicFrame macro="">
      <xdr:nvGraphicFramePr>
        <xdr:cNvPr id="8" name="Chart 7">
          <a:extLst>
            <a:ext uri="{FF2B5EF4-FFF2-40B4-BE49-F238E27FC236}">
              <a16:creationId xmlns:a16="http://schemas.microsoft.com/office/drawing/2014/main" id="{00000000-0008-0000-1B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322580</xdr:colOff>
      <xdr:row>85</xdr:row>
      <xdr:rowOff>9525</xdr:rowOff>
    </xdr:from>
    <xdr:to>
      <xdr:col>9</xdr:col>
      <xdr:colOff>666115</xdr:colOff>
      <xdr:row>99</xdr:row>
      <xdr:rowOff>85725</xdr:rowOff>
    </xdr:to>
    <xdr:graphicFrame macro="">
      <xdr:nvGraphicFramePr>
        <xdr:cNvPr id="9" name="Chart 8">
          <a:extLst>
            <a:ext uri="{FF2B5EF4-FFF2-40B4-BE49-F238E27FC236}">
              <a16:creationId xmlns:a16="http://schemas.microsoft.com/office/drawing/2014/main" id="{00000000-0008-0000-1B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328351</xdr:colOff>
      <xdr:row>66</xdr:row>
      <xdr:rowOff>167192</xdr:rowOff>
    </xdr:from>
    <xdr:to>
      <xdr:col>28</xdr:col>
      <xdr:colOff>403137</xdr:colOff>
      <xdr:row>90</xdr:row>
      <xdr:rowOff>72567</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12744469" y="12740192"/>
          <a:ext cx="9935962" cy="4477375"/>
        </a:xfrm>
        <a:prstGeom prst="rect">
          <a:avLst/>
        </a:prstGeom>
        <a:ln>
          <a:prstDash val="solid"/>
        </a:ln>
      </xdr:spPr>
    </xdr:pic>
    <xdr:clientData/>
  </xdr:twoCellAnchor>
  <xdr:twoCellAnchor editAs="oneCell">
    <xdr:from>
      <xdr:col>12</xdr:col>
      <xdr:colOff>425824</xdr:colOff>
      <xdr:row>30</xdr:row>
      <xdr:rowOff>168088</xdr:rowOff>
    </xdr:from>
    <xdr:to>
      <xdr:col>27</xdr:col>
      <xdr:colOff>173826</xdr:colOff>
      <xdr:row>65</xdr:row>
      <xdr:rowOff>140440</xdr:rowOff>
    </xdr:to>
    <xdr:pic>
      <xdr:nvPicPr>
        <xdr:cNvPr id="4" name="Picture 3">
          <a:extLst>
            <a:ext uri="{FF2B5EF4-FFF2-40B4-BE49-F238E27FC236}">
              <a16:creationId xmlns:a16="http://schemas.microsoft.com/office/drawing/2014/main" id="{00000000-0008-0000-2100-000004000000}"/>
            </a:ext>
          </a:extLst>
        </xdr:cNvPr>
        <xdr:cNvPicPr>
          <a:picLocks noChangeAspect="1"/>
        </xdr:cNvPicPr>
      </xdr:nvPicPr>
      <xdr:blipFill>
        <a:blip xmlns:r="http://schemas.openxmlformats.org/officeDocument/2006/relationships" r:embed="rId2"/>
        <a:stretch>
          <a:fillRect/>
        </a:stretch>
      </xdr:blipFill>
      <xdr:spPr>
        <a:xfrm>
          <a:off x="12841942" y="5883088"/>
          <a:ext cx="8992855" cy="6639852"/>
        </a:xfrm>
        <a:prstGeom prst="rect">
          <a:avLst/>
        </a:prstGeom>
        <a:ln>
          <a:prstDash val="solid"/>
        </a:ln>
      </xdr:spPr>
    </xdr:pic>
    <xdr:clientData/>
  </xdr:twoCellAnchor>
  <xdr:twoCellAnchor editAs="oneCell">
    <xdr:from>
      <xdr:col>12</xdr:col>
      <xdr:colOff>179294</xdr:colOff>
      <xdr:row>92</xdr:row>
      <xdr:rowOff>78441</xdr:rowOff>
    </xdr:from>
    <xdr:to>
      <xdr:col>31</xdr:col>
      <xdr:colOff>53164</xdr:colOff>
      <xdr:row>118</xdr:row>
      <xdr:rowOff>126764</xdr:rowOff>
    </xdr:to>
    <xdr:pic>
      <xdr:nvPicPr>
        <xdr:cNvPr id="6" name="Picture 5">
          <a:extLst>
            <a:ext uri="{FF2B5EF4-FFF2-40B4-BE49-F238E27FC236}">
              <a16:creationId xmlns:a16="http://schemas.microsoft.com/office/drawing/2014/main" id="{00000000-0008-0000-2100-000006000000}"/>
            </a:ext>
          </a:extLst>
        </xdr:cNvPr>
        <xdr:cNvPicPr>
          <a:picLocks noChangeAspect="1"/>
        </xdr:cNvPicPr>
      </xdr:nvPicPr>
      <xdr:blipFill>
        <a:blip xmlns:r="http://schemas.openxmlformats.org/officeDocument/2006/relationships" r:embed="rId3"/>
        <a:stretch>
          <a:fillRect/>
        </a:stretch>
      </xdr:blipFill>
      <xdr:spPr>
        <a:xfrm>
          <a:off x="12595412" y="17604441"/>
          <a:ext cx="11584017" cy="5001323"/>
        </a:xfrm>
        <a:prstGeom prst="rect">
          <a:avLst/>
        </a:prstGeom>
        <a:ln>
          <a:prstDash val="solid"/>
        </a:ln>
      </xdr:spPr>
    </xdr:pic>
    <xdr:clientData/>
  </xdr:twoCellAnchor>
  <xdr:twoCellAnchor editAs="oneCell">
    <xdr:from>
      <xdr:col>12</xdr:col>
      <xdr:colOff>515469</xdr:colOff>
      <xdr:row>2</xdr:row>
      <xdr:rowOff>50197</xdr:rowOff>
    </xdr:from>
    <xdr:to>
      <xdr:col>34</xdr:col>
      <xdr:colOff>416041</xdr:colOff>
      <xdr:row>29</xdr:row>
      <xdr:rowOff>103515</xdr:rowOff>
    </xdr:to>
    <xdr:pic>
      <xdr:nvPicPr>
        <xdr:cNvPr id="7" name="Picture 6">
          <a:extLst>
            <a:ext uri="{FF2B5EF4-FFF2-40B4-BE49-F238E27FC236}">
              <a16:creationId xmlns:a16="http://schemas.microsoft.com/office/drawing/2014/main" id="{00000000-0008-0000-2100-000007000000}"/>
            </a:ext>
          </a:extLst>
        </xdr:cNvPr>
        <xdr:cNvPicPr>
          <a:picLocks noChangeAspect="1"/>
        </xdr:cNvPicPr>
      </xdr:nvPicPr>
      <xdr:blipFill>
        <a:blip xmlns:r="http://schemas.openxmlformats.org/officeDocument/2006/relationships" r:embed="rId4"/>
        <a:stretch>
          <a:fillRect/>
        </a:stretch>
      </xdr:blipFill>
      <xdr:spPr>
        <a:xfrm>
          <a:off x="12931587" y="431197"/>
          <a:ext cx="13459689" cy="5196818"/>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33</xdr:col>
      <xdr:colOff>126310</xdr:colOff>
      <xdr:row>49</xdr:row>
      <xdr:rowOff>106092</xdr:rowOff>
    </xdr:to>
    <xdr:pic>
      <xdr:nvPicPr>
        <xdr:cNvPr id="2" name="Picture 1">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4381500" y="0"/>
          <a:ext cx="17804710" cy="9440592"/>
        </a:xfrm>
        <a:prstGeom prst="rect">
          <a:avLst/>
        </a:prstGeom>
        <a:ln>
          <a:prstDash val="solid"/>
        </a:ln>
      </xdr:spPr>
    </xdr:pic>
    <xdr:clientData/>
  </xdr:twoCellAnchor>
  <xdr:twoCellAnchor editAs="oneCell">
    <xdr:from>
      <xdr:col>4</xdr:col>
      <xdr:colOff>0</xdr:colOff>
      <xdr:row>51</xdr:row>
      <xdr:rowOff>0</xdr:rowOff>
    </xdr:from>
    <xdr:to>
      <xdr:col>33</xdr:col>
      <xdr:colOff>188650</xdr:colOff>
      <xdr:row>100</xdr:row>
      <xdr:rowOff>29882</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2"/>
        <a:stretch>
          <a:fillRect/>
        </a:stretch>
      </xdr:blipFill>
      <xdr:spPr>
        <a:xfrm>
          <a:off x="4364182" y="9715500"/>
          <a:ext cx="17766604" cy="9364382"/>
        </a:xfrm>
        <a:prstGeom prst="rect">
          <a:avLst/>
        </a:prstGeom>
        <a:ln>
          <a:prstDash val="solid"/>
        </a:ln>
      </xdr:spPr>
    </xdr:pic>
    <xdr:clientData/>
  </xdr:twoCellAnchor>
  <xdr:twoCellAnchor editAs="oneCell">
    <xdr:from>
      <xdr:col>4</xdr:col>
      <xdr:colOff>0</xdr:colOff>
      <xdr:row>101</xdr:row>
      <xdr:rowOff>0</xdr:rowOff>
    </xdr:from>
    <xdr:to>
      <xdr:col>33</xdr:col>
      <xdr:colOff>217229</xdr:colOff>
      <xdr:row>150</xdr:row>
      <xdr:rowOff>106092</xdr:rowOff>
    </xdr:to>
    <xdr:pic>
      <xdr:nvPicPr>
        <xdr:cNvPr id="4" name="Picture 3">
          <a:extLst>
            <a:ext uri="{FF2B5EF4-FFF2-40B4-BE49-F238E27FC236}">
              <a16:creationId xmlns:a16="http://schemas.microsoft.com/office/drawing/2014/main" id="{00000000-0008-0000-2A00-000004000000}"/>
            </a:ext>
          </a:extLst>
        </xdr:cNvPr>
        <xdr:cNvPicPr>
          <a:picLocks noChangeAspect="1"/>
        </xdr:cNvPicPr>
      </xdr:nvPicPr>
      <xdr:blipFill>
        <a:blip xmlns:r="http://schemas.openxmlformats.org/officeDocument/2006/relationships" r:embed="rId3"/>
        <a:stretch>
          <a:fillRect/>
        </a:stretch>
      </xdr:blipFill>
      <xdr:spPr>
        <a:xfrm>
          <a:off x="4364182" y="19240500"/>
          <a:ext cx="17795183" cy="9440592"/>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ENOVO/OneDrive/Kertas%20Kerja%20Penilaian%20Bisnis%20V.1.2%20cb%20Approweb.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c01/c/My%20Documents/Zodiac/Studi%20Kelayakan/Tahun%201999/Milenia%20Multi%20Makmur/Milenia-F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kemenkeu-my.sharepoint.com/personal/mochamad_bachtiar_kemenkeu_go_id/Documents/MADYA%20DUA%20JAKSEL%20I/2025/KARUNIA%20AKSES%20GEMILANG/KKP%20SAHAM%20KARUNIA%20AKSES%20GEMILAN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kemenkeu-my.sharepoint.com/personal/mochamad_bachtiar_kemenkeu_go_id/Documents/KANWIL%20JATIM%202/KKP%20ASET%20DAN%20BANGUNAN%20SAPUJAGA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UMUM"/>
      <sheetName val="DLOM"/>
      <sheetName val="DLOC(PFC)"/>
      <sheetName val="Laporan Historis"/>
      <sheetName val="Sheet3"/>
      <sheetName val="ArusKas"/>
      <sheetName val="Normalisasi Lap Keu"/>
      <sheetName val="Analisis Laporan Historis"/>
      <sheetName val="CapRate ATB"/>
      <sheetName val="Discount Rate"/>
      <sheetName val="Borrowing Capacity"/>
      <sheetName val="EEM ATB"/>
      <sheetName val="AAM"/>
      <sheetName val="EEM"/>
      <sheetName val="Growth"/>
      <sheetName val="Proyeksi Laba Rugi"/>
      <sheetName val="Proyeksi Neraca ROA"/>
      <sheetName val="Arus Kas Proyeksi"/>
      <sheetName val="Proyeksi Neraca"/>
      <sheetName val="Proyeksi Utang"/>
      <sheetName val="Proyeksi Aset Tetap"/>
      <sheetName val="Perusahaan"/>
      <sheetName val="Nasional"/>
      <sheetName val="DCF"/>
      <sheetName val="Weighted"/>
      <sheetName val="Pohon Kepemilikan"/>
    </sheetNames>
    <sheetDataSet>
      <sheetData sheetId="0">
        <row r="5">
          <cell r="B5" t="str">
            <v>Non Terbuka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8">
          <cell r="A18" t="str">
            <v>Growth</v>
          </cell>
          <cell r="B18"/>
          <cell r="C18">
            <v>3.502351316223553E-12</v>
          </cell>
          <cell r="D18">
            <v>3.7435462418614184E-12</v>
          </cell>
          <cell r="E18">
            <v>3.9555967806473506E-12</v>
          </cell>
          <cell r="F18">
            <v>4.146040274008154E-12</v>
          </cell>
          <cell r="G18">
            <v>0</v>
          </cell>
          <cell r="H18"/>
        </row>
        <row r="19">
          <cell r="A19" t="str">
            <v>Discount Rate</v>
          </cell>
          <cell r="B19">
            <v>0.11378097937868238</v>
          </cell>
          <cell r="C19">
            <v>0.11378097937868238</v>
          </cell>
          <cell r="D19">
            <v>0.11378097937868238</v>
          </cell>
          <cell r="E19">
            <v>0.11378097937868238</v>
          </cell>
          <cell r="F19">
            <v>0.11378097937868238</v>
          </cell>
          <cell r="G19">
            <v>0.11378097937868238</v>
          </cell>
          <cell r="H19"/>
        </row>
      </sheetData>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umsi"/>
      <sheetName val="MInv."/>
      <sheetName val="Inv"/>
      <sheetName val="MSales"/>
      <sheetName val="Sales"/>
      <sheetName val="MProd"/>
      <sheetName val="Prod"/>
      <sheetName val="MDepr&amp;amr"/>
      <sheetName val="Depr&amp;amr"/>
      <sheetName val="MBPTL"/>
      <sheetName val="BPTL"/>
      <sheetName val="MHPP"/>
      <sheetName val="HPP"/>
      <sheetName val="MBO"/>
      <sheetName val="BO"/>
      <sheetName val="MIS"/>
      <sheetName val="MCF"/>
      <sheetName val="CF"/>
      <sheetName val="IS"/>
      <sheetName val="Nrc"/>
      <sheetName val="MNPV"/>
      <sheetName val="NPV (2)"/>
      <sheetName val="NPV"/>
      <sheetName val="KI"/>
      <sheetName val="KMK"/>
      <sheetName val="KID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KUISIONER"/>
      <sheetName val="DLOC(PFC)"/>
      <sheetName val="DLOM"/>
      <sheetName val="BALANCE SHEET"/>
      <sheetName val="INCOME STATEMENT"/>
      <sheetName val="FIXED ASSET"/>
      <sheetName val="CASH FLOW STATEMENT"/>
      <sheetName val="ACC PAYABLES"/>
      <sheetName val="NOPLAT"/>
      <sheetName val="FCF"/>
      <sheetName val="ROIC"/>
      <sheetName val="GROWTH RATE"/>
      <sheetName val="CFI"/>
      <sheetName val="FINANCIAL RATIO"/>
      <sheetName val="KEY DRIVERS"/>
      <sheetName val="PROY LR"/>
      <sheetName val="PROY FIXED ASSET"/>
      <sheetName val="PROY BALANCE SHEET"/>
      <sheetName val="PROY ACC PAYABLES"/>
      <sheetName val="PROY CASH FLOW STATEMENT"/>
      <sheetName val="PROY NOPLAT"/>
      <sheetName val="BORROWING CAP"/>
      <sheetName val="WACC_1"/>
      <sheetName val="WACC"/>
      <sheetName val="GROWTH REVENUE"/>
      <sheetName val="DCF"/>
      <sheetName val="PASAR KESEBANDINGAN"/>
      <sheetName val="PASAR PEMBANDING"/>
      <sheetName val="PASAR PEMBANDING_"/>
      <sheetName val="PASAR KESEBANDINGAN1"/>
      <sheetName val="AAM"/>
      <sheetName val="EEM"/>
      <sheetName val="Sheet1"/>
      <sheetName val="PERBANDINGAN"/>
    </sheetNames>
    <sheetDataSet>
      <sheetData sheetId="0"/>
      <sheetData sheetId="1"/>
      <sheetData sheetId="2"/>
      <sheetData sheetId="3"/>
      <sheetData sheetId="4">
        <row r="3">
          <cell r="A3" t="str">
            <v>(IDR)</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FIXTURE FURNITURE EQUIPMENT"/>
      <sheetName val="BANGUNAN"/>
      <sheetName val="REKAP ASET"/>
      <sheetName val="PERHITUNGAN NILAI ASET TETAP"/>
      <sheetName val="PERHITUNGAN NILAI BANGUNAN"/>
      <sheetName val="CPI BANGUNAN"/>
      <sheetName val="AMMOUNT DEPRC"/>
      <sheetName val="LIFE"/>
      <sheetName val="PENYUSUTAN BANGUNAN"/>
      <sheetName val="DEPRC"/>
      <sheetName val="peny fungsional"/>
      <sheetName val="peny fisik"/>
      <sheetName val="peny ekonomi"/>
      <sheetName val="PPI Manufacturing"/>
    </sheetNames>
    <sheetDataSet>
      <sheetData sheetId="0"/>
      <sheetData sheetId="1">
        <row r="5">
          <cell r="X5">
            <v>143860102075.67972</v>
          </cell>
        </row>
      </sheetData>
      <sheetData sheetId="2">
        <row r="5">
          <cell r="U5">
            <v>166342337027.92767</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7" displayName="Table7" ref="B5:G11" totalsRowShown="0" headerRowDxfId="27" dataDxfId="26" headerRowCellStyle="Percent" dataCellStyle="Percent">
  <autoFilter ref="B5:G11" xr:uid="{00000000-0009-0000-0100-000001000000}">
    <filterColumn colId="0">
      <filters>
        <filter val="EBIT Margin"/>
      </filters>
    </filterColumn>
  </autoFilter>
  <tableColumns count="6">
    <tableColumn id="1" xr3:uid="{00000000-0010-0000-0000-000001000000}" name="Profitability Indicator Ratio"/>
    <tableColumn id="2" xr3:uid="{00000000-0010-0000-0000-000002000000}" name="Formula"/>
    <tableColumn id="3" xr3:uid="{00000000-0010-0000-0000-000003000000}" name="Column3" dataDxfId="25" dataCellStyle="Percent"/>
    <tableColumn id="4" xr3:uid="{00000000-0010-0000-0000-000004000000}" name="Column4" dataDxfId="24" dataCellStyle="Percent"/>
    <tableColumn id="5" xr3:uid="{00000000-0010-0000-0000-000005000000}" name="Column5" dataDxfId="23" dataCellStyle="Percent"/>
    <tableColumn id="6" xr3:uid="{00000000-0010-0000-0000-000006000000}" name="Column6" dataDxfId="22">
      <calculatedColumnFormula>AVERAGE(D6:F6)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8" displayName="Table8" ref="B13:G16" totalsRowShown="0" headerRowDxfId="21" dataDxfId="20" headerRowCellStyle="Comma" dataCellStyle="Comma">
  <autoFilter ref="B13:G16" xr:uid="{00000000-0009-0000-0100-000002000000}">
    <filterColumn colId="0">
      <filters>
        <filter val="Quick Ratio"/>
      </filters>
    </filterColumn>
  </autoFilter>
  <tableColumns count="6">
    <tableColumn id="1" xr3:uid="{00000000-0010-0000-0100-000001000000}" name="Liquidity Measurement Ratio"/>
    <tableColumn id="2" xr3:uid="{00000000-0010-0000-0100-000002000000}" name="Formula"/>
    <tableColumn id="3" xr3:uid="{00000000-0010-0000-0100-000003000000}" name="Column3" dataDxfId="19" dataCellStyle="Comma"/>
    <tableColumn id="4" xr3:uid="{00000000-0010-0000-0100-000004000000}" name="Column4" dataDxfId="18" dataCellStyle="Comma"/>
    <tableColumn id="5" xr3:uid="{00000000-0010-0000-0100-000005000000}" name="Column5" dataDxfId="17" dataCellStyle="Comma"/>
    <tableColumn id="6" xr3:uid="{00000000-0010-0000-0100-000006000000}" name="Column6" dataDxfId="16">
      <calculatedColumnFormula>AVERAGE(D14:F14)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9" displayName="Table9" ref="B18:G23" totalsRowShown="0" headerRowDxfId="15" dataDxfId="14" headerRowCellStyle="Percent" dataCellStyle="Percent">
  <autoFilter ref="B18:G23" xr:uid="{00000000-0009-0000-0100-000003000000}">
    <filterColumn colId="0">
      <filters>
        <filter val="Debt to Assets Ratio"/>
      </filters>
    </filterColumn>
  </autoFilter>
  <tableColumns count="6">
    <tableColumn id="1" xr3:uid="{00000000-0010-0000-0200-000001000000}" name="Leverage Ratio"/>
    <tableColumn id="2" xr3:uid="{00000000-0010-0000-0200-000002000000}" name="Formula"/>
    <tableColumn id="3" xr3:uid="{00000000-0010-0000-0200-000003000000}" name="Column3" dataDxfId="13" dataCellStyle="Percent"/>
    <tableColumn id="4" xr3:uid="{00000000-0010-0000-0200-000004000000}" name="Column4" dataDxfId="12" dataCellStyle="Percent"/>
    <tableColumn id="5" xr3:uid="{00000000-0010-0000-0200-000005000000}" name="Column5" dataDxfId="11" dataCellStyle="Percent"/>
    <tableColumn id="6" xr3:uid="{00000000-0010-0000-0200-000006000000}" name="Column6" dataDxfId="10">
      <calculatedColumnFormula>AVERAGE(D19:F19)</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1" displayName="Table11" ref="B25:G28" totalsRowShown="0" headerRowDxfId="9" headerRowCellStyle="Percent">
  <autoFilter ref="B25:G28" xr:uid="{00000000-0009-0000-0100-000004000000}">
    <filterColumn colId="0">
      <filters>
        <filter val="FCF/Operating Cash Ratio"/>
      </filters>
    </filterColumn>
  </autoFilter>
  <tableColumns count="6">
    <tableColumn id="1" xr3:uid="{00000000-0010-0000-0300-000001000000}" name="Cash Flow Indicator"/>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calculatedColumnFormula>AVERAGE(D26:F26)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1"/>
  <sheetViews>
    <sheetView showGridLines="0" topLeftCell="F1" workbookViewId="0">
      <pane ySplit="3" topLeftCell="A169" activePane="bottomLeft" state="frozen"/>
      <selection pane="bottomLeft" activeCell="H169" sqref="H169"/>
    </sheetView>
  </sheetViews>
  <sheetFormatPr baseColWidth="10" defaultColWidth="8.83203125" defaultRowHeight="15" x14ac:dyDescent="0.2"/>
  <cols>
    <col min="1" max="1" width="6" customWidth="1"/>
    <col min="2" max="2" width="22" customWidth="1"/>
    <col min="3" max="3" width="28" customWidth="1"/>
    <col min="4" max="4" width="12" customWidth="1"/>
    <col min="5" max="6" width="52" customWidth="1"/>
    <col min="7" max="7" width="44" customWidth="1"/>
    <col min="8" max="8" width="72" customWidth="1"/>
    <col min="9" max="10" width="18" customWidth="1"/>
  </cols>
  <sheetData>
    <row r="1" spans="1:10" ht="19" x14ac:dyDescent="0.25">
      <c r="A1" s="542" t="s">
        <v>24</v>
      </c>
    </row>
    <row r="2" spans="1:10" ht="409.6" x14ac:dyDescent="0.2">
      <c r="A2" s="543" t="s">
        <v>25</v>
      </c>
    </row>
    <row r="3" spans="1:10" ht="16" x14ac:dyDescent="0.2">
      <c r="A3" s="544" t="s">
        <v>26</v>
      </c>
      <c r="B3" s="544" t="s">
        <v>27</v>
      </c>
      <c r="C3" s="544" t="s">
        <v>28</v>
      </c>
      <c r="D3" s="544" t="s">
        <v>29</v>
      </c>
      <c r="E3" s="544" t="s">
        <v>30</v>
      </c>
      <c r="F3" s="544" t="s">
        <v>31</v>
      </c>
      <c r="G3" s="544" t="s">
        <v>32</v>
      </c>
      <c r="H3" s="544" t="s">
        <v>33</v>
      </c>
      <c r="I3" s="544" t="s">
        <v>34</v>
      </c>
      <c r="J3" s="544" t="s">
        <v>35</v>
      </c>
    </row>
    <row r="4" spans="1:10" ht="16" x14ac:dyDescent="0.2">
      <c r="A4" s="539">
        <v>1</v>
      </c>
      <c r="B4" s="539" t="s">
        <v>36</v>
      </c>
      <c r="C4" s="539" t="s">
        <v>37</v>
      </c>
      <c r="D4" s="539" t="s">
        <v>38</v>
      </c>
      <c r="E4" s="539" t="s">
        <v>39</v>
      </c>
      <c r="F4" s="539" t="s">
        <v>40</v>
      </c>
      <c r="G4" s="539" t="s">
        <v>41</v>
      </c>
      <c r="H4" s="539" t="s">
        <v>42</v>
      </c>
      <c r="I4" s="539" t="s">
        <v>43</v>
      </c>
      <c r="J4" s="539" t="s">
        <v>43</v>
      </c>
    </row>
    <row r="5" spans="1:10" ht="16" x14ac:dyDescent="0.2">
      <c r="A5" s="539">
        <v>2</v>
      </c>
      <c r="B5" s="539" t="s">
        <v>36</v>
      </c>
      <c r="C5" s="539" t="s">
        <v>37</v>
      </c>
      <c r="D5" s="539" t="s">
        <v>44</v>
      </c>
      <c r="E5" s="539" t="s">
        <v>45</v>
      </c>
      <c r="F5" s="539" t="s">
        <v>46</v>
      </c>
      <c r="G5" s="539" t="s">
        <v>47</v>
      </c>
      <c r="H5" s="539" t="s">
        <v>48</v>
      </c>
      <c r="I5" s="539" t="s">
        <v>43</v>
      </c>
      <c r="J5" s="539" t="s">
        <v>43</v>
      </c>
    </row>
    <row r="6" spans="1:10" ht="16" x14ac:dyDescent="0.2">
      <c r="A6" s="539">
        <v>3</v>
      </c>
      <c r="B6" s="539" t="s">
        <v>36</v>
      </c>
      <c r="C6" s="539" t="s">
        <v>37</v>
      </c>
      <c r="D6" s="539" t="s">
        <v>49</v>
      </c>
      <c r="E6" s="539" t="s">
        <v>50</v>
      </c>
      <c r="F6" s="539" t="s">
        <v>46</v>
      </c>
      <c r="G6" s="539" t="s">
        <v>51</v>
      </c>
      <c r="H6" s="539" t="s">
        <v>52</v>
      </c>
      <c r="I6" s="539" t="s">
        <v>43</v>
      </c>
      <c r="J6" s="539" t="s">
        <v>43</v>
      </c>
    </row>
    <row r="7" spans="1:10" ht="16" x14ac:dyDescent="0.2">
      <c r="A7" s="539">
        <v>4</v>
      </c>
      <c r="B7" s="539" t="s">
        <v>36</v>
      </c>
      <c r="C7" s="539" t="s">
        <v>53</v>
      </c>
      <c r="D7" s="539" t="s">
        <v>54</v>
      </c>
      <c r="E7" s="539" t="s">
        <v>55</v>
      </c>
      <c r="F7" s="539" t="s">
        <v>56</v>
      </c>
      <c r="G7" s="539" t="s">
        <v>57</v>
      </c>
      <c r="H7" s="539" t="s">
        <v>58</v>
      </c>
      <c r="I7" s="539" t="s">
        <v>59</v>
      </c>
      <c r="J7" s="539" t="s">
        <v>43</v>
      </c>
    </row>
    <row r="8" spans="1:10" ht="32" x14ac:dyDescent="0.2">
      <c r="A8" s="539">
        <v>5</v>
      </c>
      <c r="B8" s="539" t="s">
        <v>36</v>
      </c>
      <c r="C8" s="539" t="s">
        <v>53</v>
      </c>
      <c r="D8" s="539" t="s">
        <v>60</v>
      </c>
      <c r="E8" s="539" t="s">
        <v>61</v>
      </c>
      <c r="F8" s="539" t="s">
        <v>62</v>
      </c>
      <c r="G8" s="539" t="s">
        <v>63</v>
      </c>
      <c r="H8" s="539" t="s">
        <v>64</v>
      </c>
      <c r="I8" s="539" t="s">
        <v>43</v>
      </c>
      <c r="J8" s="539" t="s">
        <v>43</v>
      </c>
    </row>
    <row r="9" spans="1:10" ht="32" x14ac:dyDescent="0.2">
      <c r="A9" s="539">
        <v>6</v>
      </c>
      <c r="B9" s="539" t="s">
        <v>36</v>
      </c>
      <c r="C9" s="539" t="s">
        <v>53</v>
      </c>
      <c r="D9" s="539" t="s">
        <v>65</v>
      </c>
      <c r="E9" s="539" t="s">
        <v>66</v>
      </c>
      <c r="F9" s="539" t="s">
        <v>67</v>
      </c>
      <c r="G9" s="539" t="s">
        <v>63</v>
      </c>
      <c r="H9" s="539" t="s">
        <v>64</v>
      </c>
      <c r="I9" s="539" t="s">
        <v>43</v>
      </c>
      <c r="J9" s="539" t="s">
        <v>43</v>
      </c>
    </row>
    <row r="10" spans="1:10" ht="32" x14ac:dyDescent="0.2">
      <c r="A10" s="539">
        <v>7</v>
      </c>
      <c r="B10" s="539" t="s">
        <v>36</v>
      </c>
      <c r="C10" s="539" t="s">
        <v>53</v>
      </c>
      <c r="D10" s="539" t="s">
        <v>68</v>
      </c>
      <c r="E10" s="539" t="s">
        <v>69</v>
      </c>
      <c r="F10" s="539" t="s">
        <v>70</v>
      </c>
      <c r="G10" s="539" t="s">
        <v>63</v>
      </c>
      <c r="H10" s="539" t="s">
        <v>64</v>
      </c>
      <c r="I10" s="539" t="s">
        <v>43</v>
      </c>
      <c r="J10" s="539" t="s">
        <v>43</v>
      </c>
    </row>
    <row r="11" spans="1:10" ht="16" x14ac:dyDescent="0.2">
      <c r="A11" s="539">
        <v>8</v>
      </c>
      <c r="B11" s="539" t="s">
        <v>36</v>
      </c>
      <c r="C11" s="539" t="s">
        <v>53</v>
      </c>
      <c r="D11" s="539" t="s">
        <v>71</v>
      </c>
      <c r="E11" s="539" t="s">
        <v>72</v>
      </c>
      <c r="F11" s="539" t="s">
        <v>72</v>
      </c>
      <c r="G11" s="539" t="s">
        <v>73</v>
      </c>
      <c r="H11" s="539" t="s">
        <v>74</v>
      </c>
      <c r="I11" s="539" t="s">
        <v>43</v>
      </c>
      <c r="J11" s="539" t="s">
        <v>43</v>
      </c>
    </row>
    <row r="12" spans="1:10" ht="16" x14ac:dyDescent="0.2">
      <c r="A12" s="539">
        <v>9</v>
      </c>
      <c r="B12" s="539" t="s">
        <v>36</v>
      </c>
      <c r="C12" s="539" t="s">
        <v>53</v>
      </c>
      <c r="D12" s="539" t="s">
        <v>75</v>
      </c>
      <c r="E12" s="539" t="s">
        <v>76</v>
      </c>
      <c r="F12" s="539" t="s">
        <v>76</v>
      </c>
      <c r="G12" s="539" t="s">
        <v>73</v>
      </c>
      <c r="H12" s="539" t="s">
        <v>74</v>
      </c>
      <c r="I12" s="539" t="s">
        <v>43</v>
      </c>
      <c r="J12" s="539" t="s">
        <v>43</v>
      </c>
    </row>
    <row r="13" spans="1:10" ht="16" x14ac:dyDescent="0.2">
      <c r="A13" s="539">
        <v>10</v>
      </c>
      <c r="B13" s="539" t="s">
        <v>36</v>
      </c>
      <c r="C13" s="539" t="s">
        <v>53</v>
      </c>
      <c r="D13" s="539" t="s">
        <v>77</v>
      </c>
      <c r="E13" s="539" t="s">
        <v>78</v>
      </c>
      <c r="F13" s="539" t="s">
        <v>78</v>
      </c>
      <c r="G13" s="539" t="s">
        <v>73</v>
      </c>
      <c r="H13" s="539" t="s">
        <v>74</v>
      </c>
      <c r="I13" s="539" t="s">
        <v>43</v>
      </c>
      <c r="J13" s="539" t="s">
        <v>43</v>
      </c>
    </row>
    <row r="14" spans="1:10" ht="16" x14ac:dyDescent="0.2">
      <c r="A14" s="539">
        <v>11</v>
      </c>
      <c r="B14" s="539" t="s">
        <v>36</v>
      </c>
      <c r="C14" s="539" t="s">
        <v>53</v>
      </c>
      <c r="D14" s="539" t="s">
        <v>79</v>
      </c>
      <c r="E14" s="539" t="s">
        <v>80</v>
      </c>
      <c r="F14" s="539" t="s">
        <v>80</v>
      </c>
      <c r="G14" s="539" t="s">
        <v>73</v>
      </c>
      <c r="H14" s="539" t="s">
        <v>74</v>
      </c>
      <c r="I14" s="539" t="s">
        <v>43</v>
      </c>
      <c r="J14" s="539" t="s">
        <v>43</v>
      </c>
    </row>
    <row r="15" spans="1:10" ht="16" x14ac:dyDescent="0.2">
      <c r="A15" s="539">
        <v>12</v>
      </c>
      <c r="B15" s="539" t="s">
        <v>36</v>
      </c>
      <c r="C15" s="539" t="s">
        <v>53</v>
      </c>
      <c r="D15" s="539" t="s">
        <v>81</v>
      </c>
      <c r="E15" s="539" t="s">
        <v>82</v>
      </c>
      <c r="F15" s="539" t="s">
        <v>82</v>
      </c>
      <c r="G15" s="539" t="s">
        <v>73</v>
      </c>
      <c r="H15" s="539" t="s">
        <v>74</v>
      </c>
      <c r="I15" s="539" t="s">
        <v>43</v>
      </c>
      <c r="J15" s="539" t="s">
        <v>43</v>
      </c>
    </row>
    <row r="16" spans="1:10" ht="16" x14ac:dyDescent="0.2">
      <c r="A16" s="539">
        <v>13</v>
      </c>
      <c r="B16" s="539" t="s">
        <v>36</v>
      </c>
      <c r="C16" s="539" t="s">
        <v>53</v>
      </c>
      <c r="D16" s="539" t="s">
        <v>83</v>
      </c>
      <c r="E16" s="539" t="s">
        <v>84</v>
      </c>
      <c r="F16" s="539" t="s">
        <v>84</v>
      </c>
      <c r="G16" s="539" t="s">
        <v>73</v>
      </c>
      <c r="H16" s="539" t="s">
        <v>74</v>
      </c>
      <c r="I16" s="539" t="s">
        <v>43</v>
      </c>
      <c r="J16" s="539" t="s">
        <v>43</v>
      </c>
    </row>
    <row r="17" spans="1:10" ht="16" x14ac:dyDescent="0.2">
      <c r="A17" s="539">
        <v>14</v>
      </c>
      <c r="B17" s="539" t="s">
        <v>36</v>
      </c>
      <c r="C17" s="539" t="s">
        <v>53</v>
      </c>
      <c r="D17" s="539" t="s">
        <v>85</v>
      </c>
      <c r="E17" s="539" t="s">
        <v>86</v>
      </c>
      <c r="F17" s="539" t="s">
        <v>86</v>
      </c>
      <c r="G17" s="539" t="s">
        <v>73</v>
      </c>
      <c r="H17" s="539" t="s">
        <v>74</v>
      </c>
      <c r="I17" s="539" t="s">
        <v>43</v>
      </c>
      <c r="J17" s="539" t="s">
        <v>43</v>
      </c>
    </row>
    <row r="18" spans="1:10" ht="16" x14ac:dyDescent="0.2">
      <c r="A18" s="539">
        <v>15</v>
      </c>
      <c r="B18" s="539" t="s">
        <v>36</v>
      </c>
      <c r="C18" s="539" t="s">
        <v>53</v>
      </c>
      <c r="D18" s="539" t="s">
        <v>87</v>
      </c>
      <c r="E18" s="539" t="s">
        <v>88</v>
      </c>
      <c r="F18" s="539" t="s">
        <v>88</v>
      </c>
      <c r="G18" s="539" t="s">
        <v>73</v>
      </c>
      <c r="H18" s="539" t="s">
        <v>74</v>
      </c>
      <c r="I18" s="539" t="s">
        <v>43</v>
      </c>
      <c r="J18" s="539" t="s">
        <v>43</v>
      </c>
    </row>
    <row r="19" spans="1:10" ht="16" x14ac:dyDescent="0.2">
      <c r="A19" s="539">
        <v>16</v>
      </c>
      <c r="B19" s="539" t="s">
        <v>36</v>
      </c>
      <c r="C19" s="539" t="s">
        <v>53</v>
      </c>
      <c r="D19" s="539" t="s">
        <v>89</v>
      </c>
      <c r="E19" s="539" t="s">
        <v>90</v>
      </c>
      <c r="F19" s="539" t="s">
        <v>90</v>
      </c>
      <c r="G19" s="539" t="s">
        <v>73</v>
      </c>
      <c r="H19" s="539" t="s">
        <v>74</v>
      </c>
      <c r="I19" s="539" t="s">
        <v>43</v>
      </c>
      <c r="J19" s="539" t="s">
        <v>43</v>
      </c>
    </row>
    <row r="20" spans="1:10" ht="16" x14ac:dyDescent="0.2">
      <c r="A20" s="539">
        <v>17</v>
      </c>
      <c r="B20" s="539" t="s">
        <v>36</v>
      </c>
      <c r="C20" s="539" t="s">
        <v>53</v>
      </c>
      <c r="D20" s="539" t="s">
        <v>91</v>
      </c>
      <c r="E20" s="539" t="s">
        <v>92</v>
      </c>
      <c r="F20" s="539" t="s">
        <v>92</v>
      </c>
      <c r="G20" s="539" t="s">
        <v>73</v>
      </c>
      <c r="H20" s="539" t="s">
        <v>74</v>
      </c>
      <c r="I20" s="539" t="s">
        <v>43</v>
      </c>
      <c r="J20" s="539" t="s">
        <v>43</v>
      </c>
    </row>
    <row r="21" spans="1:10" ht="16" x14ac:dyDescent="0.2">
      <c r="A21" s="539">
        <v>18</v>
      </c>
      <c r="B21" s="539" t="s">
        <v>36</v>
      </c>
      <c r="C21" s="539" t="s">
        <v>93</v>
      </c>
      <c r="D21" s="539" t="s">
        <v>94</v>
      </c>
      <c r="E21" s="539" t="s">
        <v>95</v>
      </c>
      <c r="F21" s="539" t="s">
        <v>96</v>
      </c>
      <c r="G21" s="539" t="s">
        <v>97</v>
      </c>
      <c r="H21" s="539" t="s">
        <v>98</v>
      </c>
      <c r="I21" s="539" t="s">
        <v>59</v>
      </c>
      <c r="J21" s="539" t="s">
        <v>43</v>
      </c>
    </row>
    <row r="22" spans="1:10" ht="16" x14ac:dyDescent="0.2">
      <c r="A22" s="539">
        <v>19</v>
      </c>
      <c r="B22" s="539" t="s">
        <v>36</v>
      </c>
      <c r="C22" s="539" t="s">
        <v>93</v>
      </c>
      <c r="D22" s="539" t="s">
        <v>99</v>
      </c>
      <c r="E22" s="539" t="s">
        <v>100</v>
      </c>
      <c r="F22" s="539" t="s">
        <v>101</v>
      </c>
      <c r="G22" s="539" t="s">
        <v>102</v>
      </c>
      <c r="H22" s="539" t="s">
        <v>103</v>
      </c>
      <c r="I22" s="539" t="s">
        <v>59</v>
      </c>
      <c r="J22" s="539" t="s">
        <v>43</v>
      </c>
    </row>
    <row r="23" spans="1:10" ht="16" x14ac:dyDescent="0.2">
      <c r="A23" s="539">
        <v>20</v>
      </c>
      <c r="B23" s="539" t="s">
        <v>36</v>
      </c>
      <c r="C23" s="539" t="s">
        <v>93</v>
      </c>
      <c r="D23" s="539" t="s">
        <v>104</v>
      </c>
      <c r="E23" s="539" t="s">
        <v>105</v>
      </c>
      <c r="F23" s="539" t="s">
        <v>106</v>
      </c>
      <c r="G23" s="539" t="s">
        <v>102</v>
      </c>
      <c r="H23" s="539" t="s">
        <v>107</v>
      </c>
      <c r="I23" s="539" t="s">
        <v>59</v>
      </c>
      <c r="J23" s="539" t="s">
        <v>43</v>
      </c>
    </row>
    <row r="24" spans="1:10" ht="16" x14ac:dyDescent="0.2">
      <c r="A24" s="539">
        <v>21</v>
      </c>
      <c r="B24" s="539" t="s">
        <v>36</v>
      </c>
      <c r="C24" s="539" t="s">
        <v>93</v>
      </c>
      <c r="D24" s="539" t="s">
        <v>108</v>
      </c>
      <c r="E24" s="539" t="s">
        <v>109</v>
      </c>
      <c r="F24" s="539" t="s">
        <v>110</v>
      </c>
      <c r="G24" s="539" t="s">
        <v>102</v>
      </c>
      <c r="H24" s="539" t="s">
        <v>111</v>
      </c>
      <c r="I24" s="539" t="s">
        <v>59</v>
      </c>
      <c r="J24" s="539" t="s">
        <v>43</v>
      </c>
    </row>
    <row r="25" spans="1:10" ht="16" x14ac:dyDescent="0.2">
      <c r="A25" s="539">
        <v>22</v>
      </c>
      <c r="B25" s="539" t="s">
        <v>36</v>
      </c>
      <c r="C25" s="539" t="s">
        <v>93</v>
      </c>
      <c r="D25" s="539" t="s">
        <v>112</v>
      </c>
      <c r="E25" s="539" t="s">
        <v>113</v>
      </c>
      <c r="F25" s="539" t="s">
        <v>114</v>
      </c>
      <c r="G25" s="539" t="s">
        <v>115</v>
      </c>
      <c r="H25" s="539" t="s">
        <v>116</v>
      </c>
      <c r="I25" s="539" t="s">
        <v>43</v>
      </c>
      <c r="J25" s="539" t="s">
        <v>43</v>
      </c>
    </row>
    <row r="26" spans="1:10" ht="16" x14ac:dyDescent="0.2">
      <c r="A26" s="539">
        <v>23</v>
      </c>
      <c r="B26" s="539" t="s">
        <v>36</v>
      </c>
      <c r="C26" s="539" t="s">
        <v>93</v>
      </c>
      <c r="D26" s="539" t="s">
        <v>117</v>
      </c>
      <c r="E26" s="539" t="s">
        <v>118</v>
      </c>
      <c r="F26" s="539" t="s">
        <v>119</v>
      </c>
      <c r="G26" s="539" t="s">
        <v>120</v>
      </c>
      <c r="H26" s="539" t="s">
        <v>121</v>
      </c>
      <c r="I26" s="539" t="s">
        <v>43</v>
      </c>
      <c r="J26" s="539" t="s">
        <v>43</v>
      </c>
    </row>
    <row r="27" spans="1:10" ht="16" x14ac:dyDescent="0.2">
      <c r="A27" s="539">
        <v>24</v>
      </c>
      <c r="B27" s="539" t="s">
        <v>36</v>
      </c>
      <c r="C27" s="539" t="s">
        <v>93</v>
      </c>
      <c r="D27" s="539" t="s">
        <v>122</v>
      </c>
      <c r="E27" s="539" t="s">
        <v>123</v>
      </c>
      <c r="F27" s="539" t="s">
        <v>119</v>
      </c>
      <c r="G27" s="539" t="s">
        <v>120</v>
      </c>
      <c r="H27" s="539" t="s">
        <v>121</v>
      </c>
      <c r="I27" s="539" t="s">
        <v>43</v>
      </c>
      <c r="J27" s="539" t="s">
        <v>43</v>
      </c>
    </row>
    <row r="28" spans="1:10" ht="16" x14ac:dyDescent="0.2">
      <c r="A28" s="539">
        <v>25</v>
      </c>
      <c r="B28" s="539" t="s">
        <v>36</v>
      </c>
      <c r="C28" s="539" t="s">
        <v>93</v>
      </c>
      <c r="D28" s="539" t="s">
        <v>124</v>
      </c>
      <c r="E28" s="539" t="s">
        <v>125</v>
      </c>
      <c r="F28" s="539" t="s">
        <v>119</v>
      </c>
      <c r="G28" s="539" t="s">
        <v>120</v>
      </c>
      <c r="H28" s="539" t="s">
        <v>121</v>
      </c>
      <c r="I28" s="539" t="s">
        <v>43</v>
      </c>
      <c r="J28" s="539" t="s">
        <v>43</v>
      </c>
    </row>
    <row r="29" spans="1:10" ht="16" x14ac:dyDescent="0.2">
      <c r="A29" s="539">
        <v>26</v>
      </c>
      <c r="B29" s="539" t="s">
        <v>36</v>
      </c>
      <c r="C29" s="539" t="s">
        <v>93</v>
      </c>
      <c r="D29" s="539" t="s">
        <v>126</v>
      </c>
      <c r="E29" s="539" t="s">
        <v>127</v>
      </c>
      <c r="F29" s="539" t="s">
        <v>127</v>
      </c>
      <c r="G29" s="539" t="s">
        <v>128</v>
      </c>
      <c r="H29" s="539" t="s">
        <v>129</v>
      </c>
      <c r="I29" s="539" t="s">
        <v>43</v>
      </c>
      <c r="J29" s="539" t="s">
        <v>43</v>
      </c>
    </row>
    <row r="30" spans="1:10" ht="16" x14ac:dyDescent="0.2">
      <c r="A30" s="539">
        <v>27</v>
      </c>
      <c r="B30" s="539" t="s">
        <v>36</v>
      </c>
      <c r="C30" s="539" t="s">
        <v>93</v>
      </c>
      <c r="D30" s="539" t="s">
        <v>130</v>
      </c>
      <c r="E30" s="539" t="s">
        <v>131</v>
      </c>
      <c r="F30" s="539" t="s">
        <v>131</v>
      </c>
      <c r="G30" s="539" t="s">
        <v>132</v>
      </c>
      <c r="H30" s="539" t="s">
        <v>133</v>
      </c>
      <c r="I30" s="539" t="s">
        <v>43</v>
      </c>
      <c r="J30" s="539" t="s">
        <v>43</v>
      </c>
    </row>
    <row r="31" spans="1:10" ht="16" x14ac:dyDescent="0.2">
      <c r="A31" s="539">
        <v>28</v>
      </c>
      <c r="B31" s="539" t="s">
        <v>36</v>
      </c>
      <c r="C31" s="539" t="s">
        <v>93</v>
      </c>
      <c r="D31" s="539" t="s">
        <v>134</v>
      </c>
      <c r="E31" s="539" t="s">
        <v>135</v>
      </c>
      <c r="F31" s="539" t="s">
        <v>136</v>
      </c>
      <c r="G31" s="539" t="s">
        <v>115</v>
      </c>
      <c r="H31" s="539" t="s">
        <v>116</v>
      </c>
      <c r="I31" s="539" t="s">
        <v>43</v>
      </c>
      <c r="J31" s="539" t="s">
        <v>43</v>
      </c>
    </row>
    <row r="32" spans="1:10" ht="16" x14ac:dyDescent="0.2">
      <c r="A32" s="539">
        <v>29</v>
      </c>
      <c r="B32" s="539" t="s">
        <v>36</v>
      </c>
      <c r="C32" s="539" t="s">
        <v>93</v>
      </c>
      <c r="D32" s="539" t="s">
        <v>137</v>
      </c>
      <c r="E32" s="539" t="s">
        <v>138</v>
      </c>
      <c r="F32" s="539" t="s">
        <v>119</v>
      </c>
      <c r="G32" s="539" t="s">
        <v>120</v>
      </c>
      <c r="H32" s="539" t="s">
        <v>121</v>
      </c>
      <c r="I32" s="539" t="s">
        <v>43</v>
      </c>
      <c r="J32" s="539" t="s">
        <v>43</v>
      </c>
    </row>
    <row r="33" spans="1:10" ht="16" x14ac:dyDescent="0.2">
      <c r="A33" s="539">
        <v>30</v>
      </c>
      <c r="B33" s="539" t="s">
        <v>36</v>
      </c>
      <c r="C33" s="539" t="s">
        <v>93</v>
      </c>
      <c r="D33" s="539" t="s">
        <v>139</v>
      </c>
      <c r="E33" s="539" t="s">
        <v>140</v>
      </c>
      <c r="F33" s="539" t="s">
        <v>119</v>
      </c>
      <c r="G33" s="539" t="s">
        <v>120</v>
      </c>
      <c r="H33" s="539" t="s">
        <v>121</v>
      </c>
      <c r="I33" s="539" t="s">
        <v>43</v>
      </c>
      <c r="J33" s="539" t="s">
        <v>43</v>
      </c>
    </row>
    <row r="34" spans="1:10" ht="16" x14ac:dyDescent="0.2">
      <c r="A34" s="539">
        <v>31</v>
      </c>
      <c r="B34" s="539" t="s">
        <v>36</v>
      </c>
      <c r="C34" s="539" t="s">
        <v>93</v>
      </c>
      <c r="D34" s="539" t="s">
        <v>141</v>
      </c>
      <c r="E34" s="539" t="s">
        <v>142</v>
      </c>
      <c r="F34" s="539" t="s">
        <v>119</v>
      </c>
      <c r="G34" s="539" t="s">
        <v>120</v>
      </c>
      <c r="H34" s="539" t="s">
        <v>121</v>
      </c>
      <c r="I34" s="539" t="s">
        <v>43</v>
      </c>
      <c r="J34" s="539" t="s">
        <v>43</v>
      </c>
    </row>
    <row r="35" spans="1:10" ht="16" x14ac:dyDescent="0.2">
      <c r="A35" s="539">
        <v>32</v>
      </c>
      <c r="B35" s="539" t="s">
        <v>36</v>
      </c>
      <c r="C35" s="539" t="s">
        <v>93</v>
      </c>
      <c r="D35" s="539" t="s">
        <v>143</v>
      </c>
      <c r="E35" s="539" t="s">
        <v>144</v>
      </c>
      <c r="F35" s="539" t="s">
        <v>144</v>
      </c>
      <c r="G35" s="539" t="s">
        <v>128</v>
      </c>
      <c r="H35" s="539" t="s">
        <v>129</v>
      </c>
      <c r="I35" s="539" t="s">
        <v>43</v>
      </c>
      <c r="J35" s="539" t="s">
        <v>43</v>
      </c>
    </row>
    <row r="36" spans="1:10" ht="16" x14ac:dyDescent="0.2">
      <c r="A36" s="539">
        <v>33</v>
      </c>
      <c r="B36" s="539" t="s">
        <v>36</v>
      </c>
      <c r="C36" s="539" t="s">
        <v>93</v>
      </c>
      <c r="D36" s="539" t="s">
        <v>145</v>
      </c>
      <c r="E36" s="539" t="s">
        <v>146</v>
      </c>
      <c r="F36" s="539" t="s">
        <v>146</v>
      </c>
      <c r="G36" s="539" t="s">
        <v>132</v>
      </c>
      <c r="H36" s="539" t="s">
        <v>133</v>
      </c>
      <c r="I36" s="539" t="s">
        <v>43</v>
      </c>
      <c r="J36" s="539" t="s">
        <v>43</v>
      </c>
    </row>
    <row r="37" spans="1:10" ht="16" x14ac:dyDescent="0.2">
      <c r="A37" s="539">
        <v>34</v>
      </c>
      <c r="B37" s="539" t="s">
        <v>36</v>
      </c>
      <c r="C37" s="539" t="s">
        <v>93</v>
      </c>
      <c r="D37" s="539" t="s">
        <v>147</v>
      </c>
      <c r="E37" s="539" t="s">
        <v>148</v>
      </c>
      <c r="F37" s="539" t="s">
        <v>149</v>
      </c>
      <c r="G37" s="539" t="s">
        <v>115</v>
      </c>
      <c r="H37" s="539" t="s">
        <v>116</v>
      </c>
      <c r="I37" s="539" t="s">
        <v>43</v>
      </c>
      <c r="J37" s="539" t="s">
        <v>43</v>
      </c>
    </row>
    <row r="38" spans="1:10" ht="16" x14ac:dyDescent="0.2">
      <c r="A38" s="539">
        <v>35</v>
      </c>
      <c r="B38" s="539" t="s">
        <v>36</v>
      </c>
      <c r="C38" s="539" t="s">
        <v>93</v>
      </c>
      <c r="D38" s="539" t="s">
        <v>150</v>
      </c>
      <c r="E38" s="539" t="s">
        <v>151</v>
      </c>
      <c r="F38" s="539" t="s">
        <v>119</v>
      </c>
      <c r="G38" s="539" t="s">
        <v>120</v>
      </c>
      <c r="H38" s="539" t="s">
        <v>121</v>
      </c>
      <c r="I38" s="539" t="s">
        <v>43</v>
      </c>
      <c r="J38" s="539" t="s">
        <v>43</v>
      </c>
    </row>
    <row r="39" spans="1:10" ht="16" x14ac:dyDescent="0.2">
      <c r="A39" s="539">
        <v>36</v>
      </c>
      <c r="B39" s="539" t="s">
        <v>36</v>
      </c>
      <c r="C39" s="539" t="s">
        <v>93</v>
      </c>
      <c r="D39" s="539" t="s">
        <v>152</v>
      </c>
      <c r="E39" s="539" t="s">
        <v>153</v>
      </c>
      <c r="F39" s="539" t="s">
        <v>119</v>
      </c>
      <c r="G39" s="539" t="s">
        <v>120</v>
      </c>
      <c r="H39" s="539" t="s">
        <v>121</v>
      </c>
      <c r="I39" s="539" t="s">
        <v>43</v>
      </c>
      <c r="J39" s="539" t="s">
        <v>43</v>
      </c>
    </row>
    <row r="40" spans="1:10" ht="16" x14ac:dyDescent="0.2">
      <c r="A40" s="539">
        <v>37</v>
      </c>
      <c r="B40" s="539" t="s">
        <v>36</v>
      </c>
      <c r="C40" s="539" t="s">
        <v>93</v>
      </c>
      <c r="D40" s="539" t="s">
        <v>154</v>
      </c>
      <c r="E40" s="539" t="s">
        <v>155</v>
      </c>
      <c r="F40" s="539" t="s">
        <v>119</v>
      </c>
      <c r="G40" s="539" t="s">
        <v>120</v>
      </c>
      <c r="H40" s="539" t="s">
        <v>121</v>
      </c>
      <c r="I40" s="539" t="s">
        <v>43</v>
      </c>
      <c r="J40" s="539" t="s">
        <v>43</v>
      </c>
    </row>
    <row r="41" spans="1:10" ht="16" x14ac:dyDescent="0.2">
      <c r="A41" s="539">
        <v>38</v>
      </c>
      <c r="B41" s="539" t="s">
        <v>36</v>
      </c>
      <c r="C41" s="539" t="s">
        <v>93</v>
      </c>
      <c r="D41" s="539" t="s">
        <v>156</v>
      </c>
      <c r="E41" s="539" t="s">
        <v>157</v>
      </c>
      <c r="F41" s="539" t="s">
        <v>157</v>
      </c>
      <c r="G41" s="539" t="s">
        <v>128</v>
      </c>
      <c r="H41" s="539" t="s">
        <v>129</v>
      </c>
      <c r="I41" s="539" t="s">
        <v>43</v>
      </c>
      <c r="J41" s="539" t="s">
        <v>43</v>
      </c>
    </row>
    <row r="42" spans="1:10" ht="16" x14ac:dyDescent="0.2">
      <c r="A42" s="539">
        <v>39</v>
      </c>
      <c r="B42" s="539" t="s">
        <v>36</v>
      </c>
      <c r="C42" s="539" t="s">
        <v>93</v>
      </c>
      <c r="D42" s="539" t="s">
        <v>158</v>
      </c>
      <c r="E42" s="539" t="s">
        <v>159</v>
      </c>
      <c r="F42" s="539" t="s">
        <v>159</v>
      </c>
      <c r="G42" s="539" t="s">
        <v>132</v>
      </c>
      <c r="H42" s="539" t="s">
        <v>133</v>
      </c>
      <c r="I42" s="539" t="s">
        <v>43</v>
      </c>
      <c r="J42" s="539" t="s">
        <v>43</v>
      </c>
    </row>
    <row r="43" spans="1:10" ht="16" x14ac:dyDescent="0.2">
      <c r="A43" s="539">
        <v>40</v>
      </c>
      <c r="B43" s="539" t="s">
        <v>36</v>
      </c>
      <c r="C43" s="539" t="s">
        <v>160</v>
      </c>
      <c r="D43" s="539" t="s">
        <v>94</v>
      </c>
      <c r="E43" s="539" t="s">
        <v>95</v>
      </c>
      <c r="F43" s="539" t="s">
        <v>96</v>
      </c>
      <c r="G43" s="539" t="s">
        <v>97</v>
      </c>
      <c r="H43" s="539" t="s">
        <v>98</v>
      </c>
      <c r="I43" s="539" t="s">
        <v>59</v>
      </c>
      <c r="J43" s="539" t="s">
        <v>43</v>
      </c>
    </row>
    <row r="44" spans="1:10" ht="16" x14ac:dyDescent="0.2">
      <c r="A44" s="539">
        <v>41</v>
      </c>
      <c r="B44" s="539" t="s">
        <v>36</v>
      </c>
      <c r="C44" s="539" t="s">
        <v>160</v>
      </c>
      <c r="D44" s="539" t="s">
        <v>99</v>
      </c>
      <c r="E44" s="539" t="s">
        <v>100</v>
      </c>
      <c r="F44" s="539" t="s">
        <v>101</v>
      </c>
      <c r="G44" s="539" t="s">
        <v>102</v>
      </c>
      <c r="H44" s="539" t="s">
        <v>103</v>
      </c>
      <c r="I44" s="539" t="s">
        <v>59</v>
      </c>
      <c r="J44" s="539" t="s">
        <v>43</v>
      </c>
    </row>
    <row r="45" spans="1:10" ht="16" x14ac:dyDescent="0.2">
      <c r="A45" s="539">
        <v>42</v>
      </c>
      <c r="B45" s="539" t="s">
        <v>36</v>
      </c>
      <c r="C45" s="539" t="s">
        <v>160</v>
      </c>
      <c r="D45" s="539" t="s">
        <v>104</v>
      </c>
      <c r="E45" s="539" t="s">
        <v>105</v>
      </c>
      <c r="F45" s="539" t="s">
        <v>106</v>
      </c>
      <c r="G45" s="539" t="s">
        <v>102</v>
      </c>
      <c r="H45" s="539" t="s">
        <v>107</v>
      </c>
      <c r="I45" s="539" t="s">
        <v>59</v>
      </c>
      <c r="J45" s="539" t="s">
        <v>43</v>
      </c>
    </row>
    <row r="46" spans="1:10" ht="16" x14ac:dyDescent="0.2">
      <c r="A46" s="539">
        <v>43</v>
      </c>
      <c r="B46" s="539" t="s">
        <v>36</v>
      </c>
      <c r="C46" s="539" t="s">
        <v>160</v>
      </c>
      <c r="D46" s="539" t="s">
        <v>108</v>
      </c>
      <c r="E46" s="539" t="s">
        <v>109</v>
      </c>
      <c r="F46" s="539" t="s">
        <v>110</v>
      </c>
      <c r="G46" s="539" t="s">
        <v>102</v>
      </c>
      <c r="H46" s="539" t="s">
        <v>111</v>
      </c>
      <c r="I46" s="539" t="s">
        <v>59</v>
      </c>
      <c r="J46" s="539" t="s">
        <v>43</v>
      </c>
    </row>
    <row r="47" spans="1:10" ht="16" x14ac:dyDescent="0.2">
      <c r="A47" s="539">
        <v>44</v>
      </c>
      <c r="B47" s="539" t="s">
        <v>36</v>
      </c>
      <c r="C47" s="539" t="s">
        <v>160</v>
      </c>
      <c r="D47" s="539" t="s">
        <v>112</v>
      </c>
      <c r="E47" s="539" t="s">
        <v>148</v>
      </c>
      <c r="F47" s="539" t="s">
        <v>114</v>
      </c>
      <c r="G47" s="539" t="s">
        <v>115</v>
      </c>
      <c r="H47" s="539" t="s">
        <v>116</v>
      </c>
      <c r="I47" s="539" t="s">
        <v>43</v>
      </c>
      <c r="J47" s="539" t="s">
        <v>43</v>
      </c>
    </row>
    <row r="48" spans="1:10" ht="16" x14ac:dyDescent="0.2">
      <c r="A48" s="539">
        <v>45</v>
      </c>
      <c r="B48" s="539" t="s">
        <v>36</v>
      </c>
      <c r="C48" s="539" t="s">
        <v>160</v>
      </c>
      <c r="D48" s="539" t="s">
        <v>117</v>
      </c>
      <c r="E48" s="539" t="s">
        <v>151</v>
      </c>
      <c r="F48" s="539" t="s">
        <v>119</v>
      </c>
      <c r="G48" s="539" t="s">
        <v>120</v>
      </c>
      <c r="H48" s="539" t="s">
        <v>121</v>
      </c>
      <c r="I48" s="539" t="s">
        <v>43</v>
      </c>
      <c r="J48" s="539" t="s">
        <v>43</v>
      </c>
    </row>
    <row r="49" spans="1:10" ht="16" x14ac:dyDescent="0.2">
      <c r="A49" s="539">
        <v>46</v>
      </c>
      <c r="B49" s="539" t="s">
        <v>36</v>
      </c>
      <c r="C49" s="539" t="s">
        <v>160</v>
      </c>
      <c r="D49" s="539" t="s">
        <v>122</v>
      </c>
      <c r="E49" s="539" t="s">
        <v>153</v>
      </c>
      <c r="F49" s="539" t="s">
        <v>119</v>
      </c>
      <c r="G49" s="539" t="s">
        <v>120</v>
      </c>
      <c r="H49" s="539" t="s">
        <v>121</v>
      </c>
      <c r="I49" s="539" t="s">
        <v>43</v>
      </c>
      <c r="J49" s="539" t="s">
        <v>43</v>
      </c>
    </row>
    <row r="50" spans="1:10" ht="16" x14ac:dyDescent="0.2">
      <c r="A50" s="539">
        <v>47</v>
      </c>
      <c r="B50" s="539" t="s">
        <v>36</v>
      </c>
      <c r="C50" s="539" t="s">
        <v>160</v>
      </c>
      <c r="D50" s="539" t="s">
        <v>124</v>
      </c>
      <c r="E50" s="539" t="s">
        <v>155</v>
      </c>
      <c r="F50" s="539" t="s">
        <v>119</v>
      </c>
      <c r="G50" s="539" t="s">
        <v>120</v>
      </c>
      <c r="H50" s="539" t="s">
        <v>121</v>
      </c>
      <c r="I50" s="539" t="s">
        <v>43</v>
      </c>
      <c r="J50" s="539" t="s">
        <v>43</v>
      </c>
    </row>
    <row r="51" spans="1:10" ht="16" x14ac:dyDescent="0.2">
      <c r="A51" s="539">
        <v>48</v>
      </c>
      <c r="B51" s="539" t="s">
        <v>36</v>
      </c>
      <c r="C51" s="539" t="s">
        <v>160</v>
      </c>
      <c r="D51" s="539" t="s">
        <v>126</v>
      </c>
      <c r="E51" s="539" t="s">
        <v>127</v>
      </c>
      <c r="F51" s="539" t="s">
        <v>127</v>
      </c>
      <c r="G51" s="539" t="s">
        <v>128</v>
      </c>
      <c r="H51" s="539" t="s">
        <v>129</v>
      </c>
      <c r="I51" s="539" t="s">
        <v>43</v>
      </c>
      <c r="J51" s="539" t="s">
        <v>43</v>
      </c>
    </row>
    <row r="52" spans="1:10" ht="16" x14ac:dyDescent="0.2">
      <c r="A52" s="539">
        <v>49</v>
      </c>
      <c r="B52" s="539" t="s">
        <v>36</v>
      </c>
      <c r="C52" s="539" t="s">
        <v>160</v>
      </c>
      <c r="D52" s="539" t="s">
        <v>130</v>
      </c>
      <c r="E52" s="539" t="s">
        <v>131</v>
      </c>
      <c r="F52" s="539" t="s">
        <v>131</v>
      </c>
      <c r="G52" s="539" t="s">
        <v>132</v>
      </c>
      <c r="H52" s="539" t="s">
        <v>133</v>
      </c>
      <c r="I52" s="539" t="s">
        <v>43</v>
      </c>
      <c r="J52" s="539" t="s">
        <v>43</v>
      </c>
    </row>
    <row r="53" spans="1:10" ht="16" x14ac:dyDescent="0.2">
      <c r="A53" s="539">
        <v>50</v>
      </c>
      <c r="B53" s="539" t="s">
        <v>36</v>
      </c>
      <c r="C53" s="539" t="s">
        <v>160</v>
      </c>
      <c r="D53" s="539" t="s">
        <v>134</v>
      </c>
      <c r="E53" s="539" t="s">
        <v>161</v>
      </c>
      <c r="F53" s="539" t="s">
        <v>136</v>
      </c>
      <c r="G53" s="539" t="s">
        <v>115</v>
      </c>
      <c r="H53" s="539" t="s">
        <v>116</v>
      </c>
      <c r="I53" s="539" t="s">
        <v>43</v>
      </c>
      <c r="J53" s="539" t="s">
        <v>43</v>
      </c>
    </row>
    <row r="54" spans="1:10" ht="16" x14ac:dyDescent="0.2">
      <c r="A54" s="539">
        <v>51</v>
      </c>
      <c r="B54" s="539" t="s">
        <v>36</v>
      </c>
      <c r="C54" s="539" t="s">
        <v>160</v>
      </c>
      <c r="D54" s="539" t="s">
        <v>137</v>
      </c>
      <c r="E54" s="539" t="s">
        <v>162</v>
      </c>
      <c r="F54" s="539" t="s">
        <v>119</v>
      </c>
      <c r="G54" s="539" t="s">
        <v>120</v>
      </c>
      <c r="H54" s="539" t="s">
        <v>121</v>
      </c>
      <c r="I54" s="539" t="s">
        <v>43</v>
      </c>
      <c r="J54" s="539" t="s">
        <v>43</v>
      </c>
    </row>
    <row r="55" spans="1:10" ht="16" x14ac:dyDescent="0.2">
      <c r="A55" s="539">
        <v>52</v>
      </c>
      <c r="B55" s="539" t="s">
        <v>36</v>
      </c>
      <c r="C55" s="539" t="s">
        <v>160</v>
      </c>
      <c r="D55" s="539" t="s">
        <v>139</v>
      </c>
      <c r="E55" s="539" t="s">
        <v>163</v>
      </c>
      <c r="F55" s="539" t="s">
        <v>119</v>
      </c>
      <c r="G55" s="539" t="s">
        <v>120</v>
      </c>
      <c r="H55" s="539" t="s">
        <v>121</v>
      </c>
      <c r="I55" s="539" t="s">
        <v>43</v>
      </c>
      <c r="J55" s="539" t="s">
        <v>43</v>
      </c>
    </row>
    <row r="56" spans="1:10" ht="16" x14ac:dyDescent="0.2">
      <c r="A56" s="539">
        <v>53</v>
      </c>
      <c r="B56" s="539" t="s">
        <v>36</v>
      </c>
      <c r="C56" s="539" t="s">
        <v>160</v>
      </c>
      <c r="D56" s="539" t="s">
        <v>141</v>
      </c>
      <c r="E56" s="539" t="s">
        <v>164</v>
      </c>
      <c r="F56" s="539" t="s">
        <v>119</v>
      </c>
      <c r="G56" s="539" t="s">
        <v>120</v>
      </c>
      <c r="H56" s="539" t="s">
        <v>121</v>
      </c>
      <c r="I56" s="539" t="s">
        <v>43</v>
      </c>
      <c r="J56" s="539" t="s">
        <v>43</v>
      </c>
    </row>
    <row r="57" spans="1:10" ht="16" x14ac:dyDescent="0.2">
      <c r="A57" s="539">
        <v>54</v>
      </c>
      <c r="B57" s="539" t="s">
        <v>36</v>
      </c>
      <c r="C57" s="539" t="s">
        <v>160</v>
      </c>
      <c r="D57" s="539" t="s">
        <v>143</v>
      </c>
      <c r="E57" s="539" t="s">
        <v>144</v>
      </c>
      <c r="F57" s="539" t="s">
        <v>144</v>
      </c>
      <c r="G57" s="539" t="s">
        <v>128</v>
      </c>
      <c r="H57" s="539" t="s">
        <v>129</v>
      </c>
      <c r="I57" s="539" t="s">
        <v>43</v>
      </c>
      <c r="J57" s="539" t="s">
        <v>43</v>
      </c>
    </row>
    <row r="58" spans="1:10" ht="16" x14ac:dyDescent="0.2">
      <c r="A58" s="539">
        <v>55</v>
      </c>
      <c r="B58" s="539" t="s">
        <v>36</v>
      </c>
      <c r="C58" s="539" t="s">
        <v>160</v>
      </c>
      <c r="D58" s="539" t="s">
        <v>145</v>
      </c>
      <c r="E58" s="539" t="s">
        <v>146</v>
      </c>
      <c r="F58" s="539" t="s">
        <v>146</v>
      </c>
      <c r="G58" s="539" t="s">
        <v>132</v>
      </c>
      <c r="H58" s="539" t="s">
        <v>133</v>
      </c>
      <c r="I58" s="539" t="s">
        <v>43</v>
      </c>
      <c r="J58" s="539" t="s">
        <v>43</v>
      </c>
    </row>
    <row r="59" spans="1:10" ht="16" x14ac:dyDescent="0.2">
      <c r="A59" s="539">
        <v>56</v>
      </c>
      <c r="B59" s="539" t="s">
        <v>36</v>
      </c>
      <c r="C59" s="539" t="s">
        <v>160</v>
      </c>
      <c r="D59" s="539" t="s">
        <v>147</v>
      </c>
      <c r="E59" s="539" t="s">
        <v>165</v>
      </c>
      <c r="F59" s="539" t="s">
        <v>149</v>
      </c>
      <c r="G59" s="539" t="s">
        <v>115</v>
      </c>
      <c r="H59" s="539" t="s">
        <v>116</v>
      </c>
      <c r="I59" s="539" t="s">
        <v>43</v>
      </c>
      <c r="J59" s="539" t="s">
        <v>43</v>
      </c>
    </row>
    <row r="60" spans="1:10" ht="16" x14ac:dyDescent="0.2">
      <c r="A60" s="539">
        <v>57</v>
      </c>
      <c r="B60" s="539" t="s">
        <v>36</v>
      </c>
      <c r="C60" s="539" t="s">
        <v>160</v>
      </c>
      <c r="D60" s="539" t="s">
        <v>150</v>
      </c>
      <c r="E60" s="539" t="s">
        <v>166</v>
      </c>
      <c r="F60" s="539" t="s">
        <v>119</v>
      </c>
      <c r="G60" s="539" t="s">
        <v>120</v>
      </c>
      <c r="H60" s="539" t="s">
        <v>121</v>
      </c>
      <c r="I60" s="539" t="s">
        <v>43</v>
      </c>
      <c r="J60" s="539" t="s">
        <v>43</v>
      </c>
    </row>
    <row r="61" spans="1:10" ht="16" x14ac:dyDescent="0.2">
      <c r="A61" s="539">
        <v>58</v>
      </c>
      <c r="B61" s="539" t="s">
        <v>36</v>
      </c>
      <c r="C61" s="539" t="s">
        <v>160</v>
      </c>
      <c r="D61" s="539" t="s">
        <v>152</v>
      </c>
      <c r="E61" s="539" t="s">
        <v>167</v>
      </c>
      <c r="F61" s="539" t="s">
        <v>119</v>
      </c>
      <c r="G61" s="539" t="s">
        <v>120</v>
      </c>
      <c r="H61" s="539" t="s">
        <v>121</v>
      </c>
      <c r="I61" s="539" t="s">
        <v>43</v>
      </c>
      <c r="J61" s="539" t="s">
        <v>43</v>
      </c>
    </row>
    <row r="62" spans="1:10" ht="16" x14ac:dyDescent="0.2">
      <c r="A62" s="539">
        <v>59</v>
      </c>
      <c r="B62" s="539" t="s">
        <v>36</v>
      </c>
      <c r="C62" s="539" t="s">
        <v>160</v>
      </c>
      <c r="D62" s="539" t="s">
        <v>154</v>
      </c>
      <c r="E62" s="539" t="s">
        <v>168</v>
      </c>
      <c r="F62" s="539" t="s">
        <v>119</v>
      </c>
      <c r="G62" s="539" t="s">
        <v>120</v>
      </c>
      <c r="H62" s="539" t="s">
        <v>121</v>
      </c>
      <c r="I62" s="539" t="s">
        <v>43</v>
      </c>
      <c r="J62" s="539" t="s">
        <v>43</v>
      </c>
    </row>
    <row r="63" spans="1:10" ht="16" x14ac:dyDescent="0.2">
      <c r="A63" s="539">
        <v>60</v>
      </c>
      <c r="B63" s="539" t="s">
        <v>36</v>
      </c>
      <c r="C63" s="539" t="s">
        <v>160</v>
      </c>
      <c r="D63" s="539" t="s">
        <v>156</v>
      </c>
      <c r="E63" s="539" t="s">
        <v>157</v>
      </c>
      <c r="F63" s="539" t="s">
        <v>157</v>
      </c>
      <c r="G63" s="539" t="s">
        <v>128</v>
      </c>
      <c r="H63" s="539" t="s">
        <v>129</v>
      </c>
      <c r="I63" s="539" t="s">
        <v>43</v>
      </c>
      <c r="J63" s="539" t="s">
        <v>43</v>
      </c>
    </row>
    <row r="64" spans="1:10" ht="16" x14ac:dyDescent="0.2">
      <c r="A64" s="539">
        <v>61</v>
      </c>
      <c r="B64" s="539" t="s">
        <v>36</v>
      </c>
      <c r="C64" s="539" t="s">
        <v>160</v>
      </c>
      <c r="D64" s="539" t="s">
        <v>158</v>
      </c>
      <c r="E64" s="539" t="s">
        <v>159</v>
      </c>
      <c r="F64" s="539" t="s">
        <v>159</v>
      </c>
      <c r="G64" s="539" t="s">
        <v>132</v>
      </c>
      <c r="H64" s="539" t="s">
        <v>133</v>
      </c>
      <c r="I64" s="539" t="s">
        <v>43</v>
      </c>
      <c r="J64" s="539" t="s">
        <v>43</v>
      </c>
    </row>
    <row r="65" spans="1:10" ht="16" x14ac:dyDescent="0.2">
      <c r="A65" s="539">
        <v>62</v>
      </c>
      <c r="B65" s="539" t="s">
        <v>36</v>
      </c>
      <c r="C65" s="539" t="s">
        <v>160</v>
      </c>
      <c r="D65" s="539" t="s">
        <v>169</v>
      </c>
      <c r="E65" s="539" t="s">
        <v>170</v>
      </c>
      <c r="F65" s="539" t="s">
        <v>171</v>
      </c>
      <c r="G65" s="539" t="s">
        <v>115</v>
      </c>
      <c r="H65" s="539" t="s">
        <v>116</v>
      </c>
      <c r="I65" s="539" t="s">
        <v>43</v>
      </c>
      <c r="J65" s="539" t="s">
        <v>43</v>
      </c>
    </row>
    <row r="66" spans="1:10" ht="16" x14ac:dyDescent="0.2">
      <c r="A66" s="539">
        <v>63</v>
      </c>
      <c r="B66" s="539" t="s">
        <v>36</v>
      </c>
      <c r="C66" s="539" t="s">
        <v>160</v>
      </c>
      <c r="D66" s="539" t="s">
        <v>172</v>
      </c>
      <c r="E66" s="539" t="s">
        <v>173</v>
      </c>
      <c r="F66" s="539" t="s">
        <v>119</v>
      </c>
      <c r="G66" s="539" t="s">
        <v>120</v>
      </c>
      <c r="H66" s="539" t="s">
        <v>121</v>
      </c>
      <c r="I66" s="539" t="s">
        <v>43</v>
      </c>
      <c r="J66" s="539" t="s">
        <v>43</v>
      </c>
    </row>
    <row r="67" spans="1:10" ht="16" x14ac:dyDescent="0.2">
      <c r="A67" s="539">
        <v>64</v>
      </c>
      <c r="B67" s="539" t="s">
        <v>36</v>
      </c>
      <c r="C67" s="539" t="s">
        <v>160</v>
      </c>
      <c r="D67" s="539" t="s">
        <v>174</v>
      </c>
      <c r="E67" s="539" t="s">
        <v>175</v>
      </c>
      <c r="F67" s="539" t="s">
        <v>119</v>
      </c>
      <c r="G67" s="539" t="s">
        <v>120</v>
      </c>
      <c r="H67" s="539" t="s">
        <v>121</v>
      </c>
      <c r="I67" s="539" t="s">
        <v>43</v>
      </c>
      <c r="J67" s="539" t="s">
        <v>43</v>
      </c>
    </row>
    <row r="68" spans="1:10" ht="16" x14ac:dyDescent="0.2">
      <c r="A68" s="539">
        <v>65</v>
      </c>
      <c r="B68" s="539" t="s">
        <v>36</v>
      </c>
      <c r="C68" s="539" t="s">
        <v>160</v>
      </c>
      <c r="D68" s="539" t="s">
        <v>176</v>
      </c>
      <c r="E68" s="539" t="s">
        <v>177</v>
      </c>
      <c r="F68" s="539" t="s">
        <v>119</v>
      </c>
      <c r="G68" s="539" t="s">
        <v>120</v>
      </c>
      <c r="H68" s="539" t="s">
        <v>121</v>
      </c>
      <c r="I68" s="539" t="s">
        <v>43</v>
      </c>
      <c r="J68" s="539" t="s">
        <v>43</v>
      </c>
    </row>
    <row r="69" spans="1:10" ht="16" x14ac:dyDescent="0.2">
      <c r="A69" s="539">
        <v>66</v>
      </c>
      <c r="B69" s="539" t="s">
        <v>36</v>
      </c>
      <c r="C69" s="539" t="s">
        <v>160</v>
      </c>
      <c r="D69" s="539" t="s">
        <v>178</v>
      </c>
      <c r="E69" s="539" t="s">
        <v>179</v>
      </c>
      <c r="F69" s="539" t="s">
        <v>179</v>
      </c>
      <c r="G69" s="539" t="s">
        <v>128</v>
      </c>
      <c r="H69" s="539" t="s">
        <v>129</v>
      </c>
      <c r="I69" s="539" t="s">
        <v>43</v>
      </c>
      <c r="J69" s="539" t="s">
        <v>43</v>
      </c>
    </row>
    <row r="70" spans="1:10" ht="16" x14ac:dyDescent="0.2">
      <c r="A70" s="539">
        <v>67</v>
      </c>
      <c r="B70" s="539" t="s">
        <v>36</v>
      </c>
      <c r="C70" s="539" t="s">
        <v>160</v>
      </c>
      <c r="D70" s="539" t="s">
        <v>180</v>
      </c>
      <c r="E70" s="539" t="s">
        <v>181</v>
      </c>
      <c r="F70" s="539" t="s">
        <v>181</v>
      </c>
      <c r="G70" s="539" t="s">
        <v>132</v>
      </c>
      <c r="H70" s="539" t="s">
        <v>133</v>
      </c>
      <c r="I70" s="539" t="s">
        <v>43</v>
      </c>
      <c r="J70" s="539" t="s">
        <v>43</v>
      </c>
    </row>
    <row r="71" spans="1:10" ht="16" x14ac:dyDescent="0.2">
      <c r="A71" s="539">
        <v>68</v>
      </c>
      <c r="B71" s="539" t="s">
        <v>36</v>
      </c>
      <c r="C71" s="539" t="s">
        <v>182</v>
      </c>
      <c r="D71" s="539" t="s">
        <v>183</v>
      </c>
      <c r="E71" s="539" t="s">
        <v>184</v>
      </c>
      <c r="F71" s="539" t="s">
        <v>185</v>
      </c>
      <c r="G71" s="539" t="s">
        <v>186</v>
      </c>
      <c r="H71" s="539" t="s">
        <v>187</v>
      </c>
      <c r="I71" s="539" t="s">
        <v>43</v>
      </c>
      <c r="J71" s="539" t="s">
        <v>43</v>
      </c>
    </row>
    <row r="72" spans="1:10" ht="16" x14ac:dyDescent="0.2">
      <c r="A72" s="539">
        <v>69</v>
      </c>
      <c r="B72" s="539" t="s">
        <v>36</v>
      </c>
      <c r="C72" s="539" t="s">
        <v>182</v>
      </c>
      <c r="D72" s="539" t="s">
        <v>188</v>
      </c>
      <c r="E72" s="539" t="s">
        <v>189</v>
      </c>
      <c r="F72" s="539" t="s">
        <v>189</v>
      </c>
      <c r="G72" s="539" t="s">
        <v>190</v>
      </c>
      <c r="H72" s="539" t="s">
        <v>191</v>
      </c>
      <c r="I72" s="539" t="s">
        <v>43</v>
      </c>
      <c r="J72" s="539" t="s">
        <v>43</v>
      </c>
    </row>
    <row r="73" spans="1:10" ht="16" x14ac:dyDescent="0.2">
      <c r="A73" s="539">
        <v>70</v>
      </c>
      <c r="B73" s="539" t="s">
        <v>36</v>
      </c>
      <c r="C73" s="539" t="s">
        <v>182</v>
      </c>
      <c r="D73" s="539" t="s">
        <v>192</v>
      </c>
      <c r="E73" s="539" t="s">
        <v>193</v>
      </c>
      <c r="F73" s="539" t="s">
        <v>193</v>
      </c>
      <c r="G73" s="539" t="s">
        <v>190</v>
      </c>
      <c r="H73" s="539" t="s">
        <v>191</v>
      </c>
      <c r="I73" s="539" t="s">
        <v>43</v>
      </c>
      <c r="J73" s="539" t="s">
        <v>43</v>
      </c>
    </row>
    <row r="74" spans="1:10" ht="16" x14ac:dyDescent="0.2">
      <c r="A74" s="539">
        <v>71</v>
      </c>
      <c r="B74" s="539" t="s">
        <v>36</v>
      </c>
      <c r="C74" s="539" t="s">
        <v>182</v>
      </c>
      <c r="D74" s="539" t="s">
        <v>194</v>
      </c>
      <c r="E74" s="539" t="s">
        <v>195</v>
      </c>
      <c r="F74" s="539" t="s">
        <v>195</v>
      </c>
      <c r="G74" s="539" t="s">
        <v>190</v>
      </c>
      <c r="H74" s="539" t="s">
        <v>191</v>
      </c>
      <c r="I74" s="539" t="s">
        <v>43</v>
      </c>
      <c r="J74" s="539" t="s">
        <v>43</v>
      </c>
    </row>
    <row r="75" spans="1:10" ht="16" x14ac:dyDescent="0.2">
      <c r="A75" s="539">
        <v>72</v>
      </c>
      <c r="B75" s="539" t="s">
        <v>36</v>
      </c>
      <c r="C75" s="539" t="s">
        <v>182</v>
      </c>
      <c r="D75" s="539" t="s">
        <v>196</v>
      </c>
      <c r="E75" s="539" t="s">
        <v>197</v>
      </c>
      <c r="F75" s="539" t="s">
        <v>197</v>
      </c>
      <c r="G75" s="539" t="s">
        <v>190</v>
      </c>
      <c r="H75" s="539" t="s">
        <v>191</v>
      </c>
      <c r="I75" s="539" t="s">
        <v>43</v>
      </c>
      <c r="J75" s="539" t="s">
        <v>43</v>
      </c>
    </row>
    <row r="76" spans="1:10" ht="16" x14ac:dyDescent="0.2">
      <c r="A76" s="539">
        <v>73</v>
      </c>
      <c r="B76" s="539" t="s">
        <v>36</v>
      </c>
      <c r="C76" s="539" t="s">
        <v>182</v>
      </c>
      <c r="D76" s="539" t="s">
        <v>198</v>
      </c>
      <c r="E76" s="539" t="s">
        <v>199</v>
      </c>
      <c r="F76" s="539" t="s">
        <v>199</v>
      </c>
      <c r="G76" s="539" t="s">
        <v>190</v>
      </c>
      <c r="H76" s="539" t="s">
        <v>191</v>
      </c>
      <c r="I76" s="539" t="s">
        <v>43</v>
      </c>
      <c r="J76" s="539" t="s">
        <v>43</v>
      </c>
    </row>
    <row r="77" spans="1:10" ht="16" x14ac:dyDescent="0.2">
      <c r="A77" s="539">
        <v>74</v>
      </c>
      <c r="B77" s="539" t="s">
        <v>36</v>
      </c>
      <c r="C77" s="539" t="s">
        <v>182</v>
      </c>
      <c r="D77" s="539" t="s">
        <v>200</v>
      </c>
      <c r="E77" s="539" t="s">
        <v>201</v>
      </c>
      <c r="F77" s="539" t="s">
        <v>201</v>
      </c>
      <c r="G77" s="539" t="s">
        <v>190</v>
      </c>
      <c r="H77" s="539" t="s">
        <v>191</v>
      </c>
      <c r="I77" s="539" t="s">
        <v>43</v>
      </c>
      <c r="J77" s="539" t="s">
        <v>43</v>
      </c>
    </row>
    <row r="78" spans="1:10" ht="16" x14ac:dyDescent="0.2">
      <c r="A78" s="539">
        <v>75</v>
      </c>
      <c r="B78" s="539" t="s">
        <v>36</v>
      </c>
      <c r="C78" s="539" t="s">
        <v>202</v>
      </c>
      <c r="D78" s="539" t="s">
        <v>203</v>
      </c>
      <c r="E78" s="539" t="s">
        <v>204</v>
      </c>
      <c r="F78" s="539" t="s">
        <v>4</v>
      </c>
      <c r="G78" s="539" t="s">
        <v>205</v>
      </c>
      <c r="H78" s="539" t="s">
        <v>206</v>
      </c>
      <c r="I78" s="539" t="s">
        <v>59</v>
      </c>
      <c r="J78" s="539" t="s">
        <v>43</v>
      </c>
    </row>
    <row r="79" spans="1:10" ht="16" x14ac:dyDescent="0.2">
      <c r="A79" s="539">
        <v>76</v>
      </c>
      <c r="B79" s="539" t="s">
        <v>36</v>
      </c>
      <c r="C79" s="539" t="s">
        <v>202</v>
      </c>
      <c r="D79" s="539" t="s">
        <v>207</v>
      </c>
      <c r="E79" s="539" t="s">
        <v>208</v>
      </c>
      <c r="F79" s="539" t="s">
        <v>5</v>
      </c>
      <c r="G79" s="539" t="s">
        <v>205</v>
      </c>
      <c r="H79" s="539" t="s">
        <v>209</v>
      </c>
      <c r="I79" s="539" t="s">
        <v>59</v>
      </c>
      <c r="J79" s="539" t="s">
        <v>43</v>
      </c>
    </row>
    <row r="80" spans="1:10" ht="32" x14ac:dyDescent="0.2">
      <c r="A80" s="539">
        <v>77</v>
      </c>
      <c r="B80" s="539" t="s">
        <v>36</v>
      </c>
      <c r="C80" s="539" t="s">
        <v>202</v>
      </c>
      <c r="D80" s="539" t="s">
        <v>210</v>
      </c>
      <c r="E80" s="539" t="s">
        <v>211</v>
      </c>
      <c r="F80" s="539" t="s">
        <v>212</v>
      </c>
      <c r="G80" s="539" t="s">
        <v>213</v>
      </c>
      <c r="H80" s="539" t="s">
        <v>214</v>
      </c>
      <c r="I80" s="539" t="s">
        <v>43</v>
      </c>
      <c r="J80" s="539" t="s">
        <v>43</v>
      </c>
    </row>
    <row r="81" spans="1:10" ht="64" x14ac:dyDescent="0.2">
      <c r="A81" s="539">
        <v>78</v>
      </c>
      <c r="B81" s="539" t="s">
        <v>36</v>
      </c>
      <c r="C81" s="539" t="s">
        <v>202</v>
      </c>
      <c r="D81" s="539" t="s">
        <v>215</v>
      </c>
      <c r="E81" s="539" t="s">
        <v>216</v>
      </c>
      <c r="F81" s="539" t="s">
        <v>217</v>
      </c>
      <c r="G81" s="539" t="s">
        <v>213</v>
      </c>
      <c r="H81" s="539" t="s">
        <v>214</v>
      </c>
      <c r="I81" s="539" t="s">
        <v>43</v>
      </c>
      <c r="J81" s="539" t="s">
        <v>43</v>
      </c>
    </row>
    <row r="82" spans="1:10" ht="64" x14ac:dyDescent="0.2">
      <c r="A82" s="539">
        <v>79</v>
      </c>
      <c r="B82" s="539" t="s">
        <v>36</v>
      </c>
      <c r="C82" s="539" t="s">
        <v>202</v>
      </c>
      <c r="D82" s="539" t="s">
        <v>218</v>
      </c>
      <c r="E82" s="539" t="s">
        <v>219</v>
      </c>
      <c r="F82" s="539" t="s">
        <v>220</v>
      </c>
      <c r="G82" s="539" t="s">
        <v>213</v>
      </c>
      <c r="H82" s="539" t="s">
        <v>214</v>
      </c>
      <c r="I82" s="539" t="s">
        <v>43</v>
      </c>
      <c r="J82" s="539" t="s">
        <v>43</v>
      </c>
    </row>
    <row r="83" spans="1:10" ht="32" x14ac:dyDescent="0.2">
      <c r="A83" s="539">
        <v>80</v>
      </c>
      <c r="B83" s="539" t="s">
        <v>36</v>
      </c>
      <c r="C83" s="539" t="s">
        <v>202</v>
      </c>
      <c r="D83" s="539" t="s">
        <v>221</v>
      </c>
      <c r="E83" s="539" t="s">
        <v>222</v>
      </c>
      <c r="F83" s="539" t="s">
        <v>223</v>
      </c>
      <c r="G83" s="539" t="s">
        <v>224</v>
      </c>
      <c r="H83" s="539" t="s">
        <v>225</v>
      </c>
      <c r="I83" s="539" t="s">
        <v>43</v>
      </c>
      <c r="J83" s="539" t="s">
        <v>43</v>
      </c>
    </row>
    <row r="84" spans="1:10" ht="64" x14ac:dyDescent="0.2">
      <c r="A84" s="539">
        <v>81</v>
      </c>
      <c r="B84" s="539" t="s">
        <v>36</v>
      </c>
      <c r="C84" s="539" t="s">
        <v>202</v>
      </c>
      <c r="D84" s="539" t="s">
        <v>226</v>
      </c>
      <c r="E84" s="539" t="s">
        <v>227</v>
      </c>
      <c r="F84" s="539" t="s">
        <v>228</v>
      </c>
      <c r="G84" s="539" t="s">
        <v>224</v>
      </c>
      <c r="H84" s="539" t="s">
        <v>225</v>
      </c>
      <c r="I84" s="539" t="s">
        <v>43</v>
      </c>
      <c r="J84" s="539" t="s">
        <v>43</v>
      </c>
    </row>
    <row r="85" spans="1:10" ht="64" x14ac:dyDescent="0.2">
      <c r="A85" s="539">
        <v>82</v>
      </c>
      <c r="B85" s="539" t="s">
        <v>36</v>
      </c>
      <c r="C85" s="539" t="s">
        <v>202</v>
      </c>
      <c r="D85" s="539" t="s">
        <v>229</v>
      </c>
      <c r="E85" s="539" t="s">
        <v>230</v>
      </c>
      <c r="F85" s="539" t="s">
        <v>231</v>
      </c>
      <c r="G85" s="539" t="s">
        <v>224</v>
      </c>
      <c r="H85" s="539" t="s">
        <v>225</v>
      </c>
      <c r="I85" s="539" t="s">
        <v>43</v>
      </c>
      <c r="J85" s="539" t="s">
        <v>43</v>
      </c>
    </row>
    <row r="86" spans="1:10" ht="16" x14ac:dyDescent="0.2">
      <c r="A86" s="539">
        <v>83</v>
      </c>
      <c r="B86" s="539" t="s">
        <v>36</v>
      </c>
      <c r="C86" s="539" t="s">
        <v>202</v>
      </c>
      <c r="D86" s="539" t="s">
        <v>232</v>
      </c>
      <c r="E86" s="539" t="s">
        <v>233</v>
      </c>
      <c r="F86" s="539" t="s">
        <v>234</v>
      </c>
      <c r="G86" s="539" t="s">
        <v>235</v>
      </c>
      <c r="H86" s="539" t="s">
        <v>236</v>
      </c>
      <c r="I86" s="539" t="s">
        <v>43</v>
      </c>
      <c r="J86" s="539" t="s">
        <v>43</v>
      </c>
    </row>
    <row r="87" spans="1:10" ht="32" x14ac:dyDescent="0.2">
      <c r="A87" s="539">
        <v>84</v>
      </c>
      <c r="B87" s="539" t="s">
        <v>36</v>
      </c>
      <c r="C87" s="539" t="s">
        <v>202</v>
      </c>
      <c r="D87" s="539" t="s">
        <v>237</v>
      </c>
      <c r="E87" s="539" t="s">
        <v>238</v>
      </c>
      <c r="F87" s="539" t="s">
        <v>239</v>
      </c>
      <c r="G87" s="539" t="s">
        <v>235</v>
      </c>
      <c r="H87" s="539" t="s">
        <v>236</v>
      </c>
      <c r="I87" s="539" t="s">
        <v>43</v>
      </c>
      <c r="J87" s="539" t="s">
        <v>43</v>
      </c>
    </row>
    <row r="88" spans="1:10" ht="32" x14ac:dyDescent="0.2">
      <c r="A88" s="539">
        <v>85</v>
      </c>
      <c r="B88" s="539" t="s">
        <v>36</v>
      </c>
      <c r="C88" s="539" t="s">
        <v>202</v>
      </c>
      <c r="D88" s="539" t="s">
        <v>240</v>
      </c>
      <c r="E88" s="539" t="s">
        <v>241</v>
      </c>
      <c r="F88" s="539" t="s">
        <v>242</v>
      </c>
      <c r="G88" s="539" t="s">
        <v>235</v>
      </c>
      <c r="H88" s="539" t="s">
        <v>236</v>
      </c>
      <c r="I88" s="539" t="s">
        <v>43</v>
      </c>
      <c r="J88" s="539" t="s">
        <v>43</v>
      </c>
    </row>
    <row r="89" spans="1:10" ht="16" x14ac:dyDescent="0.2">
      <c r="A89" s="539">
        <v>86</v>
      </c>
      <c r="B89" s="539" t="s">
        <v>36</v>
      </c>
      <c r="C89" s="539" t="s">
        <v>202</v>
      </c>
      <c r="D89" s="539" t="s">
        <v>243</v>
      </c>
      <c r="E89" s="539" t="s">
        <v>244</v>
      </c>
      <c r="F89" s="539" t="s">
        <v>244</v>
      </c>
      <c r="G89" s="539" t="s">
        <v>245</v>
      </c>
      <c r="H89" s="539" t="s">
        <v>246</v>
      </c>
      <c r="I89" s="539" t="s">
        <v>43</v>
      </c>
      <c r="J89" s="539" t="s">
        <v>43</v>
      </c>
    </row>
    <row r="90" spans="1:10" ht="16" x14ac:dyDescent="0.2">
      <c r="A90" s="539">
        <v>87</v>
      </c>
      <c r="B90" s="539" t="s">
        <v>36</v>
      </c>
      <c r="C90" s="539" t="s">
        <v>202</v>
      </c>
      <c r="D90" s="539" t="s">
        <v>247</v>
      </c>
      <c r="E90" s="539" t="s">
        <v>248</v>
      </c>
      <c r="F90" s="539" t="s">
        <v>248</v>
      </c>
      <c r="G90" s="539" t="s">
        <v>245</v>
      </c>
      <c r="H90" s="539" t="s">
        <v>246</v>
      </c>
      <c r="I90" s="539" t="s">
        <v>43</v>
      </c>
      <c r="J90" s="539" t="s">
        <v>43</v>
      </c>
    </row>
    <row r="91" spans="1:10" ht="16" x14ac:dyDescent="0.2">
      <c r="A91" s="539">
        <v>88</v>
      </c>
      <c r="B91" s="539" t="s">
        <v>36</v>
      </c>
      <c r="C91" s="539" t="s">
        <v>202</v>
      </c>
      <c r="D91" s="539" t="s">
        <v>249</v>
      </c>
      <c r="E91" s="539" t="s">
        <v>250</v>
      </c>
      <c r="F91" s="539" t="s">
        <v>250</v>
      </c>
      <c r="G91" s="539" t="s">
        <v>245</v>
      </c>
      <c r="H91" s="539" t="s">
        <v>246</v>
      </c>
      <c r="I91" s="539" t="s">
        <v>43</v>
      </c>
      <c r="J91" s="539" t="s">
        <v>43</v>
      </c>
    </row>
    <row r="92" spans="1:10" ht="16" x14ac:dyDescent="0.2">
      <c r="A92" s="539">
        <v>89</v>
      </c>
      <c r="B92" s="539" t="s">
        <v>36</v>
      </c>
      <c r="C92" s="539" t="s">
        <v>202</v>
      </c>
      <c r="D92" s="539" t="s">
        <v>251</v>
      </c>
      <c r="E92" s="539" t="s">
        <v>252</v>
      </c>
      <c r="F92" s="539" t="s">
        <v>252</v>
      </c>
      <c r="G92" s="539" t="s">
        <v>245</v>
      </c>
      <c r="H92" s="539" t="s">
        <v>246</v>
      </c>
      <c r="I92" s="539" t="s">
        <v>43</v>
      </c>
      <c r="J92" s="539" t="s">
        <v>43</v>
      </c>
    </row>
    <row r="93" spans="1:10" ht="16" x14ac:dyDescent="0.2">
      <c r="A93" s="539">
        <v>90</v>
      </c>
      <c r="B93" s="539" t="s">
        <v>36</v>
      </c>
      <c r="C93" s="539" t="s">
        <v>202</v>
      </c>
      <c r="D93" s="539" t="s">
        <v>253</v>
      </c>
      <c r="E93" s="539" t="s">
        <v>254</v>
      </c>
      <c r="F93" s="539" t="s">
        <v>254</v>
      </c>
      <c r="G93" s="539" t="s">
        <v>245</v>
      </c>
      <c r="H93" s="539" t="s">
        <v>246</v>
      </c>
      <c r="I93" s="539" t="s">
        <v>43</v>
      </c>
      <c r="J93" s="539" t="s">
        <v>43</v>
      </c>
    </row>
    <row r="94" spans="1:10" ht="16" x14ac:dyDescent="0.2">
      <c r="A94" s="539">
        <v>91</v>
      </c>
      <c r="B94" s="539" t="s">
        <v>36</v>
      </c>
      <c r="C94" s="539" t="s">
        <v>202</v>
      </c>
      <c r="D94" s="539" t="s">
        <v>255</v>
      </c>
      <c r="E94" s="539" t="s">
        <v>256</v>
      </c>
      <c r="F94" s="539" t="s">
        <v>256</v>
      </c>
      <c r="G94" s="539" t="s">
        <v>245</v>
      </c>
      <c r="H94" s="539" t="s">
        <v>246</v>
      </c>
      <c r="I94" s="539" t="s">
        <v>43</v>
      </c>
      <c r="J94" s="539" t="s">
        <v>43</v>
      </c>
    </row>
    <row r="95" spans="1:10" ht="16" x14ac:dyDescent="0.2">
      <c r="A95" s="539">
        <v>92</v>
      </c>
      <c r="B95" s="539" t="s">
        <v>36</v>
      </c>
      <c r="C95" s="539" t="s">
        <v>202</v>
      </c>
      <c r="D95" s="539" t="s">
        <v>257</v>
      </c>
      <c r="E95" s="539" t="s">
        <v>258</v>
      </c>
      <c r="F95" s="539" t="s">
        <v>258</v>
      </c>
      <c r="G95" s="539" t="s">
        <v>245</v>
      </c>
      <c r="H95" s="539" t="s">
        <v>246</v>
      </c>
      <c r="I95" s="539" t="s">
        <v>43</v>
      </c>
      <c r="J95" s="539" t="s">
        <v>43</v>
      </c>
    </row>
    <row r="96" spans="1:10" ht="16" x14ac:dyDescent="0.2">
      <c r="A96" s="539">
        <v>93</v>
      </c>
      <c r="B96" s="539" t="s">
        <v>36</v>
      </c>
      <c r="C96" s="539" t="s">
        <v>202</v>
      </c>
      <c r="D96" s="539" t="s">
        <v>259</v>
      </c>
      <c r="E96" s="539" t="s">
        <v>260</v>
      </c>
      <c r="F96" s="539" t="s">
        <v>260</v>
      </c>
      <c r="G96" s="539" t="s">
        <v>245</v>
      </c>
      <c r="H96" s="539" t="s">
        <v>246</v>
      </c>
      <c r="I96" s="539" t="s">
        <v>43</v>
      </c>
      <c r="J96" s="539" t="s">
        <v>43</v>
      </c>
    </row>
    <row r="97" spans="1:10" ht="16" x14ac:dyDescent="0.2">
      <c r="A97" s="539">
        <v>94</v>
      </c>
      <c r="B97" s="539" t="s">
        <v>36</v>
      </c>
      <c r="C97" s="539" t="s">
        <v>202</v>
      </c>
      <c r="D97" s="539" t="s">
        <v>261</v>
      </c>
      <c r="E97" s="539" t="s">
        <v>262</v>
      </c>
      <c r="F97" s="539" t="s">
        <v>262</v>
      </c>
      <c r="G97" s="539" t="s">
        <v>245</v>
      </c>
      <c r="H97" s="539" t="s">
        <v>246</v>
      </c>
      <c r="I97" s="539" t="s">
        <v>43</v>
      </c>
      <c r="J97" s="539" t="s">
        <v>43</v>
      </c>
    </row>
    <row r="98" spans="1:10" ht="16" x14ac:dyDescent="0.2">
      <c r="A98" s="539">
        <v>95</v>
      </c>
      <c r="B98" s="539" t="s">
        <v>36</v>
      </c>
      <c r="C98" s="539" t="s">
        <v>202</v>
      </c>
      <c r="D98" s="539" t="s">
        <v>263</v>
      </c>
      <c r="E98" s="539" t="s">
        <v>264</v>
      </c>
      <c r="F98" s="539" t="s">
        <v>264</v>
      </c>
      <c r="G98" s="539" t="s">
        <v>245</v>
      </c>
      <c r="H98" s="539" t="s">
        <v>246</v>
      </c>
      <c r="I98" s="539" t="s">
        <v>43</v>
      </c>
      <c r="J98" s="539" t="s">
        <v>43</v>
      </c>
    </row>
    <row r="99" spans="1:10" ht="16" x14ac:dyDescent="0.2">
      <c r="A99" s="539">
        <v>96</v>
      </c>
      <c r="B99" s="539" t="s">
        <v>36</v>
      </c>
      <c r="C99" s="539" t="s">
        <v>202</v>
      </c>
      <c r="D99" s="539" t="s">
        <v>265</v>
      </c>
      <c r="E99" s="539" t="s">
        <v>266</v>
      </c>
      <c r="F99" s="539" t="s">
        <v>266</v>
      </c>
      <c r="G99" s="539" t="s">
        <v>245</v>
      </c>
      <c r="H99" s="539" t="s">
        <v>246</v>
      </c>
      <c r="I99" s="539" t="s">
        <v>43</v>
      </c>
      <c r="J99" s="539" t="s">
        <v>43</v>
      </c>
    </row>
    <row r="100" spans="1:10" ht="16" x14ac:dyDescent="0.2">
      <c r="A100" s="539">
        <v>97</v>
      </c>
      <c r="B100" s="539" t="s">
        <v>36</v>
      </c>
      <c r="C100" s="539" t="s">
        <v>202</v>
      </c>
      <c r="D100" s="539" t="s">
        <v>267</v>
      </c>
      <c r="E100" s="539" t="s">
        <v>268</v>
      </c>
      <c r="F100" s="539" t="s">
        <v>268</v>
      </c>
      <c r="G100" s="539" t="s">
        <v>245</v>
      </c>
      <c r="H100" s="539" t="s">
        <v>246</v>
      </c>
      <c r="I100" s="539" t="s">
        <v>43</v>
      </c>
      <c r="J100" s="539" t="s">
        <v>43</v>
      </c>
    </row>
    <row r="101" spans="1:10" ht="16" x14ac:dyDescent="0.2">
      <c r="A101" s="539">
        <v>98</v>
      </c>
      <c r="B101" s="539" t="s">
        <v>36</v>
      </c>
      <c r="C101" s="539" t="s">
        <v>269</v>
      </c>
      <c r="D101" s="539" t="s">
        <v>270</v>
      </c>
      <c r="E101" s="539" t="s">
        <v>271</v>
      </c>
      <c r="F101" s="539" t="s">
        <v>271</v>
      </c>
      <c r="G101" s="539" t="s">
        <v>272</v>
      </c>
      <c r="H101" s="539" t="s">
        <v>273</v>
      </c>
      <c r="I101" s="539" t="s">
        <v>43</v>
      </c>
      <c r="J101" s="539" t="s">
        <v>43</v>
      </c>
    </row>
    <row r="102" spans="1:10" ht="16" x14ac:dyDescent="0.2">
      <c r="A102" s="539">
        <v>99</v>
      </c>
      <c r="B102" s="539" t="s">
        <v>36</v>
      </c>
      <c r="C102" s="539" t="s">
        <v>269</v>
      </c>
      <c r="D102" s="539" t="s">
        <v>274</v>
      </c>
      <c r="E102" s="539" t="s">
        <v>275</v>
      </c>
      <c r="F102" s="539" t="s">
        <v>275</v>
      </c>
      <c r="G102" s="539" t="s">
        <v>272</v>
      </c>
      <c r="H102" s="539" t="s">
        <v>273</v>
      </c>
      <c r="I102" s="539" t="s">
        <v>43</v>
      </c>
      <c r="J102" s="539" t="s">
        <v>43</v>
      </c>
    </row>
    <row r="103" spans="1:10" ht="16" x14ac:dyDescent="0.2">
      <c r="A103" s="539">
        <v>100</v>
      </c>
      <c r="B103" s="539" t="s">
        <v>36</v>
      </c>
      <c r="C103" s="539" t="s">
        <v>269</v>
      </c>
      <c r="D103" s="539" t="s">
        <v>276</v>
      </c>
      <c r="E103" s="539" t="s">
        <v>277</v>
      </c>
      <c r="F103" s="539" t="s">
        <v>277</v>
      </c>
      <c r="G103" s="539" t="s">
        <v>272</v>
      </c>
      <c r="H103" s="539" t="s">
        <v>273</v>
      </c>
      <c r="I103" s="539" t="s">
        <v>43</v>
      </c>
      <c r="J103" s="539" t="s">
        <v>43</v>
      </c>
    </row>
    <row r="104" spans="1:10" ht="16" x14ac:dyDescent="0.2">
      <c r="A104" s="539">
        <v>101</v>
      </c>
      <c r="B104" s="539" t="s">
        <v>36</v>
      </c>
      <c r="C104" s="539" t="s">
        <v>269</v>
      </c>
      <c r="D104" s="539" t="s">
        <v>112</v>
      </c>
      <c r="E104" s="539" t="s">
        <v>278</v>
      </c>
      <c r="F104" s="539" t="s">
        <v>278</v>
      </c>
      <c r="G104" s="539" t="s">
        <v>272</v>
      </c>
      <c r="H104" s="539" t="s">
        <v>273</v>
      </c>
      <c r="I104" s="539" t="s">
        <v>43</v>
      </c>
      <c r="J104" s="539" t="s">
        <v>43</v>
      </c>
    </row>
    <row r="105" spans="1:10" ht="16" x14ac:dyDescent="0.2">
      <c r="A105" s="539">
        <v>102</v>
      </c>
      <c r="B105" s="539" t="s">
        <v>36</v>
      </c>
      <c r="C105" s="539" t="s">
        <v>269</v>
      </c>
      <c r="D105" s="539" t="s">
        <v>134</v>
      </c>
      <c r="E105" s="539" t="s">
        <v>279</v>
      </c>
      <c r="F105" s="539" t="s">
        <v>279</v>
      </c>
      <c r="G105" s="539" t="s">
        <v>272</v>
      </c>
      <c r="H105" s="539" t="s">
        <v>273</v>
      </c>
      <c r="I105" s="539" t="s">
        <v>43</v>
      </c>
      <c r="J105" s="539" t="s">
        <v>43</v>
      </c>
    </row>
    <row r="106" spans="1:10" ht="16" x14ac:dyDescent="0.2">
      <c r="A106" s="539">
        <v>103</v>
      </c>
      <c r="B106" s="539" t="s">
        <v>36</v>
      </c>
      <c r="C106" s="539" t="s">
        <v>269</v>
      </c>
      <c r="D106" s="539" t="s">
        <v>147</v>
      </c>
      <c r="E106" s="539" t="s">
        <v>280</v>
      </c>
      <c r="F106" s="539" t="s">
        <v>280</v>
      </c>
      <c r="G106" s="539" t="s">
        <v>272</v>
      </c>
      <c r="H106" s="539" t="s">
        <v>273</v>
      </c>
      <c r="I106" s="539" t="s">
        <v>43</v>
      </c>
      <c r="J106" s="539" t="s">
        <v>43</v>
      </c>
    </row>
    <row r="107" spans="1:10" ht="16" x14ac:dyDescent="0.2">
      <c r="A107" s="539">
        <v>104</v>
      </c>
      <c r="B107" s="539" t="s">
        <v>36</v>
      </c>
      <c r="C107" s="539" t="s">
        <v>269</v>
      </c>
      <c r="D107" s="539" t="s">
        <v>117</v>
      </c>
      <c r="E107" s="539" t="s">
        <v>281</v>
      </c>
      <c r="F107" s="539" t="s">
        <v>281</v>
      </c>
      <c r="G107" s="539" t="s">
        <v>272</v>
      </c>
      <c r="H107" s="539" t="s">
        <v>273</v>
      </c>
      <c r="I107" s="539" t="s">
        <v>43</v>
      </c>
      <c r="J107" s="539" t="s">
        <v>43</v>
      </c>
    </row>
    <row r="108" spans="1:10" ht="16" x14ac:dyDescent="0.2">
      <c r="A108" s="539">
        <v>105</v>
      </c>
      <c r="B108" s="539" t="s">
        <v>36</v>
      </c>
      <c r="C108" s="539" t="s">
        <v>269</v>
      </c>
      <c r="D108" s="539" t="s">
        <v>137</v>
      </c>
      <c r="E108" s="539" t="s">
        <v>282</v>
      </c>
      <c r="F108" s="539" t="s">
        <v>282</v>
      </c>
      <c r="G108" s="539" t="s">
        <v>272</v>
      </c>
      <c r="H108" s="539" t="s">
        <v>273</v>
      </c>
      <c r="I108" s="539" t="s">
        <v>43</v>
      </c>
      <c r="J108" s="539" t="s">
        <v>43</v>
      </c>
    </row>
    <row r="109" spans="1:10" ht="16" x14ac:dyDescent="0.2">
      <c r="A109" s="539">
        <v>106</v>
      </c>
      <c r="B109" s="539" t="s">
        <v>36</v>
      </c>
      <c r="C109" s="539" t="s">
        <v>269</v>
      </c>
      <c r="D109" s="539" t="s">
        <v>150</v>
      </c>
      <c r="E109" s="539" t="s">
        <v>283</v>
      </c>
      <c r="F109" s="539" t="s">
        <v>283</v>
      </c>
      <c r="G109" s="539" t="s">
        <v>272</v>
      </c>
      <c r="H109" s="539" t="s">
        <v>273</v>
      </c>
      <c r="I109" s="539" t="s">
        <v>43</v>
      </c>
      <c r="J109" s="539" t="s">
        <v>43</v>
      </c>
    </row>
    <row r="110" spans="1:10" ht="16" x14ac:dyDescent="0.2">
      <c r="A110" s="539">
        <v>107</v>
      </c>
      <c r="B110" s="539" t="s">
        <v>36</v>
      </c>
      <c r="C110" s="539" t="s">
        <v>269</v>
      </c>
      <c r="D110" s="539" t="s">
        <v>284</v>
      </c>
      <c r="E110" s="539" t="s">
        <v>285</v>
      </c>
      <c r="F110" s="539" t="s">
        <v>285</v>
      </c>
      <c r="G110" s="539" t="s">
        <v>272</v>
      </c>
      <c r="H110" s="539" t="s">
        <v>273</v>
      </c>
      <c r="I110" s="539" t="s">
        <v>43</v>
      </c>
      <c r="J110" s="539" t="s">
        <v>43</v>
      </c>
    </row>
    <row r="111" spans="1:10" ht="16" x14ac:dyDescent="0.2">
      <c r="A111" s="539">
        <v>108</v>
      </c>
      <c r="B111" s="539" t="s">
        <v>36</v>
      </c>
      <c r="C111" s="539" t="s">
        <v>269</v>
      </c>
      <c r="D111" s="539" t="s">
        <v>286</v>
      </c>
      <c r="E111" s="539" t="s">
        <v>287</v>
      </c>
      <c r="F111" s="539" t="s">
        <v>287</v>
      </c>
      <c r="G111" s="539" t="s">
        <v>272</v>
      </c>
      <c r="H111" s="539" t="s">
        <v>273</v>
      </c>
      <c r="I111" s="539" t="s">
        <v>43</v>
      </c>
      <c r="J111" s="539" t="s">
        <v>43</v>
      </c>
    </row>
    <row r="112" spans="1:10" ht="16" x14ac:dyDescent="0.2">
      <c r="A112" s="539">
        <v>109</v>
      </c>
      <c r="B112" s="539" t="s">
        <v>36</v>
      </c>
      <c r="C112" s="539" t="s">
        <v>269</v>
      </c>
      <c r="D112" s="539" t="s">
        <v>288</v>
      </c>
      <c r="E112" s="539" t="s">
        <v>289</v>
      </c>
      <c r="F112" s="539" t="s">
        <v>289</v>
      </c>
      <c r="G112" s="539" t="s">
        <v>272</v>
      </c>
      <c r="H112" s="539" t="s">
        <v>273</v>
      </c>
      <c r="I112" s="539" t="s">
        <v>43</v>
      </c>
      <c r="J112" s="539" t="s">
        <v>43</v>
      </c>
    </row>
    <row r="113" spans="1:10" ht="16" x14ac:dyDescent="0.2">
      <c r="A113" s="539">
        <v>110</v>
      </c>
      <c r="B113" s="539" t="s">
        <v>36</v>
      </c>
      <c r="C113" s="539" t="s">
        <v>269</v>
      </c>
      <c r="D113" s="539" t="s">
        <v>290</v>
      </c>
      <c r="E113" s="539" t="s">
        <v>291</v>
      </c>
      <c r="F113" s="539" t="s">
        <v>291</v>
      </c>
      <c r="G113" s="539" t="s">
        <v>272</v>
      </c>
      <c r="H113" s="539" t="s">
        <v>273</v>
      </c>
      <c r="I113" s="539" t="s">
        <v>43</v>
      </c>
      <c r="J113" s="539" t="s">
        <v>43</v>
      </c>
    </row>
    <row r="114" spans="1:10" ht="16" x14ac:dyDescent="0.2">
      <c r="A114" s="539">
        <v>111</v>
      </c>
      <c r="B114" s="539" t="s">
        <v>36</v>
      </c>
      <c r="C114" s="539" t="s">
        <v>269</v>
      </c>
      <c r="D114" s="539" t="s">
        <v>292</v>
      </c>
      <c r="E114" s="539" t="s">
        <v>293</v>
      </c>
      <c r="F114" s="539" t="s">
        <v>293</v>
      </c>
      <c r="G114" s="539" t="s">
        <v>272</v>
      </c>
      <c r="H114" s="539" t="s">
        <v>273</v>
      </c>
      <c r="I114" s="539" t="s">
        <v>43</v>
      </c>
      <c r="J114" s="539" t="s">
        <v>43</v>
      </c>
    </row>
    <row r="115" spans="1:10" ht="16" x14ac:dyDescent="0.2">
      <c r="A115" s="539">
        <v>112</v>
      </c>
      <c r="B115" s="539" t="s">
        <v>36</v>
      </c>
      <c r="C115" s="539" t="s">
        <v>269</v>
      </c>
      <c r="D115" s="539" t="s">
        <v>294</v>
      </c>
      <c r="E115" s="539" t="s">
        <v>295</v>
      </c>
      <c r="F115" s="539" t="s">
        <v>295</v>
      </c>
      <c r="G115" s="539" t="s">
        <v>272</v>
      </c>
      <c r="H115" s="539" t="s">
        <v>273</v>
      </c>
      <c r="I115" s="539" t="s">
        <v>43</v>
      </c>
      <c r="J115" s="539" t="s">
        <v>43</v>
      </c>
    </row>
    <row r="116" spans="1:10" ht="16" x14ac:dyDescent="0.2">
      <c r="A116" s="539">
        <v>113</v>
      </c>
      <c r="B116" s="539" t="s">
        <v>36</v>
      </c>
      <c r="C116" s="539" t="s">
        <v>296</v>
      </c>
      <c r="D116" s="539" t="s">
        <v>203</v>
      </c>
      <c r="E116" s="539" t="s">
        <v>204</v>
      </c>
      <c r="F116" s="539" t="s">
        <v>4</v>
      </c>
      <c r="G116" s="539" t="s">
        <v>297</v>
      </c>
      <c r="H116" s="539" t="s">
        <v>206</v>
      </c>
      <c r="I116" s="539" t="s">
        <v>59</v>
      </c>
      <c r="J116" s="539" t="s">
        <v>43</v>
      </c>
    </row>
    <row r="117" spans="1:10" ht="16" x14ac:dyDescent="0.2">
      <c r="A117" s="539">
        <v>114</v>
      </c>
      <c r="B117" s="539" t="s">
        <v>36</v>
      </c>
      <c r="C117" s="539" t="s">
        <v>296</v>
      </c>
      <c r="D117" s="539" t="s">
        <v>207</v>
      </c>
      <c r="E117" s="539" t="s">
        <v>208</v>
      </c>
      <c r="F117" s="539" t="s">
        <v>5</v>
      </c>
      <c r="G117" s="539" t="s">
        <v>297</v>
      </c>
      <c r="H117" s="539" t="s">
        <v>209</v>
      </c>
      <c r="I117" s="539" t="s">
        <v>59</v>
      </c>
      <c r="J117" s="539" t="s">
        <v>43</v>
      </c>
    </row>
    <row r="118" spans="1:10" ht="16" x14ac:dyDescent="0.2">
      <c r="A118" s="539">
        <v>115</v>
      </c>
      <c r="B118" s="539" t="s">
        <v>36</v>
      </c>
      <c r="C118" s="539" t="s">
        <v>296</v>
      </c>
      <c r="D118" s="539" t="s">
        <v>210</v>
      </c>
      <c r="E118" s="539" t="s">
        <v>277</v>
      </c>
      <c r="F118" s="539" t="s">
        <v>277</v>
      </c>
      <c r="G118" s="539" t="s">
        <v>298</v>
      </c>
      <c r="H118" s="539" t="s">
        <v>299</v>
      </c>
      <c r="I118" s="539" t="s">
        <v>43</v>
      </c>
      <c r="J118" s="539" t="s">
        <v>43</v>
      </c>
    </row>
    <row r="119" spans="1:10" ht="64" x14ac:dyDescent="0.2">
      <c r="A119" s="539">
        <v>116</v>
      </c>
      <c r="B119" s="539" t="s">
        <v>36</v>
      </c>
      <c r="C119" s="539" t="s">
        <v>296</v>
      </c>
      <c r="D119" s="539" t="s">
        <v>215</v>
      </c>
      <c r="E119" s="539" t="s">
        <v>300</v>
      </c>
      <c r="F119" s="539" t="s">
        <v>301</v>
      </c>
      <c r="G119" s="539" t="s">
        <v>298</v>
      </c>
      <c r="H119" s="539" t="s">
        <v>299</v>
      </c>
      <c r="I119" s="539" t="s">
        <v>43</v>
      </c>
      <c r="J119" s="539" t="s">
        <v>43</v>
      </c>
    </row>
    <row r="120" spans="1:10" ht="64" x14ac:dyDescent="0.2">
      <c r="A120" s="539">
        <v>117</v>
      </c>
      <c r="B120" s="539" t="s">
        <v>36</v>
      </c>
      <c r="C120" s="539" t="s">
        <v>296</v>
      </c>
      <c r="D120" s="539" t="s">
        <v>218</v>
      </c>
      <c r="E120" s="539" t="s">
        <v>302</v>
      </c>
      <c r="F120" s="539" t="s">
        <v>303</v>
      </c>
      <c r="G120" s="539" t="s">
        <v>298</v>
      </c>
      <c r="H120" s="539" t="s">
        <v>299</v>
      </c>
      <c r="I120" s="539" t="s">
        <v>43</v>
      </c>
      <c r="J120" s="539" t="s">
        <v>43</v>
      </c>
    </row>
    <row r="121" spans="1:10" ht="64" x14ac:dyDescent="0.2">
      <c r="A121" s="539">
        <v>118</v>
      </c>
      <c r="B121" s="539" t="s">
        <v>36</v>
      </c>
      <c r="C121" s="539" t="s">
        <v>296</v>
      </c>
      <c r="D121" s="539" t="s">
        <v>304</v>
      </c>
      <c r="E121" s="539" t="s">
        <v>305</v>
      </c>
      <c r="F121" s="539" t="s">
        <v>306</v>
      </c>
      <c r="G121" s="539" t="s">
        <v>298</v>
      </c>
      <c r="H121" s="539" t="s">
        <v>299</v>
      </c>
      <c r="I121" s="539" t="s">
        <v>43</v>
      </c>
      <c r="J121" s="539" t="s">
        <v>43</v>
      </c>
    </row>
    <row r="122" spans="1:10" ht="16" x14ac:dyDescent="0.2">
      <c r="A122" s="539">
        <v>119</v>
      </c>
      <c r="B122" s="539" t="s">
        <v>36</v>
      </c>
      <c r="C122" s="539" t="s">
        <v>296</v>
      </c>
      <c r="D122" s="539" t="s">
        <v>221</v>
      </c>
      <c r="E122" s="539" t="s">
        <v>280</v>
      </c>
      <c r="F122" s="539" t="s">
        <v>280</v>
      </c>
      <c r="G122" s="539" t="s">
        <v>307</v>
      </c>
      <c r="H122" s="539" t="s">
        <v>308</v>
      </c>
      <c r="I122" s="539" t="s">
        <v>43</v>
      </c>
      <c r="J122" s="539" t="s">
        <v>43</v>
      </c>
    </row>
    <row r="123" spans="1:10" ht="32" x14ac:dyDescent="0.2">
      <c r="A123" s="539">
        <v>120</v>
      </c>
      <c r="B123" s="539" t="s">
        <v>36</v>
      </c>
      <c r="C123" s="539" t="s">
        <v>296</v>
      </c>
      <c r="D123" s="539" t="s">
        <v>226</v>
      </c>
      <c r="E123" s="539" t="s">
        <v>309</v>
      </c>
      <c r="F123" s="539" t="s">
        <v>310</v>
      </c>
      <c r="G123" s="539" t="s">
        <v>307</v>
      </c>
      <c r="H123" s="539" t="s">
        <v>308</v>
      </c>
      <c r="I123" s="539" t="s">
        <v>43</v>
      </c>
      <c r="J123" s="539" t="s">
        <v>43</v>
      </c>
    </row>
    <row r="124" spans="1:10" ht="32" x14ac:dyDescent="0.2">
      <c r="A124" s="539">
        <v>121</v>
      </c>
      <c r="B124" s="539" t="s">
        <v>36</v>
      </c>
      <c r="C124" s="539" t="s">
        <v>296</v>
      </c>
      <c r="D124" s="539" t="s">
        <v>229</v>
      </c>
      <c r="E124" s="539" t="s">
        <v>311</v>
      </c>
      <c r="F124" s="539" t="s">
        <v>312</v>
      </c>
      <c r="G124" s="539" t="s">
        <v>307</v>
      </c>
      <c r="H124" s="539" t="s">
        <v>308</v>
      </c>
      <c r="I124" s="539" t="s">
        <v>43</v>
      </c>
      <c r="J124" s="539" t="s">
        <v>43</v>
      </c>
    </row>
    <row r="125" spans="1:10" ht="32" x14ac:dyDescent="0.2">
      <c r="A125" s="539">
        <v>122</v>
      </c>
      <c r="B125" s="539" t="s">
        <v>36</v>
      </c>
      <c r="C125" s="539" t="s">
        <v>296</v>
      </c>
      <c r="D125" s="539" t="s">
        <v>313</v>
      </c>
      <c r="E125" s="539" t="s">
        <v>314</v>
      </c>
      <c r="F125" s="539" t="s">
        <v>315</v>
      </c>
      <c r="G125" s="539" t="s">
        <v>307</v>
      </c>
      <c r="H125" s="539" t="s">
        <v>308</v>
      </c>
      <c r="I125" s="539" t="s">
        <v>43</v>
      </c>
      <c r="J125" s="539" t="s">
        <v>43</v>
      </c>
    </row>
    <row r="126" spans="1:10" ht="16" x14ac:dyDescent="0.2">
      <c r="A126" s="539">
        <v>123</v>
      </c>
      <c r="B126" s="539" t="s">
        <v>36</v>
      </c>
      <c r="C126" s="539" t="s">
        <v>296</v>
      </c>
      <c r="D126" s="539" t="s">
        <v>243</v>
      </c>
      <c r="E126" s="539" t="s">
        <v>244</v>
      </c>
      <c r="F126" s="539" t="s">
        <v>244</v>
      </c>
      <c r="G126" s="539" t="s">
        <v>316</v>
      </c>
      <c r="H126" s="539" t="s">
        <v>317</v>
      </c>
      <c r="I126" s="539" t="s">
        <v>43</v>
      </c>
      <c r="J126" s="539" t="s">
        <v>43</v>
      </c>
    </row>
    <row r="127" spans="1:10" ht="16" x14ac:dyDescent="0.2">
      <c r="A127" s="539">
        <v>124</v>
      </c>
      <c r="B127" s="539" t="s">
        <v>36</v>
      </c>
      <c r="C127" s="539" t="s">
        <v>296</v>
      </c>
      <c r="D127" s="539" t="s">
        <v>247</v>
      </c>
      <c r="E127" s="539" t="s">
        <v>248</v>
      </c>
      <c r="F127" s="539" t="s">
        <v>248</v>
      </c>
      <c r="G127" s="539" t="s">
        <v>316</v>
      </c>
      <c r="H127" s="539" t="s">
        <v>317</v>
      </c>
      <c r="I127" s="539" t="s">
        <v>43</v>
      </c>
      <c r="J127" s="539" t="s">
        <v>43</v>
      </c>
    </row>
    <row r="128" spans="1:10" ht="16" x14ac:dyDescent="0.2">
      <c r="A128" s="539">
        <v>125</v>
      </c>
      <c r="B128" s="539" t="s">
        <v>36</v>
      </c>
      <c r="C128" s="539" t="s">
        <v>296</v>
      </c>
      <c r="D128" s="539" t="s">
        <v>249</v>
      </c>
      <c r="E128" s="539" t="s">
        <v>250</v>
      </c>
      <c r="F128" s="539" t="s">
        <v>250</v>
      </c>
      <c r="G128" s="539" t="s">
        <v>316</v>
      </c>
      <c r="H128" s="539" t="s">
        <v>317</v>
      </c>
      <c r="I128" s="539" t="s">
        <v>43</v>
      </c>
      <c r="J128" s="539" t="s">
        <v>43</v>
      </c>
    </row>
    <row r="129" spans="1:10" ht="16" x14ac:dyDescent="0.2">
      <c r="A129" s="539">
        <v>126</v>
      </c>
      <c r="B129" s="539" t="s">
        <v>36</v>
      </c>
      <c r="C129" s="539" t="s">
        <v>296</v>
      </c>
      <c r="D129" s="539" t="s">
        <v>318</v>
      </c>
      <c r="E129" s="539" t="s">
        <v>319</v>
      </c>
      <c r="F129" s="539" t="s">
        <v>319</v>
      </c>
      <c r="G129" s="539" t="s">
        <v>316</v>
      </c>
      <c r="H129" s="539" t="s">
        <v>317</v>
      </c>
      <c r="I129" s="539" t="s">
        <v>43</v>
      </c>
      <c r="J129" s="539" t="s">
        <v>43</v>
      </c>
    </row>
    <row r="130" spans="1:10" ht="16" x14ac:dyDescent="0.2">
      <c r="A130" s="539">
        <v>127</v>
      </c>
      <c r="B130" s="539" t="s">
        <v>36</v>
      </c>
      <c r="C130" s="539" t="s">
        <v>296</v>
      </c>
      <c r="D130" s="539" t="s">
        <v>251</v>
      </c>
      <c r="E130" s="539" t="s">
        <v>252</v>
      </c>
      <c r="F130" s="539" t="s">
        <v>252</v>
      </c>
      <c r="G130" s="539" t="s">
        <v>316</v>
      </c>
      <c r="H130" s="539" t="s">
        <v>317</v>
      </c>
      <c r="I130" s="539" t="s">
        <v>43</v>
      </c>
      <c r="J130" s="539" t="s">
        <v>43</v>
      </c>
    </row>
    <row r="131" spans="1:10" ht="16" x14ac:dyDescent="0.2">
      <c r="A131" s="539">
        <v>128</v>
      </c>
      <c r="B131" s="539" t="s">
        <v>36</v>
      </c>
      <c r="C131" s="539" t="s">
        <v>296</v>
      </c>
      <c r="D131" s="539" t="s">
        <v>253</v>
      </c>
      <c r="E131" s="539" t="s">
        <v>254</v>
      </c>
      <c r="F131" s="539" t="s">
        <v>254</v>
      </c>
      <c r="G131" s="539" t="s">
        <v>316</v>
      </c>
      <c r="H131" s="539" t="s">
        <v>317</v>
      </c>
      <c r="I131" s="539" t="s">
        <v>43</v>
      </c>
      <c r="J131" s="539" t="s">
        <v>43</v>
      </c>
    </row>
    <row r="132" spans="1:10" ht="16" x14ac:dyDescent="0.2">
      <c r="A132" s="539">
        <v>129</v>
      </c>
      <c r="B132" s="539" t="s">
        <v>36</v>
      </c>
      <c r="C132" s="539" t="s">
        <v>296</v>
      </c>
      <c r="D132" s="539" t="s">
        <v>255</v>
      </c>
      <c r="E132" s="539" t="s">
        <v>256</v>
      </c>
      <c r="F132" s="539" t="s">
        <v>256</v>
      </c>
      <c r="G132" s="539" t="s">
        <v>316</v>
      </c>
      <c r="H132" s="539" t="s">
        <v>317</v>
      </c>
      <c r="I132" s="539" t="s">
        <v>43</v>
      </c>
      <c r="J132" s="539" t="s">
        <v>43</v>
      </c>
    </row>
    <row r="133" spans="1:10" ht="16" x14ac:dyDescent="0.2">
      <c r="A133" s="539">
        <v>130</v>
      </c>
      <c r="B133" s="539" t="s">
        <v>36</v>
      </c>
      <c r="C133" s="539" t="s">
        <v>296</v>
      </c>
      <c r="D133" s="539" t="s">
        <v>320</v>
      </c>
      <c r="E133" s="539" t="s">
        <v>321</v>
      </c>
      <c r="F133" s="539" t="s">
        <v>321</v>
      </c>
      <c r="G133" s="539" t="s">
        <v>316</v>
      </c>
      <c r="H133" s="539" t="s">
        <v>317</v>
      </c>
      <c r="I133" s="539" t="s">
        <v>43</v>
      </c>
      <c r="J133" s="539" t="s">
        <v>43</v>
      </c>
    </row>
    <row r="134" spans="1:10" ht="16" x14ac:dyDescent="0.2">
      <c r="A134" s="539">
        <v>131</v>
      </c>
      <c r="B134" s="539" t="s">
        <v>36</v>
      </c>
      <c r="C134" s="539" t="s">
        <v>296</v>
      </c>
      <c r="D134" s="539" t="s">
        <v>232</v>
      </c>
      <c r="E134" s="539" t="s">
        <v>322</v>
      </c>
      <c r="F134" s="539" t="s">
        <v>322</v>
      </c>
      <c r="G134" s="539" t="s">
        <v>316</v>
      </c>
      <c r="H134" s="539" t="s">
        <v>317</v>
      </c>
      <c r="I134" s="539" t="s">
        <v>43</v>
      </c>
      <c r="J134" s="539" t="s">
        <v>43</v>
      </c>
    </row>
    <row r="135" spans="1:10" ht="16" x14ac:dyDescent="0.2">
      <c r="A135" s="539">
        <v>132</v>
      </c>
      <c r="B135" s="539" t="s">
        <v>36</v>
      </c>
      <c r="C135" s="539" t="s">
        <v>296</v>
      </c>
      <c r="D135" s="539" t="s">
        <v>257</v>
      </c>
      <c r="E135" s="539" t="s">
        <v>258</v>
      </c>
      <c r="F135" s="539" t="s">
        <v>258</v>
      </c>
      <c r="G135" s="539" t="s">
        <v>316</v>
      </c>
      <c r="H135" s="539" t="s">
        <v>317</v>
      </c>
      <c r="I135" s="539" t="s">
        <v>43</v>
      </c>
      <c r="J135" s="539" t="s">
        <v>43</v>
      </c>
    </row>
    <row r="136" spans="1:10" ht="16" x14ac:dyDescent="0.2">
      <c r="A136" s="539">
        <v>133</v>
      </c>
      <c r="B136" s="539" t="s">
        <v>36</v>
      </c>
      <c r="C136" s="539" t="s">
        <v>296</v>
      </c>
      <c r="D136" s="539" t="s">
        <v>259</v>
      </c>
      <c r="E136" s="539" t="s">
        <v>260</v>
      </c>
      <c r="F136" s="539" t="s">
        <v>260</v>
      </c>
      <c r="G136" s="539" t="s">
        <v>316</v>
      </c>
      <c r="H136" s="539" t="s">
        <v>317</v>
      </c>
      <c r="I136" s="539" t="s">
        <v>43</v>
      </c>
      <c r="J136" s="539" t="s">
        <v>43</v>
      </c>
    </row>
    <row r="137" spans="1:10" ht="16" x14ac:dyDescent="0.2">
      <c r="A137" s="539">
        <v>134</v>
      </c>
      <c r="B137" s="539" t="s">
        <v>36</v>
      </c>
      <c r="C137" s="539" t="s">
        <v>296</v>
      </c>
      <c r="D137" s="539" t="s">
        <v>261</v>
      </c>
      <c r="E137" s="539" t="s">
        <v>262</v>
      </c>
      <c r="F137" s="539" t="s">
        <v>262</v>
      </c>
      <c r="G137" s="539" t="s">
        <v>316</v>
      </c>
      <c r="H137" s="539" t="s">
        <v>317</v>
      </c>
      <c r="I137" s="539" t="s">
        <v>43</v>
      </c>
      <c r="J137" s="539" t="s">
        <v>43</v>
      </c>
    </row>
    <row r="138" spans="1:10" ht="16" x14ac:dyDescent="0.2">
      <c r="A138" s="539">
        <v>135</v>
      </c>
      <c r="B138" s="539" t="s">
        <v>36</v>
      </c>
      <c r="C138" s="539" t="s">
        <v>296</v>
      </c>
      <c r="D138" s="539" t="s">
        <v>323</v>
      </c>
      <c r="E138" s="539" t="s">
        <v>324</v>
      </c>
      <c r="F138" s="539" t="s">
        <v>324</v>
      </c>
      <c r="G138" s="539" t="s">
        <v>316</v>
      </c>
      <c r="H138" s="539" t="s">
        <v>317</v>
      </c>
      <c r="I138" s="539" t="s">
        <v>43</v>
      </c>
      <c r="J138" s="539" t="s">
        <v>43</v>
      </c>
    </row>
    <row r="139" spans="1:10" ht="16" x14ac:dyDescent="0.2">
      <c r="A139" s="539">
        <v>136</v>
      </c>
      <c r="B139" s="539" t="s">
        <v>36</v>
      </c>
      <c r="C139" s="539" t="s">
        <v>296</v>
      </c>
      <c r="D139" s="539" t="s">
        <v>263</v>
      </c>
      <c r="E139" s="539" t="s">
        <v>264</v>
      </c>
      <c r="F139" s="539" t="s">
        <v>264</v>
      </c>
      <c r="G139" s="539" t="s">
        <v>316</v>
      </c>
      <c r="H139" s="539" t="s">
        <v>317</v>
      </c>
      <c r="I139" s="539" t="s">
        <v>43</v>
      </c>
      <c r="J139" s="539" t="s">
        <v>43</v>
      </c>
    </row>
    <row r="140" spans="1:10" ht="16" x14ac:dyDescent="0.2">
      <c r="A140" s="539">
        <v>137</v>
      </c>
      <c r="B140" s="539" t="s">
        <v>36</v>
      </c>
      <c r="C140" s="539" t="s">
        <v>296</v>
      </c>
      <c r="D140" s="539" t="s">
        <v>265</v>
      </c>
      <c r="E140" s="539" t="s">
        <v>266</v>
      </c>
      <c r="F140" s="539" t="s">
        <v>266</v>
      </c>
      <c r="G140" s="539" t="s">
        <v>316</v>
      </c>
      <c r="H140" s="539" t="s">
        <v>317</v>
      </c>
      <c r="I140" s="539" t="s">
        <v>43</v>
      </c>
      <c r="J140" s="539" t="s">
        <v>43</v>
      </c>
    </row>
    <row r="141" spans="1:10" ht="16" x14ac:dyDescent="0.2">
      <c r="A141" s="539">
        <v>138</v>
      </c>
      <c r="B141" s="539" t="s">
        <v>36</v>
      </c>
      <c r="C141" s="539" t="s">
        <v>296</v>
      </c>
      <c r="D141" s="539" t="s">
        <v>267</v>
      </c>
      <c r="E141" s="539" t="s">
        <v>268</v>
      </c>
      <c r="F141" s="539" t="s">
        <v>268</v>
      </c>
      <c r="G141" s="539" t="s">
        <v>316</v>
      </c>
      <c r="H141" s="539" t="s">
        <v>317</v>
      </c>
      <c r="I141" s="539" t="s">
        <v>43</v>
      </c>
      <c r="J141" s="539" t="s">
        <v>43</v>
      </c>
    </row>
    <row r="142" spans="1:10" ht="16" x14ac:dyDescent="0.2">
      <c r="A142" s="539">
        <v>139</v>
      </c>
      <c r="B142" s="539" t="s">
        <v>36</v>
      </c>
      <c r="C142" s="539" t="s">
        <v>296</v>
      </c>
      <c r="D142" s="539" t="s">
        <v>325</v>
      </c>
      <c r="E142" s="539" t="s">
        <v>326</v>
      </c>
      <c r="F142" s="539" t="s">
        <v>326</v>
      </c>
      <c r="G142" s="539" t="s">
        <v>316</v>
      </c>
      <c r="H142" s="539" t="s">
        <v>317</v>
      </c>
      <c r="I142" s="539" t="s">
        <v>43</v>
      </c>
      <c r="J142" s="539" t="s">
        <v>43</v>
      </c>
    </row>
    <row r="143" spans="1:10" ht="16" x14ac:dyDescent="0.2">
      <c r="A143" s="539">
        <v>140</v>
      </c>
      <c r="B143" s="539" t="s">
        <v>36</v>
      </c>
      <c r="C143" s="539" t="s">
        <v>327</v>
      </c>
      <c r="D143" s="539" t="s">
        <v>328</v>
      </c>
      <c r="E143" s="539" t="s">
        <v>329</v>
      </c>
      <c r="F143" s="539" t="s">
        <v>330</v>
      </c>
      <c r="G143" s="539" t="s">
        <v>331</v>
      </c>
      <c r="H143" s="539" t="s">
        <v>332</v>
      </c>
      <c r="I143" s="539" t="s">
        <v>59</v>
      </c>
      <c r="J143" s="539" t="s">
        <v>43</v>
      </c>
    </row>
    <row r="144" spans="1:10" ht="32" x14ac:dyDescent="0.2">
      <c r="A144" s="539">
        <v>141</v>
      </c>
      <c r="B144" s="539" t="s">
        <v>36</v>
      </c>
      <c r="C144" s="539" t="s">
        <v>327</v>
      </c>
      <c r="D144" s="539" t="s">
        <v>333</v>
      </c>
      <c r="E144" s="539" t="s">
        <v>334</v>
      </c>
      <c r="F144" s="539" t="s">
        <v>335</v>
      </c>
      <c r="G144" s="539" t="s">
        <v>336</v>
      </c>
      <c r="H144" s="539" t="s">
        <v>337</v>
      </c>
      <c r="I144" s="539" t="s">
        <v>43</v>
      </c>
      <c r="J144" s="539" t="s">
        <v>43</v>
      </c>
    </row>
    <row r="145" spans="1:10" ht="32" x14ac:dyDescent="0.2">
      <c r="A145" s="539">
        <v>142</v>
      </c>
      <c r="B145" s="539" t="s">
        <v>36</v>
      </c>
      <c r="C145" s="539" t="s">
        <v>327</v>
      </c>
      <c r="D145" s="539" t="s">
        <v>243</v>
      </c>
      <c r="E145" s="539" t="s">
        <v>338</v>
      </c>
      <c r="F145" s="539" t="s">
        <v>339</v>
      </c>
      <c r="G145" s="539" t="s">
        <v>336</v>
      </c>
      <c r="H145" s="539" t="s">
        <v>337</v>
      </c>
      <c r="I145" s="539" t="s">
        <v>43</v>
      </c>
      <c r="J145" s="539" t="s">
        <v>43</v>
      </c>
    </row>
    <row r="146" spans="1:10" ht="32" x14ac:dyDescent="0.2">
      <c r="A146" s="539">
        <v>143</v>
      </c>
      <c r="B146" s="539" t="s">
        <v>36</v>
      </c>
      <c r="C146" s="539" t="s">
        <v>327</v>
      </c>
      <c r="D146" s="539" t="s">
        <v>247</v>
      </c>
      <c r="E146" s="539" t="s">
        <v>340</v>
      </c>
      <c r="F146" s="539" t="s">
        <v>341</v>
      </c>
      <c r="G146" s="539" t="s">
        <v>336</v>
      </c>
      <c r="H146" s="539" t="s">
        <v>337</v>
      </c>
      <c r="I146" s="539" t="s">
        <v>43</v>
      </c>
      <c r="J146" s="539" t="s">
        <v>43</v>
      </c>
    </row>
    <row r="147" spans="1:10" ht="32" x14ac:dyDescent="0.2">
      <c r="A147" s="539">
        <v>144</v>
      </c>
      <c r="B147" s="539" t="s">
        <v>36</v>
      </c>
      <c r="C147" s="539" t="s">
        <v>327</v>
      </c>
      <c r="D147" s="539" t="s">
        <v>313</v>
      </c>
      <c r="E147" s="539" t="s">
        <v>342</v>
      </c>
      <c r="F147" s="539" t="s">
        <v>343</v>
      </c>
      <c r="G147" s="539" t="s">
        <v>344</v>
      </c>
      <c r="H147" s="539" t="s">
        <v>345</v>
      </c>
      <c r="I147" s="539" t="s">
        <v>59</v>
      </c>
      <c r="J147" s="539" t="s">
        <v>43</v>
      </c>
    </row>
    <row r="148" spans="1:10" ht="32" x14ac:dyDescent="0.2">
      <c r="A148" s="539">
        <v>145</v>
      </c>
      <c r="B148" s="539" t="s">
        <v>36</v>
      </c>
      <c r="C148" s="539" t="s">
        <v>327</v>
      </c>
      <c r="D148" s="539" t="s">
        <v>318</v>
      </c>
      <c r="E148" s="539"/>
      <c r="F148" s="539" t="s">
        <v>346</v>
      </c>
      <c r="G148" s="539" t="s">
        <v>344</v>
      </c>
      <c r="H148" s="539" t="s">
        <v>347</v>
      </c>
      <c r="I148" s="539" t="s">
        <v>59</v>
      </c>
      <c r="J148" s="539" t="s">
        <v>43</v>
      </c>
    </row>
    <row r="149" spans="1:10" ht="16" x14ac:dyDescent="0.2">
      <c r="A149" s="539">
        <v>146</v>
      </c>
      <c r="B149" s="539" t="s">
        <v>36</v>
      </c>
      <c r="C149" s="539" t="s">
        <v>327</v>
      </c>
      <c r="D149" s="539" t="s">
        <v>348</v>
      </c>
      <c r="E149" s="539" t="s">
        <v>349</v>
      </c>
      <c r="F149" s="539" t="s">
        <v>349</v>
      </c>
      <c r="G149" s="539" t="s">
        <v>350</v>
      </c>
      <c r="H149" s="539" t="s">
        <v>351</v>
      </c>
      <c r="I149" s="539" t="s">
        <v>43</v>
      </c>
      <c r="J149" s="539" t="s">
        <v>43</v>
      </c>
    </row>
    <row r="150" spans="1:10" ht="16" x14ac:dyDescent="0.2">
      <c r="A150" s="539">
        <v>147</v>
      </c>
      <c r="B150" s="539" t="s">
        <v>36</v>
      </c>
      <c r="C150" s="539" t="s">
        <v>327</v>
      </c>
      <c r="D150" s="539" t="s">
        <v>270</v>
      </c>
      <c r="E150" s="539" t="s">
        <v>352</v>
      </c>
      <c r="F150" s="539" t="s">
        <v>352</v>
      </c>
      <c r="G150" s="539" t="s">
        <v>350</v>
      </c>
      <c r="H150" s="539" t="s">
        <v>351</v>
      </c>
      <c r="I150" s="539" t="s">
        <v>43</v>
      </c>
      <c r="J150" s="539" t="s">
        <v>43</v>
      </c>
    </row>
    <row r="151" spans="1:10" ht="16" x14ac:dyDescent="0.2">
      <c r="A151" s="539">
        <v>148</v>
      </c>
      <c r="B151" s="539" t="s">
        <v>36</v>
      </c>
      <c r="C151" s="539" t="s">
        <v>327</v>
      </c>
      <c r="D151" s="539" t="s">
        <v>274</v>
      </c>
      <c r="E151" s="539" t="s">
        <v>353</v>
      </c>
      <c r="F151" s="539" t="s">
        <v>353</v>
      </c>
      <c r="G151" s="539" t="s">
        <v>350</v>
      </c>
      <c r="H151" s="539" t="s">
        <v>351</v>
      </c>
      <c r="I151" s="539" t="s">
        <v>43</v>
      </c>
      <c r="J151" s="539" t="s">
        <v>43</v>
      </c>
    </row>
    <row r="152" spans="1:10" ht="16" x14ac:dyDescent="0.2">
      <c r="A152" s="539">
        <v>149</v>
      </c>
      <c r="B152" s="539" t="s">
        <v>36</v>
      </c>
      <c r="C152" s="539" t="s">
        <v>327</v>
      </c>
      <c r="D152" s="539" t="s">
        <v>112</v>
      </c>
      <c r="E152" s="539" t="s">
        <v>354</v>
      </c>
      <c r="F152" s="539" t="s">
        <v>354</v>
      </c>
      <c r="G152" s="539" t="s">
        <v>350</v>
      </c>
      <c r="H152" s="539" t="s">
        <v>351</v>
      </c>
      <c r="I152" s="539" t="s">
        <v>43</v>
      </c>
      <c r="J152" s="539" t="s">
        <v>43</v>
      </c>
    </row>
    <row r="153" spans="1:10" ht="16" x14ac:dyDescent="0.2">
      <c r="A153" s="539">
        <v>150</v>
      </c>
      <c r="B153" s="539" t="s">
        <v>36</v>
      </c>
      <c r="C153" s="539" t="s">
        <v>327</v>
      </c>
      <c r="D153" s="539" t="s">
        <v>134</v>
      </c>
      <c r="E153" s="539" t="s">
        <v>355</v>
      </c>
      <c r="F153" s="539" t="s">
        <v>355</v>
      </c>
      <c r="G153" s="539" t="s">
        <v>350</v>
      </c>
      <c r="H153" s="539" t="s">
        <v>351</v>
      </c>
      <c r="I153" s="539" t="s">
        <v>43</v>
      </c>
      <c r="J153" s="539" t="s">
        <v>43</v>
      </c>
    </row>
    <row r="154" spans="1:10" ht="16" x14ac:dyDescent="0.2">
      <c r="A154" s="539">
        <v>151</v>
      </c>
      <c r="B154" s="539" t="s">
        <v>36</v>
      </c>
      <c r="C154" s="539" t="s">
        <v>327</v>
      </c>
      <c r="D154" s="539" t="s">
        <v>122</v>
      </c>
      <c r="E154" s="539" t="s">
        <v>356</v>
      </c>
      <c r="F154" s="539" t="s">
        <v>356</v>
      </c>
      <c r="G154" s="539" t="s">
        <v>350</v>
      </c>
      <c r="H154" s="539" t="s">
        <v>351</v>
      </c>
      <c r="I154" s="539" t="s">
        <v>43</v>
      </c>
      <c r="J154" s="539" t="s">
        <v>43</v>
      </c>
    </row>
    <row r="155" spans="1:10" ht="16" x14ac:dyDescent="0.2">
      <c r="A155" s="539">
        <v>152</v>
      </c>
      <c r="B155" s="539" t="s">
        <v>36</v>
      </c>
      <c r="C155" s="539" t="s">
        <v>327</v>
      </c>
      <c r="D155" s="539" t="s">
        <v>139</v>
      </c>
      <c r="E155" s="539" t="s">
        <v>357</v>
      </c>
      <c r="F155" s="539" t="s">
        <v>357</v>
      </c>
      <c r="G155" s="539" t="s">
        <v>350</v>
      </c>
      <c r="H155" s="539" t="s">
        <v>351</v>
      </c>
      <c r="I155" s="539" t="s">
        <v>43</v>
      </c>
      <c r="J155" s="539" t="s">
        <v>43</v>
      </c>
    </row>
    <row r="156" spans="1:10" ht="32" x14ac:dyDescent="0.2">
      <c r="A156" s="539">
        <v>153</v>
      </c>
      <c r="B156" s="539" t="s">
        <v>36</v>
      </c>
      <c r="C156" s="539" t="s">
        <v>358</v>
      </c>
      <c r="D156" s="539" t="s">
        <v>359</v>
      </c>
      <c r="E156" s="539" t="s">
        <v>360</v>
      </c>
      <c r="F156" s="539" t="s">
        <v>361</v>
      </c>
      <c r="G156" s="539" t="s">
        <v>362</v>
      </c>
      <c r="H156" s="539" t="s">
        <v>363</v>
      </c>
      <c r="I156" s="539" t="s">
        <v>43</v>
      </c>
      <c r="J156" s="539" t="s">
        <v>43</v>
      </c>
    </row>
    <row r="157" spans="1:10" ht="16" x14ac:dyDescent="0.2">
      <c r="A157" s="539">
        <v>154</v>
      </c>
      <c r="B157" s="539" t="s">
        <v>36</v>
      </c>
      <c r="C157" s="539" t="s">
        <v>358</v>
      </c>
      <c r="D157" s="539" t="s">
        <v>210</v>
      </c>
      <c r="E157" s="539" t="s">
        <v>364</v>
      </c>
      <c r="F157" s="539" t="s">
        <v>365</v>
      </c>
      <c r="G157" s="539" t="s">
        <v>366</v>
      </c>
      <c r="H157" s="539" t="s">
        <v>367</v>
      </c>
      <c r="I157" s="539" t="s">
        <v>43</v>
      </c>
      <c r="J157" s="539" t="s">
        <v>43</v>
      </c>
    </row>
    <row r="158" spans="1:10" ht="16" x14ac:dyDescent="0.2">
      <c r="A158" s="539">
        <v>155</v>
      </c>
      <c r="B158" s="539" t="s">
        <v>36</v>
      </c>
      <c r="C158" s="539" t="s">
        <v>358</v>
      </c>
      <c r="D158" s="539" t="s">
        <v>226</v>
      </c>
      <c r="E158" s="539" t="s">
        <v>368</v>
      </c>
      <c r="F158" s="539" t="s">
        <v>369</v>
      </c>
      <c r="G158" s="539" t="s">
        <v>370</v>
      </c>
      <c r="H158" s="539" t="s">
        <v>371</v>
      </c>
      <c r="I158" s="539" t="s">
        <v>43</v>
      </c>
      <c r="J158" s="539" t="s">
        <v>43</v>
      </c>
    </row>
    <row r="159" spans="1:10" ht="16" x14ac:dyDescent="0.2">
      <c r="A159" s="539">
        <v>156</v>
      </c>
      <c r="B159" s="539" t="s">
        <v>36</v>
      </c>
      <c r="C159" s="539" t="s">
        <v>358</v>
      </c>
      <c r="D159" s="539" t="s">
        <v>274</v>
      </c>
      <c r="E159" s="539" t="s">
        <v>372</v>
      </c>
      <c r="F159" s="539" t="s">
        <v>373</v>
      </c>
      <c r="G159" s="539" t="s">
        <v>374</v>
      </c>
      <c r="H159" s="539" t="s">
        <v>375</v>
      </c>
      <c r="I159" s="539" t="s">
        <v>43</v>
      </c>
      <c r="J159" s="539" t="s">
        <v>43</v>
      </c>
    </row>
    <row r="160" spans="1:10" ht="32" x14ac:dyDescent="0.2">
      <c r="A160" s="539">
        <v>157</v>
      </c>
      <c r="B160" s="539" t="s">
        <v>36</v>
      </c>
      <c r="C160" s="539" t="s">
        <v>358</v>
      </c>
      <c r="D160" s="539" t="s">
        <v>134</v>
      </c>
      <c r="E160" s="539" t="s">
        <v>376</v>
      </c>
      <c r="F160" s="539" t="s">
        <v>119</v>
      </c>
      <c r="G160" s="539" t="s">
        <v>377</v>
      </c>
      <c r="H160" s="539" t="s">
        <v>378</v>
      </c>
      <c r="I160" s="539" t="s">
        <v>43</v>
      </c>
      <c r="J160" s="539" t="s">
        <v>43</v>
      </c>
    </row>
    <row r="161" spans="1:10" ht="16" x14ac:dyDescent="0.2">
      <c r="A161" s="539">
        <v>158</v>
      </c>
      <c r="B161" s="539" t="s">
        <v>36</v>
      </c>
      <c r="C161" s="539" t="s">
        <v>358</v>
      </c>
      <c r="D161" s="539" t="s">
        <v>137</v>
      </c>
      <c r="E161" s="539" t="s">
        <v>379</v>
      </c>
      <c r="F161" s="539" t="s">
        <v>380</v>
      </c>
      <c r="G161" s="539" t="s">
        <v>381</v>
      </c>
      <c r="H161" s="539" t="s">
        <v>382</v>
      </c>
      <c r="I161" s="539" t="s">
        <v>43</v>
      </c>
      <c r="J161" s="539" t="s">
        <v>43</v>
      </c>
    </row>
    <row r="162" spans="1:10" ht="16" x14ac:dyDescent="0.2">
      <c r="A162" s="539">
        <v>159</v>
      </c>
      <c r="B162" s="539" t="s">
        <v>36</v>
      </c>
      <c r="C162" s="539" t="s">
        <v>358</v>
      </c>
      <c r="D162" s="539" t="s">
        <v>143</v>
      </c>
      <c r="E162" s="539" t="s">
        <v>277</v>
      </c>
      <c r="F162" s="539" t="s">
        <v>119</v>
      </c>
      <c r="G162" s="539" t="s">
        <v>383</v>
      </c>
      <c r="H162" s="539" t="s">
        <v>384</v>
      </c>
      <c r="I162" s="539" t="s">
        <v>43</v>
      </c>
      <c r="J162" s="539" t="s">
        <v>43</v>
      </c>
    </row>
    <row r="163" spans="1:10" ht="16" x14ac:dyDescent="0.2">
      <c r="A163" s="539">
        <v>160</v>
      </c>
      <c r="B163" s="539" t="s">
        <v>36</v>
      </c>
      <c r="C163" s="539" t="s">
        <v>358</v>
      </c>
      <c r="D163" s="539" t="s">
        <v>286</v>
      </c>
      <c r="E163" s="539" t="s">
        <v>280</v>
      </c>
      <c r="F163" s="539" t="s">
        <v>119</v>
      </c>
      <c r="G163" s="539" t="s">
        <v>383</v>
      </c>
      <c r="H163" s="539" t="s">
        <v>384</v>
      </c>
      <c r="I163" s="539" t="s">
        <v>43</v>
      </c>
      <c r="J163" s="539" t="s">
        <v>43</v>
      </c>
    </row>
    <row r="164" spans="1:10" ht="16" x14ac:dyDescent="0.2">
      <c r="A164" s="539">
        <v>161</v>
      </c>
      <c r="B164" s="539" t="s">
        <v>36</v>
      </c>
      <c r="C164" s="539" t="s">
        <v>358</v>
      </c>
      <c r="D164" s="539" t="s">
        <v>145</v>
      </c>
      <c r="E164" s="539" t="s">
        <v>283</v>
      </c>
      <c r="F164" s="539" t="s">
        <v>119</v>
      </c>
      <c r="G164" s="539" t="s">
        <v>383</v>
      </c>
      <c r="H164" s="539" t="s">
        <v>384</v>
      </c>
      <c r="I164" s="539" t="s">
        <v>43</v>
      </c>
      <c r="J164" s="539" t="s">
        <v>43</v>
      </c>
    </row>
    <row r="165" spans="1:10" ht="16" x14ac:dyDescent="0.2">
      <c r="A165" s="539">
        <v>162</v>
      </c>
      <c r="B165" s="539" t="s">
        <v>36</v>
      </c>
      <c r="C165" s="539" t="s">
        <v>358</v>
      </c>
      <c r="D165" s="539" t="s">
        <v>385</v>
      </c>
      <c r="E165" s="539" t="s">
        <v>386</v>
      </c>
      <c r="F165" s="539" t="s">
        <v>119</v>
      </c>
      <c r="G165" s="539" t="s">
        <v>383</v>
      </c>
      <c r="H165" s="539" t="s">
        <v>384</v>
      </c>
      <c r="I165" s="539" t="s">
        <v>43</v>
      </c>
      <c r="J165" s="539" t="s">
        <v>43</v>
      </c>
    </row>
    <row r="166" spans="1:10" ht="16" x14ac:dyDescent="0.2">
      <c r="A166" s="539">
        <v>163</v>
      </c>
      <c r="B166" s="539" t="s">
        <v>36</v>
      </c>
      <c r="C166" s="539" t="s">
        <v>358</v>
      </c>
      <c r="D166" s="539" t="s">
        <v>387</v>
      </c>
      <c r="E166" s="539" t="s">
        <v>388</v>
      </c>
      <c r="F166" s="539" t="s">
        <v>119</v>
      </c>
      <c r="G166" s="539" t="s">
        <v>383</v>
      </c>
      <c r="H166" s="539" t="s">
        <v>384</v>
      </c>
      <c r="I166" s="539" t="s">
        <v>43</v>
      </c>
      <c r="J166" s="539" t="s">
        <v>43</v>
      </c>
    </row>
    <row r="167" spans="1:10" ht="16" x14ac:dyDescent="0.2">
      <c r="A167" s="539">
        <v>164</v>
      </c>
      <c r="B167" s="539" t="s">
        <v>36</v>
      </c>
      <c r="C167" s="539" t="s">
        <v>358</v>
      </c>
      <c r="D167" s="539" t="s">
        <v>389</v>
      </c>
      <c r="E167" s="539" t="s">
        <v>390</v>
      </c>
      <c r="F167" s="539" t="s">
        <v>391</v>
      </c>
      <c r="G167" s="539" t="s">
        <v>392</v>
      </c>
      <c r="H167" s="539" t="s">
        <v>393</v>
      </c>
      <c r="I167" s="539" t="s">
        <v>43</v>
      </c>
      <c r="J167" s="539" t="s">
        <v>43</v>
      </c>
    </row>
    <row r="168" spans="1:10" ht="16" x14ac:dyDescent="0.2">
      <c r="A168" s="539">
        <v>165</v>
      </c>
      <c r="B168" s="539" t="s">
        <v>36</v>
      </c>
      <c r="C168" s="539" t="s">
        <v>358</v>
      </c>
      <c r="D168" s="539" t="s">
        <v>394</v>
      </c>
      <c r="E168" s="539" t="s">
        <v>395</v>
      </c>
      <c r="F168" s="539" t="s">
        <v>395</v>
      </c>
      <c r="G168" s="539" t="s">
        <v>396</v>
      </c>
      <c r="H168" s="539" t="s">
        <v>397</v>
      </c>
      <c r="I168" s="539" t="s">
        <v>43</v>
      </c>
      <c r="J168" s="539" t="s">
        <v>43</v>
      </c>
    </row>
    <row r="169" spans="1:10" ht="16" x14ac:dyDescent="0.2">
      <c r="A169" s="539">
        <v>166</v>
      </c>
      <c r="B169" s="539" t="s">
        <v>36</v>
      </c>
      <c r="C169" s="539" t="s">
        <v>358</v>
      </c>
      <c r="D169" s="539" t="s">
        <v>257</v>
      </c>
      <c r="E169" s="539" t="s">
        <v>398</v>
      </c>
      <c r="F169" s="539" t="s">
        <v>399</v>
      </c>
      <c r="G169" s="539" t="s">
        <v>400</v>
      </c>
      <c r="H169" s="539" t="s">
        <v>401</v>
      </c>
      <c r="I169" s="539" t="s">
        <v>43</v>
      </c>
      <c r="J169" s="539" t="s">
        <v>43</v>
      </c>
    </row>
    <row r="170" spans="1:10" ht="16" x14ac:dyDescent="0.2">
      <c r="A170" s="539">
        <v>167</v>
      </c>
      <c r="B170" s="539" t="s">
        <v>36</v>
      </c>
      <c r="C170" s="539" t="s">
        <v>358</v>
      </c>
      <c r="D170" s="539" t="s">
        <v>402</v>
      </c>
      <c r="E170" s="539" t="s">
        <v>403</v>
      </c>
      <c r="F170" s="539" t="s">
        <v>403</v>
      </c>
      <c r="G170" s="539" t="s">
        <v>404</v>
      </c>
      <c r="H170" s="539" t="s">
        <v>405</v>
      </c>
      <c r="I170" s="539" t="s">
        <v>43</v>
      </c>
      <c r="J170" s="539" t="s">
        <v>43</v>
      </c>
    </row>
    <row r="171" spans="1:10" ht="16" x14ac:dyDescent="0.2">
      <c r="A171" s="539">
        <v>168</v>
      </c>
      <c r="B171" s="539" t="s">
        <v>36</v>
      </c>
      <c r="C171" s="539" t="s">
        <v>358</v>
      </c>
      <c r="D171" s="539" t="s">
        <v>406</v>
      </c>
      <c r="E171" s="539" t="s">
        <v>407</v>
      </c>
      <c r="F171" s="539" t="s">
        <v>408</v>
      </c>
      <c r="G171" s="539" t="s">
        <v>409</v>
      </c>
      <c r="H171" s="539" t="s">
        <v>410</v>
      </c>
      <c r="I171" s="539" t="s">
        <v>43</v>
      </c>
      <c r="J171" s="539" t="s">
        <v>43</v>
      </c>
    </row>
    <row r="172" spans="1:10" ht="16" x14ac:dyDescent="0.2">
      <c r="A172" s="539">
        <v>169</v>
      </c>
      <c r="B172" s="539" t="s">
        <v>36</v>
      </c>
      <c r="C172" s="539" t="s">
        <v>358</v>
      </c>
      <c r="D172" s="539" t="s">
        <v>411</v>
      </c>
      <c r="E172" s="539" t="s">
        <v>412</v>
      </c>
      <c r="F172" s="539" t="s">
        <v>413</v>
      </c>
      <c r="G172" s="539" t="s">
        <v>414</v>
      </c>
      <c r="H172" s="539" t="s">
        <v>415</v>
      </c>
      <c r="I172" s="539" t="s">
        <v>43</v>
      </c>
      <c r="J172" s="539" t="s">
        <v>43</v>
      </c>
    </row>
    <row r="173" spans="1:10" ht="16" x14ac:dyDescent="0.2">
      <c r="A173" s="539">
        <v>170</v>
      </c>
      <c r="B173" s="539" t="s">
        <v>36</v>
      </c>
      <c r="C173" s="539" t="s">
        <v>358</v>
      </c>
      <c r="D173" s="539" t="s">
        <v>416</v>
      </c>
      <c r="E173" s="539" t="s">
        <v>417</v>
      </c>
      <c r="F173" s="539" t="s">
        <v>418</v>
      </c>
      <c r="G173" s="539" t="s">
        <v>419</v>
      </c>
      <c r="H173" s="539" t="s">
        <v>420</v>
      </c>
      <c r="I173" s="539" t="s">
        <v>43</v>
      </c>
      <c r="J173" s="539" t="s">
        <v>43</v>
      </c>
    </row>
    <row r="174" spans="1:10" ht="16" x14ac:dyDescent="0.2">
      <c r="A174" s="539">
        <v>171</v>
      </c>
      <c r="B174" s="539" t="s">
        <v>36</v>
      </c>
      <c r="C174" s="539" t="s">
        <v>358</v>
      </c>
      <c r="D174" s="539" t="s">
        <v>421</v>
      </c>
      <c r="E174" s="539" t="s">
        <v>422</v>
      </c>
      <c r="F174" s="539" t="s">
        <v>423</v>
      </c>
      <c r="G174" s="539" t="s">
        <v>424</v>
      </c>
      <c r="H174" s="539" t="s">
        <v>425</v>
      </c>
      <c r="I174" s="539" t="s">
        <v>43</v>
      </c>
      <c r="J174" s="539" t="s">
        <v>43</v>
      </c>
    </row>
    <row r="175" spans="1:10" ht="16" x14ac:dyDescent="0.2">
      <c r="A175" s="539">
        <v>172</v>
      </c>
      <c r="B175" s="539" t="s">
        <v>36</v>
      </c>
      <c r="C175" s="539" t="s">
        <v>358</v>
      </c>
      <c r="D175" s="539" t="s">
        <v>426</v>
      </c>
      <c r="E175" s="539" t="s">
        <v>427</v>
      </c>
      <c r="F175" s="539" t="s">
        <v>119</v>
      </c>
      <c r="G175" s="539" t="s">
        <v>428</v>
      </c>
      <c r="H175" s="539" t="s">
        <v>429</v>
      </c>
      <c r="I175" s="539" t="s">
        <v>43</v>
      </c>
      <c r="J175" s="539" t="s">
        <v>43</v>
      </c>
    </row>
    <row r="176" spans="1:10" ht="16" x14ac:dyDescent="0.2">
      <c r="A176" s="539">
        <v>173</v>
      </c>
      <c r="B176" s="539" t="s">
        <v>36</v>
      </c>
      <c r="C176" s="539" t="s">
        <v>358</v>
      </c>
      <c r="D176" s="539" t="s">
        <v>430</v>
      </c>
      <c r="E176" s="539" t="s">
        <v>431</v>
      </c>
      <c r="F176" s="539" t="s">
        <v>431</v>
      </c>
      <c r="G176" s="539" t="s">
        <v>432</v>
      </c>
      <c r="H176" s="539" t="s">
        <v>429</v>
      </c>
      <c r="I176" s="539" t="s">
        <v>43</v>
      </c>
      <c r="J176" s="539" t="s">
        <v>43</v>
      </c>
    </row>
    <row r="177" spans="1:10" ht="16" x14ac:dyDescent="0.2">
      <c r="A177" s="539">
        <v>174</v>
      </c>
      <c r="B177" s="539" t="s">
        <v>36</v>
      </c>
      <c r="C177" s="539" t="s">
        <v>358</v>
      </c>
      <c r="D177" s="539" t="s">
        <v>433</v>
      </c>
      <c r="E177" s="539" t="s">
        <v>434</v>
      </c>
      <c r="F177" s="539" t="s">
        <v>434</v>
      </c>
      <c r="G177" s="539" t="s">
        <v>435</v>
      </c>
      <c r="H177" s="539" t="s">
        <v>436</v>
      </c>
      <c r="I177" s="539" t="s">
        <v>43</v>
      </c>
      <c r="J177" s="539" t="s">
        <v>43</v>
      </c>
    </row>
    <row r="178" spans="1:10" ht="16" x14ac:dyDescent="0.2">
      <c r="A178" s="539">
        <v>175</v>
      </c>
      <c r="B178" s="539" t="s">
        <v>36</v>
      </c>
      <c r="C178" s="539" t="s">
        <v>358</v>
      </c>
      <c r="D178" s="539" t="s">
        <v>437</v>
      </c>
      <c r="E178" s="539" t="s">
        <v>438</v>
      </c>
      <c r="F178" s="539" t="s">
        <v>119</v>
      </c>
      <c r="G178" s="539" t="s">
        <v>439</v>
      </c>
      <c r="H178" s="539" t="s">
        <v>440</v>
      </c>
      <c r="I178" s="539" t="s">
        <v>43</v>
      </c>
      <c r="J178" s="539" t="s">
        <v>43</v>
      </c>
    </row>
    <row r="179" spans="1:10" ht="16" x14ac:dyDescent="0.2">
      <c r="A179" s="539">
        <v>176</v>
      </c>
      <c r="B179" s="539" t="s">
        <v>36</v>
      </c>
      <c r="C179" s="539" t="s">
        <v>358</v>
      </c>
      <c r="D179" s="539" t="s">
        <v>188</v>
      </c>
      <c r="E179" s="539" t="s">
        <v>441</v>
      </c>
      <c r="F179" s="539" t="s">
        <v>441</v>
      </c>
      <c r="G179" s="539" t="s">
        <v>442</v>
      </c>
      <c r="H179" s="539" t="s">
        <v>440</v>
      </c>
      <c r="I179" s="539" t="s">
        <v>43</v>
      </c>
      <c r="J179" s="539" t="s">
        <v>43</v>
      </c>
    </row>
    <row r="180" spans="1:10" ht="16" x14ac:dyDescent="0.2">
      <c r="A180" s="539">
        <v>177</v>
      </c>
      <c r="B180" s="539" t="s">
        <v>36</v>
      </c>
      <c r="C180" s="539" t="s">
        <v>358</v>
      </c>
      <c r="D180" s="539" t="s">
        <v>443</v>
      </c>
      <c r="E180" s="539" t="s">
        <v>197</v>
      </c>
      <c r="F180" s="539" t="s">
        <v>197</v>
      </c>
      <c r="G180" s="539" t="s">
        <v>444</v>
      </c>
      <c r="H180" s="539" t="s">
        <v>445</v>
      </c>
      <c r="I180" s="539" t="s">
        <v>43</v>
      </c>
      <c r="J180" s="539" t="s">
        <v>43</v>
      </c>
    </row>
    <row r="181" spans="1:10" ht="16" x14ac:dyDescent="0.2">
      <c r="A181" s="539">
        <v>178</v>
      </c>
      <c r="B181" s="539" t="s">
        <v>36</v>
      </c>
      <c r="C181" s="539" t="s">
        <v>358</v>
      </c>
      <c r="D181" s="539" t="s">
        <v>446</v>
      </c>
      <c r="E181" s="539" t="s">
        <v>447</v>
      </c>
      <c r="F181" s="539" t="s">
        <v>447</v>
      </c>
      <c r="G181" s="539" t="s">
        <v>448</v>
      </c>
      <c r="H181" s="539" t="s">
        <v>449</v>
      </c>
      <c r="I181" s="539" t="s">
        <v>43</v>
      </c>
      <c r="J181" s="539" t="s">
        <v>43</v>
      </c>
    </row>
    <row r="182" spans="1:10" ht="16" x14ac:dyDescent="0.2">
      <c r="A182" s="539">
        <v>179</v>
      </c>
      <c r="B182" s="539" t="s">
        <v>36</v>
      </c>
      <c r="C182" s="539" t="s">
        <v>358</v>
      </c>
      <c r="D182" s="539" t="s">
        <v>450</v>
      </c>
      <c r="E182" s="539" t="s">
        <v>451</v>
      </c>
      <c r="F182" s="539" t="s">
        <v>451</v>
      </c>
      <c r="G182" s="539" t="s">
        <v>452</v>
      </c>
      <c r="H182" s="539" t="s">
        <v>453</v>
      </c>
      <c r="I182" s="539" t="s">
        <v>43</v>
      </c>
      <c r="J182" s="539" t="s">
        <v>43</v>
      </c>
    </row>
    <row r="183" spans="1:10" ht="16" x14ac:dyDescent="0.2">
      <c r="A183" s="539">
        <v>180</v>
      </c>
      <c r="B183" s="539" t="s">
        <v>36</v>
      </c>
      <c r="C183" s="539" t="s">
        <v>358</v>
      </c>
      <c r="D183" s="539" t="s">
        <v>454</v>
      </c>
      <c r="E183" s="539" t="s">
        <v>455</v>
      </c>
      <c r="F183" s="539" t="s">
        <v>455</v>
      </c>
      <c r="G183" s="539" t="s">
        <v>456</v>
      </c>
      <c r="H183" s="539" t="s">
        <v>457</v>
      </c>
      <c r="I183" s="539" t="s">
        <v>43</v>
      </c>
      <c r="J183" s="539" t="s">
        <v>43</v>
      </c>
    </row>
    <row r="184" spans="1:10" ht="16" x14ac:dyDescent="0.2">
      <c r="A184" s="539">
        <v>181</v>
      </c>
      <c r="B184" s="539" t="s">
        <v>36</v>
      </c>
      <c r="C184" s="539" t="s">
        <v>358</v>
      </c>
      <c r="D184" s="539" t="s">
        <v>458</v>
      </c>
      <c r="E184" s="539" t="s">
        <v>459</v>
      </c>
      <c r="F184" s="539" t="s">
        <v>460</v>
      </c>
      <c r="G184" s="539" t="s">
        <v>461</v>
      </c>
      <c r="H184" s="539" t="s">
        <v>462</v>
      </c>
      <c r="I184" s="539" t="s">
        <v>43</v>
      </c>
      <c r="J184" s="539" t="s">
        <v>43</v>
      </c>
    </row>
    <row r="185" spans="1:10" ht="16" x14ac:dyDescent="0.2">
      <c r="A185" s="539">
        <v>182</v>
      </c>
      <c r="B185" s="539" t="s">
        <v>36</v>
      </c>
      <c r="C185" s="539" t="s">
        <v>358</v>
      </c>
      <c r="D185" s="539" t="s">
        <v>463</v>
      </c>
      <c r="E185" s="539" t="s">
        <v>464</v>
      </c>
      <c r="F185" s="539" t="s">
        <v>464</v>
      </c>
      <c r="G185" s="539" t="s">
        <v>465</v>
      </c>
      <c r="H185" s="539" t="s">
        <v>466</v>
      </c>
      <c r="I185" s="539" t="s">
        <v>43</v>
      </c>
      <c r="J185" s="539" t="s">
        <v>43</v>
      </c>
    </row>
    <row r="186" spans="1:10" ht="16" x14ac:dyDescent="0.2">
      <c r="A186" s="539">
        <v>183</v>
      </c>
      <c r="B186" s="539" t="s">
        <v>36</v>
      </c>
      <c r="C186" s="539" t="s">
        <v>467</v>
      </c>
      <c r="D186" s="539" t="s">
        <v>468</v>
      </c>
      <c r="E186" s="539" t="s">
        <v>469</v>
      </c>
      <c r="F186" s="539" t="s">
        <v>470</v>
      </c>
      <c r="G186" s="539" t="s">
        <v>471</v>
      </c>
      <c r="H186" s="539" t="s">
        <v>472</v>
      </c>
      <c r="I186" s="539" t="s">
        <v>43</v>
      </c>
      <c r="J186" s="539" t="s">
        <v>43</v>
      </c>
    </row>
    <row r="187" spans="1:10" ht="16" x14ac:dyDescent="0.2">
      <c r="A187" s="539">
        <v>184</v>
      </c>
      <c r="B187" s="539" t="s">
        <v>36</v>
      </c>
      <c r="C187" s="539" t="s">
        <v>467</v>
      </c>
      <c r="D187" s="539" t="s">
        <v>473</v>
      </c>
      <c r="E187" s="539" t="s">
        <v>474</v>
      </c>
      <c r="F187" s="539" t="s">
        <v>475</v>
      </c>
      <c r="G187" s="539" t="s">
        <v>476</v>
      </c>
      <c r="H187" s="539" t="s">
        <v>477</v>
      </c>
      <c r="I187" s="539" t="s">
        <v>43</v>
      </c>
      <c r="J187" s="539" t="s">
        <v>43</v>
      </c>
    </row>
    <row r="188" spans="1:10" ht="16" x14ac:dyDescent="0.2">
      <c r="A188" s="539">
        <v>185</v>
      </c>
      <c r="B188" s="539" t="s">
        <v>36</v>
      </c>
      <c r="C188" s="539" t="s">
        <v>467</v>
      </c>
      <c r="D188" s="539" t="s">
        <v>478</v>
      </c>
      <c r="E188" s="539" t="s">
        <v>479</v>
      </c>
      <c r="F188" s="539" t="s">
        <v>479</v>
      </c>
      <c r="G188" s="539" t="s">
        <v>476</v>
      </c>
      <c r="H188" s="539" t="s">
        <v>477</v>
      </c>
      <c r="I188" s="539" t="s">
        <v>43</v>
      </c>
      <c r="J188" s="539" t="s">
        <v>43</v>
      </c>
    </row>
    <row r="189" spans="1:10" ht="16" x14ac:dyDescent="0.2">
      <c r="A189" s="539">
        <v>186</v>
      </c>
      <c r="B189" s="539" t="s">
        <v>36</v>
      </c>
      <c r="C189" s="539" t="s">
        <v>467</v>
      </c>
      <c r="D189" s="539" t="s">
        <v>480</v>
      </c>
      <c r="E189" s="539" t="s">
        <v>481</v>
      </c>
      <c r="F189" s="539" t="s">
        <v>481</v>
      </c>
      <c r="G189" s="539" t="s">
        <v>476</v>
      </c>
      <c r="H189" s="539" t="s">
        <v>477</v>
      </c>
      <c r="I189" s="539" t="s">
        <v>43</v>
      </c>
      <c r="J189" s="539" t="s">
        <v>43</v>
      </c>
    </row>
    <row r="190" spans="1:10" ht="16" x14ac:dyDescent="0.2">
      <c r="A190" s="539">
        <v>187</v>
      </c>
      <c r="B190" s="539" t="s">
        <v>36</v>
      </c>
      <c r="C190" s="539" t="s">
        <v>467</v>
      </c>
      <c r="D190" s="539" t="s">
        <v>482</v>
      </c>
      <c r="E190" s="539"/>
      <c r="F190" s="539" t="s">
        <v>483</v>
      </c>
      <c r="G190" s="539" t="s">
        <v>476</v>
      </c>
      <c r="H190" s="539" t="s">
        <v>477</v>
      </c>
      <c r="I190" s="539" t="s">
        <v>43</v>
      </c>
      <c r="J190" s="539" t="s">
        <v>43</v>
      </c>
    </row>
    <row r="191" spans="1:10" ht="16" x14ac:dyDescent="0.2">
      <c r="A191" s="539">
        <v>188</v>
      </c>
      <c r="B191" s="539" t="s">
        <v>36</v>
      </c>
      <c r="C191" s="539" t="s">
        <v>467</v>
      </c>
      <c r="D191" s="539" t="s">
        <v>484</v>
      </c>
      <c r="E191" s="539"/>
      <c r="F191" s="539" t="s">
        <v>485</v>
      </c>
      <c r="G191" s="539" t="s">
        <v>476</v>
      </c>
      <c r="H191" s="539" t="s">
        <v>477</v>
      </c>
      <c r="I191" s="539" t="s">
        <v>43</v>
      </c>
      <c r="J191" s="539" t="s">
        <v>43</v>
      </c>
    </row>
    <row r="192" spans="1:10" ht="16" x14ac:dyDescent="0.2">
      <c r="A192" s="539">
        <v>189</v>
      </c>
      <c r="B192" s="539" t="s">
        <v>36</v>
      </c>
      <c r="C192" s="539" t="s">
        <v>467</v>
      </c>
      <c r="D192" s="539" t="s">
        <v>486</v>
      </c>
      <c r="E192" s="539" t="s">
        <v>487</v>
      </c>
      <c r="F192" s="539" t="s">
        <v>488</v>
      </c>
      <c r="G192" s="539" t="s">
        <v>489</v>
      </c>
      <c r="H192" s="539" t="s">
        <v>490</v>
      </c>
      <c r="I192" s="539" t="s">
        <v>59</v>
      </c>
      <c r="J192" s="539" t="s">
        <v>43</v>
      </c>
    </row>
    <row r="193" spans="1:10" ht="32" x14ac:dyDescent="0.2">
      <c r="A193" s="539">
        <v>190</v>
      </c>
      <c r="B193" s="539" t="s">
        <v>36</v>
      </c>
      <c r="C193" s="539" t="s">
        <v>467</v>
      </c>
      <c r="D193" s="539" t="s">
        <v>94</v>
      </c>
      <c r="E193" s="539" t="s">
        <v>491</v>
      </c>
      <c r="F193" s="539" t="s">
        <v>492</v>
      </c>
      <c r="G193" s="539" t="s">
        <v>489</v>
      </c>
      <c r="H193" s="539" t="s">
        <v>493</v>
      </c>
      <c r="I193" s="539" t="s">
        <v>59</v>
      </c>
      <c r="J193" s="539" t="s">
        <v>43</v>
      </c>
    </row>
    <row r="194" spans="1:10" ht="16" x14ac:dyDescent="0.2">
      <c r="A194" s="539">
        <v>191</v>
      </c>
      <c r="B194" s="539" t="s">
        <v>36</v>
      </c>
      <c r="C194" s="539" t="s">
        <v>467</v>
      </c>
      <c r="D194" s="539" t="s">
        <v>494</v>
      </c>
      <c r="E194" s="539" t="s">
        <v>372</v>
      </c>
      <c r="F194" s="539" t="s">
        <v>495</v>
      </c>
      <c r="G194" s="539" t="s">
        <v>496</v>
      </c>
      <c r="H194" s="539" t="s">
        <v>497</v>
      </c>
      <c r="I194" s="539" t="s">
        <v>43</v>
      </c>
      <c r="J194" s="539" t="s">
        <v>43</v>
      </c>
    </row>
    <row r="195" spans="1:10" ht="16" x14ac:dyDescent="0.2">
      <c r="A195" s="539">
        <v>192</v>
      </c>
      <c r="B195" s="539" t="s">
        <v>36</v>
      </c>
      <c r="C195" s="539" t="s">
        <v>467</v>
      </c>
      <c r="D195" s="539" t="s">
        <v>210</v>
      </c>
      <c r="E195" s="539" t="s">
        <v>376</v>
      </c>
      <c r="F195" s="539" t="s">
        <v>498</v>
      </c>
      <c r="G195" s="539" t="s">
        <v>499</v>
      </c>
      <c r="H195" s="539" t="s">
        <v>500</v>
      </c>
      <c r="I195" s="539" t="s">
        <v>43</v>
      </c>
      <c r="J195" s="539" t="s">
        <v>43</v>
      </c>
    </row>
    <row r="196" spans="1:10" ht="16" x14ac:dyDescent="0.2">
      <c r="A196" s="539">
        <v>193</v>
      </c>
      <c r="B196" s="539" t="s">
        <v>36</v>
      </c>
      <c r="C196" s="539" t="s">
        <v>467</v>
      </c>
      <c r="D196" s="539" t="s">
        <v>221</v>
      </c>
      <c r="E196" s="539" t="s">
        <v>501</v>
      </c>
      <c r="F196" s="539" t="s">
        <v>502</v>
      </c>
      <c r="G196" s="539" t="s">
        <v>503</v>
      </c>
      <c r="H196" s="539" t="s">
        <v>504</v>
      </c>
      <c r="I196" s="539" t="s">
        <v>43</v>
      </c>
      <c r="J196" s="539" t="s">
        <v>43</v>
      </c>
    </row>
    <row r="197" spans="1:10" ht="16" x14ac:dyDescent="0.2">
      <c r="A197" s="539">
        <v>194</v>
      </c>
      <c r="B197" s="539" t="s">
        <v>36</v>
      </c>
      <c r="C197" s="539" t="s">
        <v>467</v>
      </c>
      <c r="D197" s="539" t="s">
        <v>270</v>
      </c>
      <c r="E197" s="539" t="s">
        <v>277</v>
      </c>
      <c r="F197" s="539" t="s">
        <v>119</v>
      </c>
      <c r="G197" s="539" t="s">
        <v>505</v>
      </c>
      <c r="H197" s="539" t="s">
        <v>506</v>
      </c>
      <c r="I197" s="539" t="s">
        <v>43</v>
      </c>
      <c r="J197" s="539" t="s">
        <v>43</v>
      </c>
    </row>
    <row r="198" spans="1:10" ht="16" x14ac:dyDescent="0.2">
      <c r="A198" s="539">
        <v>195</v>
      </c>
      <c r="B198" s="539" t="s">
        <v>36</v>
      </c>
      <c r="C198" s="539" t="s">
        <v>467</v>
      </c>
      <c r="D198" s="539" t="s">
        <v>112</v>
      </c>
      <c r="E198" s="539" t="s">
        <v>280</v>
      </c>
      <c r="F198" s="539" t="s">
        <v>119</v>
      </c>
      <c r="G198" s="539" t="s">
        <v>507</v>
      </c>
      <c r="H198" s="539" t="s">
        <v>508</v>
      </c>
      <c r="I198" s="539" t="s">
        <v>43</v>
      </c>
      <c r="J198" s="539" t="s">
        <v>43</v>
      </c>
    </row>
    <row r="199" spans="1:10" ht="16" x14ac:dyDescent="0.2">
      <c r="A199" s="539">
        <v>196</v>
      </c>
      <c r="B199" s="539" t="s">
        <v>36</v>
      </c>
      <c r="C199" s="539" t="s">
        <v>467</v>
      </c>
      <c r="D199" s="539" t="s">
        <v>117</v>
      </c>
      <c r="E199" s="539" t="s">
        <v>283</v>
      </c>
      <c r="F199" s="539" t="s">
        <v>509</v>
      </c>
      <c r="G199" s="539" t="s">
        <v>510</v>
      </c>
      <c r="H199" s="539" t="s">
        <v>511</v>
      </c>
      <c r="I199" s="539" t="s">
        <v>43</v>
      </c>
      <c r="J199" s="539" t="s">
        <v>43</v>
      </c>
    </row>
    <row r="200" spans="1:10" ht="16" x14ac:dyDescent="0.2">
      <c r="A200" s="539">
        <v>197</v>
      </c>
      <c r="B200" s="539" t="s">
        <v>36</v>
      </c>
      <c r="C200" s="539" t="s">
        <v>467</v>
      </c>
      <c r="D200" s="539" t="s">
        <v>124</v>
      </c>
      <c r="E200" s="539" t="s">
        <v>386</v>
      </c>
      <c r="F200" s="539" t="s">
        <v>512</v>
      </c>
      <c r="G200" s="539" t="s">
        <v>513</v>
      </c>
      <c r="H200" s="539" t="s">
        <v>514</v>
      </c>
      <c r="I200" s="539" t="s">
        <v>43</v>
      </c>
      <c r="J200" s="539" t="s">
        <v>43</v>
      </c>
    </row>
    <row r="201" spans="1:10" ht="16" x14ac:dyDescent="0.2">
      <c r="A201" s="539">
        <v>198</v>
      </c>
      <c r="B201" s="539" t="s">
        <v>36</v>
      </c>
      <c r="C201" s="539" t="s">
        <v>467</v>
      </c>
      <c r="D201" s="539" t="s">
        <v>284</v>
      </c>
      <c r="E201" s="539" t="s">
        <v>285</v>
      </c>
      <c r="F201" s="539" t="s">
        <v>515</v>
      </c>
      <c r="G201" s="539" t="s">
        <v>516</v>
      </c>
      <c r="H201" s="539" t="s">
        <v>517</v>
      </c>
      <c r="I201" s="539" t="s">
        <v>43</v>
      </c>
      <c r="J201" s="539" t="s">
        <v>43</v>
      </c>
    </row>
    <row r="202" spans="1:10" ht="16" x14ac:dyDescent="0.2">
      <c r="A202" s="539">
        <v>199</v>
      </c>
      <c r="B202" s="539" t="s">
        <v>36</v>
      </c>
      <c r="C202" s="539" t="s">
        <v>467</v>
      </c>
      <c r="D202" s="539" t="s">
        <v>290</v>
      </c>
      <c r="E202" s="539" t="s">
        <v>291</v>
      </c>
      <c r="F202" s="539" t="s">
        <v>518</v>
      </c>
      <c r="G202" s="539" t="s">
        <v>519</v>
      </c>
      <c r="H202" s="539" t="s">
        <v>520</v>
      </c>
      <c r="I202" s="539" t="s">
        <v>43</v>
      </c>
      <c r="J202" s="539" t="s">
        <v>43</v>
      </c>
    </row>
    <row r="203" spans="1:10" ht="16" x14ac:dyDescent="0.2">
      <c r="A203" s="539">
        <v>200</v>
      </c>
      <c r="B203" s="539" t="s">
        <v>36</v>
      </c>
      <c r="C203" s="539" t="s">
        <v>467</v>
      </c>
      <c r="D203" s="539" t="s">
        <v>359</v>
      </c>
      <c r="E203" s="539" t="s">
        <v>521</v>
      </c>
      <c r="F203" s="539" t="s">
        <v>522</v>
      </c>
      <c r="G203" s="539" t="s">
        <v>496</v>
      </c>
      <c r="H203" s="539" t="s">
        <v>497</v>
      </c>
      <c r="I203" s="539" t="s">
        <v>43</v>
      </c>
      <c r="J203" s="539" t="s">
        <v>43</v>
      </c>
    </row>
    <row r="204" spans="1:10" ht="16" x14ac:dyDescent="0.2">
      <c r="A204" s="539">
        <v>201</v>
      </c>
      <c r="B204" s="539" t="s">
        <v>36</v>
      </c>
      <c r="C204" s="539" t="s">
        <v>467</v>
      </c>
      <c r="D204" s="539" t="s">
        <v>215</v>
      </c>
      <c r="E204" s="539" t="s">
        <v>523</v>
      </c>
      <c r="F204" s="539" t="s">
        <v>524</v>
      </c>
      <c r="G204" s="539" t="s">
        <v>499</v>
      </c>
      <c r="H204" s="539" t="s">
        <v>500</v>
      </c>
      <c r="I204" s="539" t="s">
        <v>43</v>
      </c>
      <c r="J204" s="539" t="s">
        <v>43</v>
      </c>
    </row>
    <row r="205" spans="1:10" ht="16" x14ac:dyDescent="0.2">
      <c r="A205" s="539">
        <v>202</v>
      </c>
      <c r="B205" s="539" t="s">
        <v>36</v>
      </c>
      <c r="C205" s="539" t="s">
        <v>467</v>
      </c>
      <c r="D205" s="539" t="s">
        <v>226</v>
      </c>
      <c r="E205" s="539" t="s">
        <v>525</v>
      </c>
      <c r="F205" s="539" t="s">
        <v>526</v>
      </c>
      <c r="G205" s="539" t="s">
        <v>503</v>
      </c>
      <c r="H205" s="539" t="s">
        <v>504</v>
      </c>
      <c r="I205" s="539" t="s">
        <v>43</v>
      </c>
      <c r="J205" s="539" t="s">
        <v>43</v>
      </c>
    </row>
    <row r="206" spans="1:10" ht="16" x14ac:dyDescent="0.2">
      <c r="A206" s="539">
        <v>203</v>
      </c>
      <c r="B206" s="539" t="s">
        <v>36</v>
      </c>
      <c r="C206" s="539" t="s">
        <v>467</v>
      </c>
      <c r="D206" s="539" t="s">
        <v>274</v>
      </c>
      <c r="E206" s="539" t="s">
        <v>527</v>
      </c>
      <c r="F206" s="539" t="s">
        <v>528</v>
      </c>
      <c r="G206" s="539" t="s">
        <v>529</v>
      </c>
      <c r="H206" s="539" t="s">
        <v>530</v>
      </c>
      <c r="I206" s="539" t="s">
        <v>43</v>
      </c>
      <c r="J206" s="539" t="s">
        <v>43</v>
      </c>
    </row>
    <row r="207" spans="1:10" ht="16" x14ac:dyDescent="0.2">
      <c r="A207" s="539">
        <v>204</v>
      </c>
      <c r="B207" s="539" t="s">
        <v>36</v>
      </c>
      <c r="C207" s="539" t="s">
        <v>467</v>
      </c>
      <c r="D207" s="539" t="s">
        <v>134</v>
      </c>
      <c r="E207" s="539" t="s">
        <v>531</v>
      </c>
      <c r="F207" s="539" t="s">
        <v>119</v>
      </c>
      <c r="G207" s="539" t="s">
        <v>507</v>
      </c>
      <c r="H207" s="539" t="s">
        <v>508</v>
      </c>
      <c r="I207" s="539" t="s">
        <v>43</v>
      </c>
      <c r="J207" s="539" t="s">
        <v>43</v>
      </c>
    </row>
    <row r="208" spans="1:10" ht="16" x14ac:dyDescent="0.2">
      <c r="A208" s="539">
        <v>205</v>
      </c>
      <c r="B208" s="539" t="s">
        <v>36</v>
      </c>
      <c r="C208" s="539" t="s">
        <v>467</v>
      </c>
      <c r="D208" s="539" t="s">
        <v>137</v>
      </c>
      <c r="E208" s="539" t="s">
        <v>532</v>
      </c>
      <c r="F208" s="539" t="s">
        <v>532</v>
      </c>
      <c r="G208" s="539" t="s">
        <v>510</v>
      </c>
      <c r="H208" s="539" t="s">
        <v>511</v>
      </c>
      <c r="I208" s="539" t="s">
        <v>43</v>
      </c>
      <c r="J208" s="539" t="s">
        <v>43</v>
      </c>
    </row>
    <row r="209" spans="1:10" ht="16" x14ac:dyDescent="0.2">
      <c r="A209" s="539">
        <v>206</v>
      </c>
      <c r="B209" s="539" t="s">
        <v>36</v>
      </c>
      <c r="C209" s="539" t="s">
        <v>467</v>
      </c>
      <c r="D209" s="539" t="s">
        <v>141</v>
      </c>
      <c r="E209" s="539" t="s">
        <v>533</v>
      </c>
      <c r="F209" s="539" t="s">
        <v>534</v>
      </c>
      <c r="G209" s="539" t="s">
        <v>513</v>
      </c>
      <c r="H209" s="539" t="s">
        <v>514</v>
      </c>
      <c r="I209" s="539" t="s">
        <v>43</v>
      </c>
      <c r="J209" s="539" t="s">
        <v>43</v>
      </c>
    </row>
    <row r="210" spans="1:10" ht="16" x14ac:dyDescent="0.2">
      <c r="A210" s="539">
        <v>207</v>
      </c>
      <c r="B210" s="539" t="s">
        <v>36</v>
      </c>
      <c r="C210" s="539" t="s">
        <v>467</v>
      </c>
      <c r="D210" s="539" t="s">
        <v>286</v>
      </c>
      <c r="E210" s="539" t="s">
        <v>287</v>
      </c>
      <c r="F210" s="539" t="s">
        <v>535</v>
      </c>
      <c r="G210" s="539" t="s">
        <v>516</v>
      </c>
      <c r="H210" s="539" t="s">
        <v>517</v>
      </c>
      <c r="I210" s="539" t="s">
        <v>43</v>
      </c>
      <c r="J210" s="539" t="s">
        <v>43</v>
      </c>
    </row>
    <row r="211" spans="1:10" ht="16" x14ac:dyDescent="0.2">
      <c r="A211" s="539">
        <v>208</v>
      </c>
      <c r="B211" s="539" t="s">
        <v>36</v>
      </c>
      <c r="C211" s="539" t="s">
        <v>467</v>
      </c>
      <c r="D211" s="539" t="s">
        <v>292</v>
      </c>
      <c r="E211" s="539" t="s">
        <v>293</v>
      </c>
      <c r="F211" s="539" t="s">
        <v>536</v>
      </c>
      <c r="G211" s="539" t="s">
        <v>519</v>
      </c>
      <c r="H211" s="539" t="s">
        <v>520</v>
      </c>
      <c r="I211" s="539" t="s">
        <v>43</v>
      </c>
      <c r="J211" s="539" t="s">
        <v>43</v>
      </c>
    </row>
    <row r="212" spans="1:10" ht="16" x14ac:dyDescent="0.2">
      <c r="A212" s="539">
        <v>209</v>
      </c>
      <c r="B212" s="539" t="s">
        <v>36</v>
      </c>
      <c r="C212" s="539" t="s">
        <v>467</v>
      </c>
      <c r="D212" s="539" t="s">
        <v>537</v>
      </c>
      <c r="E212" s="539" t="s">
        <v>538</v>
      </c>
      <c r="F212" s="539" t="s">
        <v>539</v>
      </c>
      <c r="G212" s="539" t="s">
        <v>496</v>
      </c>
      <c r="H212" s="539" t="s">
        <v>497</v>
      </c>
      <c r="I212" s="539" t="s">
        <v>43</v>
      </c>
      <c r="J212" s="539" t="s">
        <v>43</v>
      </c>
    </row>
    <row r="213" spans="1:10" ht="16" x14ac:dyDescent="0.2">
      <c r="A213" s="539">
        <v>210</v>
      </c>
      <c r="B213" s="539" t="s">
        <v>36</v>
      </c>
      <c r="C213" s="539" t="s">
        <v>467</v>
      </c>
      <c r="D213" s="539" t="s">
        <v>218</v>
      </c>
      <c r="E213" s="539" t="s">
        <v>540</v>
      </c>
      <c r="F213" s="539" t="s">
        <v>541</v>
      </c>
      <c r="G213" s="539" t="s">
        <v>499</v>
      </c>
      <c r="H213" s="539" t="s">
        <v>500</v>
      </c>
      <c r="I213" s="539" t="s">
        <v>43</v>
      </c>
      <c r="J213" s="539" t="s">
        <v>43</v>
      </c>
    </row>
    <row r="214" spans="1:10" ht="16" x14ac:dyDescent="0.2">
      <c r="A214" s="539">
        <v>211</v>
      </c>
      <c r="B214" s="539" t="s">
        <v>36</v>
      </c>
      <c r="C214" s="539" t="s">
        <v>467</v>
      </c>
      <c r="D214" s="539" t="s">
        <v>229</v>
      </c>
      <c r="E214" s="539" t="s">
        <v>542</v>
      </c>
      <c r="F214" s="539" t="s">
        <v>543</v>
      </c>
      <c r="G214" s="539" t="s">
        <v>503</v>
      </c>
      <c r="H214" s="539" t="s">
        <v>504</v>
      </c>
      <c r="I214" s="539" t="s">
        <v>43</v>
      </c>
      <c r="J214" s="539" t="s">
        <v>43</v>
      </c>
    </row>
    <row r="215" spans="1:10" ht="16" x14ac:dyDescent="0.2">
      <c r="A215" s="539">
        <v>212</v>
      </c>
      <c r="B215" s="539" t="s">
        <v>36</v>
      </c>
      <c r="C215" s="539" t="s">
        <v>467</v>
      </c>
      <c r="D215" s="539" t="s">
        <v>276</v>
      </c>
      <c r="E215" s="539" t="s">
        <v>544</v>
      </c>
      <c r="F215" s="539" t="s">
        <v>545</v>
      </c>
      <c r="G215" s="539" t="s">
        <v>529</v>
      </c>
      <c r="H215" s="539" t="s">
        <v>530</v>
      </c>
      <c r="I215" s="539" t="s">
        <v>43</v>
      </c>
      <c r="J215" s="539" t="s">
        <v>43</v>
      </c>
    </row>
    <row r="216" spans="1:10" ht="16" x14ac:dyDescent="0.2">
      <c r="A216" s="539">
        <v>213</v>
      </c>
      <c r="B216" s="539" t="s">
        <v>36</v>
      </c>
      <c r="C216" s="539" t="s">
        <v>467</v>
      </c>
      <c r="D216" s="539" t="s">
        <v>147</v>
      </c>
      <c r="E216" s="539" t="s">
        <v>546</v>
      </c>
      <c r="F216" s="539" t="s">
        <v>119</v>
      </c>
      <c r="G216" s="539" t="s">
        <v>507</v>
      </c>
      <c r="H216" s="539" t="s">
        <v>508</v>
      </c>
      <c r="I216" s="539" t="s">
        <v>43</v>
      </c>
      <c r="J216" s="539" t="s">
        <v>43</v>
      </c>
    </row>
    <row r="217" spans="1:10" ht="16" x14ac:dyDescent="0.2">
      <c r="A217" s="539">
        <v>214</v>
      </c>
      <c r="B217" s="539" t="s">
        <v>36</v>
      </c>
      <c r="C217" s="539" t="s">
        <v>467</v>
      </c>
      <c r="D217" s="539" t="s">
        <v>150</v>
      </c>
      <c r="E217" s="539" t="s">
        <v>547</v>
      </c>
      <c r="F217" s="539" t="s">
        <v>547</v>
      </c>
      <c r="G217" s="539" t="s">
        <v>510</v>
      </c>
      <c r="H217" s="539" t="s">
        <v>511</v>
      </c>
      <c r="I217" s="539" t="s">
        <v>43</v>
      </c>
      <c r="J217" s="539" t="s">
        <v>43</v>
      </c>
    </row>
    <row r="218" spans="1:10" ht="16" x14ac:dyDescent="0.2">
      <c r="A218" s="539">
        <v>215</v>
      </c>
      <c r="B218" s="539" t="s">
        <v>36</v>
      </c>
      <c r="C218" s="539" t="s">
        <v>467</v>
      </c>
      <c r="D218" s="539" t="s">
        <v>154</v>
      </c>
      <c r="E218" s="539" t="s">
        <v>548</v>
      </c>
      <c r="F218" s="539" t="s">
        <v>549</v>
      </c>
      <c r="G218" s="539" t="s">
        <v>513</v>
      </c>
      <c r="H218" s="539" t="s">
        <v>514</v>
      </c>
      <c r="I218" s="539" t="s">
        <v>43</v>
      </c>
      <c r="J218" s="539" t="s">
        <v>43</v>
      </c>
    </row>
    <row r="219" spans="1:10" ht="16" x14ac:dyDescent="0.2">
      <c r="A219" s="539">
        <v>216</v>
      </c>
      <c r="B219" s="539" t="s">
        <v>36</v>
      </c>
      <c r="C219" s="539" t="s">
        <v>467</v>
      </c>
      <c r="D219" s="539" t="s">
        <v>288</v>
      </c>
      <c r="E219" s="539" t="s">
        <v>289</v>
      </c>
      <c r="F219" s="539" t="s">
        <v>550</v>
      </c>
      <c r="G219" s="539" t="s">
        <v>516</v>
      </c>
      <c r="H219" s="539" t="s">
        <v>517</v>
      </c>
      <c r="I219" s="539" t="s">
        <v>43</v>
      </c>
      <c r="J219" s="539" t="s">
        <v>43</v>
      </c>
    </row>
    <row r="220" spans="1:10" ht="16" x14ac:dyDescent="0.2">
      <c r="A220" s="539">
        <v>217</v>
      </c>
      <c r="B220" s="539" t="s">
        <v>36</v>
      </c>
      <c r="C220" s="539" t="s">
        <v>467</v>
      </c>
      <c r="D220" s="539" t="s">
        <v>294</v>
      </c>
      <c r="E220" s="539" t="s">
        <v>295</v>
      </c>
      <c r="F220" s="539" t="s">
        <v>551</v>
      </c>
      <c r="G220" s="539" t="s">
        <v>519</v>
      </c>
      <c r="H220" s="539" t="s">
        <v>520</v>
      </c>
      <c r="I220" s="539" t="s">
        <v>43</v>
      </c>
      <c r="J220" s="539" t="s">
        <v>43</v>
      </c>
    </row>
    <row r="221" spans="1:10" ht="16" x14ac:dyDescent="0.2">
      <c r="A221" s="539">
        <v>218</v>
      </c>
      <c r="B221" s="539" t="s">
        <v>36</v>
      </c>
      <c r="C221" s="539" t="s">
        <v>467</v>
      </c>
      <c r="D221" s="539" t="s">
        <v>552</v>
      </c>
      <c r="E221" s="539" t="s">
        <v>553</v>
      </c>
      <c r="F221" s="539" t="s">
        <v>554</v>
      </c>
      <c r="G221" s="539" t="s">
        <v>496</v>
      </c>
      <c r="H221" s="539" t="s">
        <v>497</v>
      </c>
      <c r="I221" s="539" t="s">
        <v>43</v>
      </c>
      <c r="J221" s="539" t="s">
        <v>43</v>
      </c>
    </row>
    <row r="222" spans="1:10" ht="16" x14ac:dyDescent="0.2">
      <c r="A222" s="539">
        <v>219</v>
      </c>
      <c r="B222" s="539" t="s">
        <v>36</v>
      </c>
      <c r="C222" s="539" t="s">
        <v>467</v>
      </c>
      <c r="D222" s="539" t="s">
        <v>304</v>
      </c>
      <c r="E222" s="539" t="s">
        <v>555</v>
      </c>
      <c r="F222" s="539" t="s">
        <v>556</v>
      </c>
      <c r="G222" s="539" t="s">
        <v>499</v>
      </c>
      <c r="H222" s="539" t="s">
        <v>500</v>
      </c>
      <c r="I222" s="539" t="s">
        <v>43</v>
      </c>
      <c r="J222" s="539" t="s">
        <v>43</v>
      </c>
    </row>
    <row r="223" spans="1:10" ht="16" x14ac:dyDescent="0.2">
      <c r="A223" s="539">
        <v>220</v>
      </c>
      <c r="B223" s="539" t="s">
        <v>36</v>
      </c>
      <c r="C223" s="539" t="s">
        <v>467</v>
      </c>
      <c r="D223" s="539" t="s">
        <v>313</v>
      </c>
      <c r="E223" s="539" t="s">
        <v>557</v>
      </c>
      <c r="F223" s="539" t="s">
        <v>558</v>
      </c>
      <c r="G223" s="539" t="s">
        <v>503</v>
      </c>
      <c r="H223" s="539" t="s">
        <v>504</v>
      </c>
      <c r="I223" s="539" t="s">
        <v>43</v>
      </c>
      <c r="J223" s="539" t="s">
        <v>43</v>
      </c>
    </row>
    <row r="224" spans="1:10" ht="16" x14ac:dyDescent="0.2">
      <c r="A224" s="539">
        <v>221</v>
      </c>
      <c r="B224" s="539" t="s">
        <v>36</v>
      </c>
      <c r="C224" s="539" t="s">
        <v>467</v>
      </c>
      <c r="D224" s="539" t="s">
        <v>559</v>
      </c>
      <c r="E224" s="539" t="s">
        <v>560</v>
      </c>
      <c r="F224" s="539" t="s">
        <v>561</v>
      </c>
      <c r="G224" s="539" t="s">
        <v>529</v>
      </c>
      <c r="H224" s="539" t="s">
        <v>530</v>
      </c>
      <c r="I224" s="539" t="s">
        <v>43</v>
      </c>
      <c r="J224" s="539" t="s">
        <v>43</v>
      </c>
    </row>
    <row r="225" spans="1:10" ht="16" x14ac:dyDescent="0.2">
      <c r="A225" s="539">
        <v>222</v>
      </c>
      <c r="B225" s="539" t="s">
        <v>36</v>
      </c>
      <c r="C225" s="539" t="s">
        <v>467</v>
      </c>
      <c r="D225" s="539" t="s">
        <v>169</v>
      </c>
      <c r="E225" s="539" t="s">
        <v>562</v>
      </c>
      <c r="F225" s="539" t="s">
        <v>119</v>
      </c>
      <c r="G225" s="539" t="s">
        <v>507</v>
      </c>
      <c r="H225" s="539" t="s">
        <v>508</v>
      </c>
      <c r="I225" s="539" t="s">
        <v>43</v>
      </c>
      <c r="J225" s="539" t="s">
        <v>43</v>
      </c>
    </row>
    <row r="226" spans="1:10" ht="16" x14ac:dyDescent="0.2">
      <c r="A226" s="539">
        <v>223</v>
      </c>
      <c r="B226" s="539" t="s">
        <v>36</v>
      </c>
      <c r="C226" s="539" t="s">
        <v>467</v>
      </c>
      <c r="D226" s="539" t="s">
        <v>172</v>
      </c>
      <c r="E226" s="539" t="s">
        <v>563</v>
      </c>
      <c r="F226" s="539" t="s">
        <v>563</v>
      </c>
      <c r="G226" s="539" t="s">
        <v>510</v>
      </c>
      <c r="H226" s="539" t="s">
        <v>511</v>
      </c>
      <c r="I226" s="539" t="s">
        <v>43</v>
      </c>
      <c r="J226" s="539" t="s">
        <v>43</v>
      </c>
    </row>
    <row r="227" spans="1:10" ht="16" x14ac:dyDescent="0.2">
      <c r="A227" s="539">
        <v>224</v>
      </c>
      <c r="B227" s="539" t="s">
        <v>36</v>
      </c>
      <c r="C227" s="539" t="s">
        <v>467</v>
      </c>
      <c r="D227" s="539" t="s">
        <v>176</v>
      </c>
      <c r="E227" s="539" t="s">
        <v>564</v>
      </c>
      <c r="F227" s="539" t="s">
        <v>565</v>
      </c>
      <c r="G227" s="539" t="s">
        <v>513</v>
      </c>
      <c r="H227" s="539" t="s">
        <v>514</v>
      </c>
      <c r="I227" s="539" t="s">
        <v>43</v>
      </c>
      <c r="J227" s="539" t="s">
        <v>43</v>
      </c>
    </row>
    <row r="228" spans="1:10" ht="16" x14ac:dyDescent="0.2">
      <c r="A228" s="539">
        <v>225</v>
      </c>
      <c r="B228" s="539" t="s">
        <v>36</v>
      </c>
      <c r="C228" s="539" t="s">
        <v>467</v>
      </c>
      <c r="D228" s="539" t="s">
        <v>566</v>
      </c>
      <c r="E228" s="539" t="s">
        <v>567</v>
      </c>
      <c r="F228" s="539" t="s">
        <v>568</v>
      </c>
      <c r="G228" s="539" t="s">
        <v>516</v>
      </c>
      <c r="H228" s="539" t="s">
        <v>517</v>
      </c>
      <c r="I228" s="539" t="s">
        <v>43</v>
      </c>
      <c r="J228" s="539" t="s">
        <v>43</v>
      </c>
    </row>
    <row r="229" spans="1:10" ht="16" x14ac:dyDescent="0.2">
      <c r="A229" s="539">
        <v>226</v>
      </c>
      <c r="B229" s="539" t="s">
        <v>36</v>
      </c>
      <c r="C229" s="539" t="s">
        <v>467</v>
      </c>
      <c r="D229" s="539" t="s">
        <v>569</v>
      </c>
      <c r="E229" s="539" t="s">
        <v>570</v>
      </c>
      <c r="F229" s="539" t="s">
        <v>571</v>
      </c>
      <c r="G229" s="539" t="s">
        <v>519</v>
      </c>
      <c r="H229" s="539" t="s">
        <v>520</v>
      </c>
      <c r="I229" s="539" t="s">
        <v>43</v>
      </c>
      <c r="J229" s="539" t="s">
        <v>43</v>
      </c>
    </row>
    <row r="230" spans="1:10" ht="16" x14ac:dyDescent="0.2">
      <c r="A230" s="539">
        <v>227</v>
      </c>
      <c r="B230" s="539" t="s">
        <v>36</v>
      </c>
      <c r="C230" s="539" t="s">
        <v>467</v>
      </c>
      <c r="D230" s="539" t="s">
        <v>572</v>
      </c>
      <c r="E230" s="539"/>
      <c r="F230" s="539" t="s">
        <v>573</v>
      </c>
      <c r="G230" s="539" t="s">
        <v>496</v>
      </c>
      <c r="H230" s="539" t="s">
        <v>497</v>
      </c>
      <c r="I230" s="539" t="s">
        <v>43</v>
      </c>
      <c r="J230" s="539" t="s">
        <v>43</v>
      </c>
    </row>
    <row r="231" spans="1:10" ht="16" x14ac:dyDescent="0.2">
      <c r="A231" s="539">
        <v>228</v>
      </c>
      <c r="B231" s="539" t="s">
        <v>36</v>
      </c>
      <c r="C231" s="539" t="s">
        <v>467</v>
      </c>
      <c r="D231" s="539" t="s">
        <v>574</v>
      </c>
      <c r="E231" s="539"/>
      <c r="F231" s="539" t="s">
        <v>575</v>
      </c>
      <c r="G231" s="539" t="s">
        <v>499</v>
      </c>
      <c r="H231" s="539" t="s">
        <v>500</v>
      </c>
      <c r="I231" s="539" t="s">
        <v>43</v>
      </c>
      <c r="J231" s="539" t="s">
        <v>43</v>
      </c>
    </row>
    <row r="232" spans="1:10" ht="16" x14ac:dyDescent="0.2">
      <c r="A232" s="539">
        <v>229</v>
      </c>
      <c r="B232" s="539" t="s">
        <v>36</v>
      </c>
      <c r="C232" s="539" t="s">
        <v>467</v>
      </c>
      <c r="D232" s="539" t="s">
        <v>576</v>
      </c>
      <c r="E232" s="539"/>
      <c r="F232" s="539" t="s">
        <v>577</v>
      </c>
      <c r="G232" s="539" t="s">
        <v>503</v>
      </c>
      <c r="H232" s="539" t="s">
        <v>504</v>
      </c>
      <c r="I232" s="539" t="s">
        <v>43</v>
      </c>
      <c r="J232" s="539" t="s">
        <v>43</v>
      </c>
    </row>
    <row r="233" spans="1:10" ht="16" x14ac:dyDescent="0.2">
      <c r="A233" s="539">
        <v>230</v>
      </c>
      <c r="B233" s="539" t="s">
        <v>36</v>
      </c>
      <c r="C233" s="539" t="s">
        <v>467</v>
      </c>
      <c r="D233" s="539" t="s">
        <v>578</v>
      </c>
      <c r="E233" s="539"/>
      <c r="F233" s="539" t="s">
        <v>579</v>
      </c>
      <c r="G233" s="539" t="s">
        <v>529</v>
      </c>
      <c r="H233" s="539" t="s">
        <v>530</v>
      </c>
      <c r="I233" s="539" t="s">
        <v>43</v>
      </c>
      <c r="J233" s="539" t="s">
        <v>43</v>
      </c>
    </row>
    <row r="234" spans="1:10" ht="16" x14ac:dyDescent="0.2">
      <c r="A234" s="539">
        <v>231</v>
      </c>
      <c r="B234" s="539" t="s">
        <v>36</v>
      </c>
      <c r="C234" s="539" t="s">
        <v>467</v>
      </c>
      <c r="D234" s="539" t="s">
        <v>580</v>
      </c>
      <c r="E234" s="539"/>
      <c r="F234" s="539" t="s">
        <v>119</v>
      </c>
      <c r="G234" s="539" t="s">
        <v>507</v>
      </c>
      <c r="H234" s="539" t="s">
        <v>508</v>
      </c>
      <c r="I234" s="539" t="s">
        <v>43</v>
      </c>
      <c r="J234" s="539" t="s">
        <v>43</v>
      </c>
    </row>
    <row r="235" spans="1:10" ht="16" x14ac:dyDescent="0.2">
      <c r="A235" s="539">
        <v>232</v>
      </c>
      <c r="B235" s="539" t="s">
        <v>36</v>
      </c>
      <c r="C235" s="539" t="s">
        <v>467</v>
      </c>
      <c r="D235" s="539" t="s">
        <v>581</v>
      </c>
      <c r="E235" s="539"/>
      <c r="F235" s="539" t="s">
        <v>582</v>
      </c>
      <c r="G235" s="539" t="s">
        <v>510</v>
      </c>
      <c r="H235" s="539" t="s">
        <v>511</v>
      </c>
      <c r="I235" s="539" t="s">
        <v>43</v>
      </c>
      <c r="J235" s="539" t="s">
        <v>43</v>
      </c>
    </row>
    <row r="236" spans="1:10" ht="16" x14ac:dyDescent="0.2">
      <c r="A236" s="539">
        <v>233</v>
      </c>
      <c r="B236" s="539" t="s">
        <v>36</v>
      </c>
      <c r="C236" s="539" t="s">
        <v>467</v>
      </c>
      <c r="D236" s="539" t="s">
        <v>583</v>
      </c>
      <c r="E236" s="539"/>
      <c r="F236" s="539" t="s">
        <v>584</v>
      </c>
      <c r="G236" s="539" t="s">
        <v>513</v>
      </c>
      <c r="H236" s="539" t="s">
        <v>514</v>
      </c>
      <c r="I236" s="539" t="s">
        <v>43</v>
      </c>
      <c r="J236" s="539" t="s">
        <v>43</v>
      </c>
    </row>
    <row r="237" spans="1:10" ht="16" x14ac:dyDescent="0.2">
      <c r="A237" s="539">
        <v>234</v>
      </c>
      <c r="B237" s="539" t="s">
        <v>36</v>
      </c>
      <c r="C237" s="539" t="s">
        <v>467</v>
      </c>
      <c r="D237" s="539" t="s">
        <v>585</v>
      </c>
      <c r="E237" s="539"/>
      <c r="F237" s="539" t="s">
        <v>586</v>
      </c>
      <c r="G237" s="539" t="s">
        <v>516</v>
      </c>
      <c r="H237" s="539" t="s">
        <v>517</v>
      </c>
      <c r="I237" s="539" t="s">
        <v>43</v>
      </c>
      <c r="J237" s="539" t="s">
        <v>43</v>
      </c>
    </row>
    <row r="238" spans="1:10" ht="16" x14ac:dyDescent="0.2">
      <c r="A238" s="539">
        <v>235</v>
      </c>
      <c r="B238" s="539" t="s">
        <v>36</v>
      </c>
      <c r="C238" s="539" t="s">
        <v>467</v>
      </c>
      <c r="D238" s="539" t="s">
        <v>587</v>
      </c>
      <c r="E238" s="539"/>
      <c r="F238" s="539" t="s">
        <v>588</v>
      </c>
      <c r="G238" s="539" t="s">
        <v>519</v>
      </c>
      <c r="H238" s="539" t="s">
        <v>520</v>
      </c>
      <c r="I238" s="539" t="s">
        <v>43</v>
      </c>
      <c r="J238" s="539" t="s">
        <v>43</v>
      </c>
    </row>
    <row r="239" spans="1:10" ht="16" x14ac:dyDescent="0.2">
      <c r="A239" s="539">
        <v>236</v>
      </c>
      <c r="B239" s="539" t="s">
        <v>36</v>
      </c>
      <c r="C239" s="539" t="s">
        <v>467</v>
      </c>
      <c r="D239" s="539" t="s">
        <v>589</v>
      </c>
      <c r="E239" s="539"/>
      <c r="F239" s="539" t="s">
        <v>590</v>
      </c>
      <c r="G239" s="539" t="s">
        <v>496</v>
      </c>
      <c r="H239" s="539" t="s">
        <v>497</v>
      </c>
      <c r="I239" s="539" t="s">
        <v>43</v>
      </c>
      <c r="J239" s="539" t="s">
        <v>43</v>
      </c>
    </row>
    <row r="240" spans="1:10" ht="16" x14ac:dyDescent="0.2">
      <c r="A240" s="539">
        <v>237</v>
      </c>
      <c r="B240" s="539" t="s">
        <v>36</v>
      </c>
      <c r="C240" s="539" t="s">
        <v>467</v>
      </c>
      <c r="D240" s="539" t="s">
        <v>591</v>
      </c>
      <c r="E240" s="539"/>
      <c r="F240" s="539" t="s">
        <v>592</v>
      </c>
      <c r="G240" s="539" t="s">
        <v>499</v>
      </c>
      <c r="H240" s="539" t="s">
        <v>500</v>
      </c>
      <c r="I240" s="539" t="s">
        <v>43</v>
      </c>
      <c r="J240" s="539" t="s">
        <v>43</v>
      </c>
    </row>
    <row r="241" spans="1:10" ht="16" x14ac:dyDescent="0.2">
      <c r="A241" s="539">
        <v>238</v>
      </c>
      <c r="B241" s="539" t="s">
        <v>36</v>
      </c>
      <c r="C241" s="539" t="s">
        <v>467</v>
      </c>
      <c r="D241" s="539" t="s">
        <v>593</v>
      </c>
      <c r="E241" s="539"/>
      <c r="F241" s="539" t="s">
        <v>594</v>
      </c>
      <c r="G241" s="539" t="s">
        <v>503</v>
      </c>
      <c r="H241" s="539" t="s">
        <v>504</v>
      </c>
      <c r="I241" s="539" t="s">
        <v>43</v>
      </c>
      <c r="J241" s="539" t="s">
        <v>43</v>
      </c>
    </row>
    <row r="242" spans="1:10" ht="16" x14ac:dyDescent="0.2">
      <c r="A242" s="539">
        <v>239</v>
      </c>
      <c r="B242" s="539" t="s">
        <v>36</v>
      </c>
      <c r="C242" s="539" t="s">
        <v>467</v>
      </c>
      <c r="D242" s="539" t="s">
        <v>595</v>
      </c>
      <c r="E242" s="539"/>
      <c r="F242" s="539" t="s">
        <v>596</v>
      </c>
      <c r="G242" s="539" t="s">
        <v>529</v>
      </c>
      <c r="H242" s="539" t="s">
        <v>530</v>
      </c>
      <c r="I242" s="539" t="s">
        <v>43</v>
      </c>
      <c r="J242" s="539" t="s">
        <v>43</v>
      </c>
    </row>
    <row r="243" spans="1:10" ht="16" x14ac:dyDescent="0.2">
      <c r="A243" s="539">
        <v>240</v>
      </c>
      <c r="B243" s="539" t="s">
        <v>36</v>
      </c>
      <c r="C243" s="539" t="s">
        <v>467</v>
      </c>
      <c r="D243" s="539" t="s">
        <v>597</v>
      </c>
      <c r="E243" s="539"/>
      <c r="F243" s="539" t="s">
        <v>119</v>
      </c>
      <c r="G243" s="539" t="s">
        <v>507</v>
      </c>
      <c r="H243" s="539" t="s">
        <v>508</v>
      </c>
      <c r="I243" s="539" t="s">
        <v>43</v>
      </c>
      <c r="J243" s="539" t="s">
        <v>43</v>
      </c>
    </row>
    <row r="244" spans="1:10" ht="16" x14ac:dyDescent="0.2">
      <c r="A244" s="539">
        <v>241</v>
      </c>
      <c r="B244" s="539" t="s">
        <v>36</v>
      </c>
      <c r="C244" s="539" t="s">
        <v>467</v>
      </c>
      <c r="D244" s="539" t="s">
        <v>598</v>
      </c>
      <c r="E244" s="539"/>
      <c r="F244" s="539" t="s">
        <v>599</v>
      </c>
      <c r="G244" s="539" t="s">
        <v>510</v>
      </c>
      <c r="H244" s="539" t="s">
        <v>511</v>
      </c>
      <c r="I244" s="539" t="s">
        <v>43</v>
      </c>
      <c r="J244" s="539" t="s">
        <v>43</v>
      </c>
    </row>
    <row r="245" spans="1:10" ht="16" x14ac:dyDescent="0.2">
      <c r="A245" s="539">
        <v>242</v>
      </c>
      <c r="B245" s="539" t="s">
        <v>36</v>
      </c>
      <c r="C245" s="539" t="s">
        <v>467</v>
      </c>
      <c r="D245" s="539" t="s">
        <v>600</v>
      </c>
      <c r="E245" s="539"/>
      <c r="F245" s="539" t="s">
        <v>601</v>
      </c>
      <c r="G245" s="539" t="s">
        <v>513</v>
      </c>
      <c r="H245" s="539" t="s">
        <v>514</v>
      </c>
      <c r="I245" s="539" t="s">
        <v>43</v>
      </c>
      <c r="J245" s="539" t="s">
        <v>43</v>
      </c>
    </row>
    <row r="246" spans="1:10" ht="16" x14ac:dyDescent="0.2">
      <c r="A246" s="539">
        <v>243</v>
      </c>
      <c r="B246" s="539" t="s">
        <v>36</v>
      </c>
      <c r="C246" s="539" t="s">
        <v>467</v>
      </c>
      <c r="D246" s="539" t="s">
        <v>602</v>
      </c>
      <c r="E246" s="539"/>
      <c r="F246" s="539" t="s">
        <v>603</v>
      </c>
      <c r="G246" s="539" t="s">
        <v>516</v>
      </c>
      <c r="H246" s="539" t="s">
        <v>517</v>
      </c>
      <c r="I246" s="539" t="s">
        <v>43</v>
      </c>
      <c r="J246" s="539" t="s">
        <v>43</v>
      </c>
    </row>
    <row r="247" spans="1:10" ht="16" x14ac:dyDescent="0.2">
      <c r="A247" s="539">
        <v>244</v>
      </c>
      <c r="B247" s="539" t="s">
        <v>36</v>
      </c>
      <c r="C247" s="539" t="s">
        <v>467</v>
      </c>
      <c r="D247" s="539" t="s">
        <v>604</v>
      </c>
      <c r="E247" s="539"/>
      <c r="F247" s="539" t="s">
        <v>605</v>
      </c>
      <c r="G247" s="539" t="s">
        <v>519</v>
      </c>
      <c r="H247" s="539" t="s">
        <v>520</v>
      </c>
      <c r="I247" s="539" t="s">
        <v>43</v>
      </c>
      <c r="J247" s="539" t="s">
        <v>43</v>
      </c>
    </row>
    <row r="248" spans="1:10" ht="16" x14ac:dyDescent="0.2">
      <c r="A248" s="539">
        <v>245</v>
      </c>
      <c r="B248" s="539" t="s">
        <v>36</v>
      </c>
      <c r="C248" s="539" t="s">
        <v>467</v>
      </c>
      <c r="D248" s="539" t="s">
        <v>237</v>
      </c>
      <c r="E248" s="539" t="s">
        <v>606</v>
      </c>
      <c r="F248" s="539" t="s">
        <v>607</v>
      </c>
      <c r="G248" s="539" t="s">
        <v>608</v>
      </c>
      <c r="H248" s="539" t="s">
        <v>609</v>
      </c>
      <c r="I248" s="539" t="s">
        <v>59</v>
      </c>
      <c r="J248" s="539" t="s">
        <v>43</v>
      </c>
    </row>
    <row r="249" spans="1:10" ht="16" x14ac:dyDescent="0.2">
      <c r="A249" s="539">
        <v>246</v>
      </c>
      <c r="B249" s="539" t="s">
        <v>36</v>
      </c>
      <c r="C249" s="539" t="s">
        <v>467</v>
      </c>
      <c r="D249" s="539" t="s">
        <v>387</v>
      </c>
      <c r="E249" s="539" t="s">
        <v>610</v>
      </c>
      <c r="F249" s="539" t="s">
        <v>610</v>
      </c>
      <c r="G249" s="539" t="s">
        <v>611</v>
      </c>
      <c r="H249" s="539" t="s">
        <v>612</v>
      </c>
      <c r="I249" s="539" t="s">
        <v>43</v>
      </c>
      <c r="J249" s="539" t="s">
        <v>43</v>
      </c>
    </row>
    <row r="250" spans="1:10" ht="16" x14ac:dyDescent="0.2">
      <c r="A250" s="539">
        <v>247</v>
      </c>
      <c r="B250" s="539" t="s">
        <v>36</v>
      </c>
      <c r="C250" s="539" t="s">
        <v>467</v>
      </c>
      <c r="D250" s="539" t="s">
        <v>613</v>
      </c>
      <c r="E250" s="539" t="s">
        <v>614</v>
      </c>
      <c r="F250" s="539" t="s">
        <v>614</v>
      </c>
      <c r="G250" s="539" t="s">
        <v>615</v>
      </c>
      <c r="H250" s="539" t="s">
        <v>616</v>
      </c>
      <c r="I250" s="539" t="s">
        <v>43</v>
      </c>
      <c r="J250" s="539" t="s">
        <v>43</v>
      </c>
    </row>
    <row r="251" spans="1:10" ht="16" x14ac:dyDescent="0.2">
      <c r="A251" s="539">
        <v>248</v>
      </c>
      <c r="B251" s="539" t="s">
        <v>36</v>
      </c>
      <c r="C251" s="539" t="s">
        <v>467</v>
      </c>
      <c r="D251" s="539" t="s">
        <v>240</v>
      </c>
      <c r="E251" s="539" t="s">
        <v>617</v>
      </c>
      <c r="F251" s="539" t="s">
        <v>618</v>
      </c>
      <c r="G251" s="539" t="s">
        <v>608</v>
      </c>
      <c r="H251" s="539" t="s">
        <v>609</v>
      </c>
      <c r="I251" s="539" t="s">
        <v>59</v>
      </c>
      <c r="J251" s="539" t="s">
        <v>43</v>
      </c>
    </row>
    <row r="252" spans="1:10" ht="16" x14ac:dyDescent="0.2">
      <c r="A252" s="539">
        <v>249</v>
      </c>
      <c r="B252" s="539" t="s">
        <v>36</v>
      </c>
      <c r="C252" s="539" t="s">
        <v>467</v>
      </c>
      <c r="D252" s="539" t="s">
        <v>619</v>
      </c>
      <c r="E252" s="539" t="s">
        <v>620</v>
      </c>
      <c r="F252" s="539" t="s">
        <v>620</v>
      </c>
      <c r="G252" s="539" t="s">
        <v>611</v>
      </c>
      <c r="H252" s="539" t="s">
        <v>612</v>
      </c>
      <c r="I252" s="539" t="s">
        <v>43</v>
      </c>
      <c r="J252" s="539" t="s">
        <v>43</v>
      </c>
    </row>
    <row r="253" spans="1:10" ht="16" x14ac:dyDescent="0.2">
      <c r="A253" s="539">
        <v>250</v>
      </c>
      <c r="B253" s="539" t="s">
        <v>36</v>
      </c>
      <c r="C253" s="539" t="s">
        <v>467</v>
      </c>
      <c r="D253" s="539" t="s">
        <v>621</v>
      </c>
      <c r="E253" s="539" t="s">
        <v>622</v>
      </c>
      <c r="F253" s="539" t="s">
        <v>622</v>
      </c>
      <c r="G253" s="539" t="s">
        <v>615</v>
      </c>
      <c r="H253" s="539" t="s">
        <v>616</v>
      </c>
      <c r="I253" s="539" t="s">
        <v>43</v>
      </c>
      <c r="J253" s="539" t="s">
        <v>43</v>
      </c>
    </row>
    <row r="254" spans="1:10" ht="16" x14ac:dyDescent="0.2">
      <c r="A254" s="539">
        <v>251</v>
      </c>
      <c r="B254" s="539" t="s">
        <v>36</v>
      </c>
      <c r="C254" s="539" t="s">
        <v>467</v>
      </c>
      <c r="D254" s="539" t="s">
        <v>623</v>
      </c>
      <c r="E254" s="539" t="s">
        <v>624</v>
      </c>
      <c r="F254" s="539" t="s">
        <v>625</v>
      </c>
      <c r="G254" s="539" t="s">
        <v>608</v>
      </c>
      <c r="H254" s="539" t="s">
        <v>609</v>
      </c>
      <c r="I254" s="539" t="s">
        <v>59</v>
      </c>
      <c r="J254" s="539" t="s">
        <v>43</v>
      </c>
    </row>
    <row r="255" spans="1:10" ht="16" x14ac:dyDescent="0.2">
      <c r="A255" s="539">
        <v>252</v>
      </c>
      <c r="B255" s="539" t="s">
        <v>36</v>
      </c>
      <c r="C255" s="539" t="s">
        <v>467</v>
      </c>
      <c r="D255" s="539" t="s">
        <v>626</v>
      </c>
      <c r="E255" s="539" t="s">
        <v>627</v>
      </c>
      <c r="F255" s="539" t="s">
        <v>627</v>
      </c>
      <c r="G255" s="539" t="s">
        <v>611</v>
      </c>
      <c r="H255" s="539" t="s">
        <v>612</v>
      </c>
      <c r="I255" s="539" t="s">
        <v>43</v>
      </c>
      <c r="J255" s="539" t="s">
        <v>43</v>
      </c>
    </row>
    <row r="256" spans="1:10" ht="16" x14ac:dyDescent="0.2">
      <c r="A256" s="539">
        <v>253</v>
      </c>
      <c r="B256" s="539" t="s">
        <v>36</v>
      </c>
      <c r="C256" s="539" t="s">
        <v>467</v>
      </c>
      <c r="D256" s="539" t="s">
        <v>628</v>
      </c>
      <c r="E256" s="539" t="s">
        <v>629</v>
      </c>
      <c r="F256" s="539" t="s">
        <v>629</v>
      </c>
      <c r="G256" s="539" t="s">
        <v>615</v>
      </c>
      <c r="H256" s="539" t="s">
        <v>616</v>
      </c>
      <c r="I256" s="539" t="s">
        <v>43</v>
      </c>
      <c r="J256" s="539" t="s">
        <v>43</v>
      </c>
    </row>
    <row r="257" spans="1:10" ht="16" x14ac:dyDescent="0.2">
      <c r="A257" s="539">
        <v>254</v>
      </c>
      <c r="B257" s="539" t="s">
        <v>36</v>
      </c>
      <c r="C257" s="539" t="s">
        <v>467</v>
      </c>
      <c r="D257" s="539" t="s">
        <v>630</v>
      </c>
      <c r="E257" s="539"/>
      <c r="F257" s="539" t="s">
        <v>631</v>
      </c>
      <c r="G257" s="539" t="s">
        <v>608</v>
      </c>
      <c r="H257" s="539" t="s">
        <v>609</v>
      </c>
      <c r="I257" s="539" t="s">
        <v>59</v>
      </c>
      <c r="J257" s="539" t="s">
        <v>43</v>
      </c>
    </row>
    <row r="258" spans="1:10" ht="16" x14ac:dyDescent="0.2">
      <c r="A258" s="539">
        <v>255</v>
      </c>
      <c r="B258" s="539" t="s">
        <v>36</v>
      </c>
      <c r="C258" s="539" t="s">
        <v>467</v>
      </c>
      <c r="D258" s="539" t="s">
        <v>632</v>
      </c>
      <c r="E258" s="539"/>
      <c r="F258" s="539" t="s">
        <v>633</v>
      </c>
      <c r="G258" s="539" t="s">
        <v>611</v>
      </c>
      <c r="H258" s="539" t="s">
        <v>612</v>
      </c>
      <c r="I258" s="539" t="s">
        <v>43</v>
      </c>
      <c r="J258" s="539" t="s">
        <v>43</v>
      </c>
    </row>
    <row r="259" spans="1:10" ht="16" x14ac:dyDescent="0.2">
      <c r="A259" s="539">
        <v>256</v>
      </c>
      <c r="B259" s="539" t="s">
        <v>36</v>
      </c>
      <c r="C259" s="539" t="s">
        <v>467</v>
      </c>
      <c r="D259" s="539" t="s">
        <v>634</v>
      </c>
      <c r="E259" s="539"/>
      <c r="F259" s="539" t="s">
        <v>635</v>
      </c>
      <c r="G259" s="539" t="s">
        <v>615</v>
      </c>
      <c r="H259" s="539" t="s">
        <v>616</v>
      </c>
      <c r="I259" s="539" t="s">
        <v>43</v>
      </c>
      <c r="J259" s="539" t="s">
        <v>43</v>
      </c>
    </row>
    <row r="260" spans="1:10" ht="16" x14ac:dyDescent="0.2">
      <c r="A260" s="539">
        <v>257</v>
      </c>
      <c r="B260" s="539" t="s">
        <v>36</v>
      </c>
      <c r="C260" s="539" t="s">
        <v>467</v>
      </c>
      <c r="D260" s="539" t="s">
        <v>636</v>
      </c>
      <c r="E260" s="539"/>
      <c r="F260" s="539" t="s">
        <v>637</v>
      </c>
      <c r="G260" s="539" t="s">
        <v>608</v>
      </c>
      <c r="H260" s="539" t="s">
        <v>609</v>
      </c>
      <c r="I260" s="539" t="s">
        <v>59</v>
      </c>
      <c r="J260" s="539" t="s">
        <v>43</v>
      </c>
    </row>
    <row r="261" spans="1:10" ht="16" x14ac:dyDescent="0.2">
      <c r="A261" s="539">
        <v>258</v>
      </c>
      <c r="B261" s="539" t="s">
        <v>36</v>
      </c>
      <c r="C261" s="539" t="s">
        <v>467</v>
      </c>
      <c r="D261" s="539" t="s">
        <v>638</v>
      </c>
      <c r="E261" s="539"/>
      <c r="F261" s="539" t="s">
        <v>639</v>
      </c>
      <c r="G261" s="539" t="s">
        <v>611</v>
      </c>
      <c r="H261" s="539" t="s">
        <v>612</v>
      </c>
      <c r="I261" s="539" t="s">
        <v>43</v>
      </c>
      <c r="J261" s="539" t="s">
        <v>43</v>
      </c>
    </row>
    <row r="262" spans="1:10" ht="16" x14ac:dyDescent="0.2">
      <c r="A262" s="539">
        <v>259</v>
      </c>
      <c r="B262" s="539" t="s">
        <v>36</v>
      </c>
      <c r="C262" s="539" t="s">
        <v>467</v>
      </c>
      <c r="D262" s="539" t="s">
        <v>640</v>
      </c>
      <c r="E262" s="539"/>
      <c r="F262" s="539" t="s">
        <v>641</v>
      </c>
      <c r="G262" s="539" t="s">
        <v>615</v>
      </c>
      <c r="H262" s="539" t="s">
        <v>616</v>
      </c>
      <c r="I262" s="539" t="s">
        <v>43</v>
      </c>
      <c r="J262" s="539" t="s">
        <v>43</v>
      </c>
    </row>
    <row r="263" spans="1:10" ht="16" x14ac:dyDescent="0.2">
      <c r="A263" s="539">
        <v>260</v>
      </c>
      <c r="B263" s="539" t="s">
        <v>36</v>
      </c>
      <c r="C263" s="539" t="s">
        <v>467</v>
      </c>
      <c r="D263" s="539" t="s">
        <v>642</v>
      </c>
      <c r="E263" s="539" t="s">
        <v>398</v>
      </c>
      <c r="F263" s="539" t="s">
        <v>643</v>
      </c>
      <c r="G263" s="539" t="s">
        <v>644</v>
      </c>
      <c r="H263" s="539" t="s">
        <v>645</v>
      </c>
      <c r="I263" s="539" t="s">
        <v>43</v>
      </c>
      <c r="J263" s="539" t="s">
        <v>43</v>
      </c>
    </row>
    <row r="264" spans="1:10" ht="16" x14ac:dyDescent="0.2">
      <c r="A264" s="539">
        <v>261</v>
      </c>
      <c r="B264" s="539" t="s">
        <v>36</v>
      </c>
      <c r="C264" s="539" t="s">
        <v>467</v>
      </c>
      <c r="D264" s="539" t="s">
        <v>646</v>
      </c>
      <c r="E264" s="539" t="s">
        <v>647</v>
      </c>
      <c r="F264" s="539" t="s">
        <v>648</v>
      </c>
      <c r="G264" s="539" t="s">
        <v>649</v>
      </c>
      <c r="H264" s="539" t="s">
        <v>650</v>
      </c>
      <c r="I264" s="539" t="s">
        <v>43</v>
      </c>
      <c r="J264" s="539" t="s">
        <v>43</v>
      </c>
    </row>
    <row r="265" spans="1:10" ht="16" x14ac:dyDescent="0.2">
      <c r="A265" s="539">
        <v>262</v>
      </c>
      <c r="B265" s="539" t="s">
        <v>36</v>
      </c>
      <c r="C265" s="539" t="s">
        <v>467</v>
      </c>
      <c r="D265" s="539" t="s">
        <v>651</v>
      </c>
      <c r="E265" s="539" t="s">
        <v>652</v>
      </c>
      <c r="F265" s="539" t="s">
        <v>653</v>
      </c>
      <c r="G265" s="539" t="s">
        <v>654</v>
      </c>
      <c r="H265" s="539" t="s">
        <v>655</v>
      </c>
      <c r="I265" s="539" t="s">
        <v>43</v>
      </c>
      <c r="J265" s="539" t="s">
        <v>43</v>
      </c>
    </row>
    <row r="266" spans="1:10" ht="16" x14ac:dyDescent="0.2">
      <c r="A266" s="539">
        <v>263</v>
      </c>
      <c r="B266" s="539" t="s">
        <v>36</v>
      </c>
      <c r="C266" s="539" t="s">
        <v>467</v>
      </c>
      <c r="D266" s="539" t="s">
        <v>656</v>
      </c>
      <c r="E266" s="539" t="s">
        <v>657</v>
      </c>
      <c r="F266" s="539" t="s">
        <v>658</v>
      </c>
      <c r="G266" s="539" t="s">
        <v>659</v>
      </c>
      <c r="H266" s="539" t="s">
        <v>660</v>
      </c>
      <c r="I266" s="539" t="s">
        <v>43</v>
      </c>
      <c r="J266" s="539" t="s">
        <v>43</v>
      </c>
    </row>
    <row r="267" spans="1:10" ht="16" x14ac:dyDescent="0.2">
      <c r="A267" s="539">
        <v>264</v>
      </c>
      <c r="B267" s="539" t="s">
        <v>36</v>
      </c>
      <c r="C267" s="539" t="s">
        <v>467</v>
      </c>
      <c r="D267" s="539" t="s">
        <v>257</v>
      </c>
      <c r="E267" s="539" t="s">
        <v>661</v>
      </c>
      <c r="F267" s="539" t="s">
        <v>662</v>
      </c>
      <c r="G267" s="539" t="s">
        <v>663</v>
      </c>
      <c r="H267" s="539" t="s">
        <v>664</v>
      </c>
      <c r="I267" s="539" t="s">
        <v>43</v>
      </c>
      <c r="J267" s="539" t="s">
        <v>43</v>
      </c>
    </row>
    <row r="268" spans="1:10" ht="16" x14ac:dyDescent="0.2">
      <c r="A268" s="539">
        <v>265</v>
      </c>
      <c r="B268" s="539" t="s">
        <v>36</v>
      </c>
      <c r="C268" s="539" t="s">
        <v>467</v>
      </c>
      <c r="D268" s="539" t="s">
        <v>665</v>
      </c>
      <c r="E268" s="539" t="s">
        <v>666</v>
      </c>
      <c r="F268" s="539" t="s">
        <v>666</v>
      </c>
      <c r="G268" s="539" t="s">
        <v>409</v>
      </c>
      <c r="H268" s="539" t="s">
        <v>667</v>
      </c>
      <c r="I268" s="539" t="s">
        <v>43</v>
      </c>
      <c r="J268" s="539" t="s">
        <v>43</v>
      </c>
    </row>
    <row r="269" spans="1:10" ht="16" x14ac:dyDescent="0.2">
      <c r="A269" s="539">
        <v>266</v>
      </c>
      <c r="B269" s="539" t="s">
        <v>36</v>
      </c>
      <c r="C269" s="539" t="s">
        <v>467</v>
      </c>
      <c r="D269" s="539" t="s">
        <v>263</v>
      </c>
      <c r="E269" s="539" t="s">
        <v>412</v>
      </c>
      <c r="F269" s="539" t="s">
        <v>668</v>
      </c>
      <c r="G269" s="539" t="s">
        <v>669</v>
      </c>
      <c r="H269" s="539" t="s">
        <v>670</v>
      </c>
      <c r="I269" s="539" t="s">
        <v>43</v>
      </c>
      <c r="J269" s="539" t="s">
        <v>43</v>
      </c>
    </row>
    <row r="270" spans="1:10" ht="16" x14ac:dyDescent="0.2">
      <c r="A270" s="539">
        <v>267</v>
      </c>
      <c r="B270" s="539" t="s">
        <v>36</v>
      </c>
      <c r="C270" s="539" t="s">
        <v>467</v>
      </c>
      <c r="D270" s="539" t="s">
        <v>671</v>
      </c>
      <c r="E270" s="539" t="s">
        <v>672</v>
      </c>
      <c r="F270" s="539" t="s">
        <v>673</v>
      </c>
      <c r="G270" s="539" t="s">
        <v>674</v>
      </c>
      <c r="H270" s="539" t="s">
        <v>675</v>
      </c>
      <c r="I270" s="539" t="s">
        <v>43</v>
      </c>
      <c r="J270" s="539" t="s">
        <v>43</v>
      </c>
    </row>
    <row r="271" spans="1:10" ht="16" x14ac:dyDescent="0.2">
      <c r="A271" s="539">
        <v>268</v>
      </c>
      <c r="B271" s="539" t="s">
        <v>36</v>
      </c>
      <c r="C271" s="539" t="s">
        <v>467</v>
      </c>
      <c r="D271" s="539" t="s">
        <v>676</v>
      </c>
      <c r="E271" s="539" t="s">
        <v>677</v>
      </c>
      <c r="F271" s="539" t="s">
        <v>119</v>
      </c>
      <c r="G271" s="539" t="s">
        <v>678</v>
      </c>
      <c r="H271" s="539" t="s">
        <v>679</v>
      </c>
      <c r="I271" s="539" t="s">
        <v>43</v>
      </c>
      <c r="J271" s="539" t="s">
        <v>43</v>
      </c>
    </row>
    <row r="272" spans="1:10" ht="16" x14ac:dyDescent="0.2">
      <c r="A272" s="539">
        <v>269</v>
      </c>
      <c r="B272" s="539" t="s">
        <v>36</v>
      </c>
      <c r="C272" s="539" t="s">
        <v>467</v>
      </c>
      <c r="D272" s="539" t="s">
        <v>680</v>
      </c>
      <c r="E272" s="539" t="s">
        <v>681</v>
      </c>
      <c r="F272" s="539" t="s">
        <v>681</v>
      </c>
      <c r="G272" s="539" t="s">
        <v>682</v>
      </c>
      <c r="H272" s="539" t="s">
        <v>683</v>
      </c>
      <c r="I272" s="539" t="s">
        <v>43</v>
      </c>
      <c r="J272" s="539" t="s">
        <v>43</v>
      </c>
    </row>
    <row r="273" spans="1:10" ht="16" x14ac:dyDescent="0.2">
      <c r="A273" s="539">
        <v>270</v>
      </c>
      <c r="B273" s="539" t="s">
        <v>36</v>
      </c>
      <c r="C273" s="539" t="s">
        <v>467</v>
      </c>
      <c r="D273" s="539" t="s">
        <v>684</v>
      </c>
      <c r="E273" s="539" t="s">
        <v>427</v>
      </c>
      <c r="F273" s="539" t="s">
        <v>119</v>
      </c>
      <c r="G273" s="539" t="s">
        <v>428</v>
      </c>
      <c r="H273" s="539" t="s">
        <v>429</v>
      </c>
      <c r="I273" s="539" t="s">
        <v>43</v>
      </c>
      <c r="J273" s="539" t="s">
        <v>43</v>
      </c>
    </row>
    <row r="274" spans="1:10" ht="16" x14ac:dyDescent="0.2">
      <c r="A274" s="539">
        <v>271</v>
      </c>
      <c r="B274" s="539" t="s">
        <v>36</v>
      </c>
      <c r="C274" s="539" t="s">
        <v>467</v>
      </c>
      <c r="D274" s="539" t="s">
        <v>685</v>
      </c>
      <c r="E274" s="539" t="s">
        <v>686</v>
      </c>
      <c r="F274" s="539" t="s">
        <v>686</v>
      </c>
      <c r="G274" s="539" t="s">
        <v>432</v>
      </c>
      <c r="H274" s="539" t="s">
        <v>429</v>
      </c>
      <c r="I274" s="539" t="s">
        <v>43</v>
      </c>
      <c r="J274" s="539" t="s">
        <v>43</v>
      </c>
    </row>
    <row r="275" spans="1:10" ht="16" x14ac:dyDescent="0.2">
      <c r="A275" s="539">
        <v>272</v>
      </c>
      <c r="B275" s="539" t="s">
        <v>36</v>
      </c>
      <c r="C275" s="539" t="s">
        <v>467</v>
      </c>
      <c r="D275" s="539" t="s">
        <v>426</v>
      </c>
      <c r="E275" s="539" t="s">
        <v>687</v>
      </c>
      <c r="F275" s="539" t="s">
        <v>687</v>
      </c>
      <c r="G275" s="539" t="s">
        <v>435</v>
      </c>
      <c r="H275" s="539" t="s">
        <v>436</v>
      </c>
      <c r="I275" s="539" t="s">
        <v>43</v>
      </c>
      <c r="J275" s="539" t="s">
        <v>43</v>
      </c>
    </row>
    <row r="276" spans="1:10" ht="16" x14ac:dyDescent="0.2">
      <c r="A276" s="539">
        <v>273</v>
      </c>
      <c r="B276" s="539" t="s">
        <v>36</v>
      </c>
      <c r="C276" s="539" t="s">
        <v>467</v>
      </c>
      <c r="D276" s="539" t="s">
        <v>688</v>
      </c>
      <c r="E276" s="539" t="s">
        <v>438</v>
      </c>
      <c r="F276" s="539" t="s">
        <v>119</v>
      </c>
      <c r="G276" s="539" t="s">
        <v>439</v>
      </c>
      <c r="H276" s="539" t="s">
        <v>440</v>
      </c>
      <c r="I276" s="539" t="s">
        <v>43</v>
      </c>
      <c r="J276" s="539" t="s">
        <v>43</v>
      </c>
    </row>
    <row r="277" spans="1:10" ht="16" x14ac:dyDescent="0.2">
      <c r="A277" s="539">
        <v>274</v>
      </c>
      <c r="B277" s="539" t="s">
        <v>36</v>
      </c>
      <c r="C277" s="539" t="s">
        <v>467</v>
      </c>
      <c r="D277" s="539" t="s">
        <v>689</v>
      </c>
      <c r="E277" s="539" t="s">
        <v>690</v>
      </c>
      <c r="F277" s="539" t="s">
        <v>690</v>
      </c>
      <c r="G277" s="539" t="s">
        <v>442</v>
      </c>
      <c r="H277" s="539" t="s">
        <v>440</v>
      </c>
      <c r="I277" s="539" t="s">
        <v>43</v>
      </c>
      <c r="J277" s="539" t="s">
        <v>43</v>
      </c>
    </row>
    <row r="278" spans="1:10" ht="16" x14ac:dyDescent="0.2">
      <c r="A278" s="539">
        <v>275</v>
      </c>
      <c r="B278" s="539" t="s">
        <v>36</v>
      </c>
      <c r="C278" s="539" t="s">
        <v>467</v>
      </c>
      <c r="D278" s="539" t="s">
        <v>437</v>
      </c>
      <c r="E278" s="539" t="s">
        <v>691</v>
      </c>
      <c r="F278" s="539" t="s">
        <v>691</v>
      </c>
      <c r="G278" s="539" t="s">
        <v>444</v>
      </c>
      <c r="H278" s="539" t="s">
        <v>692</v>
      </c>
      <c r="I278" s="539" t="s">
        <v>43</v>
      </c>
      <c r="J278" s="539" t="s">
        <v>43</v>
      </c>
    </row>
    <row r="279" spans="1:10" ht="16" x14ac:dyDescent="0.2">
      <c r="A279" s="539">
        <v>276</v>
      </c>
      <c r="B279" s="539" t="s">
        <v>36</v>
      </c>
      <c r="C279" s="539" t="s">
        <v>467</v>
      </c>
      <c r="D279" s="539" t="s">
        <v>693</v>
      </c>
      <c r="E279" s="539" t="s">
        <v>694</v>
      </c>
      <c r="F279" s="539" t="s">
        <v>695</v>
      </c>
      <c r="G279" s="539" t="s">
        <v>696</v>
      </c>
      <c r="H279" s="539" t="s">
        <v>697</v>
      </c>
      <c r="I279" s="539" t="s">
        <v>43</v>
      </c>
      <c r="J279" s="539" t="s">
        <v>43</v>
      </c>
    </row>
    <row r="280" spans="1:10" ht="16" x14ac:dyDescent="0.2">
      <c r="A280" s="539">
        <v>277</v>
      </c>
      <c r="B280" s="539" t="s">
        <v>36</v>
      </c>
      <c r="C280" s="539" t="s">
        <v>467</v>
      </c>
      <c r="D280" s="539" t="s">
        <v>698</v>
      </c>
      <c r="E280" s="539" t="s">
        <v>699</v>
      </c>
      <c r="F280" s="539" t="s">
        <v>700</v>
      </c>
      <c r="G280" s="539" t="s">
        <v>701</v>
      </c>
      <c r="H280" s="539" t="s">
        <v>702</v>
      </c>
      <c r="I280" s="539" t="s">
        <v>59</v>
      </c>
      <c r="J280" s="539" t="s">
        <v>43</v>
      </c>
    </row>
    <row r="281" spans="1:10" ht="16" x14ac:dyDescent="0.2">
      <c r="A281" s="539">
        <v>278</v>
      </c>
      <c r="B281" s="539" t="s">
        <v>36</v>
      </c>
      <c r="C281" s="539" t="s">
        <v>467</v>
      </c>
      <c r="D281" s="539" t="s">
        <v>703</v>
      </c>
      <c r="E281" s="539" t="s">
        <v>704</v>
      </c>
      <c r="F281" s="539" t="s">
        <v>704</v>
      </c>
      <c r="G281" s="539" t="s">
        <v>705</v>
      </c>
      <c r="H281" s="539" t="s">
        <v>706</v>
      </c>
      <c r="I281" s="539" t="s">
        <v>43</v>
      </c>
      <c r="J281" s="539" t="s">
        <v>43</v>
      </c>
    </row>
    <row r="282" spans="1:10" ht="16" x14ac:dyDescent="0.2">
      <c r="A282" s="539">
        <v>279</v>
      </c>
      <c r="B282" s="539" t="s">
        <v>36</v>
      </c>
      <c r="C282" s="539" t="s">
        <v>467</v>
      </c>
      <c r="D282" s="539" t="s">
        <v>707</v>
      </c>
      <c r="E282" s="539" t="s">
        <v>708</v>
      </c>
      <c r="F282" s="539" t="s">
        <v>708</v>
      </c>
      <c r="G282" s="539" t="s">
        <v>709</v>
      </c>
      <c r="H282" s="539" t="s">
        <v>710</v>
      </c>
      <c r="I282" s="539" t="s">
        <v>43</v>
      </c>
      <c r="J282" s="539" t="s">
        <v>43</v>
      </c>
    </row>
    <row r="283" spans="1:10" ht="16" x14ac:dyDescent="0.2">
      <c r="A283" s="539">
        <v>280</v>
      </c>
      <c r="B283" s="539" t="s">
        <v>36</v>
      </c>
      <c r="C283" s="539" t="s">
        <v>467</v>
      </c>
      <c r="D283" s="539" t="s">
        <v>711</v>
      </c>
      <c r="E283" s="539" t="s">
        <v>712</v>
      </c>
      <c r="F283" s="539" t="s">
        <v>460</v>
      </c>
      <c r="G283" s="539" t="s">
        <v>461</v>
      </c>
      <c r="H283" s="539" t="s">
        <v>462</v>
      </c>
      <c r="I283" s="539" t="s">
        <v>43</v>
      </c>
      <c r="J283" s="539" t="s">
        <v>43</v>
      </c>
    </row>
    <row r="284" spans="1:10" ht="16" x14ac:dyDescent="0.2">
      <c r="A284" s="539">
        <v>281</v>
      </c>
      <c r="B284" s="539" t="s">
        <v>36</v>
      </c>
      <c r="C284" s="539" t="s">
        <v>467</v>
      </c>
      <c r="D284" s="539" t="s">
        <v>713</v>
      </c>
      <c r="E284" s="539" t="s">
        <v>714</v>
      </c>
      <c r="F284" s="539" t="s">
        <v>714</v>
      </c>
      <c r="G284" s="539" t="s">
        <v>465</v>
      </c>
      <c r="H284" s="539" t="s">
        <v>715</v>
      </c>
      <c r="I284" s="539" t="s">
        <v>43</v>
      </c>
      <c r="J284" s="539" t="s">
        <v>43</v>
      </c>
    </row>
    <row r="285" spans="1:10" ht="16" x14ac:dyDescent="0.2">
      <c r="A285" s="539">
        <v>282</v>
      </c>
      <c r="B285" s="539" t="s">
        <v>36</v>
      </c>
      <c r="C285" s="539" t="s">
        <v>716</v>
      </c>
      <c r="D285" s="539" t="s">
        <v>717</v>
      </c>
      <c r="E285" s="539" t="s">
        <v>427</v>
      </c>
      <c r="F285" s="539" t="s">
        <v>119</v>
      </c>
      <c r="G285" s="539" t="s">
        <v>428</v>
      </c>
      <c r="H285" s="539" t="s">
        <v>429</v>
      </c>
      <c r="I285" s="539" t="s">
        <v>43</v>
      </c>
      <c r="J285" s="539" t="s">
        <v>43</v>
      </c>
    </row>
    <row r="286" spans="1:10" ht="16" x14ac:dyDescent="0.2">
      <c r="A286" s="539">
        <v>283</v>
      </c>
      <c r="B286" s="539" t="s">
        <v>36</v>
      </c>
      <c r="C286" s="539" t="s">
        <v>716</v>
      </c>
      <c r="D286" s="539" t="s">
        <v>718</v>
      </c>
      <c r="E286" s="539" t="s">
        <v>719</v>
      </c>
      <c r="F286" s="539" t="s">
        <v>720</v>
      </c>
      <c r="G286" s="539" t="s">
        <v>432</v>
      </c>
      <c r="H286" s="539" t="s">
        <v>429</v>
      </c>
      <c r="I286" s="539" t="s">
        <v>43</v>
      </c>
      <c r="J286" s="539" t="s">
        <v>43</v>
      </c>
    </row>
    <row r="287" spans="1:10" ht="16" x14ac:dyDescent="0.2">
      <c r="A287" s="539">
        <v>284</v>
      </c>
      <c r="B287" s="539" t="s">
        <v>36</v>
      </c>
      <c r="C287" s="539" t="s">
        <v>716</v>
      </c>
      <c r="D287" s="539" t="s">
        <v>721</v>
      </c>
      <c r="E287" s="539" t="s">
        <v>722</v>
      </c>
      <c r="F287" s="539" t="s">
        <v>723</v>
      </c>
      <c r="G287" s="539" t="s">
        <v>435</v>
      </c>
      <c r="H287" s="539" t="s">
        <v>436</v>
      </c>
      <c r="I287" s="539" t="s">
        <v>43</v>
      </c>
      <c r="J287" s="539" t="s">
        <v>43</v>
      </c>
    </row>
    <row r="288" spans="1:10" ht="16" x14ac:dyDescent="0.2">
      <c r="A288" s="539">
        <v>285</v>
      </c>
      <c r="B288" s="539" t="s">
        <v>36</v>
      </c>
      <c r="C288" s="539" t="s">
        <v>716</v>
      </c>
      <c r="D288" s="539" t="s">
        <v>724</v>
      </c>
      <c r="E288" s="539" t="s">
        <v>438</v>
      </c>
      <c r="F288" s="539" t="s">
        <v>119</v>
      </c>
      <c r="G288" s="539" t="s">
        <v>439</v>
      </c>
      <c r="H288" s="539" t="s">
        <v>440</v>
      </c>
      <c r="I288" s="539" t="s">
        <v>43</v>
      </c>
      <c r="J288" s="539" t="s">
        <v>43</v>
      </c>
    </row>
    <row r="289" spans="1:10" ht="16" x14ac:dyDescent="0.2">
      <c r="A289" s="539">
        <v>286</v>
      </c>
      <c r="B289" s="539" t="s">
        <v>36</v>
      </c>
      <c r="C289" s="539" t="s">
        <v>716</v>
      </c>
      <c r="D289" s="539" t="s">
        <v>725</v>
      </c>
      <c r="E289" s="539" t="s">
        <v>726</v>
      </c>
      <c r="F289" s="539" t="s">
        <v>727</v>
      </c>
      <c r="G289" s="539" t="s">
        <v>442</v>
      </c>
      <c r="H289" s="539" t="s">
        <v>440</v>
      </c>
      <c r="I289" s="539" t="s">
        <v>43</v>
      </c>
      <c r="J289" s="539" t="s">
        <v>43</v>
      </c>
    </row>
    <row r="290" spans="1:10" ht="16" x14ac:dyDescent="0.2">
      <c r="A290" s="539">
        <v>287</v>
      </c>
      <c r="B290" s="539" t="s">
        <v>36</v>
      </c>
      <c r="C290" s="539" t="s">
        <v>716</v>
      </c>
      <c r="D290" s="539" t="s">
        <v>728</v>
      </c>
      <c r="E290" s="539" t="s">
        <v>729</v>
      </c>
      <c r="F290" s="539" t="s">
        <v>730</v>
      </c>
      <c r="G290" s="539" t="s">
        <v>444</v>
      </c>
      <c r="H290" s="539" t="s">
        <v>731</v>
      </c>
      <c r="I290" s="539" t="s">
        <v>43</v>
      </c>
      <c r="J290" s="539" t="s">
        <v>43</v>
      </c>
    </row>
    <row r="291" spans="1:10" ht="16" x14ac:dyDescent="0.2">
      <c r="A291" s="539">
        <v>288</v>
      </c>
      <c r="B291" s="539" t="s">
        <v>36</v>
      </c>
      <c r="C291" s="539" t="s">
        <v>716</v>
      </c>
      <c r="D291" s="539" t="s">
        <v>732</v>
      </c>
      <c r="E291" s="539" t="s">
        <v>694</v>
      </c>
      <c r="F291" s="539" t="s">
        <v>695</v>
      </c>
      <c r="G291" s="539" t="s">
        <v>696</v>
      </c>
      <c r="H291" s="539" t="s">
        <v>697</v>
      </c>
      <c r="I291" s="539" t="s">
        <v>43</v>
      </c>
      <c r="J291" s="539" t="s">
        <v>43</v>
      </c>
    </row>
    <row r="292" spans="1:10" ht="16" x14ac:dyDescent="0.2">
      <c r="A292" s="539">
        <v>289</v>
      </c>
      <c r="B292" s="539" t="s">
        <v>36</v>
      </c>
      <c r="C292" s="539" t="s">
        <v>716</v>
      </c>
      <c r="D292" s="539" t="s">
        <v>733</v>
      </c>
      <c r="E292" s="539" t="s">
        <v>734</v>
      </c>
      <c r="F292" s="539" t="s">
        <v>700</v>
      </c>
      <c r="G292" s="539" t="s">
        <v>735</v>
      </c>
      <c r="H292" s="539" t="s">
        <v>702</v>
      </c>
      <c r="I292" s="539" t="s">
        <v>59</v>
      </c>
      <c r="J292" s="539" t="s">
        <v>43</v>
      </c>
    </row>
    <row r="293" spans="1:10" ht="16" x14ac:dyDescent="0.2">
      <c r="A293" s="539">
        <v>290</v>
      </c>
      <c r="B293" s="539" t="s">
        <v>36</v>
      </c>
      <c r="C293" s="539" t="s">
        <v>716</v>
      </c>
      <c r="D293" s="539" t="s">
        <v>736</v>
      </c>
      <c r="E293" s="539" t="s">
        <v>737</v>
      </c>
      <c r="F293" s="539" t="s">
        <v>738</v>
      </c>
      <c r="G293" s="539" t="s">
        <v>705</v>
      </c>
      <c r="H293" s="539" t="s">
        <v>739</v>
      </c>
      <c r="I293" s="539" t="s">
        <v>43</v>
      </c>
      <c r="J293" s="539" t="s">
        <v>43</v>
      </c>
    </row>
    <row r="294" spans="1:10" ht="16" x14ac:dyDescent="0.2">
      <c r="A294" s="539">
        <v>291</v>
      </c>
      <c r="B294" s="539" t="s">
        <v>36</v>
      </c>
      <c r="C294" s="539" t="s">
        <v>716</v>
      </c>
      <c r="D294" s="539" t="s">
        <v>740</v>
      </c>
      <c r="E294" s="539"/>
      <c r="F294" s="539" t="s">
        <v>465</v>
      </c>
      <c r="G294" s="539" t="s">
        <v>741</v>
      </c>
      <c r="H294" s="539" t="s">
        <v>742</v>
      </c>
      <c r="I294" s="539" t="s">
        <v>59</v>
      </c>
      <c r="J294" s="539" t="s">
        <v>43</v>
      </c>
    </row>
    <row r="295" spans="1:10" ht="16" x14ac:dyDescent="0.2">
      <c r="A295" s="539">
        <v>292</v>
      </c>
      <c r="B295" s="539" t="s">
        <v>36</v>
      </c>
      <c r="C295" s="539" t="s">
        <v>716</v>
      </c>
      <c r="D295" s="539" t="s">
        <v>743</v>
      </c>
      <c r="E295" s="539" t="s">
        <v>744</v>
      </c>
      <c r="F295" s="539" t="s">
        <v>745</v>
      </c>
      <c r="G295" s="539" t="s">
        <v>465</v>
      </c>
      <c r="H295" s="539" t="s">
        <v>746</v>
      </c>
      <c r="I295" s="539" t="s">
        <v>43</v>
      </c>
      <c r="J295" s="539" t="s">
        <v>43</v>
      </c>
    </row>
    <row r="296" spans="1:10" ht="16" x14ac:dyDescent="0.2">
      <c r="A296" s="539">
        <v>293</v>
      </c>
      <c r="B296" s="539" t="s">
        <v>36</v>
      </c>
      <c r="C296" s="539" t="s">
        <v>747</v>
      </c>
      <c r="D296" s="539" t="s">
        <v>748</v>
      </c>
      <c r="E296" s="539" t="s">
        <v>749</v>
      </c>
      <c r="F296" s="539" t="s">
        <v>750</v>
      </c>
      <c r="G296" s="539" t="s">
        <v>751</v>
      </c>
      <c r="H296" s="539" t="s">
        <v>752</v>
      </c>
      <c r="I296" s="539" t="s">
        <v>59</v>
      </c>
      <c r="J296" s="539" t="s">
        <v>43</v>
      </c>
    </row>
    <row r="297" spans="1:10" ht="16" x14ac:dyDescent="0.2">
      <c r="A297" s="539">
        <v>294</v>
      </c>
      <c r="B297" s="539" t="s">
        <v>36</v>
      </c>
      <c r="C297" s="539" t="s">
        <v>747</v>
      </c>
      <c r="D297" s="539" t="s">
        <v>753</v>
      </c>
      <c r="E297" s="539" t="s">
        <v>754</v>
      </c>
      <c r="F297" s="539" t="s">
        <v>755</v>
      </c>
      <c r="G297" s="539" t="s">
        <v>756</v>
      </c>
      <c r="H297" s="539" t="s">
        <v>757</v>
      </c>
      <c r="I297" s="539" t="s">
        <v>59</v>
      </c>
      <c r="J297" s="539" t="s">
        <v>43</v>
      </c>
    </row>
    <row r="298" spans="1:10" ht="16" x14ac:dyDescent="0.2">
      <c r="A298" s="539">
        <v>295</v>
      </c>
      <c r="B298" s="539" t="s">
        <v>36</v>
      </c>
      <c r="C298" s="539" t="s">
        <v>747</v>
      </c>
      <c r="D298" s="539" t="s">
        <v>758</v>
      </c>
      <c r="E298" s="539" t="s">
        <v>759</v>
      </c>
      <c r="F298" s="539" t="s">
        <v>760</v>
      </c>
      <c r="G298" s="539" t="s">
        <v>756</v>
      </c>
      <c r="H298" s="539" t="s">
        <v>757</v>
      </c>
      <c r="I298" s="539" t="s">
        <v>59</v>
      </c>
      <c r="J298" s="539" t="s">
        <v>43</v>
      </c>
    </row>
    <row r="299" spans="1:10" ht="16" x14ac:dyDescent="0.2">
      <c r="A299" s="539">
        <v>296</v>
      </c>
      <c r="B299" s="539" t="s">
        <v>36</v>
      </c>
      <c r="C299" s="539" t="s">
        <v>761</v>
      </c>
      <c r="D299" s="539" t="s">
        <v>762</v>
      </c>
      <c r="E299" s="539" t="s">
        <v>763</v>
      </c>
      <c r="F299" s="539" t="s">
        <v>764</v>
      </c>
      <c r="G299" s="539" t="s">
        <v>765</v>
      </c>
      <c r="H299" s="539" t="s">
        <v>766</v>
      </c>
      <c r="I299" s="539" t="s">
        <v>59</v>
      </c>
      <c r="J299" s="539" t="s">
        <v>43</v>
      </c>
    </row>
    <row r="300" spans="1:10" ht="16" x14ac:dyDescent="0.2">
      <c r="A300" s="539">
        <v>297</v>
      </c>
      <c r="B300" s="539" t="s">
        <v>36</v>
      </c>
      <c r="C300" s="539" t="s">
        <v>761</v>
      </c>
      <c r="D300" s="539" t="s">
        <v>38</v>
      </c>
      <c r="E300" s="539" t="s">
        <v>767</v>
      </c>
      <c r="F300" s="539" t="s">
        <v>767</v>
      </c>
      <c r="G300" s="539" t="s">
        <v>768</v>
      </c>
      <c r="H300" s="539" t="s">
        <v>769</v>
      </c>
      <c r="I300" s="539" t="s">
        <v>43</v>
      </c>
      <c r="J300" s="539" t="s">
        <v>43</v>
      </c>
    </row>
    <row r="301" spans="1:10" ht="16" x14ac:dyDescent="0.2">
      <c r="A301" s="539">
        <v>298</v>
      </c>
      <c r="B301" s="539" t="s">
        <v>36</v>
      </c>
      <c r="C301" s="539" t="s">
        <v>761</v>
      </c>
      <c r="D301" s="539" t="s">
        <v>203</v>
      </c>
      <c r="E301" s="539" t="s">
        <v>770</v>
      </c>
      <c r="F301" s="539" t="s">
        <v>770</v>
      </c>
      <c r="G301" s="539" t="s">
        <v>771</v>
      </c>
      <c r="H301" s="539" t="s">
        <v>772</v>
      </c>
      <c r="I301" s="539" t="s">
        <v>43</v>
      </c>
      <c r="J301" s="539" t="s">
        <v>43</v>
      </c>
    </row>
    <row r="302" spans="1:10" ht="16" x14ac:dyDescent="0.2">
      <c r="A302" s="539">
        <v>299</v>
      </c>
      <c r="B302" s="539" t="s">
        <v>36</v>
      </c>
      <c r="C302" s="539" t="s">
        <v>761</v>
      </c>
      <c r="D302" s="539" t="s">
        <v>207</v>
      </c>
      <c r="E302" s="539" t="s">
        <v>773</v>
      </c>
      <c r="F302" s="539" t="s">
        <v>773</v>
      </c>
      <c r="G302" s="539" t="s">
        <v>774</v>
      </c>
      <c r="H302" s="539" t="s">
        <v>775</v>
      </c>
      <c r="I302" s="539" t="s">
        <v>43</v>
      </c>
      <c r="J302" s="539" t="s">
        <v>43</v>
      </c>
    </row>
    <row r="303" spans="1:10" ht="32" x14ac:dyDescent="0.2">
      <c r="A303" s="539">
        <v>300</v>
      </c>
      <c r="B303" s="539" t="s">
        <v>776</v>
      </c>
      <c r="C303" s="539" t="s">
        <v>777</v>
      </c>
      <c r="D303" s="539" t="s">
        <v>778</v>
      </c>
      <c r="E303" s="539" t="s">
        <v>779</v>
      </c>
      <c r="F303" s="539" t="s">
        <v>780</v>
      </c>
      <c r="G303" s="539" t="s">
        <v>781</v>
      </c>
      <c r="H303" s="539" t="s">
        <v>782</v>
      </c>
      <c r="I303" s="539" t="s">
        <v>43</v>
      </c>
      <c r="J303" s="539" t="s">
        <v>43</v>
      </c>
    </row>
    <row r="304" spans="1:10" ht="32" x14ac:dyDescent="0.2">
      <c r="A304" s="539">
        <v>301</v>
      </c>
      <c r="B304" s="539" t="s">
        <v>776</v>
      </c>
      <c r="C304" s="539" t="s">
        <v>53</v>
      </c>
      <c r="D304" s="539" t="s">
        <v>783</v>
      </c>
      <c r="E304" s="539" t="s">
        <v>784</v>
      </c>
      <c r="F304" s="539" t="s">
        <v>119</v>
      </c>
      <c r="G304" s="539" t="s">
        <v>785</v>
      </c>
      <c r="H304" s="539" t="s">
        <v>786</v>
      </c>
      <c r="I304" s="539" t="s">
        <v>43</v>
      </c>
      <c r="J304" s="539" t="s">
        <v>43</v>
      </c>
    </row>
    <row r="305" spans="1:10" ht="32" x14ac:dyDescent="0.2">
      <c r="A305" s="539">
        <v>302</v>
      </c>
      <c r="B305" s="539" t="s">
        <v>776</v>
      </c>
      <c r="C305" s="539" t="s">
        <v>53</v>
      </c>
      <c r="D305" s="539" t="s">
        <v>787</v>
      </c>
      <c r="E305" s="539" t="s">
        <v>788</v>
      </c>
      <c r="F305" s="539" t="s">
        <v>119</v>
      </c>
      <c r="G305" s="539" t="s">
        <v>785</v>
      </c>
      <c r="H305" s="539" t="s">
        <v>786</v>
      </c>
      <c r="I305" s="539" t="s">
        <v>43</v>
      </c>
      <c r="J305" s="539" t="s">
        <v>43</v>
      </c>
    </row>
    <row r="306" spans="1:10" ht="32" x14ac:dyDescent="0.2">
      <c r="A306" s="539">
        <v>303</v>
      </c>
      <c r="B306" s="539" t="s">
        <v>776</v>
      </c>
      <c r="C306" s="539" t="s">
        <v>53</v>
      </c>
      <c r="D306" s="539" t="s">
        <v>789</v>
      </c>
      <c r="E306" s="539" t="s">
        <v>790</v>
      </c>
      <c r="F306" s="539" t="s">
        <v>119</v>
      </c>
      <c r="G306" s="539" t="s">
        <v>785</v>
      </c>
      <c r="H306" s="539" t="s">
        <v>786</v>
      </c>
      <c r="I306" s="539" t="s">
        <v>43</v>
      </c>
      <c r="J306" s="539" t="s">
        <v>43</v>
      </c>
    </row>
    <row r="307" spans="1:10" ht="32" x14ac:dyDescent="0.2">
      <c r="A307" s="539">
        <v>304</v>
      </c>
      <c r="B307" s="539" t="s">
        <v>776</v>
      </c>
      <c r="C307" s="539" t="s">
        <v>53</v>
      </c>
      <c r="D307" s="539" t="s">
        <v>791</v>
      </c>
      <c r="E307" s="539" t="s">
        <v>792</v>
      </c>
      <c r="F307" s="539" t="s">
        <v>119</v>
      </c>
      <c r="G307" s="539" t="s">
        <v>785</v>
      </c>
      <c r="H307" s="539" t="s">
        <v>786</v>
      </c>
      <c r="I307" s="539" t="s">
        <v>43</v>
      </c>
      <c r="J307" s="539" t="s">
        <v>43</v>
      </c>
    </row>
    <row r="308" spans="1:10" ht="32" x14ac:dyDescent="0.2">
      <c r="A308" s="539">
        <v>305</v>
      </c>
      <c r="B308" s="539" t="s">
        <v>776</v>
      </c>
      <c r="C308" s="539" t="s">
        <v>53</v>
      </c>
      <c r="D308" s="539" t="s">
        <v>793</v>
      </c>
      <c r="E308" s="539" t="s">
        <v>794</v>
      </c>
      <c r="F308" s="539" t="s">
        <v>119</v>
      </c>
      <c r="G308" s="539" t="s">
        <v>785</v>
      </c>
      <c r="H308" s="539" t="s">
        <v>786</v>
      </c>
      <c r="I308" s="539" t="s">
        <v>43</v>
      </c>
      <c r="J308" s="539" t="s">
        <v>43</v>
      </c>
    </row>
    <row r="309" spans="1:10" ht="32" x14ac:dyDescent="0.2">
      <c r="A309" s="539">
        <v>306</v>
      </c>
      <c r="B309" s="539" t="s">
        <v>776</v>
      </c>
      <c r="C309" s="539" t="s">
        <v>53</v>
      </c>
      <c r="D309" s="539" t="s">
        <v>795</v>
      </c>
      <c r="E309" s="539" t="s">
        <v>796</v>
      </c>
      <c r="F309" s="539" t="s">
        <v>119</v>
      </c>
      <c r="G309" s="539" t="s">
        <v>785</v>
      </c>
      <c r="H309" s="539" t="s">
        <v>786</v>
      </c>
      <c r="I309" s="539" t="s">
        <v>43</v>
      </c>
      <c r="J309" s="539" t="s">
        <v>43</v>
      </c>
    </row>
    <row r="310" spans="1:10" ht="32" x14ac:dyDescent="0.2">
      <c r="A310" s="539">
        <v>307</v>
      </c>
      <c r="B310" s="539" t="s">
        <v>776</v>
      </c>
      <c r="C310" s="539" t="s">
        <v>53</v>
      </c>
      <c r="D310" s="539" t="s">
        <v>797</v>
      </c>
      <c r="E310" s="539" t="s">
        <v>798</v>
      </c>
      <c r="F310" s="539" t="s">
        <v>119</v>
      </c>
      <c r="G310" s="539" t="s">
        <v>785</v>
      </c>
      <c r="H310" s="539" t="s">
        <v>786</v>
      </c>
      <c r="I310" s="539" t="s">
        <v>43</v>
      </c>
      <c r="J310" s="539" t="s">
        <v>43</v>
      </c>
    </row>
    <row r="311" spans="1:10" ht="32" x14ac:dyDescent="0.2">
      <c r="A311" s="539">
        <v>308</v>
      </c>
      <c r="B311" s="539" t="s">
        <v>776</v>
      </c>
      <c r="C311" s="539" t="s">
        <v>53</v>
      </c>
      <c r="D311" s="539" t="s">
        <v>799</v>
      </c>
      <c r="E311" s="539" t="s">
        <v>800</v>
      </c>
      <c r="F311" s="539" t="s">
        <v>119</v>
      </c>
      <c r="G311" s="539" t="s">
        <v>785</v>
      </c>
      <c r="H311" s="539" t="s">
        <v>786</v>
      </c>
      <c r="I311" s="539" t="s">
        <v>43</v>
      </c>
      <c r="J311" s="539" t="s">
        <v>43</v>
      </c>
    </row>
    <row r="312" spans="1:10" ht="32" x14ac:dyDescent="0.2">
      <c r="A312" s="539">
        <v>309</v>
      </c>
      <c r="B312" s="539" t="s">
        <v>776</v>
      </c>
      <c r="C312" s="539" t="s">
        <v>53</v>
      </c>
      <c r="D312" s="539" t="s">
        <v>801</v>
      </c>
      <c r="E312" s="539" t="s">
        <v>802</v>
      </c>
      <c r="F312" s="539" t="s">
        <v>119</v>
      </c>
      <c r="G312" s="539" t="s">
        <v>785</v>
      </c>
      <c r="H312" s="539" t="s">
        <v>786</v>
      </c>
      <c r="I312" s="539" t="s">
        <v>43</v>
      </c>
      <c r="J312" s="539" t="s">
        <v>43</v>
      </c>
    </row>
    <row r="313" spans="1:10" ht="32" x14ac:dyDescent="0.2">
      <c r="A313" s="539">
        <v>310</v>
      </c>
      <c r="B313" s="539" t="s">
        <v>776</v>
      </c>
      <c r="C313" s="539" t="s">
        <v>53</v>
      </c>
      <c r="D313" s="539" t="s">
        <v>803</v>
      </c>
      <c r="E313" s="539" t="s">
        <v>804</v>
      </c>
      <c r="F313" s="539" t="s">
        <v>119</v>
      </c>
      <c r="G313" s="539" t="s">
        <v>785</v>
      </c>
      <c r="H313" s="539" t="s">
        <v>786</v>
      </c>
      <c r="I313" s="539" t="s">
        <v>43</v>
      </c>
      <c r="J313" s="539" t="s">
        <v>43</v>
      </c>
    </row>
    <row r="314" spans="1:10" ht="32" x14ac:dyDescent="0.2">
      <c r="A314" s="539">
        <v>311</v>
      </c>
      <c r="B314" s="539" t="s">
        <v>776</v>
      </c>
      <c r="C314" s="539" t="s">
        <v>53</v>
      </c>
      <c r="D314" s="539" t="s">
        <v>805</v>
      </c>
      <c r="E314" s="539" t="s">
        <v>806</v>
      </c>
      <c r="F314" s="539" t="s">
        <v>119</v>
      </c>
      <c r="G314" s="539" t="s">
        <v>785</v>
      </c>
      <c r="H314" s="539" t="s">
        <v>786</v>
      </c>
      <c r="I314" s="539" t="s">
        <v>43</v>
      </c>
      <c r="J314" s="539" t="s">
        <v>43</v>
      </c>
    </row>
    <row r="315" spans="1:10" ht="32" x14ac:dyDescent="0.2">
      <c r="A315" s="539">
        <v>312</v>
      </c>
      <c r="B315" s="539" t="s">
        <v>776</v>
      </c>
      <c r="C315" s="539" t="s">
        <v>53</v>
      </c>
      <c r="D315" s="539" t="s">
        <v>807</v>
      </c>
      <c r="E315" s="539" t="s">
        <v>808</v>
      </c>
      <c r="F315" s="539" t="s">
        <v>119</v>
      </c>
      <c r="G315" s="539" t="s">
        <v>785</v>
      </c>
      <c r="H315" s="539" t="s">
        <v>786</v>
      </c>
      <c r="I315" s="539" t="s">
        <v>43</v>
      </c>
      <c r="J315" s="539" t="s">
        <v>43</v>
      </c>
    </row>
    <row r="316" spans="1:10" ht="32" x14ac:dyDescent="0.2">
      <c r="A316" s="539">
        <v>313</v>
      </c>
      <c r="B316" s="539" t="s">
        <v>776</v>
      </c>
      <c r="C316" s="539" t="s">
        <v>53</v>
      </c>
      <c r="D316" s="539" t="s">
        <v>809</v>
      </c>
      <c r="E316" s="539" t="s">
        <v>810</v>
      </c>
      <c r="F316" s="539" t="s">
        <v>119</v>
      </c>
      <c r="G316" s="539" t="s">
        <v>785</v>
      </c>
      <c r="H316" s="539" t="s">
        <v>786</v>
      </c>
      <c r="I316" s="539" t="s">
        <v>43</v>
      </c>
      <c r="J316" s="539" t="s">
        <v>43</v>
      </c>
    </row>
    <row r="317" spans="1:10" ht="32" x14ac:dyDescent="0.2">
      <c r="A317" s="539">
        <v>314</v>
      </c>
      <c r="B317" s="539" t="s">
        <v>776</v>
      </c>
      <c r="C317" s="539" t="s">
        <v>53</v>
      </c>
      <c r="D317" s="539" t="s">
        <v>811</v>
      </c>
      <c r="E317" s="539" t="s">
        <v>812</v>
      </c>
      <c r="F317" s="539" t="s">
        <v>119</v>
      </c>
      <c r="G317" s="539" t="s">
        <v>785</v>
      </c>
      <c r="H317" s="539" t="s">
        <v>786</v>
      </c>
      <c r="I317" s="539" t="s">
        <v>43</v>
      </c>
      <c r="J317" s="539" t="s">
        <v>43</v>
      </c>
    </row>
    <row r="318" spans="1:10" ht="32" x14ac:dyDescent="0.2">
      <c r="A318" s="539">
        <v>315</v>
      </c>
      <c r="B318" s="539" t="s">
        <v>776</v>
      </c>
      <c r="C318" s="539" t="s">
        <v>53</v>
      </c>
      <c r="D318" s="539" t="s">
        <v>813</v>
      </c>
      <c r="E318" s="539" t="s">
        <v>814</v>
      </c>
      <c r="F318" s="539" t="s">
        <v>119</v>
      </c>
      <c r="G318" s="539" t="s">
        <v>785</v>
      </c>
      <c r="H318" s="539" t="s">
        <v>786</v>
      </c>
      <c r="I318" s="539" t="s">
        <v>43</v>
      </c>
      <c r="J318" s="539" t="s">
        <v>43</v>
      </c>
    </row>
    <row r="319" spans="1:10" ht="32" x14ac:dyDescent="0.2">
      <c r="A319" s="539">
        <v>316</v>
      </c>
      <c r="B319" s="539" t="s">
        <v>776</v>
      </c>
      <c r="C319" s="539" t="s">
        <v>53</v>
      </c>
      <c r="D319" s="539" t="s">
        <v>815</v>
      </c>
      <c r="E319" s="539" t="s">
        <v>816</v>
      </c>
      <c r="F319" s="539" t="s">
        <v>119</v>
      </c>
      <c r="G319" s="539" t="s">
        <v>785</v>
      </c>
      <c r="H319" s="539" t="s">
        <v>786</v>
      </c>
      <c r="I319" s="539" t="s">
        <v>43</v>
      </c>
      <c r="J319" s="539" t="s">
        <v>43</v>
      </c>
    </row>
    <row r="320" spans="1:10" ht="32" x14ac:dyDescent="0.2">
      <c r="A320" s="539">
        <v>317</v>
      </c>
      <c r="B320" s="539" t="s">
        <v>776</v>
      </c>
      <c r="C320" s="539" t="s">
        <v>53</v>
      </c>
      <c r="D320" s="539" t="s">
        <v>817</v>
      </c>
      <c r="E320" s="539" t="s">
        <v>818</v>
      </c>
      <c r="F320" s="539" t="s">
        <v>119</v>
      </c>
      <c r="G320" s="539" t="s">
        <v>785</v>
      </c>
      <c r="H320" s="539" t="s">
        <v>786</v>
      </c>
      <c r="I320" s="539" t="s">
        <v>43</v>
      </c>
      <c r="J320" s="539" t="s">
        <v>43</v>
      </c>
    </row>
    <row r="321" spans="1:10" ht="32" x14ac:dyDescent="0.2">
      <c r="A321" s="539">
        <v>318</v>
      </c>
      <c r="B321" s="539" t="s">
        <v>776</v>
      </c>
      <c r="C321" s="539" t="s">
        <v>53</v>
      </c>
      <c r="D321" s="539" t="s">
        <v>819</v>
      </c>
      <c r="E321" s="539" t="s">
        <v>820</v>
      </c>
      <c r="F321" s="539" t="s">
        <v>119</v>
      </c>
      <c r="G321" s="539" t="s">
        <v>785</v>
      </c>
      <c r="H321" s="539" t="s">
        <v>786</v>
      </c>
      <c r="I321" s="539" t="s">
        <v>43</v>
      </c>
      <c r="J321" s="539" t="s">
        <v>43</v>
      </c>
    </row>
    <row r="322" spans="1:10" ht="32" x14ac:dyDescent="0.2">
      <c r="A322" s="539">
        <v>319</v>
      </c>
      <c r="B322" s="539" t="s">
        <v>776</v>
      </c>
      <c r="C322" s="539" t="s">
        <v>53</v>
      </c>
      <c r="D322" s="539" t="s">
        <v>821</v>
      </c>
      <c r="E322" s="539" t="s">
        <v>822</v>
      </c>
      <c r="F322" s="539" t="s">
        <v>119</v>
      </c>
      <c r="G322" s="539" t="s">
        <v>785</v>
      </c>
      <c r="H322" s="539" t="s">
        <v>786</v>
      </c>
      <c r="I322" s="539" t="s">
        <v>43</v>
      </c>
      <c r="J322" s="539" t="s">
        <v>43</v>
      </c>
    </row>
    <row r="323" spans="1:10" ht="32" x14ac:dyDescent="0.2">
      <c r="A323" s="539">
        <v>320</v>
      </c>
      <c r="B323" s="539" t="s">
        <v>776</v>
      </c>
      <c r="C323" s="539" t="s">
        <v>53</v>
      </c>
      <c r="D323" s="539" t="s">
        <v>823</v>
      </c>
      <c r="E323" s="539" t="s">
        <v>824</v>
      </c>
      <c r="F323" s="539" t="s">
        <v>119</v>
      </c>
      <c r="G323" s="539" t="s">
        <v>785</v>
      </c>
      <c r="H323" s="539" t="s">
        <v>786</v>
      </c>
      <c r="I323" s="539" t="s">
        <v>43</v>
      </c>
      <c r="J323" s="539" t="s">
        <v>43</v>
      </c>
    </row>
    <row r="324" spans="1:10" ht="32" x14ac:dyDescent="0.2">
      <c r="A324" s="539">
        <v>321</v>
      </c>
      <c r="B324" s="539" t="s">
        <v>776</v>
      </c>
      <c r="C324" s="539" t="s">
        <v>53</v>
      </c>
      <c r="D324" s="539" t="s">
        <v>825</v>
      </c>
      <c r="E324" s="539" t="s">
        <v>826</v>
      </c>
      <c r="F324" s="539" t="s">
        <v>119</v>
      </c>
      <c r="G324" s="539" t="s">
        <v>785</v>
      </c>
      <c r="H324" s="539" t="s">
        <v>786</v>
      </c>
      <c r="I324" s="539" t="s">
        <v>43</v>
      </c>
      <c r="J324" s="539" t="s">
        <v>43</v>
      </c>
    </row>
    <row r="325" spans="1:10" ht="32" x14ac:dyDescent="0.2">
      <c r="A325" s="539">
        <v>322</v>
      </c>
      <c r="B325" s="539" t="s">
        <v>776</v>
      </c>
      <c r="C325" s="539" t="s">
        <v>53</v>
      </c>
      <c r="D325" s="539" t="s">
        <v>827</v>
      </c>
      <c r="E325" s="539" t="s">
        <v>828</v>
      </c>
      <c r="F325" s="539" t="s">
        <v>119</v>
      </c>
      <c r="G325" s="539" t="s">
        <v>785</v>
      </c>
      <c r="H325" s="539" t="s">
        <v>786</v>
      </c>
      <c r="I325" s="539" t="s">
        <v>43</v>
      </c>
      <c r="J325" s="539" t="s">
        <v>43</v>
      </c>
    </row>
    <row r="326" spans="1:10" ht="32" x14ac:dyDescent="0.2">
      <c r="A326" s="539">
        <v>323</v>
      </c>
      <c r="B326" s="539" t="s">
        <v>776</v>
      </c>
      <c r="C326" s="539" t="s">
        <v>829</v>
      </c>
      <c r="D326" s="539" t="s">
        <v>38</v>
      </c>
      <c r="E326" s="539" t="s">
        <v>830</v>
      </c>
      <c r="F326" s="539" t="s">
        <v>119</v>
      </c>
      <c r="G326" s="539" t="s">
        <v>831</v>
      </c>
      <c r="H326" s="539" t="s">
        <v>832</v>
      </c>
      <c r="I326" s="539" t="s">
        <v>43</v>
      </c>
      <c r="J326" s="539" t="s">
        <v>43</v>
      </c>
    </row>
    <row r="327" spans="1:10" ht="32" x14ac:dyDescent="0.2">
      <c r="A327" s="539">
        <v>324</v>
      </c>
      <c r="B327" s="539" t="s">
        <v>776</v>
      </c>
      <c r="C327" s="539" t="s">
        <v>829</v>
      </c>
      <c r="D327" s="539" t="s">
        <v>203</v>
      </c>
      <c r="E327" s="539" t="s">
        <v>830</v>
      </c>
      <c r="F327" s="539" t="s">
        <v>119</v>
      </c>
      <c r="G327" s="539" t="s">
        <v>831</v>
      </c>
      <c r="H327" s="539" t="s">
        <v>832</v>
      </c>
      <c r="I327" s="539" t="s">
        <v>43</v>
      </c>
      <c r="J327" s="539" t="s">
        <v>43</v>
      </c>
    </row>
    <row r="328" spans="1:10" ht="32" x14ac:dyDescent="0.2">
      <c r="A328" s="539">
        <v>325</v>
      </c>
      <c r="B328" s="539" t="s">
        <v>776</v>
      </c>
      <c r="C328" s="539" t="s">
        <v>829</v>
      </c>
      <c r="D328" s="539" t="s">
        <v>207</v>
      </c>
      <c r="E328" s="539" t="s">
        <v>830</v>
      </c>
      <c r="F328" s="539" t="s">
        <v>119</v>
      </c>
      <c r="G328" s="539" t="s">
        <v>831</v>
      </c>
      <c r="H328" s="539" t="s">
        <v>832</v>
      </c>
      <c r="I328" s="539" t="s">
        <v>43</v>
      </c>
      <c r="J328" s="539" t="s">
        <v>43</v>
      </c>
    </row>
    <row r="329" spans="1:10" ht="16" x14ac:dyDescent="0.2">
      <c r="A329" s="539">
        <v>326</v>
      </c>
      <c r="B329" s="539" t="s">
        <v>776</v>
      </c>
      <c r="C329" s="539" t="s">
        <v>833</v>
      </c>
      <c r="D329" s="539" t="s">
        <v>834</v>
      </c>
      <c r="E329" s="539" t="s">
        <v>835</v>
      </c>
      <c r="F329" s="539" t="s">
        <v>836</v>
      </c>
      <c r="G329" s="539" t="s">
        <v>837</v>
      </c>
      <c r="H329" s="539" t="s">
        <v>838</v>
      </c>
      <c r="I329" s="539" t="s">
        <v>43</v>
      </c>
      <c r="J329" s="539" t="s">
        <v>43</v>
      </c>
    </row>
    <row r="330" spans="1:10" ht="16" x14ac:dyDescent="0.2">
      <c r="A330" s="539">
        <v>327</v>
      </c>
      <c r="B330" s="539" t="s">
        <v>776</v>
      </c>
      <c r="C330" s="539" t="s">
        <v>833</v>
      </c>
      <c r="D330" s="539" t="s">
        <v>839</v>
      </c>
      <c r="E330" s="539" t="s">
        <v>835</v>
      </c>
      <c r="F330" s="539" t="s">
        <v>840</v>
      </c>
      <c r="G330" s="539" t="s">
        <v>837</v>
      </c>
      <c r="H330" s="539" t="s">
        <v>838</v>
      </c>
      <c r="I330" s="539" t="s">
        <v>43</v>
      </c>
      <c r="J330" s="539" t="s">
        <v>43</v>
      </c>
    </row>
    <row r="331" spans="1:10" ht="16" x14ac:dyDescent="0.2">
      <c r="A331" s="539">
        <v>328</v>
      </c>
      <c r="B331" s="539" t="s">
        <v>776</v>
      </c>
      <c r="C331" s="539" t="s">
        <v>833</v>
      </c>
      <c r="D331" s="539" t="s">
        <v>841</v>
      </c>
      <c r="E331" s="539" t="s">
        <v>835</v>
      </c>
      <c r="F331" s="539" t="s">
        <v>842</v>
      </c>
      <c r="G331" s="539" t="s">
        <v>837</v>
      </c>
      <c r="H331" s="539" t="s">
        <v>838</v>
      </c>
      <c r="I331" s="539" t="s">
        <v>43</v>
      </c>
      <c r="J331" s="539" t="s">
        <v>43</v>
      </c>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E44"/>
  <sheetViews>
    <sheetView showGridLines="0" workbookViewId="0">
      <selection activeCell="B24" sqref="B24"/>
    </sheetView>
  </sheetViews>
  <sheetFormatPr baseColWidth="10" defaultColWidth="8.83203125" defaultRowHeight="15" x14ac:dyDescent="0.2"/>
  <cols>
    <col min="1" max="1" width="43.83203125" customWidth="1"/>
    <col min="2" max="2" width="30.5" customWidth="1"/>
    <col min="3" max="3" width="33.5" customWidth="1"/>
    <col min="4" max="4" width="31" customWidth="1"/>
    <col min="5" max="5" width="32" customWidth="1"/>
  </cols>
  <sheetData>
    <row r="1" spans="1:5" ht="26" customHeight="1" x14ac:dyDescent="0.3">
      <c r="A1" s="650" t="s">
        <v>843</v>
      </c>
      <c r="B1" s="651"/>
      <c r="C1" s="651"/>
      <c r="D1" s="651"/>
      <c r="E1" s="651"/>
    </row>
    <row r="2" spans="1:5" x14ac:dyDescent="0.2">
      <c r="A2" s="648"/>
      <c r="B2" s="649"/>
      <c r="C2" s="649"/>
      <c r="D2" s="649"/>
      <c r="E2" s="649"/>
    </row>
    <row r="3" spans="1:5" x14ac:dyDescent="0.2">
      <c r="D3" s="455"/>
    </row>
    <row r="4" spans="1:5" x14ac:dyDescent="0.2">
      <c r="A4" s="614" t="s">
        <v>4627</v>
      </c>
      <c r="B4" s="615" t="s">
        <v>844</v>
      </c>
      <c r="D4" s="455"/>
    </row>
    <row r="5" spans="1:5" x14ac:dyDescent="0.2">
      <c r="A5" s="616" t="s">
        <v>4628</v>
      </c>
      <c r="B5" s="617" t="s">
        <v>4626</v>
      </c>
      <c r="C5" s="462"/>
      <c r="D5" s="581"/>
    </row>
    <row r="6" spans="1:5" x14ac:dyDescent="0.2">
      <c r="A6" s="616" t="s">
        <v>4631</v>
      </c>
      <c r="B6" s="617" t="s">
        <v>4633</v>
      </c>
      <c r="C6" s="462"/>
      <c r="D6" s="330" t="s">
        <v>4632</v>
      </c>
      <c r="E6" s="330" t="s">
        <v>4646</v>
      </c>
    </row>
    <row r="7" spans="1:5" x14ac:dyDescent="0.2">
      <c r="A7" s="618" t="s">
        <v>845</v>
      </c>
      <c r="B7" s="619" t="s">
        <v>4643</v>
      </c>
      <c r="D7" s="330" t="s">
        <v>4633</v>
      </c>
      <c r="E7" s="330" t="s">
        <v>4647</v>
      </c>
    </row>
    <row r="8" spans="1:5" x14ac:dyDescent="0.2">
      <c r="A8" s="114"/>
      <c r="B8" s="609"/>
      <c r="D8" s="330"/>
      <c r="E8" s="330"/>
    </row>
    <row r="9" spans="1:5" x14ac:dyDescent="0.2">
      <c r="A9" s="614" t="s">
        <v>4629</v>
      </c>
      <c r="B9" s="619" t="s">
        <v>4630</v>
      </c>
      <c r="D9" s="330" t="s">
        <v>4634</v>
      </c>
      <c r="E9" s="330"/>
    </row>
    <row r="10" spans="1:5" x14ac:dyDescent="0.2">
      <c r="A10" s="614" t="s">
        <v>4645</v>
      </c>
      <c r="B10" s="617" t="s">
        <v>4626</v>
      </c>
      <c r="D10" s="330" t="s">
        <v>4635</v>
      </c>
      <c r="E10" s="330" t="s">
        <v>4648</v>
      </c>
    </row>
    <row r="11" spans="1:5" x14ac:dyDescent="0.2">
      <c r="A11" s="614" t="s">
        <v>4653</v>
      </c>
      <c r="B11" s="617" t="s">
        <v>4646</v>
      </c>
      <c r="D11" s="330"/>
      <c r="E11" s="330" t="s">
        <v>4650</v>
      </c>
    </row>
    <row r="12" spans="1:5" x14ac:dyDescent="0.2">
      <c r="A12" s="614" t="s">
        <v>4662</v>
      </c>
      <c r="B12" s="617" t="s">
        <v>4663</v>
      </c>
      <c r="D12" s="330"/>
      <c r="E12" s="330"/>
    </row>
    <row r="13" spans="1:5" x14ac:dyDescent="0.2">
      <c r="A13" s="46"/>
      <c r="B13" s="608"/>
      <c r="D13" s="330"/>
      <c r="E13" s="330"/>
    </row>
    <row r="14" spans="1:5" x14ac:dyDescent="0.2">
      <c r="A14" s="614" t="s">
        <v>4649</v>
      </c>
      <c r="B14" s="619" t="s">
        <v>4650</v>
      </c>
      <c r="D14" s="330"/>
      <c r="E14" s="330"/>
    </row>
    <row r="15" spans="1:5" x14ac:dyDescent="0.2">
      <c r="A15" s="618" t="str">
        <f>IF(B14="Modal Disetor","Jumlah Modal Disetor 100%","Jumlah Saham Beredar 100%")</f>
        <v>Jumlah Modal Disetor 100%</v>
      </c>
      <c r="B15" s="619">
        <v>5280000000</v>
      </c>
      <c r="D15" s="330" t="s">
        <v>4636</v>
      </c>
      <c r="E15" s="330" t="s">
        <v>4651</v>
      </c>
    </row>
    <row r="16" spans="1:5" x14ac:dyDescent="0.2">
      <c r="A16" s="618" t="str">
        <f>IF(B14="Modal Disetor","Jumlah Modal Disetor yang Dinilai","Jumlah Saham yang Dinilai")</f>
        <v>Jumlah Modal Disetor yang Dinilai</v>
      </c>
      <c r="B16" s="620">
        <v>1600000000</v>
      </c>
      <c r="D16" s="330" t="s">
        <v>4637</v>
      </c>
      <c r="E16" s="330" t="s">
        <v>4652</v>
      </c>
    </row>
    <row r="17" spans="1:5" x14ac:dyDescent="0.2">
      <c r="A17" s="618" t="str">
        <f>IF(B14="Modal Disetor","Proporsi Modal Disetor yang Dinilai","Proporsi Saham yang Dinilai")</f>
        <v>Proporsi Modal Disetor yang Dinilai</v>
      </c>
      <c r="B17" s="621">
        <f>IF(B16/B15&gt;100%,"Data Tidak Valid",IF(B16/B15&lt;=0,"Data Tidak Valid",B16/B15))</f>
        <v>0.30303030303030304</v>
      </c>
      <c r="D17" s="330" t="s">
        <v>4638</v>
      </c>
      <c r="E17" s="330"/>
    </row>
    <row r="18" spans="1:5" x14ac:dyDescent="0.2">
      <c r="A18" s="114"/>
      <c r="B18" s="607"/>
      <c r="D18" s="330"/>
      <c r="E18" s="330"/>
    </row>
    <row r="19" spans="1:5" x14ac:dyDescent="0.2">
      <c r="A19" s="618" t="s">
        <v>4654</v>
      </c>
      <c r="B19" s="622">
        <v>2022</v>
      </c>
      <c r="D19" s="330" t="s">
        <v>4639</v>
      </c>
      <c r="E19" s="330"/>
    </row>
    <row r="20" spans="1:5" x14ac:dyDescent="0.2">
      <c r="A20" s="618" t="s">
        <v>846</v>
      </c>
      <c r="B20" s="623">
        <f>DATE(B19-1, 12, 31)</f>
        <v>44561</v>
      </c>
      <c r="C20" s="455"/>
      <c r="D20" s="330" t="s">
        <v>4640</v>
      </c>
      <c r="E20" s="330"/>
    </row>
    <row r="21" spans="1:5" x14ac:dyDescent="0.2">
      <c r="A21" s="618" t="s">
        <v>847</v>
      </c>
      <c r="B21" s="623">
        <f>DATE(B19, 12, 31)</f>
        <v>44926</v>
      </c>
      <c r="C21" s="455"/>
      <c r="D21" s="330" t="s">
        <v>4641</v>
      </c>
      <c r="E21" s="330"/>
    </row>
    <row r="22" spans="1:5" x14ac:dyDescent="0.2">
      <c r="A22" s="618" t="s">
        <v>848</v>
      </c>
      <c r="B22" s="624" t="s">
        <v>4651</v>
      </c>
      <c r="D22" s="330" t="s">
        <v>4642</v>
      </c>
      <c r="E22" s="330"/>
    </row>
    <row r="23" spans="1:5" x14ac:dyDescent="0.2">
      <c r="A23" s="114"/>
      <c r="B23" s="610"/>
      <c r="D23" s="330"/>
      <c r="E23" s="330"/>
    </row>
    <row r="24" spans="1:5" x14ac:dyDescent="0.2">
      <c r="A24" t="s">
        <v>4672</v>
      </c>
      <c r="B24" s="647">
        <f>YEAR(B20)</f>
        <v>2021</v>
      </c>
      <c r="D24" s="330" t="s">
        <v>4643</v>
      </c>
      <c r="E24" s="330"/>
    </row>
    <row r="25" spans="1:5" x14ac:dyDescent="0.2">
      <c r="A25" s="611" t="s">
        <v>849</v>
      </c>
      <c r="B25" s="612">
        <f>STAT_ASSUMPTIONS!B15</f>
        <v>0</v>
      </c>
      <c r="D25" s="330" t="s">
        <v>4644</v>
      </c>
      <c r="E25" s="330"/>
    </row>
    <row r="26" spans="1:5" x14ac:dyDescent="0.2">
      <c r="A26" s="611" t="s">
        <v>850</v>
      </c>
      <c r="B26" s="612">
        <f>STAT_ASSUMPTIONS!B15</f>
        <v>0</v>
      </c>
      <c r="D26" s="330"/>
      <c r="E26" s="330"/>
    </row>
    <row r="27" spans="1:5" s="330" customFormat="1" ht="16" customHeight="1" x14ac:dyDescent="0.2"/>
    <row r="28" spans="1:5" s="330" customFormat="1" ht="16" customHeight="1" x14ac:dyDescent="0.2">
      <c r="A28" s="613" t="s">
        <v>851</v>
      </c>
      <c r="B28" s="613" t="s">
        <v>852</v>
      </c>
      <c r="C28" s="613" t="s">
        <v>853</v>
      </c>
      <c r="D28" s="613" t="s">
        <v>854</v>
      </c>
      <c r="E28" s="613" t="s">
        <v>855</v>
      </c>
    </row>
    <row r="29" spans="1:5" s="330" customFormat="1" x14ac:dyDescent="0.2"/>
    <row r="30" spans="1:5" s="330" customFormat="1" x14ac:dyDescent="0.2"/>
    <row r="31" spans="1:5" s="330" customFormat="1" x14ac:dyDescent="0.2"/>
    <row r="32" spans="1:5" s="330" customFormat="1" x14ac:dyDescent="0.2"/>
    <row r="33" s="330" customFormat="1" x14ac:dyDescent="0.2"/>
    <row r="34" s="330" customFormat="1" x14ac:dyDescent="0.2"/>
    <row r="35" s="330" customFormat="1" x14ac:dyDescent="0.2"/>
    <row r="36" s="330" customFormat="1" x14ac:dyDescent="0.2"/>
    <row r="37" s="330" customFormat="1" x14ac:dyDescent="0.2"/>
    <row r="38" s="330" customFormat="1" x14ac:dyDescent="0.2"/>
    <row r="39" s="330" customFormat="1" x14ac:dyDescent="0.2"/>
    <row r="40" s="330" customFormat="1" x14ac:dyDescent="0.2"/>
    <row r="41" s="330" customFormat="1" x14ac:dyDescent="0.2"/>
    <row r="42" s="330" customFormat="1" x14ac:dyDescent="0.2"/>
    <row r="43" s="330" customFormat="1" ht="16" customHeight="1" x14ac:dyDescent="0.2"/>
    <row r="44" s="330" customFormat="1" x14ac:dyDescent="0.2"/>
  </sheetData>
  <mergeCells count="2">
    <mergeCell ref="A2:E2"/>
    <mergeCell ref="A1:E1"/>
  </mergeCells>
  <dataValidations count="6">
    <dataValidation type="list" allowBlank="1" showInputMessage="1" showErrorMessage="1" sqref="B22" xr:uid="{00000000-0002-0000-0100-000000000000}">
      <formula1>$E$15:$E$16</formula1>
    </dataValidation>
    <dataValidation type="list" allowBlank="1" showInputMessage="1" showErrorMessage="1" sqref="B6" xr:uid="{11F535DF-6AE3-CD43-9F3A-09B3C53588A7}">
      <formula1>$D$6:$D$22</formula1>
    </dataValidation>
    <dataValidation type="list" allowBlank="1" showInputMessage="1" showErrorMessage="1" sqref="B7:B8" xr:uid="{D8F84FEF-DE08-1E44-90FA-8B70749412F1}">
      <formula1>$D$24:$D$25</formula1>
    </dataValidation>
    <dataValidation type="list" allowBlank="1" showInputMessage="1" showErrorMessage="1" sqref="B11 B13" xr:uid="{79719044-902F-B64E-9726-4C32EA55F698}">
      <formula1>$E$6:$E$7</formula1>
    </dataValidation>
    <dataValidation type="list" allowBlank="1" showInputMessage="1" showErrorMessage="1" sqref="B14" xr:uid="{5294D8B8-B240-0D48-A696-0EDFF4B97C45}">
      <formula1>$E$10:$E$11</formula1>
    </dataValidation>
    <dataValidation type="list" allowBlank="1" showInputMessage="1" showErrorMessage="1" sqref="B12" xr:uid="{2B3596F9-456B-634C-BF27-69B1450D5E2F}">
      <formula1>"Minoritas,Mayoritas"</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64"/>
  <sheetViews>
    <sheetView workbookViewId="0">
      <selection activeCell="D1" sqref="D1"/>
    </sheetView>
  </sheetViews>
  <sheetFormatPr baseColWidth="10" defaultColWidth="8.83203125" defaultRowHeight="15" x14ac:dyDescent="0.2"/>
  <cols>
    <col min="1" max="1" width="4" bestFit="1" customWidth="1"/>
    <col min="2" max="2" width="7.1640625" bestFit="1" customWidth="1"/>
    <col min="3" max="3" width="50.1640625" bestFit="1" customWidth="1"/>
    <col min="4" max="4" width="11.33203125" bestFit="1" customWidth="1"/>
  </cols>
  <sheetData>
    <row r="1" spans="1:4" x14ac:dyDescent="0.2">
      <c r="A1">
        <v>1</v>
      </c>
      <c r="B1" t="s">
        <v>856</v>
      </c>
      <c r="C1" t="s">
        <v>857</v>
      </c>
      <c r="D1" t="s">
        <v>858</v>
      </c>
    </row>
    <row r="2" spans="1:4" x14ac:dyDescent="0.2">
      <c r="A2">
        <v>2</v>
      </c>
      <c r="B2" t="s">
        <v>859</v>
      </c>
      <c r="C2" t="s">
        <v>860</v>
      </c>
      <c r="D2" t="s">
        <v>861</v>
      </c>
    </row>
    <row r="3" spans="1:4" x14ac:dyDescent="0.2">
      <c r="A3">
        <v>3</v>
      </c>
      <c r="B3" t="s">
        <v>862</v>
      </c>
      <c r="C3" t="s">
        <v>863</v>
      </c>
      <c r="D3" s="382">
        <v>37349</v>
      </c>
    </row>
    <row r="4" spans="1:4" x14ac:dyDescent="0.2">
      <c r="A4">
        <v>4</v>
      </c>
      <c r="B4" t="s">
        <v>864</v>
      </c>
      <c r="C4" t="s">
        <v>865</v>
      </c>
      <c r="D4" s="382">
        <v>32695</v>
      </c>
    </row>
    <row r="5" spans="1:4" x14ac:dyDescent="0.2">
      <c r="A5">
        <v>5</v>
      </c>
      <c r="B5" t="s">
        <v>866</v>
      </c>
      <c r="C5" t="s">
        <v>867</v>
      </c>
      <c r="D5" t="s">
        <v>868</v>
      </c>
    </row>
    <row r="6" spans="1:4" x14ac:dyDescent="0.2">
      <c r="A6">
        <v>6</v>
      </c>
      <c r="B6" t="s">
        <v>869</v>
      </c>
      <c r="C6" t="s">
        <v>870</v>
      </c>
      <c r="D6" s="382">
        <v>39392</v>
      </c>
    </row>
    <row r="7" spans="1:4" x14ac:dyDescent="0.2">
      <c r="A7">
        <v>7</v>
      </c>
      <c r="B7" t="s">
        <v>871</v>
      </c>
      <c r="C7" t="s">
        <v>872</v>
      </c>
      <c r="D7" s="382">
        <v>45302</v>
      </c>
    </row>
    <row r="8" spans="1:4" x14ac:dyDescent="0.2">
      <c r="A8">
        <v>8</v>
      </c>
      <c r="B8" t="s">
        <v>873</v>
      </c>
      <c r="C8" t="s">
        <v>874</v>
      </c>
      <c r="D8" s="382">
        <v>41449</v>
      </c>
    </row>
    <row r="9" spans="1:4" x14ac:dyDescent="0.2">
      <c r="A9">
        <v>9</v>
      </c>
      <c r="B9" t="s">
        <v>875</v>
      </c>
      <c r="C9" t="s">
        <v>876</v>
      </c>
      <c r="D9" t="s">
        <v>877</v>
      </c>
    </row>
    <row r="10" spans="1:4" x14ac:dyDescent="0.2">
      <c r="A10">
        <v>10</v>
      </c>
      <c r="B10" t="s">
        <v>878</v>
      </c>
      <c r="C10" t="s">
        <v>879</v>
      </c>
      <c r="D10" s="382">
        <v>34498</v>
      </c>
    </row>
    <row r="11" spans="1:4" x14ac:dyDescent="0.2">
      <c r="A11">
        <v>11</v>
      </c>
      <c r="B11" t="s">
        <v>880</v>
      </c>
      <c r="C11" t="s">
        <v>881</v>
      </c>
      <c r="D11" s="382">
        <v>38064</v>
      </c>
    </row>
    <row r="12" spans="1:4" x14ac:dyDescent="0.2">
      <c r="A12">
        <v>12</v>
      </c>
      <c r="B12" t="s">
        <v>882</v>
      </c>
      <c r="C12" t="s">
        <v>883</v>
      </c>
      <c r="D12" s="382">
        <v>38077</v>
      </c>
    </row>
    <row r="13" spans="1:4" x14ac:dyDescent="0.2">
      <c r="A13">
        <v>13</v>
      </c>
      <c r="B13" t="s">
        <v>884</v>
      </c>
      <c r="C13" t="s">
        <v>885</v>
      </c>
      <c r="D13" t="s">
        <v>886</v>
      </c>
    </row>
    <row r="14" spans="1:4" x14ac:dyDescent="0.2">
      <c r="A14">
        <v>14</v>
      </c>
      <c r="B14" t="s">
        <v>887</v>
      </c>
      <c r="C14" t="s">
        <v>888</v>
      </c>
      <c r="D14" s="382">
        <v>44564</v>
      </c>
    </row>
    <row r="15" spans="1:4" x14ac:dyDescent="0.2">
      <c r="A15">
        <v>15</v>
      </c>
      <c r="B15" t="s">
        <v>889</v>
      </c>
      <c r="C15" t="s">
        <v>890</v>
      </c>
      <c r="D15" s="382">
        <v>39645</v>
      </c>
    </row>
    <row r="16" spans="1:4" x14ac:dyDescent="0.2">
      <c r="A16">
        <v>16</v>
      </c>
      <c r="B16" t="s">
        <v>891</v>
      </c>
      <c r="C16" t="s">
        <v>892</v>
      </c>
      <c r="D16" s="382">
        <v>45180</v>
      </c>
    </row>
    <row r="17" spans="1:4" x14ac:dyDescent="0.2">
      <c r="A17">
        <v>17</v>
      </c>
      <c r="B17" t="s">
        <v>893</v>
      </c>
      <c r="C17" t="s">
        <v>894</v>
      </c>
      <c r="D17" t="s">
        <v>895</v>
      </c>
    </row>
    <row r="18" spans="1:4" x14ac:dyDescent="0.2">
      <c r="A18">
        <v>18</v>
      </c>
      <c r="B18" t="s">
        <v>896</v>
      </c>
      <c r="C18" t="s">
        <v>897</v>
      </c>
      <c r="D18" s="382">
        <v>42641</v>
      </c>
    </row>
    <row r="19" spans="1:4" x14ac:dyDescent="0.2">
      <c r="A19">
        <v>19</v>
      </c>
      <c r="B19" t="s">
        <v>898</v>
      </c>
      <c r="C19" t="s">
        <v>899</v>
      </c>
      <c r="D19" t="s">
        <v>900</v>
      </c>
    </row>
    <row r="20" spans="1:4" x14ac:dyDescent="0.2">
      <c r="A20">
        <v>20</v>
      </c>
      <c r="B20" t="s">
        <v>901</v>
      </c>
      <c r="C20" t="s">
        <v>902</v>
      </c>
      <c r="D20" t="s">
        <v>903</v>
      </c>
    </row>
    <row r="21" spans="1:4" x14ac:dyDescent="0.2">
      <c r="A21">
        <v>21</v>
      </c>
      <c r="B21" t="s">
        <v>904</v>
      </c>
      <c r="C21" t="s">
        <v>905</v>
      </c>
      <c r="D21" s="382">
        <v>33130</v>
      </c>
    </row>
    <row r="22" spans="1:4" x14ac:dyDescent="0.2">
      <c r="A22">
        <v>22</v>
      </c>
      <c r="B22" t="s">
        <v>906</v>
      </c>
      <c r="C22" t="s">
        <v>907</v>
      </c>
      <c r="D22" s="382">
        <v>37092</v>
      </c>
    </row>
    <row r="23" spans="1:4" x14ac:dyDescent="0.2">
      <c r="A23">
        <v>23</v>
      </c>
      <c r="B23" t="s">
        <v>908</v>
      </c>
      <c r="C23" t="s">
        <v>909</v>
      </c>
      <c r="D23" s="382">
        <v>35592</v>
      </c>
    </row>
    <row r="24" spans="1:4" x14ac:dyDescent="0.2">
      <c r="A24">
        <v>24</v>
      </c>
      <c r="B24" t="s">
        <v>910</v>
      </c>
      <c r="C24" t="s">
        <v>911</v>
      </c>
      <c r="D24" s="382">
        <v>38292</v>
      </c>
    </row>
    <row r="25" spans="1:4" x14ac:dyDescent="0.2">
      <c r="A25">
        <v>25</v>
      </c>
      <c r="B25" t="s">
        <v>912</v>
      </c>
      <c r="C25" t="s">
        <v>913</v>
      </c>
      <c r="D25" t="s">
        <v>914</v>
      </c>
    </row>
    <row r="26" spans="1:4" x14ac:dyDescent="0.2">
      <c r="A26">
        <v>26</v>
      </c>
      <c r="B26" t="s">
        <v>915</v>
      </c>
      <c r="C26" t="s">
        <v>916</v>
      </c>
      <c r="D26" t="s">
        <v>917</v>
      </c>
    </row>
    <row r="27" spans="1:4" x14ac:dyDescent="0.2">
      <c r="A27">
        <v>27</v>
      </c>
      <c r="B27" t="s">
        <v>918</v>
      </c>
      <c r="C27" t="s">
        <v>919</v>
      </c>
      <c r="D27" s="382">
        <v>37085</v>
      </c>
    </row>
    <row r="28" spans="1:4" x14ac:dyDescent="0.2">
      <c r="A28">
        <v>28</v>
      </c>
      <c r="B28" t="s">
        <v>920</v>
      </c>
      <c r="C28" t="s">
        <v>921</v>
      </c>
      <c r="D28" s="382">
        <v>40736</v>
      </c>
    </row>
    <row r="29" spans="1:4" x14ac:dyDescent="0.2">
      <c r="A29">
        <v>29</v>
      </c>
      <c r="B29" t="s">
        <v>922</v>
      </c>
      <c r="C29" t="s">
        <v>923</v>
      </c>
      <c r="D29" s="382">
        <v>45329</v>
      </c>
    </row>
    <row r="30" spans="1:4" x14ac:dyDescent="0.2">
      <c r="A30">
        <v>30</v>
      </c>
      <c r="B30" t="s">
        <v>924</v>
      </c>
      <c r="C30" t="s">
        <v>925</v>
      </c>
      <c r="D30" s="382">
        <v>33066</v>
      </c>
    </row>
    <row r="31" spans="1:4" x14ac:dyDescent="0.2">
      <c r="A31">
        <v>31</v>
      </c>
      <c r="B31" t="s">
        <v>926</v>
      </c>
      <c r="C31" t="s">
        <v>927</v>
      </c>
      <c r="D31" s="382">
        <v>35432</v>
      </c>
    </row>
    <row r="32" spans="1:4" x14ac:dyDescent="0.2">
      <c r="A32">
        <v>32</v>
      </c>
      <c r="B32" t="s">
        <v>928</v>
      </c>
      <c r="C32" t="s">
        <v>929</v>
      </c>
      <c r="D32" s="382">
        <v>41100</v>
      </c>
    </row>
    <row r="33" spans="1:4" x14ac:dyDescent="0.2">
      <c r="A33">
        <v>33</v>
      </c>
      <c r="B33" t="s">
        <v>930</v>
      </c>
      <c r="C33" t="s">
        <v>931</v>
      </c>
      <c r="D33" t="s">
        <v>932</v>
      </c>
    </row>
    <row r="34" spans="1:4" x14ac:dyDescent="0.2">
      <c r="A34">
        <v>34</v>
      </c>
      <c r="B34" t="s">
        <v>933</v>
      </c>
      <c r="C34" t="s">
        <v>934</v>
      </c>
      <c r="D34" s="382">
        <v>43903</v>
      </c>
    </row>
    <row r="35" spans="1:4" x14ac:dyDescent="0.2">
      <c r="A35">
        <v>35</v>
      </c>
      <c r="B35" t="s">
        <v>935</v>
      </c>
      <c r="C35" t="s">
        <v>936</v>
      </c>
      <c r="D35" s="382">
        <v>43839</v>
      </c>
    </row>
    <row r="36" spans="1:4" x14ac:dyDescent="0.2">
      <c r="A36">
        <v>36</v>
      </c>
      <c r="B36" t="s">
        <v>937</v>
      </c>
      <c r="C36" t="s">
        <v>938</v>
      </c>
      <c r="D36" s="382">
        <v>35011</v>
      </c>
    </row>
    <row r="37" spans="1:4" x14ac:dyDescent="0.2">
      <c r="A37">
        <v>37</v>
      </c>
      <c r="B37" t="s">
        <v>939</v>
      </c>
      <c r="C37" t="s">
        <v>940</v>
      </c>
      <c r="D37" t="s">
        <v>941</v>
      </c>
    </row>
    <row r="38" spans="1:4" x14ac:dyDescent="0.2">
      <c r="A38">
        <v>38</v>
      </c>
      <c r="B38" t="s">
        <v>942</v>
      </c>
      <c r="C38" t="s">
        <v>943</v>
      </c>
      <c r="D38" s="382">
        <v>45114</v>
      </c>
    </row>
    <row r="39" spans="1:4" x14ac:dyDescent="0.2">
      <c r="A39">
        <v>39</v>
      </c>
      <c r="B39" t="s">
        <v>944</v>
      </c>
      <c r="C39" t="s">
        <v>945</v>
      </c>
      <c r="D39" t="s">
        <v>946</v>
      </c>
    </row>
    <row r="40" spans="1:4" x14ac:dyDescent="0.2">
      <c r="A40">
        <v>40</v>
      </c>
      <c r="B40" t="s">
        <v>947</v>
      </c>
      <c r="C40" t="s">
        <v>948</v>
      </c>
      <c r="D40" s="382">
        <v>43844</v>
      </c>
    </row>
    <row r="41" spans="1:4" x14ac:dyDescent="0.2">
      <c r="A41">
        <v>41</v>
      </c>
      <c r="B41" t="s">
        <v>949</v>
      </c>
      <c r="C41" t="s">
        <v>950</v>
      </c>
      <c r="D41" s="382">
        <v>39828</v>
      </c>
    </row>
    <row r="42" spans="1:4" x14ac:dyDescent="0.2">
      <c r="A42">
        <v>42</v>
      </c>
      <c r="B42" t="s">
        <v>951</v>
      </c>
      <c r="C42" t="s">
        <v>952</v>
      </c>
      <c r="D42" t="s">
        <v>953</v>
      </c>
    </row>
    <row r="43" spans="1:4" x14ac:dyDescent="0.2">
      <c r="A43">
        <v>43</v>
      </c>
      <c r="B43" t="s">
        <v>954</v>
      </c>
      <c r="C43" t="s">
        <v>955</v>
      </c>
      <c r="D43" t="s">
        <v>956</v>
      </c>
    </row>
    <row r="44" spans="1:4" x14ac:dyDescent="0.2">
      <c r="A44">
        <v>44</v>
      </c>
      <c r="B44" t="s">
        <v>957</v>
      </c>
      <c r="C44" t="s">
        <v>958</v>
      </c>
      <c r="D44" s="382">
        <v>35761</v>
      </c>
    </row>
    <row r="45" spans="1:4" x14ac:dyDescent="0.2">
      <c r="A45">
        <v>45</v>
      </c>
      <c r="B45" t="s">
        <v>959</v>
      </c>
      <c r="C45" t="s">
        <v>960</v>
      </c>
      <c r="D45" s="382">
        <v>41430</v>
      </c>
    </row>
    <row r="46" spans="1:4" x14ac:dyDescent="0.2">
      <c r="A46">
        <v>46</v>
      </c>
      <c r="B46" t="s">
        <v>961</v>
      </c>
      <c r="C46" t="s">
        <v>962</v>
      </c>
      <c r="D46" t="s">
        <v>963</v>
      </c>
    </row>
    <row r="47" spans="1:4" x14ac:dyDescent="0.2">
      <c r="A47">
        <v>47</v>
      </c>
      <c r="B47" t="s">
        <v>964</v>
      </c>
      <c r="C47" t="s">
        <v>965</v>
      </c>
      <c r="D47" t="s">
        <v>966</v>
      </c>
    </row>
    <row r="48" spans="1:4" x14ac:dyDescent="0.2">
      <c r="A48">
        <v>48</v>
      </c>
      <c r="B48" t="s">
        <v>967</v>
      </c>
      <c r="C48" t="s">
        <v>968</v>
      </c>
      <c r="D48" t="s">
        <v>969</v>
      </c>
    </row>
    <row r="49" spans="1:4" x14ac:dyDescent="0.2">
      <c r="A49">
        <v>49</v>
      </c>
      <c r="B49" t="s">
        <v>970</v>
      </c>
      <c r="C49" t="s">
        <v>971</v>
      </c>
      <c r="D49" s="382">
        <v>40493</v>
      </c>
    </row>
    <row r="50" spans="1:4" x14ac:dyDescent="0.2">
      <c r="A50">
        <v>50</v>
      </c>
      <c r="B50" t="s">
        <v>972</v>
      </c>
      <c r="C50" t="s">
        <v>973</v>
      </c>
      <c r="D50" s="382">
        <v>44375</v>
      </c>
    </row>
    <row r="51" spans="1:4" x14ac:dyDescent="0.2">
      <c r="A51">
        <v>51</v>
      </c>
      <c r="B51" t="s">
        <v>974</v>
      </c>
      <c r="C51" t="s">
        <v>975</v>
      </c>
      <c r="D51" s="382">
        <v>45383</v>
      </c>
    </row>
    <row r="52" spans="1:4" x14ac:dyDescent="0.2">
      <c r="A52">
        <v>52</v>
      </c>
      <c r="B52" t="s">
        <v>976</v>
      </c>
      <c r="C52" t="s">
        <v>977</v>
      </c>
      <c r="D52" s="382">
        <v>33245</v>
      </c>
    </row>
    <row r="53" spans="1:4" x14ac:dyDescent="0.2">
      <c r="A53">
        <v>53</v>
      </c>
      <c r="B53" t="s">
        <v>978</v>
      </c>
      <c r="C53" t="s">
        <v>979</v>
      </c>
      <c r="D53" s="382">
        <v>40855</v>
      </c>
    </row>
    <row r="54" spans="1:4" x14ac:dyDescent="0.2">
      <c r="A54">
        <v>54</v>
      </c>
      <c r="B54" t="s">
        <v>980</v>
      </c>
      <c r="C54" t="s">
        <v>981</v>
      </c>
      <c r="D54" s="382">
        <v>43656</v>
      </c>
    </row>
    <row r="55" spans="1:4" x14ac:dyDescent="0.2">
      <c r="A55">
        <v>55</v>
      </c>
      <c r="B55" t="s">
        <v>982</v>
      </c>
      <c r="C55" t="s">
        <v>983</v>
      </c>
      <c r="D55" s="382">
        <v>44750</v>
      </c>
    </row>
    <row r="56" spans="1:4" x14ac:dyDescent="0.2">
      <c r="A56">
        <v>56</v>
      </c>
      <c r="B56" t="s">
        <v>984</v>
      </c>
      <c r="C56" t="s">
        <v>985</v>
      </c>
      <c r="D56" s="382">
        <v>42907</v>
      </c>
    </row>
    <row r="57" spans="1:4" x14ac:dyDescent="0.2">
      <c r="A57">
        <v>57</v>
      </c>
      <c r="B57" t="s">
        <v>986</v>
      </c>
      <c r="C57" t="s">
        <v>987</v>
      </c>
      <c r="D57" s="382">
        <v>37089</v>
      </c>
    </row>
    <row r="58" spans="1:4" x14ac:dyDescent="0.2">
      <c r="A58">
        <v>58</v>
      </c>
      <c r="B58" t="s">
        <v>988</v>
      </c>
      <c r="C58" t="s">
        <v>989</v>
      </c>
      <c r="D58" s="382">
        <v>37565</v>
      </c>
    </row>
    <row r="59" spans="1:4" x14ac:dyDescent="0.2">
      <c r="A59">
        <v>59</v>
      </c>
      <c r="B59" t="s">
        <v>990</v>
      </c>
      <c r="C59" t="s">
        <v>991</v>
      </c>
      <c r="D59" s="382">
        <v>37741</v>
      </c>
    </row>
    <row r="60" spans="1:4" x14ac:dyDescent="0.2">
      <c r="A60">
        <v>60</v>
      </c>
      <c r="B60" t="s">
        <v>992</v>
      </c>
      <c r="C60" t="s">
        <v>993</v>
      </c>
      <c r="D60" s="382">
        <v>42381</v>
      </c>
    </row>
    <row r="61" spans="1:4" x14ac:dyDescent="0.2">
      <c r="A61">
        <v>61</v>
      </c>
      <c r="B61" t="s">
        <v>994</v>
      </c>
      <c r="C61" t="s">
        <v>995</v>
      </c>
      <c r="D61" s="382">
        <v>32841</v>
      </c>
    </row>
    <row r="62" spans="1:4" x14ac:dyDescent="0.2">
      <c r="A62">
        <v>62</v>
      </c>
      <c r="B62" t="s">
        <v>996</v>
      </c>
      <c r="C62" t="s">
        <v>997</v>
      </c>
      <c r="D62" t="s">
        <v>998</v>
      </c>
    </row>
    <row r="63" spans="1:4" x14ac:dyDescent="0.2">
      <c r="A63">
        <v>63</v>
      </c>
      <c r="B63" t="s">
        <v>999</v>
      </c>
      <c r="C63" t="s">
        <v>1000</v>
      </c>
      <c r="D63" s="382">
        <v>32827</v>
      </c>
    </row>
    <row r="64" spans="1:4" x14ac:dyDescent="0.2">
      <c r="A64">
        <v>64</v>
      </c>
      <c r="B64" t="s">
        <v>1001</v>
      </c>
      <c r="C64" t="s">
        <v>1002</v>
      </c>
      <c r="D64" t="s">
        <v>1003</v>
      </c>
    </row>
    <row r="65" spans="1:4" x14ac:dyDescent="0.2">
      <c r="A65">
        <v>65</v>
      </c>
      <c r="B65" t="s">
        <v>1004</v>
      </c>
      <c r="C65" t="s">
        <v>1005</v>
      </c>
      <c r="D65" s="382">
        <v>32967</v>
      </c>
    </row>
    <row r="66" spans="1:4" x14ac:dyDescent="0.2">
      <c r="A66">
        <v>66</v>
      </c>
      <c r="B66" t="s">
        <v>1006</v>
      </c>
      <c r="C66" t="s">
        <v>1007</v>
      </c>
      <c r="D66" t="s">
        <v>1008</v>
      </c>
    </row>
    <row r="67" spans="1:4" x14ac:dyDescent="0.2">
      <c r="A67">
        <v>67</v>
      </c>
      <c r="B67" t="s">
        <v>1009</v>
      </c>
      <c r="C67" t="s">
        <v>1010</v>
      </c>
      <c r="D67" s="382">
        <v>44586</v>
      </c>
    </row>
    <row r="68" spans="1:4" x14ac:dyDescent="0.2">
      <c r="A68">
        <v>68</v>
      </c>
      <c r="B68" t="s">
        <v>1011</v>
      </c>
      <c r="C68" t="s">
        <v>1012</v>
      </c>
      <c r="D68" s="382">
        <v>45296</v>
      </c>
    </row>
    <row r="69" spans="1:4" x14ac:dyDescent="0.2">
      <c r="A69">
        <v>69</v>
      </c>
      <c r="B69" t="s">
        <v>1013</v>
      </c>
      <c r="C69" t="s">
        <v>1014</v>
      </c>
      <c r="D69" s="382">
        <v>41655</v>
      </c>
    </row>
    <row r="70" spans="1:4" x14ac:dyDescent="0.2">
      <c r="A70">
        <v>70</v>
      </c>
      <c r="B70" t="s">
        <v>1015</v>
      </c>
      <c r="C70" t="s">
        <v>1016</v>
      </c>
      <c r="D70" s="382">
        <v>43878</v>
      </c>
    </row>
    <row r="71" spans="1:4" x14ac:dyDescent="0.2">
      <c r="A71">
        <v>71</v>
      </c>
      <c r="B71" t="s">
        <v>1017</v>
      </c>
      <c r="C71" t="s">
        <v>1018</v>
      </c>
      <c r="D71" s="382">
        <v>45846</v>
      </c>
    </row>
    <row r="72" spans="1:4" x14ac:dyDescent="0.2">
      <c r="A72">
        <v>72</v>
      </c>
      <c r="B72" t="s">
        <v>1019</v>
      </c>
      <c r="C72" t="s">
        <v>1020</v>
      </c>
      <c r="D72" t="s">
        <v>1021</v>
      </c>
    </row>
    <row r="73" spans="1:4" x14ac:dyDescent="0.2">
      <c r="A73">
        <v>73</v>
      </c>
      <c r="B73" t="s">
        <v>1022</v>
      </c>
      <c r="C73" t="s">
        <v>1023</v>
      </c>
      <c r="D73" s="382">
        <v>32951</v>
      </c>
    </row>
    <row r="74" spans="1:4" x14ac:dyDescent="0.2">
      <c r="A74">
        <v>74</v>
      </c>
      <c r="B74" t="s">
        <v>1024</v>
      </c>
      <c r="C74" t="s">
        <v>1025</v>
      </c>
      <c r="D74" s="382">
        <v>41225</v>
      </c>
    </row>
    <row r="75" spans="1:4" x14ac:dyDescent="0.2">
      <c r="A75">
        <v>75</v>
      </c>
      <c r="B75" t="s">
        <v>1026</v>
      </c>
      <c r="C75" t="s">
        <v>1027</v>
      </c>
      <c r="D75" t="s">
        <v>1028</v>
      </c>
    </row>
    <row r="76" spans="1:4" x14ac:dyDescent="0.2">
      <c r="A76">
        <v>76</v>
      </c>
      <c r="B76" t="s">
        <v>1029</v>
      </c>
      <c r="C76" t="s">
        <v>1030</v>
      </c>
      <c r="D76" s="382">
        <v>42193</v>
      </c>
    </row>
    <row r="77" spans="1:4" x14ac:dyDescent="0.2">
      <c r="A77">
        <v>77</v>
      </c>
      <c r="B77" t="s">
        <v>1031</v>
      </c>
      <c r="C77" t="s">
        <v>1032</v>
      </c>
      <c r="D77" s="382">
        <v>45398</v>
      </c>
    </row>
    <row r="78" spans="1:4" x14ac:dyDescent="0.2">
      <c r="A78">
        <v>78</v>
      </c>
      <c r="B78" t="s">
        <v>1033</v>
      </c>
      <c r="C78" t="s">
        <v>1034</v>
      </c>
      <c r="D78" s="382">
        <v>35961</v>
      </c>
    </row>
    <row r="79" spans="1:4" x14ac:dyDescent="0.2">
      <c r="A79">
        <v>79</v>
      </c>
      <c r="B79" t="s">
        <v>1035</v>
      </c>
      <c r="C79" t="s">
        <v>1036</v>
      </c>
      <c r="D79" t="s">
        <v>1037</v>
      </c>
    </row>
    <row r="80" spans="1:4" x14ac:dyDescent="0.2">
      <c r="A80">
        <v>80</v>
      </c>
      <c r="B80" t="s">
        <v>1038</v>
      </c>
      <c r="C80" t="s">
        <v>1039</v>
      </c>
      <c r="D80" s="382">
        <v>45034</v>
      </c>
    </row>
    <row r="81" spans="1:4" x14ac:dyDescent="0.2">
      <c r="A81">
        <v>81</v>
      </c>
      <c r="B81" t="s">
        <v>1040</v>
      </c>
      <c r="C81" t="s">
        <v>1041</v>
      </c>
      <c r="D81" s="382">
        <v>44762</v>
      </c>
    </row>
    <row r="82" spans="1:4" x14ac:dyDescent="0.2">
      <c r="A82">
        <v>82</v>
      </c>
      <c r="B82" t="s">
        <v>1042</v>
      </c>
      <c r="C82" t="s">
        <v>1043</v>
      </c>
      <c r="D82" s="382">
        <v>45260</v>
      </c>
    </row>
    <row r="83" spans="1:4" x14ac:dyDescent="0.2">
      <c r="A83">
        <v>83</v>
      </c>
      <c r="B83" t="s">
        <v>1044</v>
      </c>
      <c r="C83" t="s">
        <v>1045</v>
      </c>
      <c r="D83" s="382">
        <v>43873</v>
      </c>
    </row>
    <row r="84" spans="1:4" x14ac:dyDescent="0.2">
      <c r="A84">
        <v>84</v>
      </c>
      <c r="B84" t="s">
        <v>1046</v>
      </c>
      <c r="C84" t="s">
        <v>1047</v>
      </c>
      <c r="D84" s="382">
        <v>37452</v>
      </c>
    </row>
    <row r="85" spans="1:4" x14ac:dyDescent="0.2">
      <c r="A85">
        <v>85</v>
      </c>
      <c r="B85" t="s">
        <v>1048</v>
      </c>
      <c r="C85" t="s">
        <v>1049</v>
      </c>
      <c r="D85" s="382">
        <v>45176</v>
      </c>
    </row>
    <row r="86" spans="1:4" x14ac:dyDescent="0.2">
      <c r="A86">
        <v>86</v>
      </c>
      <c r="B86" t="s">
        <v>1050</v>
      </c>
      <c r="C86" t="s">
        <v>1051</v>
      </c>
      <c r="D86" t="s">
        <v>1052</v>
      </c>
    </row>
    <row r="87" spans="1:4" x14ac:dyDescent="0.2">
      <c r="A87">
        <v>87</v>
      </c>
      <c r="B87" t="s">
        <v>1053</v>
      </c>
      <c r="C87" t="s">
        <v>1054</v>
      </c>
      <c r="D87" s="382">
        <v>45337</v>
      </c>
    </row>
    <row r="88" spans="1:4" x14ac:dyDescent="0.2">
      <c r="A88">
        <v>88</v>
      </c>
      <c r="B88" t="s">
        <v>1055</v>
      </c>
      <c r="C88" t="s">
        <v>1056</v>
      </c>
      <c r="D88" t="s">
        <v>1057</v>
      </c>
    </row>
    <row r="89" spans="1:4" x14ac:dyDescent="0.2">
      <c r="A89">
        <v>89</v>
      </c>
      <c r="B89" t="s">
        <v>1058</v>
      </c>
      <c r="C89" t="s">
        <v>1059</v>
      </c>
      <c r="D89" s="382">
        <v>41711</v>
      </c>
    </row>
    <row r="90" spans="1:4" x14ac:dyDescent="0.2">
      <c r="A90">
        <v>90</v>
      </c>
      <c r="B90" t="s">
        <v>1060</v>
      </c>
      <c r="C90" t="s">
        <v>1061</v>
      </c>
      <c r="D90" s="382">
        <v>44228</v>
      </c>
    </row>
    <row r="91" spans="1:4" x14ac:dyDescent="0.2">
      <c r="A91">
        <v>91</v>
      </c>
      <c r="B91" t="s">
        <v>1062</v>
      </c>
      <c r="C91" t="s">
        <v>1063</v>
      </c>
      <c r="D91" s="382">
        <v>39461</v>
      </c>
    </row>
    <row r="92" spans="1:4" x14ac:dyDescent="0.2">
      <c r="A92">
        <v>92</v>
      </c>
      <c r="B92" t="s">
        <v>1064</v>
      </c>
      <c r="C92" t="s">
        <v>1065</v>
      </c>
      <c r="D92" s="382">
        <v>43724</v>
      </c>
    </row>
    <row r="93" spans="1:4" x14ac:dyDescent="0.2">
      <c r="A93">
        <v>93</v>
      </c>
      <c r="B93" t="s">
        <v>1066</v>
      </c>
      <c r="C93" t="s">
        <v>1067</v>
      </c>
      <c r="D93" s="382">
        <v>30034</v>
      </c>
    </row>
    <row r="94" spans="1:4" x14ac:dyDescent="0.2">
      <c r="A94">
        <v>94</v>
      </c>
      <c r="B94" t="s">
        <v>1068</v>
      </c>
      <c r="C94" t="s">
        <v>1069</v>
      </c>
      <c r="D94" s="382">
        <v>45453</v>
      </c>
    </row>
    <row r="95" spans="1:4" x14ac:dyDescent="0.2">
      <c r="A95">
        <v>95</v>
      </c>
      <c r="B95" t="s">
        <v>1070</v>
      </c>
      <c r="C95" t="s">
        <v>1071</v>
      </c>
      <c r="D95" s="382">
        <v>44589</v>
      </c>
    </row>
    <row r="96" spans="1:4" x14ac:dyDescent="0.2">
      <c r="A96">
        <v>96</v>
      </c>
      <c r="B96" t="s">
        <v>1072</v>
      </c>
      <c r="C96" t="s">
        <v>1073</v>
      </c>
      <c r="D96" t="s">
        <v>1074</v>
      </c>
    </row>
    <row r="97" spans="1:4" x14ac:dyDescent="0.2">
      <c r="A97">
        <v>97</v>
      </c>
      <c r="B97" t="s">
        <v>1075</v>
      </c>
      <c r="C97" t="s">
        <v>1076</v>
      </c>
      <c r="D97" t="s">
        <v>1077</v>
      </c>
    </row>
    <row r="98" spans="1:4" x14ac:dyDescent="0.2">
      <c r="A98">
        <v>98</v>
      </c>
      <c r="B98" t="s">
        <v>1078</v>
      </c>
      <c r="C98" t="s">
        <v>1079</v>
      </c>
      <c r="D98" t="s">
        <v>1080</v>
      </c>
    </row>
    <row r="99" spans="1:4" x14ac:dyDescent="0.2">
      <c r="A99">
        <v>99</v>
      </c>
      <c r="B99" t="s">
        <v>1081</v>
      </c>
      <c r="C99" t="s">
        <v>1082</v>
      </c>
      <c r="D99" s="382">
        <v>38908</v>
      </c>
    </row>
    <row r="100" spans="1:4" x14ac:dyDescent="0.2">
      <c r="A100">
        <v>100</v>
      </c>
      <c r="B100" t="s">
        <v>1083</v>
      </c>
      <c r="C100" t="s">
        <v>1084</v>
      </c>
      <c r="D100" t="s">
        <v>1085</v>
      </c>
    </row>
    <row r="101" spans="1:4" x14ac:dyDescent="0.2">
      <c r="A101">
        <v>101</v>
      </c>
      <c r="B101" t="s">
        <v>1086</v>
      </c>
      <c r="C101" t="s">
        <v>1087</v>
      </c>
      <c r="D101" s="382">
        <v>41463</v>
      </c>
    </row>
    <row r="102" spans="1:4" x14ac:dyDescent="0.2">
      <c r="A102">
        <v>102</v>
      </c>
      <c r="B102" t="s">
        <v>1088</v>
      </c>
      <c r="C102" t="s">
        <v>1089</v>
      </c>
      <c r="D102" s="382">
        <v>35394</v>
      </c>
    </row>
    <row r="103" spans="1:4" x14ac:dyDescent="0.2">
      <c r="A103">
        <v>103</v>
      </c>
      <c r="B103" t="s">
        <v>1090</v>
      </c>
      <c r="C103" t="s">
        <v>1091</v>
      </c>
      <c r="D103" s="382">
        <v>37935</v>
      </c>
    </row>
    <row r="104" spans="1:4" x14ac:dyDescent="0.2">
      <c r="A104">
        <v>104</v>
      </c>
      <c r="B104" t="s">
        <v>1092</v>
      </c>
      <c r="C104" t="s">
        <v>1093</v>
      </c>
      <c r="D104" s="382">
        <v>41283</v>
      </c>
    </row>
    <row r="105" spans="1:4" x14ac:dyDescent="0.2">
      <c r="A105">
        <v>105</v>
      </c>
      <c r="B105" t="s">
        <v>1094</v>
      </c>
      <c r="C105" t="s">
        <v>1095</v>
      </c>
      <c r="D105" s="382">
        <v>44081</v>
      </c>
    </row>
    <row r="106" spans="1:4" x14ac:dyDescent="0.2">
      <c r="A106">
        <v>106</v>
      </c>
      <c r="B106" t="s">
        <v>1096</v>
      </c>
      <c r="C106" t="s">
        <v>1097</v>
      </c>
      <c r="D106" s="382">
        <v>43936</v>
      </c>
    </row>
    <row r="107" spans="1:4" x14ac:dyDescent="0.2">
      <c r="A107">
        <v>107</v>
      </c>
      <c r="B107" t="s">
        <v>1098</v>
      </c>
      <c r="C107" t="s">
        <v>1099</v>
      </c>
      <c r="D107" t="s">
        <v>1100</v>
      </c>
    </row>
    <row r="108" spans="1:4" x14ac:dyDescent="0.2">
      <c r="A108">
        <v>108</v>
      </c>
      <c r="B108" t="s">
        <v>1101</v>
      </c>
      <c r="C108" t="s">
        <v>1102</v>
      </c>
      <c r="D108" s="382">
        <v>42017</v>
      </c>
    </row>
    <row r="109" spans="1:4" x14ac:dyDescent="0.2">
      <c r="A109">
        <v>109</v>
      </c>
      <c r="B109" t="s">
        <v>1103</v>
      </c>
      <c r="C109" t="s">
        <v>1104</v>
      </c>
      <c r="D109" s="382">
        <v>37050</v>
      </c>
    </row>
    <row r="110" spans="1:4" x14ac:dyDescent="0.2">
      <c r="A110">
        <v>110</v>
      </c>
      <c r="B110" t="s">
        <v>1105</v>
      </c>
      <c r="C110" t="s">
        <v>1106</v>
      </c>
      <c r="D110" s="382">
        <v>35606</v>
      </c>
    </row>
    <row r="111" spans="1:4" x14ac:dyDescent="0.2">
      <c r="A111">
        <v>111</v>
      </c>
      <c r="B111" t="s">
        <v>1107</v>
      </c>
      <c r="C111" t="s">
        <v>1108</v>
      </c>
      <c r="D111" t="s">
        <v>1109</v>
      </c>
    </row>
    <row r="112" spans="1:4" x14ac:dyDescent="0.2">
      <c r="A112">
        <v>112</v>
      </c>
      <c r="B112" t="s">
        <v>1110</v>
      </c>
      <c r="C112" t="s">
        <v>1111</v>
      </c>
      <c r="D112" s="382">
        <v>44988</v>
      </c>
    </row>
    <row r="113" spans="1:4" x14ac:dyDescent="0.2">
      <c r="A113">
        <v>113</v>
      </c>
      <c r="B113" t="s">
        <v>1112</v>
      </c>
      <c r="C113" t="s">
        <v>1113</v>
      </c>
      <c r="D113" t="s">
        <v>1114</v>
      </c>
    </row>
    <row r="114" spans="1:4" x14ac:dyDescent="0.2">
      <c r="A114">
        <v>114</v>
      </c>
      <c r="B114" t="s">
        <v>1115</v>
      </c>
      <c r="C114" t="s">
        <v>1116</v>
      </c>
      <c r="D114" s="382">
        <v>44265</v>
      </c>
    </row>
    <row r="115" spans="1:4" x14ac:dyDescent="0.2">
      <c r="A115">
        <v>115</v>
      </c>
      <c r="B115" t="s">
        <v>1117</v>
      </c>
      <c r="C115" t="s">
        <v>1118</v>
      </c>
      <c r="D115" s="382">
        <v>43475</v>
      </c>
    </row>
    <row r="116" spans="1:4" x14ac:dyDescent="0.2">
      <c r="A116">
        <v>116</v>
      </c>
      <c r="B116" t="s">
        <v>1119</v>
      </c>
      <c r="C116" t="s">
        <v>1120</v>
      </c>
      <c r="D116" s="382">
        <v>44932</v>
      </c>
    </row>
    <row r="117" spans="1:4" x14ac:dyDescent="0.2">
      <c r="A117">
        <v>117</v>
      </c>
      <c r="B117" t="s">
        <v>1121</v>
      </c>
      <c r="C117" t="s">
        <v>1122</v>
      </c>
      <c r="D117" s="382">
        <v>37085</v>
      </c>
    </row>
    <row r="118" spans="1:4" x14ac:dyDescent="0.2">
      <c r="A118">
        <v>118</v>
      </c>
      <c r="B118" t="s">
        <v>1123</v>
      </c>
      <c r="C118" t="s">
        <v>1124</v>
      </c>
      <c r="D118" s="382">
        <v>44873</v>
      </c>
    </row>
    <row r="119" spans="1:4" x14ac:dyDescent="0.2">
      <c r="A119">
        <v>119</v>
      </c>
      <c r="B119" t="s">
        <v>1125</v>
      </c>
      <c r="C119" t="s">
        <v>1126</v>
      </c>
      <c r="D119" t="s">
        <v>1127</v>
      </c>
    </row>
    <row r="120" spans="1:4" x14ac:dyDescent="0.2">
      <c r="A120">
        <v>120</v>
      </c>
      <c r="B120" t="s">
        <v>1128</v>
      </c>
      <c r="C120" t="s">
        <v>1129</v>
      </c>
      <c r="D120" s="382">
        <v>43899</v>
      </c>
    </row>
    <row r="121" spans="1:4" x14ac:dyDescent="0.2">
      <c r="A121">
        <v>121</v>
      </c>
      <c r="B121" t="s">
        <v>1130</v>
      </c>
      <c r="C121" t="s">
        <v>1131</v>
      </c>
      <c r="D121" s="382">
        <v>41009</v>
      </c>
    </row>
    <row r="122" spans="1:4" x14ac:dyDescent="0.2">
      <c r="A122">
        <v>122</v>
      </c>
      <c r="B122" t="s">
        <v>1132</v>
      </c>
      <c r="C122" t="s">
        <v>1133</v>
      </c>
      <c r="D122" t="s">
        <v>1134</v>
      </c>
    </row>
    <row r="123" spans="1:4" x14ac:dyDescent="0.2">
      <c r="A123">
        <v>123</v>
      </c>
      <c r="B123" t="s">
        <v>1135</v>
      </c>
      <c r="C123" t="s">
        <v>1136</v>
      </c>
      <c r="D123" t="s">
        <v>1137</v>
      </c>
    </row>
    <row r="124" spans="1:4" x14ac:dyDescent="0.2">
      <c r="A124">
        <v>124</v>
      </c>
      <c r="B124" t="s">
        <v>1138</v>
      </c>
      <c r="C124" t="s">
        <v>1139</v>
      </c>
      <c r="D124" s="382">
        <v>43936</v>
      </c>
    </row>
    <row r="125" spans="1:4" x14ac:dyDescent="0.2">
      <c r="A125">
        <v>125</v>
      </c>
      <c r="B125" t="s">
        <v>1140</v>
      </c>
      <c r="C125" t="s">
        <v>1141</v>
      </c>
      <c r="D125" s="382">
        <v>35758</v>
      </c>
    </row>
    <row r="126" spans="1:4" x14ac:dyDescent="0.2">
      <c r="A126">
        <v>126</v>
      </c>
      <c r="B126" t="s">
        <v>1142</v>
      </c>
      <c r="C126" t="s">
        <v>1143</v>
      </c>
      <c r="D126" s="382">
        <v>42199</v>
      </c>
    </row>
    <row r="127" spans="1:4" x14ac:dyDescent="0.2">
      <c r="A127">
        <v>127</v>
      </c>
      <c r="B127" t="s">
        <v>1144</v>
      </c>
      <c r="C127" t="s">
        <v>1145</v>
      </c>
      <c r="D127" s="382">
        <v>44641</v>
      </c>
    </row>
    <row r="128" spans="1:4" x14ac:dyDescent="0.2">
      <c r="A128">
        <v>128</v>
      </c>
      <c r="B128" t="s">
        <v>1146</v>
      </c>
      <c r="C128" t="s">
        <v>1147</v>
      </c>
      <c r="D128" t="s">
        <v>1148</v>
      </c>
    </row>
    <row r="129" spans="1:4" x14ac:dyDescent="0.2">
      <c r="A129">
        <v>129</v>
      </c>
      <c r="B129" t="s">
        <v>1149</v>
      </c>
      <c r="C129" t="s">
        <v>1150</v>
      </c>
      <c r="D129" s="382">
        <v>41655</v>
      </c>
    </row>
    <row r="130" spans="1:4" x14ac:dyDescent="0.2">
      <c r="A130">
        <v>130</v>
      </c>
      <c r="B130" t="s">
        <v>1151</v>
      </c>
      <c r="C130" t="s">
        <v>1152</v>
      </c>
      <c r="D130" s="382">
        <v>44525</v>
      </c>
    </row>
    <row r="131" spans="1:4" x14ac:dyDescent="0.2">
      <c r="A131">
        <v>131</v>
      </c>
      <c r="B131" t="s">
        <v>1153</v>
      </c>
      <c r="C131" t="s">
        <v>1154</v>
      </c>
      <c r="D131" s="382">
        <v>40220</v>
      </c>
    </row>
    <row r="132" spans="1:4" x14ac:dyDescent="0.2">
      <c r="A132">
        <v>132</v>
      </c>
      <c r="B132" t="s">
        <v>1155</v>
      </c>
      <c r="C132" t="s">
        <v>1156</v>
      </c>
      <c r="D132" t="s">
        <v>1157</v>
      </c>
    </row>
    <row r="133" spans="1:4" x14ac:dyDescent="0.2">
      <c r="A133">
        <v>133</v>
      </c>
      <c r="B133" t="s">
        <v>1158</v>
      </c>
      <c r="C133" t="s">
        <v>1159</v>
      </c>
      <c r="D133" s="382">
        <v>41948</v>
      </c>
    </row>
    <row r="134" spans="1:4" x14ac:dyDescent="0.2">
      <c r="A134">
        <v>134</v>
      </c>
      <c r="B134" t="s">
        <v>1160</v>
      </c>
      <c r="C134" t="s">
        <v>1161</v>
      </c>
      <c r="D134" t="s">
        <v>1162</v>
      </c>
    </row>
    <row r="135" spans="1:4" x14ac:dyDescent="0.2">
      <c r="A135">
        <v>135</v>
      </c>
      <c r="B135" t="s">
        <v>1163</v>
      </c>
      <c r="C135" t="s">
        <v>1164</v>
      </c>
      <c r="D135" s="382">
        <v>40367</v>
      </c>
    </row>
    <row r="136" spans="1:4" x14ac:dyDescent="0.2">
      <c r="A136">
        <v>136</v>
      </c>
      <c r="B136" t="s">
        <v>1165</v>
      </c>
      <c r="C136" t="s">
        <v>1166</v>
      </c>
      <c r="D136" s="382">
        <v>41102</v>
      </c>
    </row>
    <row r="137" spans="1:4" x14ac:dyDescent="0.2">
      <c r="A137">
        <v>137</v>
      </c>
      <c r="B137" t="s">
        <v>1167</v>
      </c>
      <c r="C137" t="s">
        <v>1168</v>
      </c>
      <c r="D137" s="382">
        <v>39248</v>
      </c>
    </row>
    <row r="138" spans="1:4" x14ac:dyDescent="0.2">
      <c r="A138">
        <v>138</v>
      </c>
      <c r="B138" t="s">
        <v>1169</v>
      </c>
      <c r="C138" t="s">
        <v>1170</v>
      </c>
      <c r="D138" s="382">
        <v>35639</v>
      </c>
    </row>
    <row r="139" spans="1:4" x14ac:dyDescent="0.2">
      <c r="A139">
        <v>139</v>
      </c>
      <c r="B139" t="s">
        <v>1171</v>
      </c>
      <c r="C139" t="s">
        <v>1172</v>
      </c>
      <c r="D139" s="382">
        <v>37581</v>
      </c>
    </row>
    <row r="140" spans="1:4" x14ac:dyDescent="0.2">
      <c r="A140">
        <v>140</v>
      </c>
      <c r="B140" t="s">
        <v>1173</v>
      </c>
      <c r="C140" t="s">
        <v>1174</v>
      </c>
      <c r="D140" s="382">
        <v>45481</v>
      </c>
    </row>
    <row r="141" spans="1:4" x14ac:dyDescent="0.2">
      <c r="A141">
        <v>141</v>
      </c>
      <c r="B141" t="s">
        <v>1175</v>
      </c>
      <c r="C141" t="s">
        <v>1176</v>
      </c>
      <c r="D141" s="382">
        <v>45848</v>
      </c>
    </row>
    <row r="142" spans="1:4" x14ac:dyDescent="0.2">
      <c r="A142">
        <v>142</v>
      </c>
      <c r="B142" t="s">
        <v>1177</v>
      </c>
      <c r="C142" t="s">
        <v>1178</v>
      </c>
      <c r="D142" s="382">
        <v>32958</v>
      </c>
    </row>
    <row r="143" spans="1:4" x14ac:dyDescent="0.2">
      <c r="A143">
        <v>143</v>
      </c>
      <c r="B143" t="s">
        <v>1179</v>
      </c>
      <c r="C143" t="s">
        <v>1180</v>
      </c>
      <c r="D143" s="382">
        <v>41739</v>
      </c>
    </row>
    <row r="144" spans="1:4" x14ac:dyDescent="0.2">
      <c r="A144">
        <v>144</v>
      </c>
      <c r="B144" t="s">
        <v>1181</v>
      </c>
      <c r="C144" t="s">
        <v>1182</v>
      </c>
      <c r="D144" s="382">
        <v>43654</v>
      </c>
    </row>
    <row r="145" spans="1:4" x14ac:dyDescent="0.2">
      <c r="A145">
        <v>145</v>
      </c>
      <c r="B145" t="s">
        <v>1183</v>
      </c>
      <c r="C145" t="s">
        <v>1184</v>
      </c>
      <c r="D145" s="382">
        <v>41466</v>
      </c>
    </row>
    <row r="146" spans="1:4" x14ac:dyDescent="0.2">
      <c r="A146">
        <v>146</v>
      </c>
      <c r="B146" t="s">
        <v>1185</v>
      </c>
      <c r="C146" t="s">
        <v>1186</v>
      </c>
      <c r="D146" s="382">
        <v>44937</v>
      </c>
    </row>
    <row r="147" spans="1:4" x14ac:dyDescent="0.2">
      <c r="A147">
        <v>147</v>
      </c>
      <c r="B147" t="s">
        <v>1187</v>
      </c>
      <c r="C147" t="s">
        <v>1188</v>
      </c>
      <c r="D147" s="382">
        <v>44383</v>
      </c>
    </row>
    <row r="148" spans="1:4" x14ac:dyDescent="0.2">
      <c r="A148">
        <v>148</v>
      </c>
      <c r="B148" t="s">
        <v>1189</v>
      </c>
      <c r="C148" t="s">
        <v>1190</v>
      </c>
      <c r="D148" s="382">
        <v>37816</v>
      </c>
    </row>
    <row r="149" spans="1:4" x14ac:dyDescent="0.2">
      <c r="A149">
        <v>149</v>
      </c>
      <c r="B149" t="s">
        <v>1191</v>
      </c>
      <c r="C149" t="s">
        <v>1192</v>
      </c>
      <c r="D149" t="s">
        <v>1193</v>
      </c>
    </row>
    <row r="150" spans="1:4" x14ac:dyDescent="0.2">
      <c r="A150">
        <v>150</v>
      </c>
      <c r="B150" t="s">
        <v>1194</v>
      </c>
      <c r="C150" t="s">
        <v>1195</v>
      </c>
      <c r="D150" s="382">
        <v>34897</v>
      </c>
    </row>
    <row r="151" spans="1:4" x14ac:dyDescent="0.2">
      <c r="A151">
        <v>151</v>
      </c>
      <c r="B151" t="s">
        <v>1196</v>
      </c>
      <c r="C151" t="s">
        <v>1197</v>
      </c>
      <c r="D151" s="382">
        <v>38869</v>
      </c>
    </row>
    <row r="152" spans="1:4" x14ac:dyDescent="0.2">
      <c r="A152">
        <v>152</v>
      </c>
      <c r="B152" t="s">
        <v>1198</v>
      </c>
      <c r="C152" t="s">
        <v>1199</v>
      </c>
      <c r="D152" t="s">
        <v>1200</v>
      </c>
    </row>
    <row r="153" spans="1:4" x14ac:dyDescent="0.2">
      <c r="A153">
        <v>153</v>
      </c>
      <c r="B153" t="s">
        <v>1201</v>
      </c>
      <c r="C153" t="s">
        <v>1202</v>
      </c>
      <c r="D153" s="382">
        <v>32841</v>
      </c>
    </row>
    <row r="154" spans="1:4" x14ac:dyDescent="0.2">
      <c r="A154">
        <v>154</v>
      </c>
      <c r="B154" t="s">
        <v>1203</v>
      </c>
      <c r="C154" t="s">
        <v>1204</v>
      </c>
      <c r="D154" s="382">
        <v>32833</v>
      </c>
    </row>
    <row r="155" spans="1:4" x14ac:dyDescent="0.2">
      <c r="A155">
        <v>155</v>
      </c>
      <c r="B155" t="s">
        <v>1205</v>
      </c>
      <c r="C155" t="s">
        <v>1206</v>
      </c>
      <c r="D155" s="382">
        <v>32888</v>
      </c>
    </row>
    <row r="156" spans="1:4" x14ac:dyDescent="0.2">
      <c r="A156">
        <v>156</v>
      </c>
      <c r="B156" t="s">
        <v>1207</v>
      </c>
      <c r="C156" t="s">
        <v>1208</v>
      </c>
      <c r="D156" s="382">
        <v>45608</v>
      </c>
    </row>
    <row r="157" spans="1:4" x14ac:dyDescent="0.2">
      <c r="A157">
        <v>157</v>
      </c>
      <c r="B157" t="s">
        <v>1209</v>
      </c>
      <c r="C157" t="s">
        <v>1210</v>
      </c>
      <c r="D157" s="382">
        <v>44501</v>
      </c>
    </row>
    <row r="158" spans="1:4" x14ac:dyDescent="0.2">
      <c r="A158">
        <v>158</v>
      </c>
      <c r="B158" t="s">
        <v>1211</v>
      </c>
      <c r="C158" t="s">
        <v>1212</v>
      </c>
      <c r="D158" t="s">
        <v>1213</v>
      </c>
    </row>
    <row r="159" spans="1:4" x14ac:dyDescent="0.2">
      <c r="A159">
        <v>159</v>
      </c>
      <c r="B159" t="s">
        <v>1214</v>
      </c>
      <c r="C159" t="s">
        <v>1215</v>
      </c>
      <c r="D159" s="382">
        <v>43633</v>
      </c>
    </row>
    <row r="160" spans="1:4" x14ac:dyDescent="0.2">
      <c r="A160">
        <v>160</v>
      </c>
      <c r="B160" t="s">
        <v>1216</v>
      </c>
      <c r="C160" t="s">
        <v>1217</v>
      </c>
      <c r="D160" s="382">
        <v>42192</v>
      </c>
    </row>
    <row r="161" spans="1:4" x14ac:dyDescent="0.2">
      <c r="A161">
        <v>161</v>
      </c>
      <c r="B161" t="s">
        <v>1218</v>
      </c>
      <c r="C161" t="s">
        <v>1219</v>
      </c>
      <c r="D161" s="382">
        <v>43146</v>
      </c>
    </row>
    <row r="162" spans="1:4" x14ac:dyDescent="0.2">
      <c r="A162">
        <v>162</v>
      </c>
      <c r="B162" t="s">
        <v>1220</v>
      </c>
      <c r="C162" t="s">
        <v>1221</v>
      </c>
      <c r="D162" s="382">
        <v>39965</v>
      </c>
    </row>
    <row r="163" spans="1:4" x14ac:dyDescent="0.2">
      <c r="A163">
        <v>163</v>
      </c>
      <c r="B163" t="s">
        <v>1222</v>
      </c>
      <c r="C163" t="s">
        <v>1223</v>
      </c>
      <c r="D163" s="382">
        <v>41828</v>
      </c>
    </row>
    <row r="164" spans="1:4" x14ac:dyDescent="0.2">
      <c r="A164">
        <v>164</v>
      </c>
      <c r="B164" t="s">
        <v>1224</v>
      </c>
      <c r="C164" t="s">
        <v>1225</v>
      </c>
      <c r="D164" s="382">
        <v>43290</v>
      </c>
    </row>
    <row r="165" spans="1:4" x14ac:dyDescent="0.2">
      <c r="A165">
        <v>165</v>
      </c>
      <c r="B165" t="s">
        <v>1226</v>
      </c>
      <c r="C165" t="s">
        <v>1227</v>
      </c>
      <c r="D165" s="382">
        <v>33121</v>
      </c>
    </row>
    <row r="166" spans="1:4" x14ac:dyDescent="0.2">
      <c r="A166">
        <v>166</v>
      </c>
      <c r="B166" t="s">
        <v>1228</v>
      </c>
      <c r="C166" t="s">
        <v>1229</v>
      </c>
      <c r="D166" t="s">
        <v>1230</v>
      </c>
    </row>
    <row r="167" spans="1:4" x14ac:dyDescent="0.2">
      <c r="A167">
        <v>167</v>
      </c>
      <c r="B167" t="s">
        <v>1231</v>
      </c>
      <c r="C167" t="s">
        <v>1232</v>
      </c>
      <c r="D167" t="s">
        <v>1233</v>
      </c>
    </row>
    <row r="168" spans="1:4" x14ac:dyDescent="0.2">
      <c r="A168">
        <v>168</v>
      </c>
      <c r="B168" t="s">
        <v>1234</v>
      </c>
      <c r="C168" t="s">
        <v>1235</v>
      </c>
      <c r="D168" t="s">
        <v>1236</v>
      </c>
    </row>
    <row r="169" spans="1:4" x14ac:dyDescent="0.2">
      <c r="A169">
        <v>169</v>
      </c>
      <c r="B169" t="s">
        <v>1237</v>
      </c>
      <c r="C169" t="s">
        <v>1238</v>
      </c>
      <c r="D169" s="382">
        <v>32818</v>
      </c>
    </row>
    <row r="170" spans="1:4" x14ac:dyDescent="0.2">
      <c r="A170">
        <v>170</v>
      </c>
      <c r="B170" t="s">
        <v>1239</v>
      </c>
      <c r="C170" t="s">
        <v>1240</v>
      </c>
      <c r="D170" t="s">
        <v>1241</v>
      </c>
    </row>
    <row r="171" spans="1:4" x14ac:dyDescent="0.2">
      <c r="A171">
        <v>171</v>
      </c>
      <c r="B171" t="s">
        <v>1242</v>
      </c>
      <c r="C171" t="s">
        <v>1243</v>
      </c>
      <c r="D171" s="382">
        <v>45666</v>
      </c>
    </row>
    <row r="172" spans="1:4" x14ac:dyDescent="0.2">
      <c r="A172">
        <v>172</v>
      </c>
      <c r="B172" t="s">
        <v>1244</v>
      </c>
      <c r="C172" t="s">
        <v>1245</v>
      </c>
      <c r="D172" s="382">
        <v>44873</v>
      </c>
    </row>
    <row r="173" spans="1:4" x14ac:dyDescent="0.2">
      <c r="A173">
        <v>173</v>
      </c>
      <c r="B173" t="s">
        <v>1246</v>
      </c>
      <c r="C173" t="s">
        <v>1247</v>
      </c>
      <c r="D173" s="382">
        <v>39605</v>
      </c>
    </row>
    <row r="174" spans="1:4" x14ac:dyDescent="0.2">
      <c r="A174">
        <v>174</v>
      </c>
      <c r="B174" t="s">
        <v>1248</v>
      </c>
      <c r="C174" t="s">
        <v>1249</v>
      </c>
      <c r="D174" t="s">
        <v>1250</v>
      </c>
    </row>
    <row r="175" spans="1:4" x14ac:dyDescent="0.2">
      <c r="A175">
        <v>175</v>
      </c>
      <c r="B175" t="s">
        <v>1251</v>
      </c>
      <c r="C175" t="s">
        <v>1252</v>
      </c>
      <c r="D175" t="s">
        <v>1253</v>
      </c>
    </row>
    <row r="176" spans="1:4" x14ac:dyDescent="0.2">
      <c r="A176">
        <v>176</v>
      </c>
      <c r="B176" t="s">
        <v>1254</v>
      </c>
      <c r="C176" t="s">
        <v>1255</v>
      </c>
      <c r="D176" s="382">
        <v>41221</v>
      </c>
    </row>
    <row r="177" spans="1:4" x14ac:dyDescent="0.2">
      <c r="A177">
        <v>177</v>
      </c>
      <c r="B177" t="s">
        <v>1256</v>
      </c>
      <c r="C177" t="s">
        <v>1257</v>
      </c>
      <c r="D177" t="s">
        <v>1258</v>
      </c>
    </row>
    <row r="178" spans="1:4" x14ac:dyDescent="0.2">
      <c r="A178">
        <v>178</v>
      </c>
      <c r="B178" t="s">
        <v>1259</v>
      </c>
      <c r="C178" t="s">
        <v>1260</v>
      </c>
      <c r="D178" t="s">
        <v>1261</v>
      </c>
    </row>
    <row r="179" spans="1:4" x14ac:dyDescent="0.2">
      <c r="A179">
        <v>179</v>
      </c>
      <c r="B179" t="s">
        <v>1262</v>
      </c>
      <c r="C179" t="s">
        <v>1263</v>
      </c>
      <c r="D179" s="382">
        <v>38751</v>
      </c>
    </row>
    <row r="180" spans="1:4" x14ac:dyDescent="0.2">
      <c r="A180">
        <v>180</v>
      </c>
      <c r="B180" t="s">
        <v>1264</v>
      </c>
      <c r="C180" t="s">
        <v>1265</v>
      </c>
      <c r="D180" s="382">
        <v>37090</v>
      </c>
    </row>
    <row r="181" spans="1:4" x14ac:dyDescent="0.2">
      <c r="A181">
        <v>181</v>
      </c>
      <c r="B181" t="s">
        <v>1266</v>
      </c>
      <c r="C181" t="s">
        <v>1267</v>
      </c>
      <c r="D181" s="382">
        <v>39519</v>
      </c>
    </row>
    <row r="182" spans="1:4" x14ac:dyDescent="0.2">
      <c r="A182">
        <v>182</v>
      </c>
      <c r="B182" t="s">
        <v>1268</v>
      </c>
      <c r="C182" t="s">
        <v>1269</v>
      </c>
      <c r="D182" t="s">
        <v>1270</v>
      </c>
    </row>
    <row r="183" spans="1:4" x14ac:dyDescent="0.2">
      <c r="A183">
        <v>183</v>
      </c>
      <c r="B183" t="s">
        <v>1271</v>
      </c>
      <c r="C183" t="s">
        <v>1272</v>
      </c>
      <c r="D183" t="s">
        <v>1273</v>
      </c>
    </row>
    <row r="184" spans="1:4" x14ac:dyDescent="0.2">
      <c r="A184">
        <v>184</v>
      </c>
      <c r="B184" t="s">
        <v>1274</v>
      </c>
      <c r="C184" t="s">
        <v>1275</v>
      </c>
      <c r="D184" t="s">
        <v>1276</v>
      </c>
    </row>
    <row r="185" spans="1:4" x14ac:dyDescent="0.2">
      <c r="A185">
        <v>185</v>
      </c>
      <c r="B185" t="s">
        <v>1277</v>
      </c>
      <c r="C185" t="s">
        <v>1278</v>
      </c>
      <c r="D185" t="s">
        <v>1279</v>
      </c>
    </row>
    <row r="186" spans="1:4" x14ac:dyDescent="0.2">
      <c r="A186">
        <v>186</v>
      </c>
      <c r="B186" t="s">
        <v>1280</v>
      </c>
      <c r="C186" t="s">
        <v>1281</v>
      </c>
      <c r="D186" s="382">
        <v>42184</v>
      </c>
    </row>
    <row r="187" spans="1:4" x14ac:dyDescent="0.2">
      <c r="A187">
        <v>187</v>
      </c>
      <c r="B187" t="s">
        <v>1282</v>
      </c>
      <c r="C187" t="s">
        <v>1283</v>
      </c>
      <c r="D187" t="s">
        <v>1284</v>
      </c>
    </row>
    <row r="188" spans="1:4" x14ac:dyDescent="0.2">
      <c r="A188">
        <v>188</v>
      </c>
      <c r="B188" t="s">
        <v>1285</v>
      </c>
      <c r="C188" t="s">
        <v>1286</v>
      </c>
      <c r="D188" s="382">
        <v>33084</v>
      </c>
    </row>
    <row r="189" spans="1:4" x14ac:dyDescent="0.2">
      <c r="A189">
        <v>189</v>
      </c>
      <c r="B189" t="s">
        <v>1287</v>
      </c>
      <c r="C189" t="s">
        <v>1288</v>
      </c>
      <c r="D189" s="382">
        <v>40371</v>
      </c>
    </row>
    <row r="190" spans="1:4" x14ac:dyDescent="0.2">
      <c r="A190">
        <v>190</v>
      </c>
      <c r="B190" t="s">
        <v>1289</v>
      </c>
      <c r="C190" t="s">
        <v>1290</v>
      </c>
      <c r="D190" s="382">
        <v>36341</v>
      </c>
    </row>
    <row r="191" spans="1:4" x14ac:dyDescent="0.2">
      <c r="A191">
        <v>191</v>
      </c>
      <c r="B191" t="s">
        <v>1291</v>
      </c>
      <c r="C191" t="s">
        <v>1292</v>
      </c>
      <c r="D191" t="s">
        <v>1293</v>
      </c>
    </row>
    <row r="192" spans="1:4" x14ac:dyDescent="0.2">
      <c r="A192">
        <v>192</v>
      </c>
      <c r="B192" t="s">
        <v>1294</v>
      </c>
      <c r="C192" t="s">
        <v>1295</v>
      </c>
      <c r="D192" t="s">
        <v>1296</v>
      </c>
    </row>
    <row r="193" spans="1:4" x14ac:dyDescent="0.2">
      <c r="A193">
        <v>193</v>
      </c>
      <c r="B193" t="s">
        <v>1297</v>
      </c>
      <c r="C193" t="s">
        <v>1298</v>
      </c>
      <c r="D193" t="s">
        <v>1299</v>
      </c>
    </row>
    <row r="194" spans="1:4" x14ac:dyDescent="0.2">
      <c r="A194">
        <v>194</v>
      </c>
      <c r="B194" t="s">
        <v>1300</v>
      </c>
      <c r="C194" t="s">
        <v>1301</v>
      </c>
      <c r="D194" t="s">
        <v>1302</v>
      </c>
    </row>
    <row r="195" spans="1:4" x14ac:dyDescent="0.2">
      <c r="A195">
        <v>195</v>
      </c>
      <c r="B195" t="s">
        <v>1303</v>
      </c>
      <c r="C195" t="s">
        <v>1304</v>
      </c>
      <c r="D195" s="382">
        <v>41655</v>
      </c>
    </row>
    <row r="196" spans="1:4" x14ac:dyDescent="0.2">
      <c r="A196">
        <v>196</v>
      </c>
      <c r="B196" t="s">
        <v>1305</v>
      </c>
      <c r="C196" t="s">
        <v>1306</v>
      </c>
      <c r="D196" s="382">
        <v>43903</v>
      </c>
    </row>
    <row r="197" spans="1:4" x14ac:dyDescent="0.2">
      <c r="A197">
        <v>197</v>
      </c>
      <c r="B197" t="s">
        <v>1307</v>
      </c>
      <c r="C197" t="s">
        <v>1308</v>
      </c>
      <c r="D197" s="382">
        <v>42835</v>
      </c>
    </row>
    <row r="198" spans="1:4" x14ac:dyDescent="0.2">
      <c r="A198">
        <v>198</v>
      </c>
      <c r="B198" t="s">
        <v>1309</v>
      </c>
      <c r="C198" t="s">
        <v>1310</v>
      </c>
      <c r="D198" s="382">
        <v>42570</v>
      </c>
    </row>
    <row r="199" spans="1:4" x14ac:dyDescent="0.2">
      <c r="A199">
        <v>199</v>
      </c>
      <c r="B199" t="s">
        <v>1311</v>
      </c>
      <c r="C199" t="s">
        <v>1312</v>
      </c>
      <c r="D199" t="s">
        <v>1313</v>
      </c>
    </row>
    <row r="200" spans="1:4" x14ac:dyDescent="0.2">
      <c r="A200">
        <v>200</v>
      </c>
      <c r="B200" t="s">
        <v>1314</v>
      </c>
      <c r="C200" t="s">
        <v>1315</v>
      </c>
      <c r="D200" t="s">
        <v>1316</v>
      </c>
    </row>
    <row r="201" spans="1:4" x14ac:dyDescent="0.2">
      <c r="A201">
        <v>201</v>
      </c>
      <c r="B201" t="s">
        <v>1317</v>
      </c>
      <c r="C201" t="s">
        <v>1318</v>
      </c>
      <c r="D201" s="382">
        <v>45670</v>
      </c>
    </row>
    <row r="202" spans="1:4" x14ac:dyDescent="0.2">
      <c r="A202">
        <v>202</v>
      </c>
      <c r="B202" t="s">
        <v>1319</v>
      </c>
      <c r="C202" t="s">
        <v>1320</v>
      </c>
      <c r="D202" s="382">
        <v>43930</v>
      </c>
    </row>
    <row r="203" spans="1:4" x14ac:dyDescent="0.2">
      <c r="A203">
        <v>203</v>
      </c>
      <c r="B203" t="s">
        <v>1321</v>
      </c>
      <c r="C203" t="s">
        <v>1322</v>
      </c>
      <c r="D203" s="382">
        <v>44932</v>
      </c>
    </row>
    <row r="204" spans="1:4" x14ac:dyDescent="0.2">
      <c r="A204">
        <v>204</v>
      </c>
      <c r="B204" t="s">
        <v>1323</v>
      </c>
      <c r="C204" t="s">
        <v>1324</v>
      </c>
      <c r="D204" s="382">
        <v>44935</v>
      </c>
    </row>
    <row r="205" spans="1:4" x14ac:dyDescent="0.2">
      <c r="A205">
        <v>205</v>
      </c>
      <c r="B205" t="s">
        <v>1325</v>
      </c>
      <c r="C205" t="s">
        <v>1326</v>
      </c>
      <c r="D205" s="382">
        <v>44873</v>
      </c>
    </row>
    <row r="206" spans="1:4" x14ac:dyDescent="0.2">
      <c r="A206">
        <v>206</v>
      </c>
      <c r="B206" t="s">
        <v>1327</v>
      </c>
      <c r="C206" t="s">
        <v>1328</v>
      </c>
      <c r="D206" s="382">
        <v>43634</v>
      </c>
    </row>
    <row r="207" spans="1:4" x14ac:dyDescent="0.2">
      <c r="A207">
        <v>207</v>
      </c>
      <c r="B207" t="s">
        <v>1329</v>
      </c>
      <c r="C207" t="s">
        <v>1330</v>
      </c>
      <c r="D207" s="382">
        <v>45847</v>
      </c>
    </row>
    <row r="208" spans="1:4" x14ac:dyDescent="0.2">
      <c r="A208">
        <v>208</v>
      </c>
      <c r="B208" t="s">
        <v>1331</v>
      </c>
      <c r="C208" t="s">
        <v>1332</v>
      </c>
      <c r="D208" s="382">
        <v>35255</v>
      </c>
    </row>
    <row r="209" spans="1:4" x14ac:dyDescent="0.2">
      <c r="A209">
        <v>209</v>
      </c>
      <c r="B209" t="s">
        <v>1333</v>
      </c>
      <c r="C209" t="s">
        <v>1334</v>
      </c>
      <c r="D209" s="382">
        <v>37196</v>
      </c>
    </row>
    <row r="210" spans="1:4" x14ac:dyDescent="0.2">
      <c r="A210">
        <v>210</v>
      </c>
      <c r="B210" t="s">
        <v>1335</v>
      </c>
      <c r="C210" t="s">
        <v>1336</v>
      </c>
      <c r="D210" t="s">
        <v>1337</v>
      </c>
    </row>
    <row r="211" spans="1:4" x14ac:dyDescent="0.2">
      <c r="A211">
        <v>211</v>
      </c>
      <c r="B211" t="s">
        <v>1338</v>
      </c>
      <c r="C211" t="s">
        <v>1339</v>
      </c>
      <c r="D211" s="382">
        <v>45299</v>
      </c>
    </row>
    <row r="212" spans="1:4" x14ac:dyDescent="0.2">
      <c r="A212">
        <v>212</v>
      </c>
      <c r="B212" t="s">
        <v>1340</v>
      </c>
      <c r="C212" t="s">
        <v>1341</v>
      </c>
      <c r="D212" s="382">
        <v>45848</v>
      </c>
    </row>
    <row r="213" spans="1:4" x14ac:dyDescent="0.2">
      <c r="A213">
        <v>213</v>
      </c>
      <c r="B213" t="s">
        <v>1342</v>
      </c>
      <c r="C213" t="s">
        <v>1343</v>
      </c>
      <c r="D213" s="382">
        <v>44750</v>
      </c>
    </row>
    <row r="214" spans="1:4" x14ac:dyDescent="0.2">
      <c r="A214">
        <v>214</v>
      </c>
      <c r="B214" t="s">
        <v>1344</v>
      </c>
      <c r="C214" t="s">
        <v>1345</v>
      </c>
      <c r="D214" s="382">
        <v>44965</v>
      </c>
    </row>
    <row r="215" spans="1:4" x14ac:dyDescent="0.2">
      <c r="A215">
        <v>215</v>
      </c>
      <c r="B215" t="s">
        <v>1346</v>
      </c>
      <c r="C215" t="s">
        <v>1347</v>
      </c>
      <c r="D215" s="382">
        <v>41817</v>
      </c>
    </row>
    <row r="216" spans="1:4" x14ac:dyDescent="0.2">
      <c r="A216">
        <v>216</v>
      </c>
      <c r="B216" t="s">
        <v>1348</v>
      </c>
      <c r="C216" t="s">
        <v>1349</v>
      </c>
      <c r="D216" s="382">
        <v>37335</v>
      </c>
    </row>
    <row r="217" spans="1:4" x14ac:dyDescent="0.2">
      <c r="A217">
        <v>217</v>
      </c>
      <c r="B217" t="s">
        <v>1350</v>
      </c>
      <c r="C217" t="s">
        <v>1351</v>
      </c>
      <c r="D217" s="382">
        <v>43371</v>
      </c>
    </row>
    <row r="218" spans="1:4" x14ac:dyDescent="0.2">
      <c r="A218">
        <v>218</v>
      </c>
      <c r="B218" t="s">
        <v>1352</v>
      </c>
      <c r="C218" t="s">
        <v>1353</v>
      </c>
      <c r="D218" s="382">
        <v>43483</v>
      </c>
    </row>
    <row r="219" spans="1:4" x14ac:dyDescent="0.2">
      <c r="A219">
        <v>219</v>
      </c>
      <c r="B219" t="s">
        <v>1354</v>
      </c>
      <c r="C219" t="s">
        <v>1355</v>
      </c>
      <c r="D219" t="s">
        <v>1356</v>
      </c>
    </row>
    <row r="220" spans="1:4" x14ac:dyDescent="0.2">
      <c r="A220">
        <v>220</v>
      </c>
      <c r="B220" t="s">
        <v>1357</v>
      </c>
      <c r="C220" t="s">
        <v>1358</v>
      </c>
      <c r="D220" s="382">
        <v>37225</v>
      </c>
    </row>
    <row r="221" spans="1:4" x14ac:dyDescent="0.2">
      <c r="A221">
        <v>221</v>
      </c>
      <c r="B221" t="s">
        <v>1359</v>
      </c>
      <c r="C221" t="s">
        <v>1360</v>
      </c>
      <c r="D221" s="382">
        <v>34709</v>
      </c>
    </row>
    <row r="222" spans="1:4" x14ac:dyDescent="0.2">
      <c r="A222">
        <v>222</v>
      </c>
      <c r="B222" t="s">
        <v>1361</v>
      </c>
      <c r="C222" t="s">
        <v>1362</v>
      </c>
      <c r="D222" s="382">
        <v>44447</v>
      </c>
    </row>
    <row r="223" spans="1:4" x14ac:dyDescent="0.2">
      <c r="A223">
        <v>223</v>
      </c>
      <c r="B223" t="s">
        <v>1363</v>
      </c>
      <c r="C223" t="s">
        <v>1364</v>
      </c>
      <c r="D223" t="s">
        <v>1365</v>
      </c>
    </row>
    <row r="224" spans="1:4" x14ac:dyDescent="0.2">
      <c r="A224">
        <v>224</v>
      </c>
      <c r="B224" t="s">
        <v>1366</v>
      </c>
      <c r="C224" t="s">
        <v>1367</v>
      </c>
      <c r="D224" t="s">
        <v>1368</v>
      </c>
    </row>
    <row r="225" spans="1:4" x14ac:dyDescent="0.2">
      <c r="A225">
        <v>225</v>
      </c>
      <c r="B225" t="s">
        <v>1369</v>
      </c>
      <c r="C225" t="s">
        <v>1370</v>
      </c>
      <c r="D225" s="382">
        <v>37215</v>
      </c>
    </row>
    <row r="226" spans="1:4" x14ac:dyDescent="0.2">
      <c r="A226">
        <v>226</v>
      </c>
      <c r="B226" t="s">
        <v>1371</v>
      </c>
      <c r="C226" t="s">
        <v>1372</v>
      </c>
      <c r="D226" t="s">
        <v>1373</v>
      </c>
    </row>
    <row r="227" spans="1:4" x14ac:dyDescent="0.2">
      <c r="A227">
        <v>227</v>
      </c>
      <c r="B227" t="s">
        <v>1374</v>
      </c>
      <c r="C227" t="s">
        <v>1375</v>
      </c>
      <c r="D227" t="s">
        <v>1376</v>
      </c>
    </row>
    <row r="228" spans="1:4" x14ac:dyDescent="0.2">
      <c r="A228">
        <v>228</v>
      </c>
      <c r="B228" t="s">
        <v>1377</v>
      </c>
      <c r="C228" t="s">
        <v>1378</v>
      </c>
      <c r="D228" s="382">
        <v>44811</v>
      </c>
    </row>
    <row r="229" spans="1:4" x14ac:dyDescent="0.2">
      <c r="A229">
        <v>229</v>
      </c>
      <c r="B229" t="s">
        <v>1379</v>
      </c>
      <c r="C229" t="s">
        <v>1380</v>
      </c>
      <c r="D229" s="382">
        <v>43544</v>
      </c>
    </row>
    <row r="230" spans="1:4" x14ac:dyDescent="0.2">
      <c r="A230">
        <v>230</v>
      </c>
      <c r="B230" t="s">
        <v>1381</v>
      </c>
      <c r="C230" t="s">
        <v>1382</v>
      </c>
      <c r="D230" s="382">
        <v>45847</v>
      </c>
    </row>
    <row r="231" spans="1:4" x14ac:dyDescent="0.2">
      <c r="A231">
        <v>231</v>
      </c>
      <c r="B231" t="s">
        <v>1383</v>
      </c>
      <c r="C231" t="s">
        <v>1384</v>
      </c>
      <c r="D231" t="s">
        <v>1385</v>
      </c>
    </row>
    <row r="232" spans="1:4" x14ac:dyDescent="0.2">
      <c r="A232">
        <v>232</v>
      </c>
      <c r="B232" t="s">
        <v>1386</v>
      </c>
      <c r="C232" t="s">
        <v>1387</v>
      </c>
      <c r="D232" s="382">
        <v>33315</v>
      </c>
    </row>
    <row r="233" spans="1:4" x14ac:dyDescent="0.2">
      <c r="A233">
        <v>233</v>
      </c>
      <c r="B233" t="s">
        <v>1388</v>
      </c>
      <c r="C233" t="s">
        <v>1389</v>
      </c>
      <c r="D233" s="382">
        <v>43566</v>
      </c>
    </row>
    <row r="234" spans="1:4" x14ac:dyDescent="0.2">
      <c r="A234">
        <v>234</v>
      </c>
      <c r="B234" t="s">
        <v>1390</v>
      </c>
      <c r="C234" t="s">
        <v>1391</v>
      </c>
      <c r="D234" s="382">
        <v>39049</v>
      </c>
    </row>
    <row r="235" spans="1:4" x14ac:dyDescent="0.2">
      <c r="A235">
        <v>235</v>
      </c>
      <c r="B235" t="s">
        <v>1392</v>
      </c>
      <c r="C235" t="s">
        <v>1393</v>
      </c>
      <c r="D235" t="s">
        <v>1394</v>
      </c>
    </row>
    <row r="236" spans="1:4" x14ac:dyDescent="0.2">
      <c r="A236">
        <v>236</v>
      </c>
      <c r="B236" t="s">
        <v>1395</v>
      </c>
      <c r="C236" t="s">
        <v>1396</v>
      </c>
      <c r="D236" s="382">
        <v>45117</v>
      </c>
    </row>
    <row r="237" spans="1:4" x14ac:dyDescent="0.2">
      <c r="A237">
        <v>237</v>
      </c>
      <c r="B237" t="s">
        <v>1397</v>
      </c>
      <c r="C237" t="s">
        <v>1398</v>
      </c>
      <c r="D237" t="s">
        <v>1399</v>
      </c>
    </row>
    <row r="238" spans="1:4" x14ac:dyDescent="0.2">
      <c r="A238">
        <v>238</v>
      </c>
      <c r="B238" t="s">
        <v>1400</v>
      </c>
      <c r="C238" t="s">
        <v>1401</v>
      </c>
      <c r="D238" t="s">
        <v>1402</v>
      </c>
    </row>
    <row r="239" spans="1:4" x14ac:dyDescent="0.2">
      <c r="A239">
        <v>239</v>
      </c>
      <c r="B239" t="s">
        <v>1403</v>
      </c>
      <c r="C239" t="s">
        <v>1404</v>
      </c>
      <c r="D239" s="382">
        <v>43930</v>
      </c>
    </row>
    <row r="240" spans="1:4" x14ac:dyDescent="0.2">
      <c r="A240">
        <v>240</v>
      </c>
      <c r="B240" t="s">
        <v>1405</v>
      </c>
      <c r="C240" t="s">
        <v>1406</v>
      </c>
      <c r="D240" s="382">
        <v>43839</v>
      </c>
    </row>
    <row r="241" spans="1:4" x14ac:dyDescent="0.2">
      <c r="A241">
        <v>241</v>
      </c>
      <c r="B241" t="s">
        <v>1407</v>
      </c>
      <c r="C241" t="s">
        <v>1408</v>
      </c>
      <c r="D241" s="382">
        <v>32840</v>
      </c>
    </row>
    <row r="242" spans="1:4" x14ac:dyDescent="0.2">
      <c r="A242">
        <v>242</v>
      </c>
      <c r="B242" t="s">
        <v>1409</v>
      </c>
      <c r="C242" t="s">
        <v>1410</v>
      </c>
      <c r="D242" s="382">
        <v>34421</v>
      </c>
    </row>
    <row r="243" spans="1:4" x14ac:dyDescent="0.2">
      <c r="A243">
        <v>243</v>
      </c>
      <c r="B243" t="s">
        <v>1411</v>
      </c>
      <c r="C243" t="s">
        <v>1412</v>
      </c>
      <c r="D243" s="382">
        <v>35249</v>
      </c>
    </row>
    <row r="244" spans="1:4" x14ac:dyDescent="0.2">
      <c r="A244">
        <v>244</v>
      </c>
      <c r="B244" t="s">
        <v>1413</v>
      </c>
      <c r="C244" t="s">
        <v>1414</v>
      </c>
      <c r="D244" s="382">
        <v>44993</v>
      </c>
    </row>
    <row r="245" spans="1:4" x14ac:dyDescent="0.2">
      <c r="A245">
        <v>245</v>
      </c>
      <c r="B245" t="s">
        <v>1415</v>
      </c>
      <c r="C245" t="s">
        <v>1416</v>
      </c>
      <c r="D245" t="s">
        <v>1417</v>
      </c>
    </row>
    <row r="246" spans="1:4" x14ac:dyDescent="0.2">
      <c r="A246">
        <v>246</v>
      </c>
      <c r="B246" t="s">
        <v>1418</v>
      </c>
      <c r="C246" t="s">
        <v>1419</v>
      </c>
      <c r="D246" s="382">
        <v>45607</v>
      </c>
    </row>
    <row r="247" spans="1:4" x14ac:dyDescent="0.2">
      <c r="A247">
        <v>247</v>
      </c>
      <c r="B247" t="s">
        <v>1420</v>
      </c>
      <c r="C247" t="s">
        <v>1421</v>
      </c>
      <c r="D247" s="382">
        <v>43875</v>
      </c>
    </row>
    <row r="248" spans="1:4" x14ac:dyDescent="0.2">
      <c r="A248">
        <v>248</v>
      </c>
      <c r="B248" t="s">
        <v>1422</v>
      </c>
      <c r="C248" t="s">
        <v>1423</v>
      </c>
      <c r="D248" t="s">
        <v>1424</v>
      </c>
    </row>
    <row r="249" spans="1:4" x14ac:dyDescent="0.2">
      <c r="A249">
        <v>249</v>
      </c>
      <c r="B249" t="s">
        <v>1425</v>
      </c>
      <c r="C249" t="s">
        <v>1426</v>
      </c>
      <c r="D249" t="s">
        <v>1427</v>
      </c>
    </row>
    <row r="250" spans="1:4" x14ac:dyDescent="0.2">
      <c r="A250">
        <v>250</v>
      </c>
      <c r="B250" t="s">
        <v>1428</v>
      </c>
      <c r="C250" t="s">
        <v>1429</v>
      </c>
      <c r="D250" s="382">
        <v>42549</v>
      </c>
    </row>
    <row r="251" spans="1:4" x14ac:dyDescent="0.2">
      <c r="A251">
        <v>251</v>
      </c>
      <c r="B251" t="s">
        <v>1430</v>
      </c>
      <c r="C251" t="s">
        <v>1431</v>
      </c>
      <c r="D251" s="382">
        <v>44202</v>
      </c>
    </row>
    <row r="252" spans="1:4" x14ac:dyDescent="0.2">
      <c r="A252">
        <v>252</v>
      </c>
      <c r="B252" t="s">
        <v>1432</v>
      </c>
      <c r="C252" t="s">
        <v>1433</v>
      </c>
      <c r="D252" s="382">
        <v>43415</v>
      </c>
    </row>
    <row r="253" spans="1:4" x14ac:dyDescent="0.2">
      <c r="A253">
        <v>253</v>
      </c>
      <c r="B253" t="s">
        <v>1434</v>
      </c>
      <c r="C253" t="s">
        <v>1435</v>
      </c>
      <c r="D253" s="382">
        <v>37078</v>
      </c>
    </row>
    <row r="254" spans="1:4" x14ac:dyDescent="0.2">
      <c r="A254">
        <v>254</v>
      </c>
      <c r="B254" t="s">
        <v>1436</v>
      </c>
      <c r="C254" t="s">
        <v>1437</v>
      </c>
      <c r="D254" s="382">
        <v>44525</v>
      </c>
    </row>
    <row r="255" spans="1:4" x14ac:dyDescent="0.2">
      <c r="A255">
        <v>255</v>
      </c>
      <c r="B255" t="s">
        <v>1438</v>
      </c>
      <c r="C255" t="s">
        <v>1439</v>
      </c>
      <c r="D255" s="382">
        <v>39351</v>
      </c>
    </row>
    <row r="256" spans="1:4" x14ac:dyDescent="0.2">
      <c r="A256">
        <v>256</v>
      </c>
      <c r="B256" t="s">
        <v>1440</v>
      </c>
      <c r="C256" t="s">
        <v>1441</v>
      </c>
      <c r="D256" s="382">
        <v>44760</v>
      </c>
    </row>
    <row r="257" spans="1:4" x14ac:dyDescent="0.2">
      <c r="A257">
        <v>257</v>
      </c>
      <c r="B257" t="s">
        <v>1442</v>
      </c>
      <c r="C257" t="s">
        <v>1443</v>
      </c>
      <c r="D257" s="382">
        <v>43217</v>
      </c>
    </row>
    <row r="258" spans="1:4" x14ac:dyDescent="0.2">
      <c r="A258">
        <v>258</v>
      </c>
      <c r="B258" t="s">
        <v>1444</v>
      </c>
      <c r="C258" t="s">
        <v>1445</v>
      </c>
      <c r="D258" t="s">
        <v>1385</v>
      </c>
    </row>
    <row r="259" spans="1:4" x14ac:dyDescent="0.2">
      <c r="A259">
        <v>259</v>
      </c>
      <c r="B259" t="s">
        <v>1446</v>
      </c>
      <c r="C259" t="s">
        <v>1447</v>
      </c>
      <c r="D259" s="382">
        <v>44211</v>
      </c>
    </row>
    <row r="260" spans="1:4" x14ac:dyDescent="0.2">
      <c r="A260">
        <v>260</v>
      </c>
      <c r="B260" t="s">
        <v>1448</v>
      </c>
      <c r="C260" t="s">
        <v>1449</v>
      </c>
      <c r="D260" s="382">
        <v>45670</v>
      </c>
    </row>
    <row r="261" spans="1:4" x14ac:dyDescent="0.2">
      <c r="A261">
        <v>261</v>
      </c>
      <c r="B261" t="s">
        <v>1450</v>
      </c>
      <c r="C261" t="s">
        <v>1451</v>
      </c>
      <c r="D261" s="382">
        <v>43361</v>
      </c>
    </row>
    <row r="262" spans="1:4" x14ac:dyDescent="0.2">
      <c r="A262">
        <v>262</v>
      </c>
      <c r="B262" t="s">
        <v>1452</v>
      </c>
      <c r="C262" t="s">
        <v>1453</v>
      </c>
      <c r="D262" s="382">
        <v>33485</v>
      </c>
    </row>
    <row r="263" spans="1:4" x14ac:dyDescent="0.2">
      <c r="A263">
        <v>263</v>
      </c>
      <c r="B263" t="s">
        <v>1454</v>
      </c>
      <c r="C263" t="s">
        <v>1455</v>
      </c>
      <c r="D263" s="382">
        <v>43431</v>
      </c>
    </row>
    <row r="264" spans="1:4" x14ac:dyDescent="0.2">
      <c r="A264">
        <v>264</v>
      </c>
      <c r="B264" t="s">
        <v>1456</v>
      </c>
      <c r="C264" t="s">
        <v>1457</v>
      </c>
      <c r="D264" s="382">
        <v>35755</v>
      </c>
    </row>
    <row r="265" spans="1:4" x14ac:dyDescent="0.2">
      <c r="A265">
        <v>265</v>
      </c>
      <c r="B265" t="s">
        <v>1458</v>
      </c>
      <c r="C265" t="s">
        <v>1459</v>
      </c>
      <c r="D265" t="s">
        <v>1460</v>
      </c>
    </row>
    <row r="266" spans="1:4" x14ac:dyDescent="0.2">
      <c r="A266">
        <v>266</v>
      </c>
      <c r="B266" t="s">
        <v>1461</v>
      </c>
      <c r="C266" t="s">
        <v>1462</v>
      </c>
      <c r="D266" s="382">
        <v>30739</v>
      </c>
    </row>
    <row r="267" spans="1:4" x14ac:dyDescent="0.2">
      <c r="A267">
        <v>267</v>
      </c>
      <c r="B267" t="s">
        <v>1463</v>
      </c>
      <c r="C267" t="s">
        <v>1464</v>
      </c>
      <c r="D267" t="s">
        <v>1465</v>
      </c>
    </row>
    <row r="268" spans="1:4" x14ac:dyDescent="0.2">
      <c r="A268">
        <v>268</v>
      </c>
      <c r="B268" t="s">
        <v>1466</v>
      </c>
      <c r="C268" t="s">
        <v>1467</v>
      </c>
      <c r="D268" t="s">
        <v>1468</v>
      </c>
    </row>
    <row r="269" spans="1:4" x14ac:dyDescent="0.2">
      <c r="A269">
        <v>269</v>
      </c>
      <c r="B269" t="s">
        <v>1469</v>
      </c>
      <c r="C269" t="s">
        <v>1470</v>
      </c>
      <c r="D269" s="382">
        <v>43852</v>
      </c>
    </row>
    <row r="270" spans="1:4" x14ac:dyDescent="0.2">
      <c r="A270">
        <v>270</v>
      </c>
      <c r="B270" t="s">
        <v>1471</v>
      </c>
      <c r="C270" t="s">
        <v>1472</v>
      </c>
      <c r="D270" s="382">
        <v>41831</v>
      </c>
    </row>
    <row r="271" spans="1:4" x14ac:dyDescent="0.2">
      <c r="A271">
        <v>271</v>
      </c>
      <c r="B271" t="s">
        <v>1473</v>
      </c>
      <c r="C271" t="s">
        <v>1474</v>
      </c>
      <c r="D271" t="s">
        <v>1475</v>
      </c>
    </row>
    <row r="272" spans="1:4" x14ac:dyDescent="0.2">
      <c r="A272">
        <v>272</v>
      </c>
      <c r="B272" t="s">
        <v>1476</v>
      </c>
      <c r="C272" t="s">
        <v>1477</v>
      </c>
      <c r="D272" s="382">
        <v>37057</v>
      </c>
    </row>
    <row r="273" spans="1:4" x14ac:dyDescent="0.2">
      <c r="A273">
        <v>273</v>
      </c>
      <c r="B273" t="s">
        <v>1478</v>
      </c>
      <c r="C273" t="s">
        <v>1479</v>
      </c>
      <c r="D273" t="s">
        <v>1480</v>
      </c>
    </row>
    <row r="274" spans="1:4" x14ac:dyDescent="0.2">
      <c r="A274">
        <v>274</v>
      </c>
      <c r="B274" t="s">
        <v>1481</v>
      </c>
      <c r="C274" t="s">
        <v>1482</v>
      </c>
      <c r="D274" t="s">
        <v>1483</v>
      </c>
    </row>
    <row r="275" spans="1:4" x14ac:dyDescent="0.2">
      <c r="A275">
        <v>275</v>
      </c>
      <c r="B275" t="s">
        <v>1484</v>
      </c>
      <c r="C275" t="s">
        <v>1485</v>
      </c>
      <c r="D275" t="s">
        <v>1486</v>
      </c>
    </row>
    <row r="276" spans="1:4" x14ac:dyDescent="0.2">
      <c r="A276">
        <v>276</v>
      </c>
      <c r="B276" t="s">
        <v>1487</v>
      </c>
      <c r="C276" t="s">
        <v>1488</v>
      </c>
      <c r="D276" t="s">
        <v>1489</v>
      </c>
    </row>
    <row r="277" spans="1:4" x14ac:dyDescent="0.2">
      <c r="A277">
        <v>277</v>
      </c>
      <c r="B277" t="s">
        <v>1490</v>
      </c>
      <c r="C277" t="s">
        <v>1491</v>
      </c>
      <c r="D277" t="s">
        <v>1492</v>
      </c>
    </row>
    <row r="278" spans="1:4" x14ac:dyDescent="0.2">
      <c r="A278">
        <v>278</v>
      </c>
      <c r="B278" t="s">
        <v>1493</v>
      </c>
      <c r="C278" t="s">
        <v>1494</v>
      </c>
      <c r="D278" s="382">
        <v>36609</v>
      </c>
    </row>
    <row r="279" spans="1:4" x14ac:dyDescent="0.2">
      <c r="A279">
        <v>279</v>
      </c>
      <c r="B279" t="s">
        <v>1495</v>
      </c>
      <c r="C279" t="s">
        <v>1496</v>
      </c>
      <c r="D279" s="382">
        <v>41439</v>
      </c>
    </row>
    <row r="280" spans="1:4" x14ac:dyDescent="0.2">
      <c r="A280">
        <v>280</v>
      </c>
      <c r="B280" t="s">
        <v>1497</v>
      </c>
      <c r="C280" t="s">
        <v>1498</v>
      </c>
      <c r="D280" t="s">
        <v>1499</v>
      </c>
    </row>
    <row r="281" spans="1:4" x14ac:dyDescent="0.2">
      <c r="A281">
        <v>281</v>
      </c>
      <c r="B281" t="s">
        <v>1500</v>
      </c>
      <c r="C281" t="s">
        <v>1501</v>
      </c>
      <c r="D281" t="s">
        <v>1502</v>
      </c>
    </row>
    <row r="282" spans="1:4" x14ac:dyDescent="0.2">
      <c r="A282">
        <v>282</v>
      </c>
      <c r="B282" t="s">
        <v>1503</v>
      </c>
      <c r="C282" t="s">
        <v>1504</v>
      </c>
      <c r="D282" s="382">
        <v>34640</v>
      </c>
    </row>
    <row r="283" spans="1:4" x14ac:dyDescent="0.2">
      <c r="A283">
        <v>283</v>
      </c>
      <c r="B283" t="s">
        <v>1505</v>
      </c>
      <c r="C283" t="s">
        <v>1506</v>
      </c>
      <c r="D283" s="382">
        <v>34649</v>
      </c>
    </row>
    <row r="284" spans="1:4" x14ac:dyDescent="0.2">
      <c r="A284">
        <v>284</v>
      </c>
      <c r="B284" t="s">
        <v>1507</v>
      </c>
      <c r="C284" t="s">
        <v>1508</v>
      </c>
      <c r="D284" t="s">
        <v>1509</v>
      </c>
    </row>
    <row r="285" spans="1:4" x14ac:dyDescent="0.2">
      <c r="A285">
        <v>285</v>
      </c>
      <c r="B285" t="s">
        <v>1510</v>
      </c>
      <c r="C285" t="s">
        <v>1511</v>
      </c>
      <c r="D285" s="382">
        <v>41358</v>
      </c>
    </row>
    <row r="286" spans="1:4" x14ac:dyDescent="0.2">
      <c r="A286">
        <v>286</v>
      </c>
      <c r="B286" t="s">
        <v>1512</v>
      </c>
      <c r="C286" t="s">
        <v>1513</v>
      </c>
      <c r="D286" s="382">
        <v>43655</v>
      </c>
    </row>
    <row r="287" spans="1:4" x14ac:dyDescent="0.2">
      <c r="A287">
        <v>287</v>
      </c>
      <c r="B287" t="s">
        <v>1514</v>
      </c>
      <c r="C287" t="s">
        <v>1515</v>
      </c>
      <c r="D287" s="382">
        <v>41458</v>
      </c>
    </row>
    <row r="288" spans="1:4" x14ac:dyDescent="0.2">
      <c r="A288">
        <v>288</v>
      </c>
      <c r="B288" t="s">
        <v>1516</v>
      </c>
      <c r="C288" t="s">
        <v>1517</v>
      </c>
      <c r="D288" s="382">
        <v>44235</v>
      </c>
    </row>
    <row r="289" spans="1:4" x14ac:dyDescent="0.2">
      <c r="A289">
        <v>289</v>
      </c>
      <c r="B289" t="s">
        <v>1518</v>
      </c>
      <c r="C289" t="s">
        <v>1519</v>
      </c>
      <c r="D289" t="s">
        <v>1520</v>
      </c>
    </row>
    <row r="290" spans="1:4" x14ac:dyDescent="0.2">
      <c r="A290">
        <v>290</v>
      </c>
      <c r="B290" t="s">
        <v>1521</v>
      </c>
      <c r="C290" t="s">
        <v>1522</v>
      </c>
      <c r="D290" s="382">
        <v>44932</v>
      </c>
    </row>
    <row r="291" spans="1:4" x14ac:dyDescent="0.2">
      <c r="A291">
        <v>291</v>
      </c>
      <c r="B291" t="s">
        <v>1523</v>
      </c>
      <c r="C291" t="s">
        <v>1524</v>
      </c>
      <c r="D291" t="s">
        <v>1525</v>
      </c>
    </row>
    <row r="292" spans="1:4" x14ac:dyDescent="0.2">
      <c r="A292">
        <v>292</v>
      </c>
      <c r="B292" t="s">
        <v>1526</v>
      </c>
      <c r="C292" t="s">
        <v>1527</v>
      </c>
      <c r="D292" s="382">
        <v>39484</v>
      </c>
    </row>
    <row r="293" spans="1:4" x14ac:dyDescent="0.2">
      <c r="A293">
        <v>293</v>
      </c>
      <c r="B293" t="s">
        <v>1528</v>
      </c>
      <c r="C293" t="s">
        <v>1529</v>
      </c>
      <c r="D293" t="s">
        <v>1530</v>
      </c>
    </row>
    <row r="294" spans="1:4" x14ac:dyDescent="0.2">
      <c r="A294">
        <v>294</v>
      </c>
      <c r="B294" t="s">
        <v>1531</v>
      </c>
      <c r="C294" t="s">
        <v>1532</v>
      </c>
      <c r="D294" s="382">
        <v>40555</v>
      </c>
    </row>
    <row r="295" spans="1:4" x14ac:dyDescent="0.2">
      <c r="A295">
        <v>295</v>
      </c>
      <c r="B295" t="s">
        <v>1533</v>
      </c>
      <c r="C295" t="s">
        <v>1534</v>
      </c>
      <c r="D295" s="382">
        <v>40190</v>
      </c>
    </row>
    <row r="296" spans="1:4" x14ac:dyDescent="0.2">
      <c r="A296">
        <v>296</v>
      </c>
      <c r="B296" t="s">
        <v>1535</v>
      </c>
      <c r="C296" t="s">
        <v>1536</v>
      </c>
      <c r="D296" s="382">
        <v>44600</v>
      </c>
    </row>
    <row r="297" spans="1:4" x14ac:dyDescent="0.2">
      <c r="A297">
        <v>297</v>
      </c>
      <c r="B297" t="s">
        <v>1537</v>
      </c>
      <c r="C297" t="s">
        <v>1538</v>
      </c>
      <c r="D297" s="382">
        <v>38145</v>
      </c>
    </row>
    <row r="298" spans="1:4" x14ac:dyDescent="0.2">
      <c r="A298">
        <v>298</v>
      </c>
      <c r="B298" t="s">
        <v>1539</v>
      </c>
      <c r="C298" t="s">
        <v>1540</v>
      </c>
      <c r="D298" s="382">
        <v>43654</v>
      </c>
    </row>
    <row r="299" spans="1:4" x14ac:dyDescent="0.2">
      <c r="A299">
        <v>299</v>
      </c>
      <c r="B299" t="s">
        <v>1541</v>
      </c>
      <c r="C299" t="s">
        <v>1542</v>
      </c>
      <c r="D299" s="382">
        <v>44088</v>
      </c>
    </row>
    <row r="300" spans="1:4" x14ac:dyDescent="0.2">
      <c r="A300">
        <v>300</v>
      </c>
      <c r="B300" t="s">
        <v>1543</v>
      </c>
      <c r="C300" t="s">
        <v>1544</v>
      </c>
      <c r="D300" s="382">
        <v>44013</v>
      </c>
    </row>
    <row r="301" spans="1:4" x14ac:dyDescent="0.2">
      <c r="A301">
        <v>301</v>
      </c>
      <c r="B301" t="s">
        <v>1545</v>
      </c>
      <c r="C301" t="s">
        <v>1546</v>
      </c>
      <c r="D301" t="s">
        <v>1547</v>
      </c>
    </row>
    <row r="302" spans="1:4" x14ac:dyDescent="0.2">
      <c r="A302">
        <v>302</v>
      </c>
      <c r="B302" t="s">
        <v>1548</v>
      </c>
      <c r="C302" t="s">
        <v>1549</v>
      </c>
      <c r="D302" t="s">
        <v>1550</v>
      </c>
    </row>
    <row r="303" spans="1:4" x14ac:dyDescent="0.2">
      <c r="A303">
        <v>303</v>
      </c>
      <c r="B303" t="s">
        <v>1551</v>
      </c>
      <c r="C303" t="s">
        <v>1552</v>
      </c>
      <c r="D303" t="s">
        <v>1417</v>
      </c>
    </row>
    <row r="304" spans="1:4" x14ac:dyDescent="0.2">
      <c r="A304">
        <v>304</v>
      </c>
      <c r="B304" t="s">
        <v>1553</v>
      </c>
      <c r="C304" t="s">
        <v>1554</v>
      </c>
      <c r="D304" t="s">
        <v>1555</v>
      </c>
    </row>
    <row r="305" spans="1:4" x14ac:dyDescent="0.2">
      <c r="A305">
        <v>305</v>
      </c>
      <c r="B305" t="s">
        <v>1556</v>
      </c>
      <c r="C305" t="s">
        <v>1557</v>
      </c>
      <c r="D305" s="382">
        <v>43783</v>
      </c>
    </row>
    <row r="306" spans="1:4" x14ac:dyDescent="0.2">
      <c r="A306">
        <v>306</v>
      </c>
      <c r="B306" t="s">
        <v>1558</v>
      </c>
      <c r="C306" t="s">
        <v>1559</v>
      </c>
      <c r="D306" s="382">
        <v>40940</v>
      </c>
    </row>
    <row r="307" spans="1:4" x14ac:dyDescent="0.2">
      <c r="A307">
        <v>307</v>
      </c>
      <c r="B307" t="s">
        <v>1560</v>
      </c>
      <c r="C307" t="s">
        <v>1561</v>
      </c>
      <c r="D307" s="382">
        <v>43899</v>
      </c>
    </row>
    <row r="308" spans="1:4" x14ac:dyDescent="0.2">
      <c r="A308">
        <v>308</v>
      </c>
      <c r="B308" t="s">
        <v>1562</v>
      </c>
      <c r="C308" t="s">
        <v>1563</v>
      </c>
      <c r="D308" t="s">
        <v>1564</v>
      </c>
    </row>
    <row r="309" spans="1:4" x14ac:dyDescent="0.2">
      <c r="A309">
        <v>309</v>
      </c>
      <c r="B309" t="s">
        <v>1565</v>
      </c>
      <c r="C309" t="s">
        <v>1566</v>
      </c>
      <c r="D309" t="s">
        <v>1567</v>
      </c>
    </row>
    <row r="310" spans="1:4" x14ac:dyDescent="0.2">
      <c r="A310">
        <v>310</v>
      </c>
      <c r="B310" t="s">
        <v>1568</v>
      </c>
      <c r="C310" t="s">
        <v>1569</v>
      </c>
      <c r="D310" t="s">
        <v>1525</v>
      </c>
    </row>
    <row r="311" spans="1:4" x14ac:dyDescent="0.2">
      <c r="A311">
        <v>311</v>
      </c>
      <c r="B311" t="s">
        <v>1570</v>
      </c>
      <c r="C311" t="s">
        <v>1571</v>
      </c>
      <c r="D311" s="382">
        <v>38624</v>
      </c>
    </row>
    <row r="312" spans="1:4" x14ac:dyDescent="0.2">
      <c r="A312">
        <v>312</v>
      </c>
      <c r="B312" t="s">
        <v>1572</v>
      </c>
      <c r="C312" t="s">
        <v>1573</v>
      </c>
      <c r="D312" s="382">
        <v>44200</v>
      </c>
    </row>
    <row r="313" spans="1:4" x14ac:dyDescent="0.2">
      <c r="A313">
        <v>313</v>
      </c>
      <c r="B313" t="s">
        <v>1574</v>
      </c>
      <c r="C313" t="s">
        <v>1575</v>
      </c>
      <c r="D313" t="s">
        <v>1576</v>
      </c>
    </row>
    <row r="314" spans="1:4" x14ac:dyDescent="0.2">
      <c r="A314">
        <v>314</v>
      </c>
      <c r="B314" t="s">
        <v>1577</v>
      </c>
      <c r="C314" t="s">
        <v>1578</v>
      </c>
      <c r="D314" t="s">
        <v>1579</v>
      </c>
    </row>
    <row r="315" spans="1:4" x14ac:dyDescent="0.2">
      <c r="A315">
        <v>315</v>
      </c>
      <c r="B315" t="s">
        <v>1580</v>
      </c>
      <c r="C315" t="s">
        <v>1581</v>
      </c>
      <c r="D315" t="s">
        <v>1582</v>
      </c>
    </row>
    <row r="316" spans="1:4" x14ac:dyDescent="0.2">
      <c r="A316">
        <v>316</v>
      </c>
      <c r="B316" t="s">
        <v>1583</v>
      </c>
      <c r="C316" t="s">
        <v>1584</v>
      </c>
      <c r="D316" s="382">
        <v>44295</v>
      </c>
    </row>
    <row r="317" spans="1:4" x14ac:dyDescent="0.2">
      <c r="A317">
        <v>317</v>
      </c>
      <c r="B317" t="s">
        <v>1585</v>
      </c>
      <c r="C317" t="s">
        <v>1586</v>
      </c>
      <c r="D317" s="382">
        <v>42895</v>
      </c>
    </row>
    <row r="318" spans="1:4" x14ac:dyDescent="0.2">
      <c r="A318">
        <v>318</v>
      </c>
      <c r="B318" t="s">
        <v>1587</v>
      </c>
      <c r="C318" t="s">
        <v>1588</v>
      </c>
      <c r="D318" s="382">
        <v>37274</v>
      </c>
    </row>
    <row r="319" spans="1:4" x14ac:dyDescent="0.2">
      <c r="A319">
        <v>319</v>
      </c>
      <c r="B319" t="s">
        <v>1589</v>
      </c>
      <c r="C319" t="s">
        <v>1590</v>
      </c>
      <c r="D319" s="382">
        <v>43627</v>
      </c>
    </row>
    <row r="320" spans="1:4" x14ac:dyDescent="0.2">
      <c r="A320">
        <v>320</v>
      </c>
      <c r="B320" t="s">
        <v>1591</v>
      </c>
      <c r="C320" t="s">
        <v>1592</v>
      </c>
      <c r="D320" s="382">
        <v>44385</v>
      </c>
    </row>
    <row r="321" spans="1:4" x14ac:dyDescent="0.2">
      <c r="A321">
        <v>321</v>
      </c>
      <c r="B321" t="s">
        <v>1593</v>
      </c>
      <c r="C321" t="s">
        <v>1594</v>
      </c>
      <c r="D321" s="382">
        <v>36707</v>
      </c>
    </row>
    <row r="322" spans="1:4" x14ac:dyDescent="0.2">
      <c r="A322">
        <v>322</v>
      </c>
      <c r="B322" t="s">
        <v>1595</v>
      </c>
      <c r="C322" t="s">
        <v>1596</v>
      </c>
      <c r="D322" t="s">
        <v>1597</v>
      </c>
    </row>
    <row r="323" spans="1:4" x14ac:dyDescent="0.2">
      <c r="A323">
        <v>323</v>
      </c>
      <c r="B323" t="s">
        <v>1598</v>
      </c>
      <c r="C323" t="s">
        <v>1599</v>
      </c>
      <c r="D323" s="382">
        <v>43473</v>
      </c>
    </row>
    <row r="324" spans="1:4" x14ac:dyDescent="0.2">
      <c r="A324">
        <v>324</v>
      </c>
      <c r="B324" t="s">
        <v>1600</v>
      </c>
      <c r="C324" t="s">
        <v>1601</v>
      </c>
      <c r="D324" s="382">
        <v>45761</v>
      </c>
    </row>
    <row r="325" spans="1:4" x14ac:dyDescent="0.2">
      <c r="A325">
        <v>325</v>
      </c>
      <c r="B325" t="s">
        <v>1602</v>
      </c>
      <c r="C325" t="s">
        <v>1603</v>
      </c>
      <c r="D325" s="382">
        <v>37273</v>
      </c>
    </row>
    <row r="326" spans="1:4" x14ac:dyDescent="0.2">
      <c r="A326">
        <v>326</v>
      </c>
      <c r="B326" t="s">
        <v>1604</v>
      </c>
      <c r="C326" t="s">
        <v>1605</v>
      </c>
      <c r="D326" s="382">
        <v>42853</v>
      </c>
    </row>
    <row r="327" spans="1:4" x14ac:dyDescent="0.2">
      <c r="A327">
        <v>327</v>
      </c>
      <c r="B327" t="s">
        <v>1606</v>
      </c>
      <c r="C327" t="s">
        <v>1607</v>
      </c>
      <c r="D327" s="382">
        <v>37336</v>
      </c>
    </row>
    <row r="328" spans="1:4" x14ac:dyDescent="0.2">
      <c r="A328">
        <v>328</v>
      </c>
      <c r="B328" t="s">
        <v>1608</v>
      </c>
      <c r="C328" t="s">
        <v>1609</v>
      </c>
      <c r="D328" s="382">
        <v>43655</v>
      </c>
    </row>
    <row r="329" spans="1:4" x14ac:dyDescent="0.2">
      <c r="A329">
        <v>329</v>
      </c>
      <c r="B329" t="s">
        <v>1610</v>
      </c>
      <c r="C329" t="s">
        <v>1611</v>
      </c>
      <c r="D329" s="382">
        <v>44984</v>
      </c>
    </row>
    <row r="330" spans="1:4" x14ac:dyDescent="0.2">
      <c r="A330">
        <v>330</v>
      </c>
      <c r="B330" t="s">
        <v>1612</v>
      </c>
      <c r="C330" t="s">
        <v>1613</v>
      </c>
      <c r="D330" s="382">
        <v>44958</v>
      </c>
    </row>
    <row r="331" spans="1:4" x14ac:dyDescent="0.2">
      <c r="A331">
        <v>331</v>
      </c>
      <c r="B331" t="s">
        <v>1614</v>
      </c>
      <c r="C331" t="s">
        <v>1615</v>
      </c>
      <c r="D331" s="382">
        <v>41101</v>
      </c>
    </row>
    <row r="332" spans="1:4" x14ac:dyDescent="0.2">
      <c r="A332">
        <v>332</v>
      </c>
      <c r="B332" t="s">
        <v>1616</v>
      </c>
      <c r="C332" t="s">
        <v>1617</v>
      </c>
      <c r="D332" t="s">
        <v>1618</v>
      </c>
    </row>
    <row r="333" spans="1:4" x14ac:dyDescent="0.2">
      <c r="A333">
        <v>333</v>
      </c>
      <c r="B333" t="s">
        <v>1619</v>
      </c>
      <c r="C333" t="s">
        <v>1620</v>
      </c>
      <c r="D333" t="s">
        <v>1621</v>
      </c>
    </row>
    <row r="334" spans="1:4" x14ac:dyDescent="0.2">
      <c r="A334">
        <v>334</v>
      </c>
      <c r="B334" t="s">
        <v>1622</v>
      </c>
      <c r="C334" t="s">
        <v>1623</v>
      </c>
      <c r="D334" t="s">
        <v>1624</v>
      </c>
    </row>
    <row r="335" spans="1:4" x14ac:dyDescent="0.2">
      <c r="A335">
        <v>335</v>
      </c>
      <c r="B335" t="s">
        <v>1625</v>
      </c>
      <c r="C335" t="s">
        <v>1626</v>
      </c>
      <c r="D335" s="382">
        <v>40864</v>
      </c>
    </row>
    <row r="336" spans="1:4" x14ac:dyDescent="0.2">
      <c r="A336">
        <v>336</v>
      </c>
      <c r="B336" t="s">
        <v>1627</v>
      </c>
      <c r="C336" t="s">
        <v>1628</v>
      </c>
      <c r="D336" t="s">
        <v>1337</v>
      </c>
    </row>
    <row r="337" spans="1:4" x14ac:dyDescent="0.2">
      <c r="A337">
        <v>337</v>
      </c>
      <c r="B337" t="s">
        <v>1629</v>
      </c>
      <c r="C337" t="s">
        <v>1630</v>
      </c>
      <c r="D337" s="382">
        <v>43727</v>
      </c>
    </row>
    <row r="338" spans="1:4" x14ac:dyDescent="0.2">
      <c r="A338">
        <v>338</v>
      </c>
      <c r="B338" t="s">
        <v>1631</v>
      </c>
      <c r="C338" t="s">
        <v>1632</v>
      </c>
      <c r="D338" s="382">
        <v>43199</v>
      </c>
    </row>
    <row r="339" spans="1:4" x14ac:dyDescent="0.2">
      <c r="A339">
        <v>339</v>
      </c>
      <c r="B339" t="s">
        <v>1633</v>
      </c>
      <c r="C339" t="s">
        <v>1634</v>
      </c>
      <c r="D339" s="382">
        <v>40585</v>
      </c>
    </row>
    <row r="340" spans="1:4" x14ac:dyDescent="0.2">
      <c r="A340">
        <v>340</v>
      </c>
      <c r="B340" t="s">
        <v>1635</v>
      </c>
      <c r="C340" t="s">
        <v>1636</v>
      </c>
      <c r="D340" t="s">
        <v>1424</v>
      </c>
    </row>
    <row r="341" spans="1:4" x14ac:dyDescent="0.2">
      <c r="A341">
        <v>341</v>
      </c>
      <c r="B341" t="s">
        <v>1637</v>
      </c>
      <c r="C341" t="s">
        <v>1638</v>
      </c>
      <c r="D341" s="382">
        <v>41100</v>
      </c>
    </row>
    <row r="342" spans="1:4" x14ac:dyDescent="0.2">
      <c r="A342">
        <v>342</v>
      </c>
      <c r="B342" t="s">
        <v>1639</v>
      </c>
      <c r="C342" t="s">
        <v>1640</v>
      </c>
      <c r="D342" t="s">
        <v>1641</v>
      </c>
    </row>
    <row r="343" spans="1:4" x14ac:dyDescent="0.2">
      <c r="A343">
        <v>343</v>
      </c>
      <c r="B343" t="s">
        <v>1642</v>
      </c>
      <c r="C343" t="s">
        <v>1643</v>
      </c>
      <c r="D343" t="s">
        <v>1644</v>
      </c>
    </row>
    <row r="344" spans="1:4" x14ac:dyDescent="0.2">
      <c r="A344">
        <v>344</v>
      </c>
      <c r="B344" t="s">
        <v>1645</v>
      </c>
      <c r="C344" t="s">
        <v>1646</v>
      </c>
      <c r="D344" t="s">
        <v>1475</v>
      </c>
    </row>
    <row r="345" spans="1:4" x14ac:dyDescent="0.2">
      <c r="A345">
        <v>345</v>
      </c>
      <c r="B345" t="s">
        <v>1647</v>
      </c>
      <c r="C345" t="s">
        <v>1648</v>
      </c>
      <c r="D345" s="382">
        <v>40366</v>
      </c>
    </row>
    <row r="346" spans="1:4" x14ac:dyDescent="0.2">
      <c r="A346">
        <v>346</v>
      </c>
      <c r="B346" t="s">
        <v>1649</v>
      </c>
      <c r="C346" t="s">
        <v>1650</v>
      </c>
      <c r="D346" s="382">
        <v>45481</v>
      </c>
    </row>
    <row r="347" spans="1:4" x14ac:dyDescent="0.2">
      <c r="A347">
        <v>347</v>
      </c>
      <c r="B347" t="s">
        <v>1651</v>
      </c>
      <c r="C347" t="s">
        <v>1652</v>
      </c>
      <c r="D347" t="s">
        <v>1653</v>
      </c>
    </row>
    <row r="348" spans="1:4" x14ac:dyDescent="0.2">
      <c r="A348">
        <v>348</v>
      </c>
      <c r="B348" t="s">
        <v>1654</v>
      </c>
      <c r="C348" t="s">
        <v>1655</v>
      </c>
      <c r="D348" t="s">
        <v>1502</v>
      </c>
    </row>
    <row r="349" spans="1:4" x14ac:dyDescent="0.2">
      <c r="A349">
        <v>349</v>
      </c>
      <c r="B349" t="s">
        <v>1656</v>
      </c>
      <c r="C349" t="s">
        <v>1657</v>
      </c>
      <c r="D349" s="382">
        <v>44662</v>
      </c>
    </row>
    <row r="350" spans="1:4" x14ac:dyDescent="0.2">
      <c r="A350">
        <v>350</v>
      </c>
      <c r="B350" t="s">
        <v>1658</v>
      </c>
      <c r="C350" t="s">
        <v>1659</v>
      </c>
      <c r="D350" t="s">
        <v>1660</v>
      </c>
    </row>
    <row r="351" spans="1:4" x14ac:dyDescent="0.2">
      <c r="A351">
        <v>351</v>
      </c>
      <c r="B351" t="s">
        <v>1661</v>
      </c>
      <c r="C351" t="s">
        <v>1662</v>
      </c>
      <c r="D351" s="382">
        <v>44445</v>
      </c>
    </row>
    <row r="352" spans="1:4" x14ac:dyDescent="0.2">
      <c r="A352">
        <v>352</v>
      </c>
      <c r="B352" t="s">
        <v>1663</v>
      </c>
      <c r="C352" t="s">
        <v>1664</v>
      </c>
      <c r="D352" t="s">
        <v>1417</v>
      </c>
    </row>
    <row r="353" spans="1:4" x14ac:dyDescent="0.2">
      <c r="A353">
        <v>353</v>
      </c>
      <c r="B353" t="s">
        <v>1665</v>
      </c>
      <c r="C353" t="s">
        <v>1666</v>
      </c>
      <c r="D353" s="382">
        <v>45308</v>
      </c>
    </row>
    <row r="354" spans="1:4" x14ac:dyDescent="0.2">
      <c r="A354">
        <v>354</v>
      </c>
      <c r="B354" t="s">
        <v>1667</v>
      </c>
      <c r="C354" t="s">
        <v>1668</v>
      </c>
      <c r="D354" s="382">
        <v>45117</v>
      </c>
    </row>
    <row r="355" spans="1:4" x14ac:dyDescent="0.2">
      <c r="A355">
        <v>355</v>
      </c>
      <c r="B355" t="s">
        <v>1669</v>
      </c>
      <c r="C355" t="s">
        <v>1670</v>
      </c>
      <c r="D355" t="s">
        <v>1671</v>
      </c>
    </row>
    <row r="356" spans="1:4" x14ac:dyDescent="0.2">
      <c r="A356">
        <v>356</v>
      </c>
      <c r="B356" t="s">
        <v>1672</v>
      </c>
      <c r="C356" t="s">
        <v>1673</v>
      </c>
      <c r="D356" s="382">
        <v>40003</v>
      </c>
    </row>
    <row r="357" spans="1:4" x14ac:dyDescent="0.2">
      <c r="A357">
        <v>357</v>
      </c>
      <c r="B357" t="s">
        <v>1674</v>
      </c>
      <c r="C357" t="s">
        <v>1675</v>
      </c>
      <c r="D357" s="382">
        <v>45015</v>
      </c>
    </row>
    <row r="358" spans="1:4" x14ac:dyDescent="0.2">
      <c r="A358">
        <v>358</v>
      </c>
      <c r="B358" t="s">
        <v>1676</v>
      </c>
      <c r="C358" t="s">
        <v>1677</v>
      </c>
      <c r="D358" s="382">
        <v>44447</v>
      </c>
    </row>
    <row r="359" spans="1:4" x14ac:dyDescent="0.2">
      <c r="A359">
        <v>359</v>
      </c>
      <c r="B359" t="s">
        <v>1678</v>
      </c>
      <c r="C359" t="s">
        <v>1679</v>
      </c>
      <c r="D359" t="s">
        <v>1680</v>
      </c>
    </row>
    <row r="360" spans="1:4" x14ac:dyDescent="0.2">
      <c r="A360">
        <v>360</v>
      </c>
      <c r="B360" t="s">
        <v>1681</v>
      </c>
      <c r="C360" t="s">
        <v>1682</v>
      </c>
      <c r="D360" s="382">
        <v>45482</v>
      </c>
    </row>
    <row r="361" spans="1:4" x14ac:dyDescent="0.2">
      <c r="A361">
        <v>361</v>
      </c>
      <c r="B361" t="s">
        <v>1683</v>
      </c>
      <c r="C361" t="s">
        <v>1684</v>
      </c>
      <c r="D361" t="s">
        <v>1685</v>
      </c>
    </row>
    <row r="362" spans="1:4" x14ac:dyDescent="0.2">
      <c r="A362">
        <v>362</v>
      </c>
      <c r="B362" t="s">
        <v>1686</v>
      </c>
      <c r="C362" t="s">
        <v>1687</v>
      </c>
      <c r="D362" t="s">
        <v>1688</v>
      </c>
    </row>
    <row r="363" spans="1:4" x14ac:dyDescent="0.2">
      <c r="A363">
        <v>363</v>
      </c>
      <c r="B363" t="s">
        <v>1689</v>
      </c>
      <c r="C363" t="s">
        <v>1690</v>
      </c>
      <c r="D363" s="382">
        <v>38089</v>
      </c>
    </row>
    <row r="364" spans="1:4" x14ac:dyDescent="0.2">
      <c r="A364">
        <v>364</v>
      </c>
      <c r="B364" t="s">
        <v>1691</v>
      </c>
      <c r="C364" t="s">
        <v>1692</v>
      </c>
      <c r="D364" s="382">
        <v>44440</v>
      </c>
    </row>
    <row r="365" spans="1:4" x14ac:dyDescent="0.2">
      <c r="A365">
        <v>365</v>
      </c>
      <c r="B365" t="s">
        <v>1693</v>
      </c>
      <c r="C365" t="s">
        <v>1694</v>
      </c>
      <c r="D365" s="382">
        <v>45021</v>
      </c>
    </row>
    <row r="366" spans="1:4" x14ac:dyDescent="0.2">
      <c r="A366">
        <v>366</v>
      </c>
      <c r="B366" t="s">
        <v>1695</v>
      </c>
      <c r="C366" t="s">
        <v>1696</v>
      </c>
      <c r="D366" s="382">
        <v>44965</v>
      </c>
    </row>
    <row r="367" spans="1:4" x14ac:dyDescent="0.2">
      <c r="A367">
        <v>367</v>
      </c>
      <c r="B367" t="s">
        <v>1697</v>
      </c>
      <c r="C367" t="s">
        <v>1698</v>
      </c>
      <c r="D367" s="382">
        <v>44768</v>
      </c>
    </row>
    <row r="368" spans="1:4" x14ac:dyDescent="0.2">
      <c r="A368">
        <v>368</v>
      </c>
      <c r="B368" t="s">
        <v>1699</v>
      </c>
      <c r="C368" t="s">
        <v>1700</v>
      </c>
      <c r="D368" t="s">
        <v>1597</v>
      </c>
    </row>
    <row r="369" spans="1:4" x14ac:dyDescent="0.2">
      <c r="A369">
        <v>369</v>
      </c>
      <c r="B369" t="s">
        <v>1701</v>
      </c>
      <c r="C369" t="s">
        <v>1702</v>
      </c>
      <c r="D369" t="s">
        <v>1703</v>
      </c>
    </row>
    <row r="370" spans="1:4" x14ac:dyDescent="0.2">
      <c r="A370">
        <v>370</v>
      </c>
      <c r="B370" t="s">
        <v>1704</v>
      </c>
      <c r="C370" t="s">
        <v>1705</v>
      </c>
      <c r="D370" s="382">
        <v>43658</v>
      </c>
    </row>
    <row r="371" spans="1:4" x14ac:dyDescent="0.2">
      <c r="A371">
        <v>371</v>
      </c>
      <c r="B371" t="s">
        <v>1706</v>
      </c>
      <c r="C371" t="s">
        <v>1707</v>
      </c>
      <c r="D371" s="382">
        <v>33030</v>
      </c>
    </row>
    <row r="372" spans="1:4" x14ac:dyDescent="0.2">
      <c r="A372">
        <v>372</v>
      </c>
      <c r="B372" t="s">
        <v>1708</v>
      </c>
      <c r="C372" t="s">
        <v>1709</v>
      </c>
      <c r="D372" t="s">
        <v>1710</v>
      </c>
    </row>
    <row r="373" spans="1:4" x14ac:dyDescent="0.2">
      <c r="A373">
        <v>373</v>
      </c>
      <c r="B373" t="s">
        <v>1711</v>
      </c>
      <c r="C373" t="s">
        <v>1712</v>
      </c>
      <c r="D373" s="382">
        <v>43186</v>
      </c>
    </row>
    <row r="374" spans="1:4" x14ac:dyDescent="0.2">
      <c r="A374">
        <v>374</v>
      </c>
      <c r="B374" t="s">
        <v>1713</v>
      </c>
      <c r="C374" t="s">
        <v>1714</v>
      </c>
      <c r="D374" t="s">
        <v>1715</v>
      </c>
    </row>
    <row r="375" spans="1:4" x14ac:dyDescent="0.2">
      <c r="A375">
        <v>375</v>
      </c>
      <c r="B375" t="s">
        <v>1716</v>
      </c>
      <c r="C375" t="s">
        <v>1717</v>
      </c>
      <c r="D375" s="382">
        <v>34743</v>
      </c>
    </row>
    <row r="376" spans="1:4" x14ac:dyDescent="0.2">
      <c r="A376">
        <v>376</v>
      </c>
      <c r="B376" t="s">
        <v>1718</v>
      </c>
      <c r="C376" t="s">
        <v>1719</v>
      </c>
      <c r="D376" s="382">
        <v>45666</v>
      </c>
    </row>
    <row r="377" spans="1:4" x14ac:dyDescent="0.2">
      <c r="A377">
        <v>377</v>
      </c>
      <c r="B377" t="s">
        <v>1720</v>
      </c>
      <c r="C377" t="s">
        <v>1721</v>
      </c>
      <c r="D377" s="382">
        <v>44986</v>
      </c>
    </row>
    <row r="378" spans="1:4" x14ac:dyDescent="0.2">
      <c r="A378">
        <v>378</v>
      </c>
      <c r="B378" t="s">
        <v>1722</v>
      </c>
      <c r="C378" t="s">
        <v>1723</v>
      </c>
      <c r="D378" t="s">
        <v>1724</v>
      </c>
    </row>
    <row r="379" spans="1:4" x14ac:dyDescent="0.2">
      <c r="A379">
        <v>379</v>
      </c>
      <c r="B379" t="s">
        <v>1725</v>
      </c>
      <c r="C379" t="s">
        <v>1726</v>
      </c>
      <c r="D379" t="s">
        <v>1727</v>
      </c>
    </row>
    <row r="380" spans="1:4" x14ac:dyDescent="0.2">
      <c r="A380">
        <v>380</v>
      </c>
      <c r="B380" t="s">
        <v>1728</v>
      </c>
      <c r="C380" t="s">
        <v>1729</v>
      </c>
      <c r="D380" t="s">
        <v>1730</v>
      </c>
    </row>
    <row r="381" spans="1:4" x14ac:dyDescent="0.2">
      <c r="A381">
        <v>381</v>
      </c>
      <c r="B381" t="s">
        <v>1731</v>
      </c>
      <c r="C381" t="s">
        <v>1732</v>
      </c>
      <c r="D381" s="382">
        <v>42908</v>
      </c>
    </row>
    <row r="382" spans="1:4" x14ac:dyDescent="0.2">
      <c r="A382">
        <v>382</v>
      </c>
      <c r="B382" t="s">
        <v>37</v>
      </c>
      <c r="C382" t="s">
        <v>1733</v>
      </c>
      <c r="D382" s="382">
        <v>39646</v>
      </c>
    </row>
    <row r="383" spans="1:4" x14ac:dyDescent="0.2">
      <c r="A383">
        <v>383</v>
      </c>
      <c r="B383" t="s">
        <v>1734</v>
      </c>
      <c r="C383" t="s">
        <v>1735</v>
      </c>
      <c r="D383" s="382">
        <v>44084</v>
      </c>
    </row>
    <row r="384" spans="1:4" x14ac:dyDescent="0.2">
      <c r="A384">
        <v>384</v>
      </c>
      <c r="B384" t="s">
        <v>1736</v>
      </c>
      <c r="C384" t="s">
        <v>1737</v>
      </c>
      <c r="D384" t="s">
        <v>1738</v>
      </c>
    </row>
    <row r="385" spans="1:4" x14ac:dyDescent="0.2">
      <c r="A385">
        <v>385</v>
      </c>
      <c r="B385" t="s">
        <v>1739</v>
      </c>
      <c r="C385" t="s">
        <v>1740</v>
      </c>
      <c r="D385" s="382">
        <v>41284</v>
      </c>
    </row>
    <row r="386" spans="1:4" x14ac:dyDescent="0.2">
      <c r="A386">
        <v>386</v>
      </c>
      <c r="B386" t="s">
        <v>1741</v>
      </c>
      <c r="C386" t="s">
        <v>1742</v>
      </c>
      <c r="D386" s="382">
        <v>43567</v>
      </c>
    </row>
    <row r="387" spans="1:4" x14ac:dyDescent="0.2">
      <c r="A387">
        <v>387</v>
      </c>
      <c r="B387" t="s">
        <v>1743</v>
      </c>
      <c r="C387" t="s">
        <v>1744</v>
      </c>
      <c r="D387" s="382">
        <v>42907</v>
      </c>
    </row>
    <row r="388" spans="1:4" x14ac:dyDescent="0.2">
      <c r="A388">
        <v>388</v>
      </c>
      <c r="B388" t="s">
        <v>1745</v>
      </c>
      <c r="C388" t="s">
        <v>1746</v>
      </c>
      <c r="D388" t="s">
        <v>1747</v>
      </c>
    </row>
    <row r="389" spans="1:4" x14ac:dyDescent="0.2">
      <c r="A389">
        <v>389</v>
      </c>
      <c r="B389" t="s">
        <v>1748</v>
      </c>
      <c r="C389" t="s">
        <v>1749</v>
      </c>
      <c r="D389" t="s">
        <v>1750</v>
      </c>
    </row>
    <row r="390" spans="1:4" x14ac:dyDescent="0.2">
      <c r="A390">
        <v>390</v>
      </c>
      <c r="B390" t="s">
        <v>1751</v>
      </c>
      <c r="C390" t="s">
        <v>1752</v>
      </c>
      <c r="D390" s="382">
        <v>45335</v>
      </c>
    </row>
    <row r="391" spans="1:4" x14ac:dyDescent="0.2">
      <c r="A391">
        <v>391</v>
      </c>
      <c r="B391" t="s">
        <v>1753</v>
      </c>
      <c r="C391" t="s">
        <v>1754</v>
      </c>
      <c r="D391" s="382">
        <v>38973</v>
      </c>
    </row>
    <row r="392" spans="1:4" x14ac:dyDescent="0.2">
      <c r="A392">
        <v>392</v>
      </c>
      <c r="B392" t="s">
        <v>1755</v>
      </c>
      <c r="C392" t="s">
        <v>1756</v>
      </c>
      <c r="D392" t="s">
        <v>903</v>
      </c>
    </row>
    <row r="393" spans="1:4" x14ac:dyDescent="0.2">
      <c r="A393">
        <v>393</v>
      </c>
      <c r="B393" t="s">
        <v>1757</v>
      </c>
      <c r="C393" t="s">
        <v>1758</v>
      </c>
      <c r="D393" s="382">
        <v>44676</v>
      </c>
    </row>
    <row r="394" spans="1:4" x14ac:dyDescent="0.2">
      <c r="A394">
        <v>394</v>
      </c>
      <c r="B394" t="s">
        <v>1759</v>
      </c>
      <c r="C394" t="s">
        <v>1760</v>
      </c>
      <c r="D394" t="s">
        <v>1761</v>
      </c>
    </row>
    <row r="395" spans="1:4" x14ac:dyDescent="0.2">
      <c r="A395">
        <v>395</v>
      </c>
      <c r="B395" t="s">
        <v>1762</v>
      </c>
      <c r="C395" t="s">
        <v>1763</v>
      </c>
      <c r="D395" t="s">
        <v>1764</v>
      </c>
    </row>
    <row r="396" spans="1:4" x14ac:dyDescent="0.2">
      <c r="A396">
        <v>396</v>
      </c>
      <c r="B396" t="s">
        <v>1765</v>
      </c>
      <c r="C396" t="s">
        <v>1766</v>
      </c>
      <c r="D396" s="382">
        <v>38541</v>
      </c>
    </row>
    <row r="397" spans="1:4" x14ac:dyDescent="0.2">
      <c r="A397">
        <v>397</v>
      </c>
      <c r="B397" t="s">
        <v>1767</v>
      </c>
      <c r="C397" t="s">
        <v>1768</v>
      </c>
      <c r="D397" s="382">
        <v>44448</v>
      </c>
    </row>
    <row r="398" spans="1:4" x14ac:dyDescent="0.2">
      <c r="A398">
        <v>398</v>
      </c>
      <c r="B398" t="s">
        <v>1769</v>
      </c>
      <c r="C398" t="s">
        <v>1770</v>
      </c>
      <c r="D398" t="s">
        <v>941</v>
      </c>
    </row>
    <row r="399" spans="1:4" x14ac:dyDescent="0.2">
      <c r="A399">
        <v>399</v>
      </c>
      <c r="B399" t="s">
        <v>1771</v>
      </c>
      <c r="C399" t="s">
        <v>1772</v>
      </c>
      <c r="D399" t="s">
        <v>1773</v>
      </c>
    </row>
    <row r="400" spans="1:4" x14ac:dyDescent="0.2">
      <c r="A400">
        <v>400</v>
      </c>
      <c r="B400" t="s">
        <v>1774</v>
      </c>
      <c r="C400" t="s">
        <v>1775</v>
      </c>
      <c r="D400" t="s">
        <v>1776</v>
      </c>
    </row>
    <row r="401" spans="1:4" x14ac:dyDescent="0.2">
      <c r="A401">
        <v>401</v>
      </c>
      <c r="B401" t="s">
        <v>1777</v>
      </c>
      <c r="C401" t="s">
        <v>1778</v>
      </c>
      <c r="D401" s="382">
        <v>33182</v>
      </c>
    </row>
    <row r="402" spans="1:4" x14ac:dyDescent="0.2">
      <c r="A402">
        <v>402</v>
      </c>
      <c r="B402" t="s">
        <v>1779</v>
      </c>
      <c r="C402" t="s">
        <v>1780</v>
      </c>
      <c r="D402" t="s">
        <v>1781</v>
      </c>
    </row>
    <row r="403" spans="1:4" x14ac:dyDescent="0.2">
      <c r="A403">
        <v>403</v>
      </c>
      <c r="B403" t="s">
        <v>1782</v>
      </c>
      <c r="C403" t="s">
        <v>1783</v>
      </c>
      <c r="D403" s="382">
        <v>35585</v>
      </c>
    </row>
    <row r="404" spans="1:4" x14ac:dyDescent="0.2">
      <c r="A404">
        <v>404</v>
      </c>
      <c r="B404" t="s">
        <v>1784</v>
      </c>
      <c r="C404" t="s">
        <v>1785</v>
      </c>
      <c r="D404" s="382">
        <v>43873</v>
      </c>
    </row>
    <row r="405" spans="1:4" x14ac:dyDescent="0.2">
      <c r="A405">
        <v>405</v>
      </c>
      <c r="B405" t="s">
        <v>1786</v>
      </c>
      <c r="C405" t="s">
        <v>1787</v>
      </c>
      <c r="D405" s="382">
        <v>33259</v>
      </c>
    </row>
    <row r="406" spans="1:4" x14ac:dyDescent="0.2">
      <c r="A406">
        <v>406</v>
      </c>
      <c r="B406" t="s">
        <v>1788</v>
      </c>
      <c r="C406" t="s">
        <v>1789</v>
      </c>
      <c r="D406" s="382">
        <v>45238</v>
      </c>
    </row>
    <row r="407" spans="1:4" x14ac:dyDescent="0.2">
      <c r="A407">
        <v>407</v>
      </c>
      <c r="B407" t="s">
        <v>1790</v>
      </c>
      <c r="C407" t="s">
        <v>1791</v>
      </c>
      <c r="D407" s="382">
        <v>34288</v>
      </c>
    </row>
    <row r="408" spans="1:4" x14ac:dyDescent="0.2">
      <c r="A408">
        <v>408</v>
      </c>
      <c r="B408" t="s">
        <v>1792</v>
      </c>
      <c r="C408" t="s">
        <v>1793</v>
      </c>
      <c r="D408" t="s">
        <v>1794</v>
      </c>
    </row>
    <row r="409" spans="1:4" x14ac:dyDescent="0.2">
      <c r="A409">
        <v>409</v>
      </c>
      <c r="B409" t="s">
        <v>1795</v>
      </c>
      <c r="C409" t="s">
        <v>1796</v>
      </c>
      <c r="D409" t="s">
        <v>1797</v>
      </c>
    </row>
    <row r="410" spans="1:4" x14ac:dyDescent="0.2">
      <c r="A410">
        <v>410</v>
      </c>
      <c r="B410" t="s">
        <v>1798</v>
      </c>
      <c r="C410" t="s">
        <v>1799</v>
      </c>
      <c r="D410" s="382">
        <v>36998</v>
      </c>
    </row>
    <row r="411" spans="1:4" x14ac:dyDescent="0.2">
      <c r="A411">
        <v>411</v>
      </c>
      <c r="B411" t="s">
        <v>1800</v>
      </c>
      <c r="C411" t="s">
        <v>1801</v>
      </c>
      <c r="D411" t="s">
        <v>1802</v>
      </c>
    </row>
    <row r="412" spans="1:4" x14ac:dyDescent="0.2">
      <c r="A412">
        <v>412</v>
      </c>
      <c r="B412" t="s">
        <v>1803</v>
      </c>
      <c r="C412" t="s">
        <v>1804</v>
      </c>
      <c r="D412" s="382">
        <v>42619</v>
      </c>
    </row>
    <row r="413" spans="1:4" x14ac:dyDescent="0.2">
      <c r="A413">
        <v>413</v>
      </c>
      <c r="B413" t="s">
        <v>1805</v>
      </c>
      <c r="C413" t="s">
        <v>1806</v>
      </c>
      <c r="D413" s="382">
        <v>33078</v>
      </c>
    </row>
    <row r="414" spans="1:4" x14ac:dyDescent="0.2">
      <c r="A414">
        <v>414</v>
      </c>
      <c r="B414" t="s">
        <v>1807</v>
      </c>
      <c r="C414" t="s">
        <v>1808</v>
      </c>
      <c r="D414" t="s">
        <v>1134</v>
      </c>
    </row>
    <row r="415" spans="1:4" x14ac:dyDescent="0.2">
      <c r="A415">
        <v>415</v>
      </c>
      <c r="B415" t="s">
        <v>1809</v>
      </c>
      <c r="C415" t="s">
        <v>1810</v>
      </c>
      <c r="D415" s="382">
        <v>34529</v>
      </c>
    </row>
    <row r="416" spans="1:4" x14ac:dyDescent="0.2">
      <c r="A416">
        <v>416</v>
      </c>
      <c r="B416" t="s">
        <v>1811</v>
      </c>
      <c r="C416" t="s">
        <v>1812</v>
      </c>
      <c r="D416" s="382">
        <v>43843</v>
      </c>
    </row>
    <row r="417" spans="1:4" x14ac:dyDescent="0.2">
      <c r="A417">
        <v>417</v>
      </c>
      <c r="B417" t="s">
        <v>1813</v>
      </c>
      <c r="C417" t="s">
        <v>1814</v>
      </c>
      <c r="D417" t="s">
        <v>1815</v>
      </c>
    </row>
    <row r="418" spans="1:4" x14ac:dyDescent="0.2">
      <c r="A418">
        <v>418</v>
      </c>
      <c r="B418" t="s">
        <v>1816</v>
      </c>
      <c r="C418" t="s">
        <v>1817</v>
      </c>
      <c r="D418" t="s">
        <v>1818</v>
      </c>
    </row>
    <row r="419" spans="1:4" x14ac:dyDescent="0.2">
      <c r="A419">
        <v>419</v>
      </c>
      <c r="B419" t="s">
        <v>1819</v>
      </c>
      <c r="C419" t="s">
        <v>1820</v>
      </c>
      <c r="D419" t="s">
        <v>1821</v>
      </c>
    </row>
    <row r="420" spans="1:4" x14ac:dyDescent="0.2">
      <c r="A420">
        <v>420</v>
      </c>
      <c r="B420" t="s">
        <v>1822</v>
      </c>
      <c r="C420" t="s">
        <v>1823</v>
      </c>
      <c r="D420" s="382">
        <v>39610</v>
      </c>
    </row>
    <row r="421" spans="1:4" x14ac:dyDescent="0.2">
      <c r="A421">
        <v>421</v>
      </c>
      <c r="B421" t="s">
        <v>1824</v>
      </c>
      <c r="C421" t="s">
        <v>1825</v>
      </c>
      <c r="D421" s="382">
        <v>45131</v>
      </c>
    </row>
    <row r="422" spans="1:4" x14ac:dyDescent="0.2">
      <c r="A422">
        <v>422</v>
      </c>
      <c r="B422" t="s">
        <v>1826</v>
      </c>
      <c r="C422" t="s">
        <v>1827</v>
      </c>
      <c r="D422" s="382">
        <v>33070</v>
      </c>
    </row>
    <row r="423" spans="1:4" x14ac:dyDescent="0.2">
      <c r="A423">
        <v>423</v>
      </c>
      <c r="B423" t="s">
        <v>1828</v>
      </c>
      <c r="C423" t="s">
        <v>1829</v>
      </c>
      <c r="D423" s="382">
        <v>43656</v>
      </c>
    </row>
    <row r="424" spans="1:4" x14ac:dyDescent="0.2">
      <c r="A424">
        <v>424</v>
      </c>
      <c r="B424" t="s">
        <v>1830</v>
      </c>
      <c r="C424" t="s">
        <v>1831</v>
      </c>
      <c r="D424" t="s">
        <v>1832</v>
      </c>
    </row>
    <row r="425" spans="1:4" x14ac:dyDescent="0.2">
      <c r="A425">
        <v>425</v>
      </c>
      <c r="B425" t="s">
        <v>1833</v>
      </c>
      <c r="C425" t="s">
        <v>1834</v>
      </c>
      <c r="D425" s="382">
        <v>37998</v>
      </c>
    </row>
    <row r="426" spans="1:4" x14ac:dyDescent="0.2">
      <c r="A426">
        <v>426</v>
      </c>
      <c r="B426" t="s">
        <v>1835</v>
      </c>
      <c r="C426" t="s">
        <v>1836</v>
      </c>
      <c r="D426" s="382">
        <v>43196</v>
      </c>
    </row>
    <row r="427" spans="1:4" x14ac:dyDescent="0.2">
      <c r="A427">
        <v>427</v>
      </c>
      <c r="B427" t="s">
        <v>1837</v>
      </c>
      <c r="C427" t="s">
        <v>1838</v>
      </c>
      <c r="D427" s="382">
        <v>33042</v>
      </c>
    </row>
    <row r="428" spans="1:4" x14ac:dyDescent="0.2">
      <c r="A428">
        <v>428</v>
      </c>
      <c r="B428" t="s">
        <v>1839</v>
      </c>
      <c r="C428" t="s">
        <v>1840</v>
      </c>
      <c r="D428" t="s">
        <v>1841</v>
      </c>
    </row>
    <row r="429" spans="1:4" x14ac:dyDescent="0.2">
      <c r="A429">
        <v>429</v>
      </c>
      <c r="B429" t="s">
        <v>1842</v>
      </c>
      <c r="C429" t="s">
        <v>1843</v>
      </c>
      <c r="D429" t="s">
        <v>1844</v>
      </c>
    </row>
    <row r="430" spans="1:4" x14ac:dyDescent="0.2">
      <c r="A430">
        <v>430</v>
      </c>
      <c r="B430" t="s">
        <v>1845</v>
      </c>
      <c r="C430" t="s">
        <v>1846</v>
      </c>
      <c r="D430" t="s">
        <v>1847</v>
      </c>
    </row>
    <row r="431" spans="1:4" x14ac:dyDescent="0.2">
      <c r="A431">
        <v>431</v>
      </c>
      <c r="B431" t="s">
        <v>1848</v>
      </c>
      <c r="C431" t="s">
        <v>1849</v>
      </c>
      <c r="D431" t="s">
        <v>1850</v>
      </c>
    </row>
    <row r="432" spans="1:4" x14ac:dyDescent="0.2">
      <c r="A432">
        <v>432</v>
      </c>
      <c r="B432" t="s">
        <v>1851</v>
      </c>
      <c r="C432" t="s">
        <v>1852</v>
      </c>
      <c r="D432" s="382">
        <v>44377</v>
      </c>
    </row>
    <row r="433" spans="1:4" x14ac:dyDescent="0.2">
      <c r="A433">
        <v>433</v>
      </c>
      <c r="B433" t="s">
        <v>1853</v>
      </c>
      <c r="C433" t="s">
        <v>1854</v>
      </c>
      <c r="D433" s="382">
        <v>43290</v>
      </c>
    </row>
    <row r="434" spans="1:4" x14ac:dyDescent="0.2">
      <c r="A434">
        <v>434</v>
      </c>
      <c r="B434" t="s">
        <v>1855</v>
      </c>
      <c r="C434" t="s">
        <v>1856</v>
      </c>
      <c r="D434" t="s">
        <v>1857</v>
      </c>
    </row>
    <row r="435" spans="1:4" x14ac:dyDescent="0.2">
      <c r="A435">
        <v>435</v>
      </c>
      <c r="B435" t="s">
        <v>1858</v>
      </c>
      <c r="C435" t="s">
        <v>1859</v>
      </c>
      <c r="D435" s="382">
        <v>40368</v>
      </c>
    </row>
    <row r="436" spans="1:4" x14ac:dyDescent="0.2">
      <c r="A436">
        <v>436</v>
      </c>
      <c r="B436" t="s">
        <v>1860</v>
      </c>
      <c r="C436" t="s">
        <v>1861</v>
      </c>
      <c r="D436" t="s">
        <v>1862</v>
      </c>
    </row>
    <row r="437" spans="1:4" x14ac:dyDescent="0.2">
      <c r="A437">
        <v>437</v>
      </c>
      <c r="B437" t="s">
        <v>1863</v>
      </c>
      <c r="C437" t="s">
        <v>1864</v>
      </c>
      <c r="D437" s="382">
        <v>43654</v>
      </c>
    </row>
    <row r="438" spans="1:4" x14ac:dyDescent="0.2">
      <c r="A438">
        <v>438</v>
      </c>
      <c r="B438" t="s">
        <v>1865</v>
      </c>
      <c r="C438" t="s">
        <v>1866</v>
      </c>
      <c r="D438" t="s">
        <v>1867</v>
      </c>
    </row>
    <row r="439" spans="1:4" x14ac:dyDescent="0.2">
      <c r="A439">
        <v>439</v>
      </c>
      <c r="B439" t="s">
        <v>1868</v>
      </c>
      <c r="C439" t="s">
        <v>1869</v>
      </c>
      <c r="D439" s="382">
        <v>44964</v>
      </c>
    </row>
    <row r="440" spans="1:4" x14ac:dyDescent="0.2">
      <c r="A440">
        <v>440</v>
      </c>
      <c r="B440" t="s">
        <v>1870</v>
      </c>
      <c r="C440" t="s">
        <v>1871</v>
      </c>
      <c r="D440" t="s">
        <v>1872</v>
      </c>
    </row>
    <row r="441" spans="1:4" x14ac:dyDescent="0.2">
      <c r="A441">
        <v>441</v>
      </c>
      <c r="B441" t="s">
        <v>1873</v>
      </c>
      <c r="C441" t="s">
        <v>1874</v>
      </c>
      <c r="D441" t="s">
        <v>1875</v>
      </c>
    </row>
    <row r="442" spans="1:4" x14ac:dyDescent="0.2">
      <c r="A442">
        <v>442</v>
      </c>
      <c r="B442" t="s">
        <v>1876</v>
      </c>
      <c r="C442" t="s">
        <v>1877</v>
      </c>
      <c r="D442" s="382">
        <v>45481</v>
      </c>
    </row>
    <row r="443" spans="1:4" x14ac:dyDescent="0.2">
      <c r="A443">
        <v>443</v>
      </c>
      <c r="B443" t="s">
        <v>1878</v>
      </c>
      <c r="C443" t="s">
        <v>1879</v>
      </c>
      <c r="D443" s="382">
        <v>41327</v>
      </c>
    </row>
    <row r="444" spans="1:4" x14ac:dyDescent="0.2">
      <c r="A444">
        <v>444</v>
      </c>
      <c r="B444" t="s">
        <v>1880</v>
      </c>
      <c r="C444" t="s">
        <v>1881</v>
      </c>
      <c r="D444" s="382">
        <v>43650</v>
      </c>
    </row>
    <row r="445" spans="1:4" x14ac:dyDescent="0.2">
      <c r="A445">
        <v>445</v>
      </c>
      <c r="B445" t="s">
        <v>1882</v>
      </c>
      <c r="C445" t="s">
        <v>1883</v>
      </c>
      <c r="D445" t="s">
        <v>1884</v>
      </c>
    </row>
    <row r="446" spans="1:4" x14ac:dyDescent="0.2">
      <c r="A446">
        <v>446</v>
      </c>
      <c r="B446" t="s">
        <v>1885</v>
      </c>
      <c r="C446" t="s">
        <v>1886</v>
      </c>
      <c r="D446" t="s">
        <v>1021</v>
      </c>
    </row>
    <row r="447" spans="1:4" x14ac:dyDescent="0.2">
      <c r="A447">
        <v>447</v>
      </c>
      <c r="B447" t="s">
        <v>1887</v>
      </c>
      <c r="C447" t="s">
        <v>1888</v>
      </c>
      <c r="D447" t="s">
        <v>946</v>
      </c>
    </row>
    <row r="448" spans="1:4" x14ac:dyDescent="0.2">
      <c r="A448">
        <v>448</v>
      </c>
      <c r="B448" t="s">
        <v>1889</v>
      </c>
      <c r="C448" t="s">
        <v>1890</v>
      </c>
      <c r="D448" t="s">
        <v>1891</v>
      </c>
    </row>
    <row r="449" spans="1:4" x14ac:dyDescent="0.2">
      <c r="A449">
        <v>449</v>
      </c>
      <c r="B449" t="s">
        <v>1892</v>
      </c>
      <c r="C449" t="s">
        <v>1893</v>
      </c>
      <c r="D449" t="s">
        <v>1480</v>
      </c>
    </row>
    <row r="450" spans="1:4" x14ac:dyDescent="0.2">
      <c r="A450">
        <v>450</v>
      </c>
      <c r="B450" t="s">
        <v>1894</v>
      </c>
      <c r="C450" t="s">
        <v>1895</v>
      </c>
      <c r="D450" t="s">
        <v>1896</v>
      </c>
    </row>
    <row r="451" spans="1:4" x14ac:dyDescent="0.2">
      <c r="A451">
        <v>451</v>
      </c>
      <c r="B451" t="s">
        <v>1897</v>
      </c>
      <c r="C451" t="s">
        <v>1898</v>
      </c>
      <c r="D451" s="382">
        <v>43517</v>
      </c>
    </row>
    <row r="452" spans="1:4" x14ac:dyDescent="0.2">
      <c r="A452">
        <v>452</v>
      </c>
      <c r="B452" t="s">
        <v>1899</v>
      </c>
      <c r="C452" t="s">
        <v>1900</v>
      </c>
      <c r="D452" s="382">
        <v>33926</v>
      </c>
    </row>
    <row r="453" spans="1:4" x14ac:dyDescent="0.2">
      <c r="A453">
        <v>453</v>
      </c>
      <c r="B453" t="s">
        <v>1901</v>
      </c>
      <c r="C453" t="s">
        <v>1902</v>
      </c>
      <c r="D453" s="382">
        <v>42550</v>
      </c>
    </row>
    <row r="454" spans="1:4" x14ac:dyDescent="0.2">
      <c r="A454">
        <v>454</v>
      </c>
      <c r="B454" t="s">
        <v>1903</v>
      </c>
      <c r="C454" t="s">
        <v>1904</v>
      </c>
      <c r="D454" s="382">
        <v>30741</v>
      </c>
    </row>
    <row r="455" spans="1:4" x14ac:dyDescent="0.2">
      <c r="A455">
        <v>455</v>
      </c>
      <c r="B455" t="s">
        <v>1905</v>
      </c>
      <c r="C455" t="s">
        <v>1906</v>
      </c>
      <c r="D455" t="s">
        <v>1907</v>
      </c>
    </row>
    <row r="456" spans="1:4" x14ac:dyDescent="0.2">
      <c r="A456">
        <v>456</v>
      </c>
      <c r="B456" t="s">
        <v>1908</v>
      </c>
      <c r="C456" t="s">
        <v>1909</v>
      </c>
      <c r="D456" t="s">
        <v>1910</v>
      </c>
    </row>
    <row r="457" spans="1:4" x14ac:dyDescent="0.2">
      <c r="A457">
        <v>457</v>
      </c>
      <c r="B457" t="s">
        <v>1911</v>
      </c>
      <c r="C457" t="s">
        <v>1912</v>
      </c>
      <c r="D457" t="s">
        <v>1913</v>
      </c>
    </row>
    <row r="458" spans="1:4" x14ac:dyDescent="0.2">
      <c r="A458">
        <v>458</v>
      </c>
      <c r="B458" t="s">
        <v>1914</v>
      </c>
      <c r="C458" t="s">
        <v>1915</v>
      </c>
      <c r="D458" t="s">
        <v>1671</v>
      </c>
    </row>
    <row r="459" spans="1:4" x14ac:dyDescent="0.2">
      <c r="A459">
        <v>459</v>
      </c>
      <c r="B459" t="s">
        <v>1916</v>
      </c>
      <c r="C459" t="s">
        <v>1917</v>
      </c>
      <c r="D459" s="382">
        <v>34514</v>
      </c>
    </row>
    <row r="460" spans="1:4" x14ac:dyDescent="0.2">
      <c r="A460">
        <v>460</v>
      </c>
      <c r="B460" t="s">
        <v>1918</v>
      </c>
      <c r="C460" t="s">
        <v>1919</v>
      </c>
      <c r="D460" s="382">
        <v>43187</v>
      </c>
    </row>
    <row r="461" spans="1:4" x14ac:dyDescent="0.2">
      <c r="A461">
        <v>461</v>
      </c>
      <c r="B461" t="s">
        <v>1920</v>
      </c>
      <c r="C461" t="s">
        <v>1921</v>
      </c>
      <c r="D461" s="382">
        <v>39398</v>
      </c>
    </row>
    <row r="462" spans="1:4" x14ac:dyDescent="0.2">
      <c r="A462">
        <v>462</v>
      </c>
      <c r="B462" t="s">
        <v>1922</v>
      </c>
      <c r="C462" t="s">
        <v>1923</v>
      </c>
      <c r="D462" s="382">
        <v>35807</v>
      </c>
    </row>
    <row r="463" spans="1:4" x14ac:dyDescent="0.2">
      <c r="A463">
        <v>463</v>
      </c>
      <c r="B463" t="s">
        <v>1924</v>
      </c>
      <c r="C463" t="s">
        <v>1925</v>
      </c>
      <c r="D463" s="382">
        <v>37362</v>
      </c>
    </row>
    <row r="464" spans="1:4" x14ac:dyDescent="0.2">
      <c r="A464">
        <v>464</v>
      </c>
      <c r="B464" t="s">
        <v>1926</v>
      </c>
      <c r="C464" t="s">
        <v>1927</v>
      </c>
      <c r="D464" s="382">
        <v>37076</v>
      </c>
    </row>
    <row r="465" spans="1:4" x14ac:dyDescent="0.2">
      <c r="A465">
        <v>465</v>
      </c>
      <c r="B465" t="s">
        <v>1928</v>
      </c>
      <c r="C465" t="s">
        <v>1929</v>
      </c>
      <c r="D465" s="382">
        <v>45726</v>
      </c>
    </row>
    <row r="466" spans="1:4" x14ac:dyDescent="0.2">
      <c r="A466">
        <v>466</v>
      </c>
      <c r="B466" t="s">
        <v>1930</v>
      </c>
      <c r="C466" t="s">
        <v>1931</v>
      </c>
      <c r="D466" t="s">
        <v>1932</v>
      </c>
    </row>
    <row r="467" spans="1:4" x14ac:dyDescent="0.2">
      <c r="A467">
        <v>467</v>
      </c>
      <c r="B467" t="s">
        <v>1933</v>
      </c>
      <c r="C467" t="s">
        <v>1934</v>
      </c>
      <c r="D467" s="382">
        <v>43650</v>
      </c>
    </row>
    <row r="468" spans="1:4" x14ac:dyDescent="0.2">
      <c r="A468">
        <v>468</v>
      </c>
      <c r="B468" t="s">
        <v>1935</v>
      </c>
      <c r="C468" t="s">
        <v>1936</v>
      </c>
      <c r="D468" s="382">
        <v>43929</v>
      </c>
    </row>
    <row r="469" spans="1:4" x14ac:dyDescent="0.2">
      <c r="A469">
        <v>469</v>
      </c>
      <c r="B469" t="s">
        <v>1937</v>
      </c>
      <c r="C469" t="s">
        <v>1938</v>
      </c>
      <c r="D469" s="382">
        <v>33791</v>
      </c>
    </row>
    <row r="470" spans="1:4" x14ac:dyDescent="0.2">
      <c r="A470">
        <v>470</v>
      </c>
      <c r="B470" t="s">
        <v>1939</v>
      </c>
      <c r="C470" t="s">
        <v>1940</v>
      </c>
      <c r="D470" s="382">
        <v>33756</v>
      </c>
    </row>
    <row r="471" spans="1:4" x14ac:dyDescent="0.2">
      <c r="A471">
        <v>471</v>
      </c>
      <c r="B471" t="s">
        <v>1941</v>
      </c>
      <c r="C471" t="s">
        <v>1942</v>
      </c>
      <c r="D471" s="382">
        <v>36581</v>
      </c>
    </row>
    <row r="472" spans="1:4" x14ac:dyDescent="0.2">
      <c r="A472">
        <v>472</v>
      </c>
      <c r="B472" t="s">
        <v>1943</v>
      </c>
      <c r="C472" t="s">
        <v>1944</v>
      </c>
      <c r="D472" s="382">
        <v>39640</v>
      </c>
    </row>
    <row r="473" spans="1:4" x14ac:dyDescent="0.2">
      <c r="A473">
        <v>473</v>
      </c>
      <c r="B473" t="s">
        <v>1945</v>
      </c>
      <c r="C473" t="s">
        <v>1946</v>
      </c>
      <c r="D473" s="382">
        <v>35275</v>
      </c>
    </row>
    <row r="474" spans="1:4" x14ac:dyDescent="0.2">
      <c r="A474">
        <v>474</v>
      </c>
      <c r="B474" t="s">
        <v>1947</v>
      </c>
      <c r="C474" t="s">
        <v>1948</v>
      </c>
      <c r="D474" s="382">
        <v>44874</v>
      </c>
    </row>
    <row r="475" spans="1:4" x14ac:dyDescent="0.2">
      <c r="A475">
        <v>475</v>
      </c>
      <c r="B475" t="s">
        <v>1949</v>
      </c>
      <c r="C475" t="s">
        <v>1950</v>
      </c>
      <c r="D475" s="382">
        <v>43710</v>
      </c>
    </row>
    <row r="476" spans="1:4" x14ac:dyDescent="0.2">
      <c r="A476">
        <v>476</v>
      </c>
      <c r="B476" t="s">
        <v>1951</v>
      </c>
      <c r="C476" t="s">
        <v>1952</v>
      </c>
      <c r="D476" s="382">
        <v>43794</v>
      </c>
    </row>
    <row r="477" spans="1:4" x14ac:dyDescent="0.2">
      <c r="A477">
        <v>477</v>
      </c>
      <c r="B477" t="s">
        <v>1953</v>
      </c>
      <c r="C477" t="s">
        <v>1954</v>
      </c>
      <c r="D477" s="382">
        <v>44207</v>
      </c>
    </row>
    <row r="478" spans="1:4" x14ac:dyDescent="0.2">
      <c r="A478">
        <v>478</v>
      </c>
      <c r="B478" t="s">
        <v>1955</v>
      </c>
      <c r="C478" t="s">
        <v>1956</v>
      </c>
      <c r="D478" t="s">
        <v>1365</v>
      </c>
    </row>
    <row r="479" spans="1:4" x14ac:dyDescent="0.2">
      <c r="A479">
        <v>479</v>
      </c>
      <c r="B479" t="s">
        <v>1957</v>
      </c>
      <c r="C479" t="s">
        <v>1958</v>
      </c>
      <c r="D479" t="s">
        <v>1959</v>
      </c>
    </row>
    <row r="480" spans="1:4" x14ac:dyDescent="0.2">
      <c r="A480">
        <v>480</v>
      </c>
      <c r="B480" t="s">
        <v>1960</v>
      </c>
      <c r="C480" t="s">
        <v>1961</v>
      </c>
      <c r="D480" s="382">
        <v>34709</v>
      </c>
    </row>
    <row r="481" spans="1:4" x14ac:dyDescent="0.2">
      <c r="A481">
        <v>481</v>
      </c>
      <c r="B481" t="s">
        <v>1962</v>
      </c>
      <c r="C481" t="s">
        <v>1963</v>
      </c>
      <c r="D481" s="382">
        <v>44973</v>
      </c>
    </row>
    <row r="482" spans="1:4" x14ac:dyDescent="0.2">
      <c r="A482">
        <v>482</v>
      </c>
      <c r="B482" t="s">
        <v>1964</v>
      </c>
      <c r="C482" t="s">
        <v>1965</v>
      </c>
      <c r="D482" t="s">
        <v>1966</v>
      </c>
    </row>
    <row r="483" spans="1:4" x14ac:dyDescent="0.2">
      <c r="A483">
        <v>483</v>
      </c>
      <c r="B483" t="s">
        <v>1967</v>
      </c>
      <c r="C483" t="s">
        <v>1968</v>
      </c>
      <c r="D483" t="s">
        <v>1969</v>
      </c>
    </row>
    <row r="484" spans="1:4" x14ac:dyDescent="0.2">
      <c r="A484">
        <v>484</v>
      </c>
      <c r="B484" t="s">
        <v>1970</v>
      </c>
      <c r="C484" t="s">
        <v>1971</v>
      </c>
      <c r="D484" s="382">
        <v>43647</v>
      </c>
    </row>
    <row r="485" spans="1:4" x14ac:dyDescent="0.2">
      <c r="A485">
        <v>485</v>
      </c>
      <c r="B485" t="s">
        <v>1972</v>
      </c>
      <c r="C485" t="s">
        <v>1973</v>
      </c>
      <c r="D485" t="s">
        <v>1525</v>
      </c>
    </row>
    <row r="486" spans="1:4" x14ac:dyDescent="0.2">
      <c r="A486">
        <v>486</v>
      </c>
      <c r="B486" t="s">
        <v>1974</v>
      </c>
      <c r="C486" t="s">
        <v>1975</v>
      </c>
      <c r="D486" s="382">
        <v>33420</v>
      </c>
    </row>
    <row r="487" spans="1:4" x14ac:dyDescent="0.2">
      <c r="A487">
        <v>487</v>
      </c>
      <c r="B487" t="s">
        <v>1976</v>
      </c>
      <c r="C487" t="s">
        <v>1977</v>
      </c>
      <c r="D487" s="382">
        <v>45089</v>
      </c>
    </row>
    <row r="488" spans="1:4" x14ac:dyDescent="0.2">
      <c r="A488">
        <v>488</v>
      </c>
      <c r="B488" t="s">
        <v>1978</v>
      </c>
      <c r="C488" t="s">
        <v>1979</v>
      </c>
      <c r="D488" s="382">
        <v>33449</v>
      </c>
    </row>
    <row r="489" spans="1:4" x14ac:dyDescent="0.2">
      <c r="A489">
        <v>489</v>
      </c>
      <c r="B489" t="s">
        <v>1980</v>
      </c>
      <c r="C489" t="s">
        <v>1981</v>
      </c>
      <c r="D489" t="s">
        <v>1273</v>
      </c>
    </row>
    <row r="490" spans="1:4" x14ac:dyDescent="0.2">
      <c r="A490">
        <v>490</v>
      </c>
      <c r="B490" t="s">
        <v>1982</v>
      </c>
      <c r="C490" t="s">
        <v>1983</v>
      </c>
      <c r="D490" s="382">
        <v>44081</v>
      </c>
    </row>
    <row r="491" spans="1:4" x14ac:dyDescent="0.2">
      <c r="A491">
        <v>491</v>
      </c>
      <c r="B491" t="s">
        <v>1984</v>
      </c>
      <c r="C491" t="s">
        <v>1985</v>
      </c>
      <c r="D491" s="382">
        <v>42905</v>
      </c>
    </row>
    <row r="492" spans="1:4" x14ac:dyDescent="0.2">
      <c r="A492">
        <v>492</v>
      </c>
      <c r="B492" t="s">
        <v>1986</v>
      </c>
      <c r="C492" t="s">
        <v>1987</v>
      </c>
      <c r="D492" s="382">
        <v>41095</v>
      </c>
    </row>
    <row r="493" spans="1:4" x14ac:dyDescent="0.2">
      <c r="A493">
        <v>493</v>
      </c>
      <c r="B493" t="s">
        <v>1988</v>
      </c>
      <c r="C493" t="s">
        <v>1989</v>
      </c>
      <c r="D493" t="s">
        <v>1990</v>
      </c>
    </row>
    <row r="494" spans="1:4" x14ac:dyDescent="0.2">
      <c r="A494">
        <v>494</v>
      </c>
      <c r="B494" t="s">
        <v>1991</v>
      </c>
      <c r="C494" t="s">
        <v>1992</v>
      </c>
      <c r="D494" s="382">
        <v>39547</v>
      </c>
    </row>
    <row r="495" spans="1:4" x14ac:dyDescent="0.2">
      <c r="A495">
        <v>495</v>
      </c>
      <c r="B495" t="s">
        <v>1993</v>
      </c>
      <c r="C495" t="s">
        <v>1994</v>
      </c>
      <c r="D495" t="s">
        <v>1995</v>
      </c>
    </row>
    <row r="496" spans="1:4" x14ac:dyDescent="0.2">
      <c r="A496">
        <v>496</v>
      </c>
      <c r="B496" t="s">
        <v>1996</v>
      </c>
      <c r="C496" t="s">
        <v>1997</v>
      </c>
      <c r="D496" t="s">
        <v>1998</v>
      </c>
    </row>
    <row r="497" spans="1:4" x14ac:dyDescent="0.2">
      <c r="A497">
        <v>497</v>
      </c>
      <c r="B497" t="s">
        <v>1999</v>
      </c>
      <c r="C497" t="s">
        <v>2000</v>
      </c>
      <c r="D497" t="s">
        <v>2001</v>
      </c>
    </row>
    <row r="498" spans="1:4" x14ac:dyDescent="0.2">
      <c r="A498">
        <v>498</v>
      </c>
      <c r="B498" t="s">
        <v>2002</v>
      </c>
      <c r="C498" t="s">
        <v>2003</v>
      </c>
      <c r="D498" s="382">
        <v>43655</v>
      </c>
    </row>
    <row r="499" spans="1:4" x14ac:dyDescent="0.2">
      <c r="A499">
        <v>499</v>
      </c>
      <c r="B499" t="s">
        <v>2004</v>
      </c>
      <c r="C499" t="s">
        <v>2005</v>
      </c>
      <c r="D499" s="382">
        <v>43259</v>
      </c>
    </row>
    <row r="500" spans="1:4" x14ac:dyDescent="0.2">
      <c r="A500">
        <v>500</v>
      </c>
      <c r="B500" t="s">
        <v>2006</v>
      </c>
      <c r="C500" t="s">
        <v>2007</v>
      </c>
      <c r="D500" t="s">
        <v>2008</v>
      </c>
    </row>
    <row r="501" spans="1:4" x14ac:dyDescent="0.2">
      <c r="A501">
        <v>501</v>
      </c>
      <c r="B501" t="s">
        <v>2009</v>
      </c>
      <c r="C501" t="s">
        <v>2010</v>
      </c>
      <c r="D501" s="382">
        <v>36615</v>
      </c>
    </row>
    <row r="502" spans="1:4" x14ac:dyDescent="0.2">
      <c r="A502">
        <v>502</v>
      </c>
      <c r="B502" t="s">
        <v>2011</v>
      </c>
      <c r="C502" t="s">
        <v>2012</v>
      </c>
      <c r="D502" s="382">
        <v>41586</v>
      </c>
    </row>
    <row r="503" spans="1:4" x14ac:dyDescent="0.2">
      <c r="A503">
        <v>503</v>
      </c>
      <c r="B503" t="s">
        <v>2013</v>
      </c>
      <c r="C503" t="s">
        <v>2014</v>
      </c>
      <c r="D503" s="382">
        <v>40492</v>
      </c>
    </row>
    <row r="504" spans="1:4" x14ac:dyDescent="0.2">
      <c r="A504">
        <v>504</v>
      </c>
      <c r="B504" t="s">
        <v>2015</v>
      </c>
      <c r="C504" t="s">
        <v>2016</v>
      </c>
      <c r="D504" s="382">
        <v>37435</v>
      </c>
    </row>
    <row r="505" spans="1:4" x14ac:dyDescent="0.2">
      <c r="A505">
        <v>505</v>
      </c>
      <c r="B505" t="s">
        <v>2017</v>
      </c>
      <c r="C505" t="s">
        <v>2018</v>
      </c>
      <c r="D505" s="382">
        <v>44767</v>
      </c>
    </row>
    <row r="506" spans="1:4" x14ac:dyDescent="0.2">
      <c r="A506">
        <v>506</v>
      </c>
      <c r="B506" t="s">
        <v>2019</v>
      </c>
      <c r="C506" t="s">
        <v>2020</v>
      </c>
      <c r="D506" s="382">
        <v>45665</v>
      </c>
    </row>
    <row r="507" spans="1:4" x14ac:dyDescent="0.2">
      <c r="A507">
        <v>507</v>
      </c>
      <c r="B507" t="s">
        <v>2021</v>
      </c>
      <c r="C507" t="s">
        <v>2022</v>
      </c>
      <c r="D507" t="s">
        <v>2023</v>
      </c>
    </row>
    <row r="508" spans="1:4" x14ac:dyDescent="0.2">
      <c r="A508">
        <v>508</v>
      </c>
      <c r="B508" t="s">
        <v>2024</v>
      </c>
      <c r="C508" t="s">
        <v>2025</v>
      </c>
      <c r="D508" s="382">
        <v>44357</v>
      </c>
    </row>
    <row r="509" spans="1:4" x14ac:dyDescent="0.2">
      <c r="A509">
        <v>509</v>
      </c>
      <c r="B509" t="s">
        <v>2026</v>
      </c>
      <c r="C509" t="s">
        <v>2027</v>
      </c>
      <c r="D509" s="382">
        <v>45483</v>
      </c>
    </row>
    <row r="510" spans="1:4" x14ac:dyDescent="0.2">
      <c r="A510">
        <v>510</v>
      </c>
      <c r="B510" t="s">
        <v>2028</v>
      </c>
      <c r="C510" t="s">
        <v>2029</v>
      </c>
      <c r="D510" s="382">
        <v>44953</v>
      </c>
    </row>
    <row r="511" spans="1:4" x14ac:dyDescent="0.2">
      <c r="A511">
        <v>511</v>
      </c>
      <c r="B511" t="s">
        <v>2030</v>
      </c>
      <c r="C511" t="s">
        <v>2031</v>
      </c>
      <c r="D511" t="s">
        <v>2032</v>
      </c>
    </row>
    <row r="512" spans="1:4" x14ac:dyDescent="0.2">
      <c r="A512">
        <v>512</v>
      </c>
      <c r="B512" t="s">
        <v>2033</v>
      </c>
      <c r="C512" t="s">
        <v>2034</v>
      </c>
      <c r="D512" s="382">
        <v>37089</v>
      </c>
    </row>
    <row r="513" spans="1:4" x14ac:dyDescent="0.2">
      <c r="A513">
        <v>513</v>
      </c>
      <c r="B513" t="s">
        <v>2035</v>
      </c>
      <c r="C513" t="s">
        <v>2036</v>
      </c>
      <c r="D513" s="382">
        <v>39276</v>
      </c>
    </row>
    <row r="514" spans="1:4" x14ac:dyDescent="0.2">
      <c r="A514">
        <v>514</v>
      </c>
      <c r="B514" t="s">
        <v>2037</v>
      </c>
      <c r="C514" t="s">
        <v>2038</v>
      </c>
      <c r="D514" s="382">
        <v>43116</v>
      </c>
    </row>
    <row r="515" spans="1:4" x14ac:dyDescent="0.2">
      <c r="A515">
        <v>515</v>
      </c>
      <c r="B515" t="s">
        <v>2039</v>
      </c>
      <c r="C515" t="s">
        <v>2040</v>
      </c>
      <c r="D515" t="s">
        <v>2041</v>
      </c>
    </row>
    <row r="516" spans="1:4" x14ac:dyDescent="0.2">
      <c r="A516">
        <v>516</v>
      </c>
      <c r="B516" t="s">
        <v>2042</v>
      </c>
      <c r="C516" t="s">
        <v>2043</v>
      </c>
      <c r="D516" s="382">
        <v>44293</v>
      </c>
    </row>
    <row r="517" spans="1:4" x14ac:dyDescent="0.2">
      <c r="A517">
        <v>517</v>
      </c>
      <c r="B517" t="s">
        <v>2044</v>
      </c>
      <c r="C517" t="s">
        <v>2045</v>
      </c>
      <c r="D517" s="382">
        <v>43655</v>
      </c>
    </row>
    <row r="518" spans="1:4" x14ac:dyDescent="0.2">
      <c r="A518">
        <v>518</v>
      </c>
      <c r="B518" t="s">
        <v>2046</v>
      </c>
      <c r="C518" t="s">
        <v>2047</v>
      </c>
      <c r="D518" s="382">
        <v>41792</v>
      </c>
    </row>
    <row r="519" spans="1:4" x14ac:dyDescent="0.2">
      <c r="A519">
        <v>519</v>
      </c>
      <c r="B519" t="s">
        <v>2048</v>
      </c>
      <c r="C519" t="s">
        <v>2049</v>
      </c>
      <c r="D519" t="s">
        <v>2050</v>
      </c>
    </row>
    <row r="520" spans="1:4" x14ac:dyDescent="0.2">
      <c r="A520">
        <v>520</v>
      </c>
      <c r="B520" t="s">
        <v>2051</v>
      </c>
      <c r="C520" t="s">
        <v>2052</v>
      </c>
      <c r="D520" s="382">
        <v>45334</v>
      </c>
    </row>
    <row r="521" spans="1:4" x14ac:dyDescent="0.2">
      <c r="A521">
        <v>521</v>
      </c>
      <c r="B521" t="s">
        <v>2053</v>
      </c>
      <c r="C521" t="s">
        <v>2054</v>
      </c>
      <c r="D521" t="s">
        <v>2055</v>
      </c>
    </row>
    <row r="522" spans="1:4" x14ac:dyDescent="0.2">
      <c r="A522">
        <v>522</v>
      </c>
      <c r="B522" t="s">
        <v>2056</v>
      </c>
      <c r="C522" t="s">
        <v>2057</v>
      </c>
      <c r="D522" t="s">
        <v>1750</v>
      </c>
    </row>
    <row r="523" spans="1:4" x14ac:dyDescent="0.2">
      <c r="A523">
        <v>523</v>
      </c>
      <c r="B523" t="s">
        <v>2058</v>
      </c>
      <c r="C523" t="s">
        <v>2059</v>
      </c>
      <c r="D523" t="s">
        <v>2060</v>
      </c>
    </row>
    <row r="524" spans="1:4" x14ac:dyDescent="0.2">
      <c r="A524">
        <v>524</v>
      </c>
      <c r="B524" t="s">
        <v>2061</v>
      </c>
      <c r="C524" t="s">
        <v>2062</v>
      </c>
      <c r="D524" s="382">
        <v>33028</v>
      </c>
    </row>
    <row r="525" spans="1:4" x14ac:dyDescent="0.2">
      <c r="A525">
        <v>525</v>
      </c>
      <c r="B525" t="s">
        <v>2063</v>
      </c>
      <c r="C525" t="s">
        <v>2064</v>
      </c>
      <c r="D525" t="s">
        <v>1995</v>
      </c>
    </row>
    <row r="526" spans="1:4" x14ac:dyDescent="0.2">
      <c r="A526">
        <v>526</v>
      </c>
      <c r="B526" t="s">
        <v>2065</v>
      </c>
      <c r="C526" t="s">
        <v>2066</v>
      </c>
      <c r="D526" s="382">
        <v>35635</v>
      </c>
    </row>
    <row r="527" spans="1:4" x14ac:dyDescent="0.2">
      <c r="A527">
        <v>527</v>
      </c>
      <c r="B527" t="s">
        <v>2067</v>
      </c>
      <c r="C527" t="s">
        <v>2068</v>
      </c>
      <c r="D527" s="382">
        <v>35633</v>
      </c>
    </row>
    <row r="528" spans="1:4" x14ac:dyDescent="0.2">
      <c r="A528">
        <v>528</v>
      </c>
      <c r="B528" t="s">
        <v>2069</v>
      </c>
      <c r="C528" t="s">
        <v>2070</v>
      </c>
      <c r="D528" s="382">
        <v>32909</v>
      </c>
    </row>
    <row r="529" spans="1:4" x14ac:dyDescent="0.2">
      <c r="A529">
        <v>529</v>
      </c>
      <c r="B529" t="s">
        <v>2071</v>
      </c>
      <c r="C529" t="s">
        <v>2072</v>
      </c>
      <c r="D529" s="382">
        <v>35244</v>
      </c>
    </row>
    <row r="530" spans="1:4" x14ac:dyDescent="0.2">
      <c r="A530">
        <v>530</v>
      </c>
      <c r="B530" t="s">
        <v>2073</v>
      </c>
      <c r="C530" t="s">
        <v>2074</v>
      </c>
      <c r="D530" t="s">
        <v>1671</v>
      </c>
    </row>
    <row r="531" spans="1:4" x14ac:dyDescent="0.2">
      <c r="A531">
        <v>531</v>
      </c>
      <c r="B531" t="s">
        <v>2075</v>
      </c>
      <c r="C531" t="s">
        <v>2076</v>
      </c>
      <c r="D531" t="s">
        <v>2077</v>
      </c>
    </row>
    <row r="532" spans="1:4" x14ac:dyDescent="0.2">
      <c r="A532">
        <v>532</v>
      </c>
      <c r="B532" t="s">
        <v>2078</v>
      </c>
      <c r="C532" t="s">
        <v>2079</v>
      </c>
      <c r="D532" s="382">
        <v>34421</v>
      </c>
    </row>
    <row r="533" spans="1:4" x14ac:dyDescent="0.2">
      <c r="A533">
        <v>533</v>
      </c>
      <c r="B533" t="s">
        <v>2080</v>
      </c>
      <c r="C533" t="s">
        <v>2081</v>
      </c>
      <c r="D533" s="382">
        <v>41744</v>
      </c>
    </row>
    <row r="534" spans="1:4" x14ac:dyDescent="0.2">
      <c r="A534">
        <v>534</v>
      </c>
      <c r="B534" t="s">
        <v>2082</v>
      </c>
      <c r="C534" t="s">
        <v>2083</v>
      </c>
      <c r="D534" s="382">
        <v>35251</v>
      </c>
    </row>
    <row r="535" spans="1:4" x14ac:dyDescent="0.2">
      <c r="A535">
        <v>535</v>
      </c>
      <c r="B535" t="s">
        <v>2084</v>
      </c>
      <c r="C535" t="s">
        <v>2085</v>
      </c>
      <c r="D535" s="382">
        <v>35632</v>
      </c>
    </row>
    <row r="536" spans="1:4" x14ac:dyDescent="0.2">
      <c r="A536">
        <v>536</v>
      </c>
      <c r="B536" t="s">
        <v>2086</v>
      </c>
      <c r="C536" t="s">
        <v>2087</v>
      </c>
      <c r="D536" s="382">
        <v>43432</v>
      </c>
    </row>
    <row r="537" spans="1:4" x14ac:dyDescent="0.2">
      <c r="A537">
        <v>537</v>
      </c>
      <c r="B537" t="s">
        <v>2088</v>
      </c>
      <c r="C537" t="s">
        <v>2089</v>
      </c>
      <c r="D537" t="s">
        <v>2090</v>
      </c>
    </row>
    <row r="538" spans="1:4" x14ac:dyDescent="0.2">
      <c r="A538">
        <v>538</v>
      </c>
      <c r="B538" t="s">
        <v>2091</v>
      </c>
      <c r="C538" t="s">
        <v>2092</v>
      </c>
      <c r="D538" s="382">
        <v>42908</v>
      </c>
    </row>
    <row r="539" spans="1:4" x14ac:dyDescent="0.2">
      <c r="A539">
        <v>539</v>
      </c>
      <c r="B539" t="s">
        <v>2093</v>
      </c>
      <c r="C539" t="s">
        <v>2094</v>
      </c>
      <c r="D539" s="382">
        <v>41290</v>
      </c>
    </row>
    <row r="540" spans="1:4" x14ac:dyDescent="0.2">
      <c r="A540">
        <v>540</v>
      </c>
      <c r="B540" t="s">
        <v>2095</v>
      </c>
      <c r="C540" t="s">
        <v>2096</v>
      </c>
      <c r="D540" s="382">
        <v>45132</v>
      </c>
    </row>
    <row r="541" spans="1:4" x14ac:dyDescent="0.2">
      <c r="A541">
        <v>541</v>
      </c>
      <c r="B541" t="s">
        <v>2097</v>
      </c>
      <c r="C541" t="s">
        <v>2098</v>
      </c>
      <c r="D541" s="382">
        <v>38758</v>
      </c>
    </row>
    <row r="542" spans="1:4" x14ac:dyDescent="0.2">
      <c r="A542">
        <v>542</v>
      </c>
      <c r="B542" t="s">
        <v>2099</v>
      </c>
      <c r="C542" t="s">
        <v>2100</v>
      </c>
      <c r="D542" s="382">
        <v>34374</v>
      </c>
    </row>
    <row r="543" spans="1:4" x14ac:dyDescent="0.2">
      <c r="A543">
        <v>543</v>
      </c>
      <c r="B543" t="s">
        <v>2101</v>
      </c>
      <c r="C543" t="s">
        <v>2102</v>
      </c>
      <c r="D543" s="382">
        <v>45302</v>
      </c>
    </row>
    <row r="544" spans="1:4" x14ac:dyDescent="0.2">
      <c r="A544">
        <v>544</v>
      </c>
      <c r="B544" t="s">
        <v>2103</v>
      </c>
      <c r="C544" t="s">
        <v>2104</v>
      </c>
      <c r="D544" s="382">
        <v>43286</v>
      </c>
    </row>
    <row r="545" spans="1:4" x14ac:dyDescent="0.2">
      <c r="A545">
        <v>545</v>
      </c>
      <c r="B545" t="s">
        <v>2105</v>
      </c>
      <c r="C545" t="s">
        <v>2106</v>
      </c>
      <c r="D545" s="382">
        <v>42907</v>
      </c>
    </row>
    <row r="546" spans="1:4" x14ac:dyDescent="0.2">
      <c r="A546">
        <v>546</v>
      </c>
      <c r="B546" t="s">
        <v>2107</v>
      </c>
      <c r="C546" t="s">
        <v>2108</v>
      </c>
      <c r="D546" s="382">
        <v>38301</v>
      </c>
    </row>
    <row r="547" spans="1:4" x14ac:dyDescent="0.2">
      <c r="A547">
        <v>547</v>
      </c>
      <c r="B547" t="s">
        <v>2109</v>
      </c>
      <c r="C547" t="s">
        <v>2110</v>
      </c>
      <c r="D547" s="382">
        <v>42411</v>
      </c>
    </row>
    <row r="548" spans="1:4" x14ac:dyDescent="0.2">
      <c r="A548">
        <v>548</v>
      </c>
      <c r="B548" t="s">
        <v>2111</v>
      </c>
      <c r="C548" t="s">
        <v>2112</v>
      </c>
      <c r="D548" s="382">
        <v>42928</v>
      </c>
    </row>
    <row r="549" spans="1:4" x14ac:dyDescent="0.2">
      <c r="A549">
        <v>549</v>
      </c>
      <c r="B549" t="s">
        <v>2113</v>
      </c>
      <c r="C549" t="s">
        <v>2114</v>
      </c>
      <c r="D549" s="382">
        <v>38512</v>
      </c>
    </row>
    <row r="550" spans="1:4" x14ac:dyDescent="0.2">
      <c r="A550">
        <v>550</v>
      </c>
      <c r="B550" t="s">
        <v>2115</v>
      </c>
      <c r="C550" t="s">
        <v>2116</v>
      </c>
      <c r="D550" s="382">
        <v>44377</v>
      </c>
    </row>
    <row r="551" spans="1:4" x14ac:dyDescent="0.2">
      <c r="A551">
        <v>551</v>
      </c>
      <c r="B551" t="s">
        <v>2117</v>
      </c>
      <c r="C551" t="s">
        <v>2118</v>
      </c>
      <c r="D551" s="382">
        <v>45089</v>
      </c>
    </row>
    <row r="552" spans="1:4" x14ac:dyDescent="0.2">
      <c r="A552">
        <v>552</v>
      </c>
      <c r="B552" t="s">
        <v>2119</v>
      </c>
      <c r="C552" t="s">
        <v>2120</v>
      </c>
      <c r="D552" t="s">
        <v>2121</v>
      </c>
    </row>
    <row r="553" spans="1:4" x14ac:dyDescent="0.2">
      <c r="A553">
        <v>553</v>
      </c>
      <c r="B553" t="s">
        <v>2122</v>
      </c>
      <c r="C553" t="s">
        <v>2123</v>
      </c>
      <c r="D553" s="382">
        <v>41830</v>
      </c>
    </row>
    <row r="554" spans="1:4" x14ac:dyDescent="0.2">
      <c r="A554">
        <v>554</v>
      </c>
      <c r="B554" t="s">
        <v>2124</v>
      </c>
      <c r="C554" t="s">
        <v>2125</v>
      </c>
      <c r="D554" s="382">
        <v>45034</v>
      </c>
    </row>
    <row r="555" spans="1:4" x14ac:dyDescent="0.2">
      <c r="A555">
        <v>555</v>
      </c>
      <c r="B555" t="s">
        <v>2126</v>
      </c>
      <c r="C555" t="s">
        <v>2127</v>
      </c>
      <c r="D555" s="382">
        <v>40639</v>
      </c>
    </row>
    <row r="556" spans="1:4" x14ac:dyDescent="0.2">
      <c r="A556">
        <v>556</v>
      </c>
      <c r="B556" t="s">
        <v>2128</v>
      </c>
      <c r="C556" t="s">
        <v>2129</v>
      </c>
      <c r="D556" s="382">
        <v>40556</v>
      </c>
    </row>
    <row r="557" spans="1:4" x14ac:dyDescent="0.2">
      <c r="A557">
        <v>557</v>
      </c>
      <c r="B557" t="s">
        <v>2130</v>
      </c>
      <c r="C557" t="s">
        <v>2131</v>
      </c>
      <c r="D557" s="382">
        <v>43040</v>
      </c>
    </row>
    <row r="558" spans="1:4" x14ac:dyDescent="0.2">
      <c r="A558">
        <v>558</v>
      </c>
      <c r="B558" t="s">
        <v>2132</v>
      </c>
      <c r="C558" t="s">
        <v>2133</v>
      </c>
      <c r="D558" s="382">
        <v>44446</v>
      </c>
    </row>
    <row r="559" spans="1:4" x14ac:dyDescent="0.2">
      <c r="A559">
        <v>559</v>
      </c>
      <c r="B559" t="s">
        <v>2134</v>
      </c>
      <c r="C559" t="s">
        <v>2135</v>
      </c>
      <c r="D559" s="382">
        <v>39266</v>
      </c>
    </row>
    <row r="560" spans="1:4" x14ac:dyDescent="0.2">
      <c r="A560">
        <v>560</v>
      </c>
      <c r="B560" t="s">
        <v>2136</v>
      </c>
      <c r="C560" t="s">
        <v>2137</v>
      </c>
      <c r="D560" s="382">
        <v>41740</v>
      </c>
    </row>
    <row r="561" spans="1:4" x14ac:dyDescent="0.2">
      <c r="A561">
        <v>561</v>
      </c>
      <c r="B561" t="s">
        <v>2138</v>
      </c>
      <c r="C561" t="s">
        <v>2139</v>
      </c>
      <c r="D561" t="s">
        <v>2140</v>
      </c>
    </row>
    <row r="562" spans="1:4" x14ac:dyDescent="0.2">
      <c r="A562">
        <v>562</v>
      </c>
      <c r="B562" t="s">
        <v>2141</v>
      </c>
      <c r="C562" t="s">
        <v>2142</v>
      </c>
      <c r="D562" s="382">
        <v>42174</v>
      </c>
    </row>
    <row r="563" spans="1:4" x14ac:dyDescent="0.2">
      <c r="A563">
        <v>563</v>
      </c>
      <c r="B563" t="s">
        <v>2143</v>
      </c>
      <c r="C563" t="s">
        <v>2144</v>
      </c>
      <c r="D563" s="382">
        <v>43003</v>
      </c>
    </row>
    <row r="564" spans="1:4" x14ac:dyDescent="0.2">
      <c r="A564">
        <v>564</v>
      </c>
      <c r="B564" t="s">
        <v>2145</v>
      </c>
      <c r="C564" t="s">
        <v>2146</v>
      </c>
      <c r="D564" s="382">
        <v>45762</v>
      </c>
    </row>
    <row r="565" spans="1:4" x14ac:dyDescent="0.2">
      <c r="A565">
        <v>565</v>
      </c>
      <c r="B565" t="s">
        <v>2147</v>
      </c>
      <c r="C565" t="s">
        <v>2148</v>
      </c>
      <c r="D565" s="382">
        <v>33987</v>
      </c>
    </row>
    <row r="566" spans="1:4" x14ac:dyDescent="0.2">
      <c r="A566">
        <v>566</v>
      </c>
      <c r="B566" t="s">
        <v>2149</v>
      </c>
      <c r="C566" t="s">
        <v>2150</v>
      </c>
      <c r="D566" s="382">
        <v>33435</v>
      </c>
    </row>
    <row r="567" spans="1:4" x14ac:dyDescent="0.2">
      <c r="A567">
        <v>567</v>
      </c>
      <c r="B567" t="s">
        <v>2151</v>
      </c>
      <c r="C567" t="s">
        <v>2152</v>
      </c>
      <c r="D567" t="s">
        <v>2153</v>
      </c>
    </row>
    <row r="568" spans="1:4" x14ac:dyDescent="0.2">
      <c r="A568">
        <v>568</v>
      </c>
      <c r="B568" t="s">
        <v>2154</v>
      </c>
      <c r="C568" t="s">
        <v>2155</v>
      </c>
      <c r="D568" t="s">
        <v>1394</v>
      </c>
    </row>
    <row r="569" spans="1:4" x14ac:dyDescent="0.2">
      <c r="A569">
        <v>569</v>
      </c>
      <c r="B569" t="s">
        <v>2156</v>
      </c>
      <c r="C569" t="s">
        <v>2157</v>
      </c>
      <c r="D569" s="382">
        <v>36633</v>
      </c>
    </row>
    <row r="570" spans="1:4" x14ac:dyDescent="0.2">
      <c r="A570">
        <v>570</v>
      </c>
      <c r="B570" t="s">
        <v>2158</v>
      </c>
      <c r="C570" t="s">
        <v>2159</v>
      </c>
      <c r="D570" s="382">
        <v>45334</v>
      </c>
    </row>
    <row r="571" spans="1:4" x14ac:dyDescent="0.2">
      <c r="A571">
        <v>571</v>
      </c>
      <c r="B571" t="s">
        <v>2160</v>
      </c>
      <c r="C571" t="s">
        <v>2161</v>
      </c>
      <c r="D571" s="382">
        <v>45034</v>
      </c>
    </row>
    <row r="572" spans="1:4" x14ac:dyDescent="0.2">
      <c r="A572">
        <v>572</v>
      </c>
      <c r="B572" t="s">
        <v>2162</v>
      </c>
      <c r="C572" t="s">
        <v>2163</v>
      </c>
      <c r="D572" s="382">
        <v>45848</v>
      </c>
    </row>
    <row r="573" spans="1:4" x14ac:dyDescent="0.2">
      <c r="A573">
        <v>573</v>
      </c>
      <c r="B573" t="s">
        <v>2164</v>
      </c>
      <c r="C573" t="s">
        <v>2165</v>
      </c>
      <c r="D573" s="382">
        <v>29790</v>
      </c>
    </row>
    <row r="574" spans="1:4" x14ac:dyDescent="0.2">
      <c r="A574">
        <v>574</v>
      </c>
      <c r="B574" t="s">
        <v>2166</v>
      </c>
      <c r="C574" t="s">
        <v>2167</v>
      </c>
      <c r="D574" s="382">
        <v>37090</v>
      </c>
    </row>
    <row r="575" spans="1:4" x14ac:dyDescent="0.2">
      <c r="A575">
        <v>575</v>
      </c>
      <c r="B575" t="s">
        <v>2168</v>
      </c>
      <c r="C575" t="s">
        <v>2169</v>
      </c>
      <c r="D575" s="382">
        <v>38601</v>
      </c>
    </row>
    <row r="576" spans="1:4" x14ac:dyDescent="0.2">
      <c r="A576">
        <v>576</v>
      </c>
      <c r="B576" t="s">
        <v>2170</v>
      </c>
      <c r="C576" t="s">
        <v>2171</v>
      </c>
      <c r="D576" t="s">
        <v>2172</v>
      </c>
    </row>
    <row r="577" spans="1:4" x14ac:dyDescent="0.2">
      <c r="A577">
        <v>577</v>
      </c>
      <c r="B577" t="s">
        <v>2173</v>
      </c>
      <c r="C577" t="s">
        <v>2174</v>
      </c>
      <c r="D577" s="382">
        <v>44355</v>
      </c>
    </row>
    <row r="578" spans="1:4" x14ac:dyDescent="0.2">
      <c r="A578">
        <v>578</v>
      </c>
      <c r="B578" t="s">
        <v>2175</v>
      </c>
      <c r="C578" t="s">
        <v>2176</v>
      </c>
      <c r="D578" s="382">
        <v>41828</v>
      </c>
    </row>
    <row r="579" spans="1:4" x14ac:dyDescent="0.2">
      <c r="A579">
        <v>579</v>
      </c>
      <c r="B579" t="s">
        <v>2177</v>
      </c>
      <c r="C579" t="s">
        <v>2178</v>
      </c>
      <c r="D579" s="382">
        <v>43293</v>
      </c>
    </row>
    <row r="580" spans="1:4" x14ac:dyDescent="0.2">
      <c r="A580">
        <v>580</v>
      </c>
      <c r="B580" t="s">
        <v>2179</v>
      </c>
      <c r="C580" t="s">
        <v>2180</v>
      </c>
      <c r="D580" s="382">
        <v>45398</v>
      </c>
    </row>
    <row r="581" spans="1:4" x14ac:dyDescent="0.2">
      <c r="A581">
        <v>581</v>
      </c>
      <c r="B581" t="s">
        <v>2181</v>
      </c>
      <c r="C581" t="s">
        <v>2182</v>
      </c>
      <c r="D581" t="s">
        <v>2183</v>
      </c>
    </row>
    <row r="582" spans="1:4" x14ac:dyDescent="0.2">
      <c r="A582">
        <v>582</v>
      </c>
      <c r="B582" t="s">
        <v>2184</v>
      </c>
      <c r="C582" t="s">
        <v>2185</v>
      </c>
      <c r="D582" s="382">
        <v>40512</v>
      </c>
    </row>
    <row r="583" spans="1:4" x14ac:dyDescent="0.2">
      <c r="A583">
        <v>583</v>
      </c>
      <c r="B583" t="s">
        <v>2186</v>
      </c>
      <c r="C583" t="s">
        <v>2187</v>
      </c>
      <c r="D583" s="382">
        <v>42087</v>
      </c>
    </row>
    <row r="584" spans="1:4" x14ac:dyDescent="0.2">
      <c r="A584">
        <v>584</v>
      </c>
      <c r="B584" t="s">
        <v>2188</v>
      </c>
      <c r="C584" t="s">
        <v>2189</v>
      </c>
      <c r="D584" s="382">
        <v>42853</v>
      </c>
    </row>
    <row r="585" spans="1:4" x14ac:dyDescent="0.2">
      <c r="A585">
        <v>585</v>
      </c>
      <c r="B585" t="s">
        <v>2190</v>
      </c>
      <c r="C585" t="s">
        <v>2191</v>
      </c>
      <c r="D585" s="382">
        <v>45726</v>
      </c>
    </row>
    <row r="586" spans="1:4" x14ac:dyDescent="0.2">
      <c r="A586">
        <v>586</v>
      </c>
      <c r="B586" t="s">
        <v>2192</v>
      </c>
      <c r="C586" t="s">
        <v>2193</v>
      </c>
      <c r="D586" s="382">
        <v>35460</v>
      </c>
    </row>
    <row r="587" spans="1:4" x14ac:dyDescent="0.2">
      <c r="A587">
        <v>587</v>
      </c>
      <c r="B587" t="s">
        <v>2194</v>
      </c>
      <c r="C587" t="s">
        <v>2195</v>
      </c>
      <c r="D587" s="382">
        <v>35627</v>
      </c>
    </row>
    <row r="588" spans="1:4" x14ac:dyDescent="0.2">
      <c r="A588">
        <v>588</v>
      </c>
      <c r="B588" t="s">
        <v>2196</v>
      </c>
      <c r="C588" t="s">
        <v>2197</v>
      </c>
      <c r="D588" s="382">
        <v>45334</v>
      </c>
    </row>
    <row r="589" spans="1:4" x14ac:dyDescent="0.2">
      <c r="A589">
        <v>589</v>
      </c>
      <c r="B589" t="s">
        <v>2198</v>
      </c>
      <c r="C589" t="s">
        <v>2199</v>
      </c>
      <c r="D589" t="s">
        <v>2200</v>
      </c>
    </row>
    <row r="590" spans="1:4" x14ac:dyDescent="0.2">
      <c r="A590">
        <v>590</v>
      </c>
      <c r="B590" t="s">
        <v>2201</v>
      </c>
      <c r="C590" t="s">
        <v>2202</v>
      </c>
      <c r="D590" s="382">
        <v>40004</v>
      </c>
    </row>
    <row r="591" spans="1:4" x14ac:dyDescent="0.2">
      <c r="A591">
        <v>591</v>
      </c>
      <c r="B591" t="s">
        <v>2203</v>
      </c>
      <c r="C591" t="s">
        <v>2204</v>
      </c>
      <c r="D591" s="382">
        <v>44873</v>
      </c>
    </row>
    <row r="592" spans="1:4" x14ac:dyDescent="0.2">
      <c r="A592">
        <v>592</v>
      </c>
      <c r="B592" t="s">
        <v>2205</v>
      </c>
      <c r="C592" t="s">
        <v>2206</v>
      </c>
      <c r="D592" t="s">
        <v>2207</v>
      </c>
    </row>
    <row r="593" spans="1:4" x14ac:dyDescent="0.2">
      <c r="A593">
        <v>593</v>
      </c>
      <c r="B593" t="s">
        <v>2208</v>
      </c>
      <c r="C593" t="s">
        <v>2209</v>
      </c>
      <c r="D593" s="382">
        <v>34351</v>
      </c>
    </row>
    <row r="594" spans="1:4" x14ac:dyDescent="0.2">
      <c r="A594">
        <v>594</v>
      </c>
      <c r="B594" t="s">
        <v>2210</v>
      </c>
      <c r="C594" t="s">
        <v>2211</v>
      </c>
      <c r="D594" s="382">
        <v>32818</v>
      </c>
    </row>
    <row r="595" spans="1:4" x14ac:dyDescent="0.2">
      <c r="A595">
        <v>595</v>
      </c>
      <c r="B595" t="s">
        <v>2212</v>
      </c>
      <c r="C595" t="s">
        <v>2213</v>
      </c>
      <c r="D595" s="382">
        <v>41463</v>
      </c>
    </row>
    <row r="596" spans="1:4" x14ac:dyDescent="0.2">
      <c r="A596">
        <v>596</v>
      </c>
      <c r="B596" t="s">
        <v>2214</v>
      </c>
      <c r="C596" t="s">
        <v>2215</v>
      </c>
      <c r="D596" t="s">
        <v>2216</v>
      </c>
    </row>
    <row r="597" spans="1:4" x14ac:dyDescent="0.2">
      <c r="A597">
        <v>597</v>
      </c>
      <c r="B597" t="s">
        <v>2217</v>
      </c>
      <c r="C597" t="s">
        <v>2218</v>
      </c>
      <c r="D597" s="382">
        <v>42167</v>
      </c>
    </row>
    <row r="598" spans="1:4" x14ac:dyDescent="0.2">
      <c r="A598">
        <v>598</v>
      </c>
      <c r="B598" t="s">
        <v>2219</v>
      </c>
      <c r="C598" t="s">
        <v>2220</v>
      </c>
      <c r="D598" s="382">
        <v>39255</v>
      </c>
    </row>
    <row r="599" spans="1:4" x14ac:dyDescent="0.2">
      <c r="A599">
        <v>599</v>
      </c>
      <c r="B599" t="s">
        <v>2221</v>
      </c>
      <c r="C599" t="s">
        <v>2222</v>
      </c>
      <c r="D599" t="s">
        <v>2223</v>
      </c>
    </row>
    <row r="600" spans="1:4" x14ac:dyDescent="0.2">
      <c r="A600">
        <v>600</v>
      </c>
      <c r="B600" t="s">
        <v>2224</v>
      </c>
      <c r="C600" t="s">
        <v>2225</v>
      </c>
      <c r="D600" t="s">
        <v>1525</v>
      </c>
    </row>
    <row r="601" spans="1:4" x14ac:dyDescent="0.2">
      <c r="A601">
        <v>601</v>
      </c>
      <c r="B601" t="s">
        <v>2226</v>
      </c>
      <c r="C601" t="s">
        <v>2227</v>
      </c>
      <c r="D601" s="382">
        <v>45329</v>
      </c>
    </row>
    <row r="602" spans="1:4" x14ac:dyDescent="0.2">
      <c r="A602">
        <v>602</v>
      </c>
      <c r="B602" t="s">
        <v>2228</v>
      </c>
      <c r="C602" t="s">
        <v>2229</v>
      </c>
      <c r="D602" t="s">
        <v>2230</v>
      </c>
    </row>
    <row r="603" spans="1:4" x14ac:dyDescent="0.2">
      <c r="A603">
        <v>603</v>
      </c>
      <c r="B603" t="s">
        <v>2231</v>
      </c>
      <c r="C603" t="s">
        <v>2232</v>
      </c>
      <c r="D603" s="382">
        <v>42921</v>
      </c>
    </row>
    <row r="604" spans="1:4" x14ac:dyDescent="0.2">
      <c r="A604">
        <v>604</v>
      </c>
      <c r="B604" t="s">
        <v>2233</v>
      </c>
      <c r="C604" t="s">
        <v>2234</v>
      </c>
      <c r="D604" t="s">
        <v>2235</v>
      </c>
    </row>
    <row r="605" spans="1:4" x14ac:dyDescent="0.2">
      <c r="A605">
        <v>605</v>
      </c>
      <c r="B605" t="s">
        <v>2236</v>
      </c>
      <c r="C605" t="s">
        <v>2237</v>
      </c>
      <c r="D605" t="s">
        <v>1727</v>
      </c>
    </row>
    <row r="606" spans="1:4" x14ac:dyDescent="0.2">
      <c r="A606">
        <v>606</v>
      </c>
      <c r="B606" t="s">
        <v>2238</v>
      </c>
      <c r="C606" t="s">
        <v>2239</v>
      </c>
      <c r="D606" t="s">
        <v>2240</v>
      </c>
    </row>
    <row r="607" spans="1:4" x14ac:dyDescent="0.2">
      <c r="A607">
        <v>607</v>
      </c>
      <c r="B607" t="s">
        <v>2241</v>
      </c>
      <c r="C607" t="s">
        <v>2242</v>
      </c>
      <c r="D607" s="382">
        <v>34907</v>
      </c>
    </row>
    <row r="608" spans="1:4" x14ac:dyDescent="0.2">
      <c r="A608">
        <v>608</v>
      </c>
      <c r="B608" t="s">
        <v>2243</v>
      </c>
      <c r="C608" t="s">
        <v>2244</v>
      </c>
      <c r="D608" s="382">
        <v>32755</v>
      </c>
    </row>
    <row r="609" spans="1:4" x14ac:dyDescent="0.2">
      <c r="A609">
        <v>609</v>
      </c>
      <c r="B609" t="s">
        <v>2245</v>
      </c>
      <c r="C609" t="s">
        <v>2246</v>
      </c>
      <c r="D609" t="s">
        <v>2247</v>
      </c>
    </row>
    <row r="610" spans="1:4" x14ac:dyDescent="0.2">
      <c r="A610">
        <v>610</v>
      </c>
      <c r="B610" t="s">
        <v>2248</v>
      </c>
      <c r="C610" t="s">
        <v>2249</v>
      </c>
      <c r="D610" s="382">
        <v>43259</v>
      </c>
    </row>
    <row r="611" spans="1:4" x14ac:dyDescent="0.2">
      <c r="A611">
        <v>611</v>
      </c>
      <c r="B611" t="s">
        <v>2250</v>
      </c>
      <c r="C611" t="s">
        <v>2251</v>
      </c>
      <c r="D611" s="382">
        <v>45301</v>
      </c>
    </row>
    <row r="612" spans="1:4" x14ac:dyDescent="0.2">
      <c r="A612">
        <v>612</v>
      </c>
      <c r="B612" t="s">
        <v>2252</v>
      </c>
      <c r="C612" t="s">
        <v>2253</v>
      </c>
      <c r="D612" s="382">
        <v>41099</v>
      </c>
    </row>
    <row r="613" spans="1:4" x14ac:dyDescent="0.2">
      <c r="A613">
        <v>613</v>
      </c>
      <c r="B613" t="s">
        <v>2254</v>
      </c>
      <c r="C613" t="s">
        <v>2255</v>
      </c>
      <c r="D613" s="382">
        <v>45238</v>
      </c>
    </row>
    <row r="614" spans="1:4" x14ac:dyDescent="0.2">
      <c r="A614">
        <v>614</v>
      </c>
      <c r="B614" t="s">
        <v>2256</v>
      </c>
      <c r="C614" t="s">
        <v>2257</v>
      </c>
      <c r="D614" s="382">
        <v>32972</v>
      </c>
    </row>
    <row r="615" spans="1:4" x14ac:dyDescent="0.2">
      <c r="A615">
        <v>615</v>
      </c>
      <c r="B615" t="s">
        <v>2258</v>
      </c>
      <c r="C615" t="s">
        <v>2259</v>
      </c>
      <c r="D615" s="382">
        <v>44522</v>
      </c>
    </row>
    <row r="616" spans="1:4" x14ac:dyDescent="0.2">
      <c r="A616">
        <v>616</v>
      </c>
      <c r="B616" t="s">
        <v>2260</v>
      </c>
      <c r="C616" t="s">
        <v>2261</v>
      </c>
      <c r="D616" s="382">
        <v>32979</v>
      </c>
    </row>
    <row r="617" spans="1:4" x14ac:dyDescent="0.2">
      <c r="A617">
        <v>617</v>
      </c>
      <c r="B617" t="s">
        <v>2262</v>
      </c>
      <c r="C617" t="s">
        <v>2263</v>
      </c>
      <c r="D617" s="382">
        <v>40714</v>
      </c>
    </row>
    <row r="618" spans="1:4" x14ac:dyDescent="0.2">
      <c r="A618">
        <v>618</v>
      </c>
      <c r="B618" t="s">
        <v>2264</v>
      </c>
      <c r="C618" t="s">
        <v>2265</v>
      </c>
      <c r="D618" s="382">
        <v>44671</v>
      </c>
    </row>
    <row r="619" spans="1:4" x14ac:dyDescent="0.2">
      <c r="A619">
        <v>619</v>
      </c>
      <c r="B619" t="s">
        <v>2266</v>
      </c>
      <c r="C619" t="s">
        <v>2267</v>
      </c>
      <c r="D619" s="382">
        <v>43565</v>
      </c>
    </row>
    <row r="620" spans="1:4" x14ac:dyDescent="0.2">
      <c r="A620">
        <v>620</v>
      </c>
      <c r="B620" t="s">
        <v>2268</v>
      </c>
      <c r="C620" t="s">
        <v>2269</v>
      </c>
      <c r="D620" s="382">
        <v>42410</v>
      </c>
    </row>
    <row r="621" spans="1:4" x14ac:dyDescent="0.2">
      <c r="A621">
        <v>621</v>
      </c>
      <c r="B621" t="s">
        <v>2270</v>
      </c>
      <c r="C621" t="s">
        <v>2271</v>
      </c>
      <c r="D621" s="382">
        <v>33611</v>
      </c>
    </row>
    <row r="622" spans="1:4" x14ac:dyDescent="0.2">
      <c r="A622">
        <v>622</v>
      </c>
      <c r="B622" t="s">
        <v>2272</v>
      </c>
      <c r="C622" t="s">
        <v>2273</v>
      </c>
      <c r="D622" t="s">
        <v>2274</v>
      </c>
    </row>
    <row r="623" spans="1:4" x14ac:dyDescent="0.2">
      <c r="A623">
        <v>623</v>
      </c>
      <c r="B623" t="s">
        <v>2275</v>
      </c>
      <c r="C623" t="s">
        <v>2276</v>
      </c>
      <c r="D623" t="s">
        <v>1750</v>
      </c>
    </row>
    <row r="624" spans="1:4" x14ac:dyDescent="0.2">
      <c r="A624">
        <v>624</v>
      </c>
      <c r="B624" t="s">
        <v>2277</v>
      </c>
      <c r="C624" t="s">
        <v>2278</v>
      </c>
      <c r="D624" s="382">
        <v>36734</v>
      </c>
    </row>
    <row r="625" spans="1:4" x14ac:dyDescent="0.2">
      <c r="A625">
        <v>625</v>
      </c>
      <c r="B625" t="s">
        <v>2279</v>
      </c>
      <c r="C625" t="s">
        <v>2280</v>
      </c>
      <c r="D625" s="382">
        <v>33058</v>
      </c>
    </row>
    <row r="626" spans="1:4" x14ac:dyDescent="0.2">
      <c r="A626">
        <v>626</v>
      </c>
      <c r="B626" t="s">
        <v>2281</v>
      </c>
      <c r="C626" t="s">
        <v>2282</v>
      </c>
      <c r="D626" t="s">
        <v>2283</v>
      </c>
    </row>
    <row r="627" spans="1:4" x14ac:dyDescent="0.2">
      <c r="A627">
        <v>627</v>
      </c>
      <c r="B627" t="s">
        <v>2284</v>
      </c>
      <c r="C627" t="s">
        <v>2285</v>
      </c>
      <c r="D627" t="s">
        <v>2286</v>
      </c>
    </row>
    <row r="628" spans="1:4" x14ac:dyDescent="0.2">
      <c r="A628">
        <v>628</v>
      </c>
      <c r="B628" t="s">
        <v>2287</v>
      </c>
      <c r="C628" t="s">
        <v>2288</v>
      </c>
      <c r="D628" s="382">
        <v>45609</v>
      </c>
    </row>
    <row r="629" spans="1:4" x14ac:dyDescent="0.2">
      <c r="A629">
        <v>629</v>
      </c>
      <c r="B629" t="s">
        <v>2289</v>
      </c>
      <c r="C629" t="s">
        <v>2290</v>
      </c>
      <c r="D629" s="382">
        <v>44630</v>
      </c>
    </row>
    <row r="630" spans="1:4" x14ac:dyDescent="0.2">
      <c r="A630">
        <v>630</v>
      </c>
      <c r="B630" t="s">
        <v>2291</v>
      </c>
      <c r="C630" t="s">
        <v>2292</v>
      </c>
      <c r="D630" t="s">
        <v>2293</v>
      </c>
    </row>
    <row r="631" spans="1:4" x14ac:dyDescent="0.2">
      <c r="A631">
        <v>631</v>
      </c>
      <c r="B631" t="s">
        <v>2294</v>
      </c>
      <c r="C631" t="s">
        <v>2295</v>
      </c>
      <c r="D631" t="s">
        <v>2296</v>
      </c>
    </row>
    <row r="632" spans="1:4" x14ac:dyDescent="0.2">
      <c r="A632">
        <v>632</v>
      </c>
      <c r="B632" t="s">
        <v>2297</v>
      </c>
      <c r="C632" t="s">
        <v>2298</v>
      </c>
      <c r="D632" s="382">
        <v>43483</v>
      </c>
    </row>
    <row r="633" spans="1:4" x14ac:dyDescent="0.2">
      <c r="A633">
        <v>633</v>
      </c>
      <c r="B633" t="s">
        <v>2299</v>
      </c>
      <c r="C633" t="s">
        <v>2300</v>
      </c>
      <c r="D633" s="382">
        <v>44963</v>
      </c>
    </row>
    <row r="634" spans="1:4" x14ac:dyDescent="0.2">
      <c r="A634">
        <v>634</v>
      </c>
      <c r="B634" t="s">
        <v>2301</v>
      </c>
      <c r="C634" t="s">
        <v>2302</v>
      </c>
      <c r="D634" s="382">
        <v>45028</v>
      </c>
    </row>
    <row r="635" spans="1:4" x14ac:dyDescent="0.2">
      <c r="A635">
        <v>635</v>
      </c>
      <c r="B635" t="s">
        <v>2303</v>
      </c>
      <c r="C635" t="s">
        <v>2304</v>
      </c>
      <c r="D635" t="s">
        <v>2305</v>
      </c>
    </row>
    <row r="636" spans="1:4" x14ac:dyDescent="0.2">
      <c r="A636">
        <v>636</v>
      </c>
      <c r="B636" t="s">
        <v>2306</v>
      </c>
      <c r="C636" t="s">
        <v>2307</v>
      </c>
      <c r="D636" t="s">
        <v>2308</v>
      </c>
    </row>
    <row r="637" spans="1:4" x14ac:dyDescent="0.2">
      <c r="A637">
        <v>637</v>
      </c>
      <c r="B637" t="s">
        <v>2309</v>
      </c>
      <c r="C637" t="s">
        <v>2310</v>
      </c>
      <c r="D637" s="382">
        <v>44587</v>
      </c>
    </row>
    <row r="638" spans="1:4" x14ac:dyDescent="0.2">
      <c r="A638">
        <v>638</v>
      </c>
      <c r="B638" t="s">
        <v>2311</v>
      </c>
      <c r="C638" t="s">
        <v>2312</v>
      </c>
      <c r="D638" s="382">
        <v>43293</v>
      </c>
    </row>
    <row r="639" spans="1:4" x14ac:dyDescent="0.2">
      <c r="A639">
        <v>639</v>
      </c>
      <c r="B639" t="s">
        <v>2313</v>
      </c>
      <c r="C639" t="s">
        <v>2314</v>
      </c>
      <c r="D639" s="382">
        <v>45300</v>
      </c>
    </row>
    <row r="640" spans="1:4" x14ac:dyDescent="0.2">
      <c r="A640">
        <v>640</v>
      </c>
      <c r="B640" t="s">
        <v>2315</v>
      </c>
      <c r="C640" t="s">
        <v>2316</v>
      </c>
      <c r="D640" t="s">
        <v>2317</v>
      </c>
    </row>
    <row r="641" spans="1:4" x14ac:dyDescent="0.2">
      <c r="A641">
        <v>641</v>
      </c>
      <c r="B641" t="s">
        <v>2318</v>
      </c>
      <c r="C641" t="s">
        <v>2319</v>
      </c>
      <c r="D641" s="382">
        <v>44386</v>
      </c>
    </row>
    <row r="642" spans="1:4" x14ac:dyDescent="0.2">
      <c r="A642">
        <v>642</v>
      </c>
      <c r="B642" t="s">
        <v>2320</v>
      </c>
      <c r="C642" t="s">
        <v>2321</v>
      </c>
      <c r="D642" t="s">
        <v>2322</v>
      </c>
    </row>
    <row r="643" spans="1:4" x14ac:dyDescent="0.2">
      <c r="A643">
        <v>643</v>
      </c>
      <c r="B643" t="s">
        <v>2323</v>
      </c>
      <c r="C643" t="s">
        <v>2324</v>
      </c>
      <c r="D643" t="s">
        <v>2325</v>
      </c>
    </row>
    <row r="644" spans="1:4" x14ac:dyDescent="0.2">
      <c r="A644">
        <v>644</v>
      </c>
      <c r="B644" t="s">
        <v>2326</v>
      </c>
      <c r="C644" t="s">
        <v>2327</v>
      </c>
      <c r="D644" s="382">
        <v>33443</v>
      </c>
    </row>
    <row r="645" spans="1:4" x14ac:dyDescent="0.2">
      <c r="A645">
        <v>645</v>
      </c>
      <c r="B645" t="s">
        <v>2328</v>
      </c>
      <c r="C645" t="s">
        <v>2329</v>
      </c>
      <c r="D645" s="382">
        <v>41165</v>
      </c>
    </row>
    <row r="646" spans="1:4" x14ac:dyDescent="0.2">
      <c r="A646">
        <v>646</v>
      </c>
      <c r="B646" t="s">
        <v>2330</v>
      </c>
      <c r="C646" t="s">
        <v>2331</v>
      </c>
      <c r="D646" t="s">
        <v>2332</v>
      </c>
    </row>
    <row r="647" spans="1:4" x14ac:dyDescent="0.2">
      <c r="A647">
        <v>647</v>
      </c>
      <c r="B647" t="s">
        <v>2333</v>
      </c>
      <c r="C647" t="s">
        <v>2334</v>
      </c>
      <c r="D647" t="s">
        <v>2335</v>
      </c>
    </row>
    <row r="648" spans="1:4" x14ac:dyDescent="0.2">
      <c r="A648">
        <v>648</v>
      </c>
      <c r="B648" t="s">
        <v>2336</v>
      </c>
      <c r="C648" t="s">
        <v>2337</v>
      </c>
      <c r="D648" s="382">
        <v>44300</v>
      </c>
    </row>
    <row r="649" spans="1:4" x14ac:dyDescent="0.2">
      <c r="A649">
        <v>649</v>
      </c>
      <c r="B649" t="s">
        <v>2338</v>
      </c>
      <c r="C649" t="s">
        <v>2339</v>
      </c>
      <c r="D649" s="382">
        <v>41452</v>
      </c>
    </row>
    <row r="650" spans="1:4" x14ac:dyDescent="0.2">
      <c r="A650">
        <v>650</v>
      </c>
      <c r="B650" t="s">
        <v>2340</v>
      </c>
      <c r="C650" t="s">
        <v>2341</v>
      </c>
      <c r="D650" s="382">
        <v>44995</v>
      </c>
    </row>
    <row r="651" spans="1:4" x14ac:dyDescent="0.2">
      <c r="A651">
        <v>651</v>
      </c>
      <c r="B651" t="s">
        <v>2342</v>
      </c>
      <c r="C651" t="s">
        <v>2343</v>
      </c>
      <c r="D651" s="382">
        <v>44601</v>
      </c>
    </row>
    <row r="652" spans="1:4" x14ac:dyDescent="0.2">
      <c r="A652">
        <v>652</v>
      </c>
      <c r="B652" t="s">
        <v>2344</v>
      </c>
      <c r="C652" t="s">
        <v>2345</v>
      </c>
      <c r="D652" s="382">
        <v>43293</v>
      </c>
    </row>
    <row r="653" spans="1:4" x14ac:dyDescent="0.2">
      <c r="A653">
        <v>653</v>
      </c>
      <c r="B653" t="s">
        <v>2346</v>
      </c>
      <c r="C653" t="s">
        <v>2347</v>
      </c>
      <c r="D653" s="382">
        <v>43733</v>
      </c>
    </row>
    <row r="654" spans="1:4" x14ac:dyDescent="0.2">
      <c r="A654">
        <v>654</v>
      </c>
      <c r="B654" t="s">
        <v>2348</v>
      </c>
      <c r="C654" t="s">
        <v>2349</v>
      </c>
      <c r="D654" s="382">
        <v>42569</v>
      </c>
    </row>
    <row r="655" spans="1:4" x14ac:dyDescent="0.2">
      <c r="A655">
        <v>655</v>
      </c>
      <c r="B655" t="s">
        <v>2350</v>
      </c>
      <c r="C655" t="s">
        <v>2351</v>
      </c>
      <c r="D655" s="382">
        <v>45670</v>
      </c>
    </row>
    <row r="656" spans="1:4" x14ac:dyDescent="0.2">
      <c r="A656">
        <v>656</v>
      </c>
      <c r="B656" t="s">
        <v>2352</v>
      </c>
      <c r="C656" t="s">
        <v>2353</v>
      </c>
      <c r="D656" t="s">
        <v>1037</v>
      </c>
    </row>
    <row r="657" spans="1:4" x14ac:dyDescent="0.2">
      <c r="A657">
        <v>657</v>
      </c>
      <c r="B657" t="s">
        <v>2354</v>
      </c>
      <c r="C657" t="s">
        <v>2355</v>
      </c>
      <c r="D657" t="s">
        <v>2356</v>
      </c>
    </row>
    <row r="658" spans="1:4" x14ac:dyDescent="0.2">
      <c r="A658">
        <v>658</v>
      </c>
      <c r="B658" t="s">
        <v>2357</v>
      </c>
      <c r="C658" t="s">
        <v>2358</v>
      </c>
      <c r="D658" s="382">
        <v>44445</v>
      </c>
    </row>
    <row r="659" spans="1:4" x14ac:dyDescent="0.2">
      <c r="A659">
        <v>659</v>
      </c>
      <c r="B659" t="s">
        <v>2359</v>
      </c>
      <c r="C659" t="s">
        <v>2360</v>
      </c>
      <c r="D659" s="382">
        <v>38805</v>
      </c>
    </row>
    <row r="660" spans="1:4" x14ac:dyDescent="0.2">
      <c r="A660">
        <v>660</v>
      </c>
      <c r="B660" t="s">
        <v>2361</v>
      </c>
      <c r="C660" t="s">
        <v>2362</v>
      </c>
      <c r="D660" t="s">
        <v>2363</v>
      </c>
    </row>
    <row r="661" spans="1:4" x14ac:dyDescent="0.2">
      <c r="A661">
        <v>661</v>
      </c>
      <c r="B661" t="s">
        <v>2364</v>
      </c>
      <c r="C661" t="s">
        <v>2365</v>
      </c>
      <c r="D661" s="382">
        <v>44873</v>
      </c>
    </row>
    <row r="662" spans="1:4" x14ac:dyDescent="0.2">
      <c r="A662">
        <v>662</v>
      </c>
      <c r="B662" t="s">
        <v>2366</v>
      </c>
      <c r="C662" t="s">
        <v>2367</v>
      </c>
      <c r="D662" t="s">
        <v>2368</v>
      </c>
    </row>
    <row r="663" spans="1:4" x14ac:dyDescent="0.2">
      <c r="A663">
        <v>663</v>
      </c>
      <c r="B663" t="s">
        <v>2369</v>
      </c>
      <c r="C663" t="s">
        <v>2370</v>
      </c>
      <c r="D663" s="382">
        <v>43731</v>
      </c>
    </row>
    <row r="664" spans="1:4" x14ac:dyDescent="0.2">
      <c r="A664">
        <v>664</v>
      </c>
      <c r="B664" t="s">
        <v>2371</v>
      </c>
      <c r="C664" t="s">
        <v>2372</v>
      </c>
      <c r="D664" s="382">
        <v>44965</v>
      </c>
    </row>
    <row r="665" spans="1:4" x14ac:dyDescent="0.2">
      <c r="A665">
        <v>665</v>
      </c>
      <c r="B665" t="s">
        <v>2373</v>
      </c>
      <c r="C665" t="s">
        <v>2374</v>
      </c>
      <c r="D665" t="s">
        <v>2375</v>
      </c>
    </row>
    <row r="666" spans="1:4" x14ac:dyDescent="0.2">
      <c r="A666">
        <v>666</v>
      </c>
      <c r="B666" t="s">
        <v>2376</v>
      </c>
      <c r="C666" t="s">
        <v>2377</v>
      </c>
      <c r="D666" s="382">
        <v>40917</v>
      </c>
    </row>
    <row r="667" spans="1:4" x14ac:dyDescent="0.2">
      <c r="A667">
        <v>667</v>
      </c>
      <c r="B667" t="s">
        <v>2378</v>
      </c>
      <c r="C667" t="s">
        <v>2379</v>
      </c>
      <c r="D667" t="s">
        <v>2380</v>
      </c>
    </row>
    <row r="668" spans="1:4" x14ac:dyDescent="0.2">
      <c r="A668">
        <v>668</v>
      </c>
      <c r="B668" t="s">
        <v>2381</v>
      </c>
      <c r="C668" t="s">
        <v>2382</v>
      </c>
      <c r="D668" s="382">
        <v>43651</v>
      </c>
    </row>
    <row r="669" spans="1:4" x14ac:dyDescent="0.2">
      <c r="A669">
        <v>669</v>
      </c>
      <c r="B669" t="s">
        <v>2383</v>
      </c>
      <c r="C669" t="s">
        <v>2384</v>
      </c>
      <c r="D669" s="382">
        <v>43361</v>
      </c>
    </row>
    <row r="670" spans="1:4" x14ac:dyDescent="0.2">
      <c r="A670">
        <v>670</v>
      </c>
      <c r="B670" t="s">
        <v>2385</v>
      </c>
      <c r="C670" t="s">
        <v>2386</v>
      </c>
      <c r="D670" s="382">
        <v>37152</v>
      </c>
    </row>
    <row r="671" spans="1:4" x14ac:dyDescent="0.2">
      <c r="A671">
        <v>671</v>
      </c>
      <c r="B671" t="s">
        <v>2387</v>
      </c>
      <c r="C671" t="s">
        <v>2388</v>
      </c>
      <c r="D671" t="s">
        <v>1077</v>
      </c>
    </row>
    <row r="672" spans="1:4" x14ac:dyDescent="0.2">
      <c r="A672">
        <v>672</v>
      </c>
      <c r="B672" t="s">
        <v>2389</v>
      </c>
      <c r="C672" t="s">
        <v>2390</v>
      </c>
      <c r="D672" s="382">
        <v>45478</v>
      </c>
    </row>
    <row r="673" spans="1:4" x14ac:dyDescent="0.2">
      <c r="A673">
        <v>673</v>
      </c>
      <c r="B673" t="s">
        <v>2391</v>
      </c>
      <c r="C673" t="s">
        <v>2392</v>
      </c>
      <c r="D673" t="s">
        <v>1509</v>
      </c>
    </row>
    <row r="674" spans="1:4" x14ac:dyDescent="0.2">
      <c r="A674">
        <v>674</v>
      </c>
      <c r="B674" t="s">
        <v>2393</v>
      </c>
      <c r="C674" t="s">
        <v>2394</v>
      </c>
      <c r="D674" t="s">
        <v>2395</v>
      </c>
    </row>
    <row r="675" spans="1:4" x14ac:dyDescent="0.2">
      <c r="A675">
        <v>675</v>
      </c>
      <c r="B675" t="s">
        <v>2396</v>
      </c>
      <c r="C675" t="s">
        <v>2397</v>
      </c>
      <c r="D675" s="382">
        <v>42641</v>
      </c>
    </row>
    <row r="676" spans="1:4" x14ac:dyDescent="0.2">
      <c r="A676">
        <v>676</v>
      </c>
      <c r="B676" t="s">
        <v>2398</v>
      </c>
      <c r="C676" t="s">
        <v>2399</v>
      </c>
      <c r="D676" t="s">
        <v>2400</v>
      </c>
    </row>
    <row r="677" spans="1:4" x14ac:dyDescent="0.2">
      <c r="A677">
        <v>677</v>
      </c>
      <c r="B677" t="s">
        <v>2401</v>
      </c>
      <c r="C677" t="s">
        <v>2402</v>
      </c>
      <c r="D677" s="382">
        <v>39637</v>
      </c>
    </row>
    <row r="678" spans="1:4" x14ac:dyDescent="0.2">
      <c r="A678">
        <v>678</v>
      </c>
      <c r="B678" t="s">
        <v>2403</v>
      </c>
      <c r="C678" t="s">
        <v>2404</v>
      </c>
      <c r="D678" s="382">
        <v>44874</v>
      </c>
    </row>
    <row r="679" spans="1:4" x14ac:dyDescent="0.2">
      <c r="A679">
        <v>679</v>
      </c>
      <c r="B679" t="s">
        <v>2405</v>
      </c>
      <c r="C679" t="s">
        <v>2406</v>
      </c>
      <c r="D679" s="382">
        <v>38527</v>
      </c>
    </row>
    <row r="680" spans="1:4" x14ac:dyDescent="0.2">
      <c r="A680">
        <v>680</v>
      </c>
      <c r="B680" t="s">
        <v>2407</v>
      </c>
      <c r="C680" t="s">
        <v>2408</v>
      </c>
      <c r="D680" t="s">
        <v>2409</v>
      </c>
    </row>
    <row r="681" spans="1:4" x14ac:dyDescent="0.2">
      <c r="A681">
        <v>681</v>
      </c>
      <c r="B681" t="s">
        <v>2410</v>
      </c>
      <c r="C681" t="s">
        <v>2411</v>
      </c>
      <c r="D681" s="382">
        <v>44950</v>
      </c>
    </row>
    <row r="682" spans="1:4" x14ac:dyDescent="0.2">
      <c r="A682">
        <v>682</v>
      </c>
      <c r="B682" t="s">
        <v>2412</v>
      </c>
      <c r="C682" t="s">
        <v>2413</v>
      </c>
      <c r="D682" t="s">
        <v>2414</v>
      </c>
    </row>
    <row r="683" spans="1:4" x14ac:dyDescent="0.2">
      <c r="A683">
        <v>683</v>
      </c>
      <c r="B683" t="s">
        <v>2415</v>
      </c>
      <c r="C683" t="s">
        <v>2416</v>
      </c>
      <c r="D683" s="382">
        <v>44981</v>
      </c>
    </row>
    <row r="684" spans="1:4" x14ac:dyDescent="0.2">
      <c r="A684">
        <v>684</v>
      </c>
      <c r="B684" t="s">
        <v>2417</v>
      </c>
      <c r="C684" t="s">
        <v>2418</v>
      </c>
      <c r="D684" s="382">
        <v>43838</v>
      </c>
    </row>
    <row r="685" spans="1:4" x14ac:dyDescent="0.2">
      <c r="A685">
        <v>685</v>
      </c>
      <c r="B685" t="s">
        <v>2419</v>
      </c>
      <c r="C685" t="s">
        <v>2420</v>
      </c>
      <c r="D685" s="382">
        <v>36621</v>
      </c>
    </row>
    <row r="686" spans="1:4" x14ac:dyDescent="0.2">
      <c r="A686">
        <v>686</v>
      </c>
      <c r="B686" t="s">
        <v>2421</v>
      </c>
      <c r="C686" t="s">
        <v>2422</v>
      </c>
      <c r="D686" s="382">
        <v>44019</v>
      </c>
    </row>
    <row r="687" spans="1:4" x14ac:dyDescent="0.2">
      <c r="A687">
        <v>687</v>
      </c>
      <c r="B687" t="s">
        <v>2423</v>
      </c>
      <c r="C687" t="s">
        <v>2424</v>
      </c>
      <c r="D687" s="382">
        <v>35331</v>
      </c>
    </row>
    <row r="688" spans="1:4" x14ac:dyDescent="0.2">
      <c r="A688">
        <v>688</v>
      </c>
      <c r="B688" t="s">
        <v>2425</v>
      </c>
      <c r="C688" t="s">
        <v>2426</v>
      </c>
      <c r="D688" s="382">
        <v>45026</v>
      </c>
    </row>
    <row r="689" spans="1:4" x14ac:dyDescent="0.2">
      <c r="A689">
        <v>689</v>
      </c>
      <c r="B689" t="s">
        <v>2427</v>
      </c>
      <c r="C689" t="s">
        <v>2428</v>
      </c>
      <c r="D689" s="382">
        <v>38170</v>
      </c>
    </row>
    <row r="690" spans="1:4" x14ac:dyDescent="0.2">
      <c r="A690">
        <v>690</v>
      </c>
      <c r="B690" t="s">
        <v>2429</v>
      </c>
      <c r="C690" t="s">
        <v>2430</v>
      </c>
      <c r="D690" s="382">
        <v>39274</v>
      </c>
    </row>
    <row r="691" spans="1:4" x14ac:dyDescent="0.2">
      <c r="A691">
        <v>691</v>
      </c>
      <c r="B691" t="s">
        <v>2431</v>
      </c>
      <c r="C691" t="s">
        <v>2432</v>
      </c>
      <c r="D691" s="382">
        <v>44089</v>
      </c>
    </row>
    <row r="692" spans="1:4" x14ac:dyDescent="0.2">
      <c r="A692">
        <v>692</v>
      </c>
      <c r="B692" t="s">
        <v>2433</v>
      </c>
      <c r="C692" t="s">
        <v>2434</v>
      </c>
      <c r="D692" s="382">
        <v>36966</v>
      </c>
    </row>
    <row r="693" spans="1:4" x14ac:dyDescent="0.2">
      <c r="A693">
        <v>693</v>
      </c>
      <c r="B693" t="s">
        <v>2435</v>
      </c>
      <c r="C693" t="s">
        <v>2436</v>
      </c>
      <c r="D693" s="382">
        <v>33770</v>
      </c>
    </row>
    <row r="694" spans="1:4" x14ac:dyDescent="0.2">
      <c r="A694">
        <v>694</v>
      </c>
      <c r="B694" t="s">
        <v>2437</v>
      </c>
      <c r="C694" t="s">
        <v>2438</v>
      </c>
      <c r="D694" t="s">
        <v>2439</v>
      </c>
    </row>
    <row r="695" spans="1:4" x14ac:dyDescent="0.2">
      <c r="A695">
        <v>695</v>
      </c>
      <c r="B695" t="s">
        <v>2440</v>
      </c>
      <c r="C695" t="s">
        <v>2441</v>
      </c>
      <c r="D695" t="s">
        <v>2442</v>
      </c>
    </row>
    <row r="696" spans="1:4" x14ac:dyDescent="0.2">
      <c r="A696">
        <v>696</v>
      </c>
      <c r="B696" t="s">
        <v>2443</v>
      </c>
      <c r="C696" t="s">
        <v>2444</v>
      </c>
      <c r="D696" s="382">
        <v>45848</v>
      </c>
    </row>
    <row r="697" spans="1:4" x14ac:dyDescent="0.2">
      <c r="A697">
        <v>697</v>
      </c>
      <c r="B697" t="s">
        <v>2445</v>
      </c>
      <c r="C697" t="s">
        <v>2446</v>
      </c>
      <c r="D697" t="s">
        <v>2447</v>
      </c>
    </row>
    <row r="698" spans="1:4" x14ac:dyDescent="0.2">
      <c r="A698">
        <v>698</v>
      </c>
      <c r="B698" t="s">
        <v>2448</v>
      </c>
      <c r="C698" t="s">
        <v>2449</v>
      </c>
      <c r="D698" s="382">
        <v>41654</v>
      </c>
    </row>
    <row r="699" spans="1:4" x14ac:dyDescent="0.2">
      <c r="A699">
        <v>699</v>
      </c>
      <c r="B699" t="s">
        <v>2450</v>
      </c>
      <c r="C699" t="s">
        <v>2451</v>
      </c>
      <c r="D699" t="s">
        <v>2452</v>
      </c>
    </row>
    <row r="700" spans="1:4" x14ac:dyDescent="0.2">
      <c r="A700">
        <v>700</v>
      </c>
      <c r="B700" t="s">
        <v>2453</v>
      </c>
      <c r="C700" t="s">
        <v>2454</v>
      </c>
      <c r="D700" s="382">
        <v>30579</v>
      </c>
    </row>
    <row r="701" spans="1:4" x14ac:dyDescent="0.2">
      <c r="A701">
        <v>701</v>
      </c>
      <c r="B701" t="s">
        <v>2455</v>
      </c>
      <c r="C701" t="s">
        <v>2456</v>
      </c>
      <c r="D701" s="382">
        <v>30481</v>
      </c>
    </row>
    <row r="702" spans="1:4" x14ac:dyDescent="0.2">
      <c r="A702">
        <v>702</v>
      </c>
      <c r="B702" t="s">
        <v>2457</v>
      </c>
      <c r="C702" t="s">
        <v>2458</v>
      </c>
      <c r="D702" t="s">
        <v>2459</v>
      </c>
    </row>
    <row r="703" spans="1:4" x14ac:dyDescent="0.2">
      <c r="A703">
        <v>703</v>
      </c>
      <c r="B703" t="s">
        <v>2460</v>
      </c>
      <c r="C703" t="s">
        <v>2461</v>
      </c>
      <c r="D703" s="382">
        <v>43420</v>
      </c>
    </row>
    <row r="704" spans="1:4" x14ac:dyDescent="0.2">
      <c r="A704">
        <v>704</v>
      </c>
      <c r="B704" t="s">
        <v>2462</v>
      </c>
      <c r="C704" t="s">
        <v>2463</v>
      </c>
      <c r="D704" s="382">
        <v>43475</v>
      </c>
    </row>
    <row r="705" spans="1:4" x14ac:dyDescent="0.2">
      <c r="A705">
        <v>705</v>
      </c>
      <c r="B705" t="s">
        <v>2464</v>
      </c>
      <c r="C705" t="s">
        <v>2465</v>
      </c>
      <c r="D705" s="382">
        <v>43292</v>
      </c>
    </row>
    <row r="706" spans="1:4" x14ac:dyDescent="0.2">
      <c r="A706">
        <v>706</v>
      </c>
      <c r="B706" t="s">
        <v>2466</v>
      </c>
      <c r="C706" t="s">
        <v>2467</v>
      </c>
      <c r="D706" s="382">
        <v>43642</v>
      </c>
    </row>
    <row r="707" spans="1:4" x14ac:dyDescent="0.2">
      <c r="A707">
        <v>707</v>
      </c>
      <c r="B707" t="s">
        <v>2468</v>
      </c>
      <c r="C707" t="s">
        <v>2469</v>
      </c>
      <c r="D707" s="382">
        <v>33309</v>
      </c>
    </row>
    <row r="708" spans="1:4" x14ac:dyDescent="0.2">
      <c r="A708">
        <v>708</v>
      </c>
      <c r="B708" t="s">
        <v>2470</v>
      </c>
      <c r="C708" t="s">
        <v>2471</v>
      </c>
      <c r="D708" t="s">
        <v>2472</v>
      </c>
    </row>
    <row r="709" spans="1:4" x14ac:dyDescent="0.2">
      <c r="A709">
        <v>709</v>
      </c>
      <c r="B709" t="s">
        <v>2473</v>
      </c>
      <c r="C709" t="s">
        <v>2474</v>
      </c>
      <c r="D709" s="382">
        <v>42810</v>
      </c>
    </row>
    <row r="710" spans="1:4" x14ac:dyDescent="0.2">
      <c r="A710">
        <v>710</v>
      </c>
      <c r="B710" t="s">
        <v>2475</v>
      </c>
      <c r="C710" t="s">
        <v>2476</v>
      </c>
      <c r="D710" t="s">
        <v>2477</v>
      </c>
    </row>
    <row r="711" spans="1:4" x14ac:dyDescent="0.2">
      <c r="A711">
        <v>711</v>
      </c>
      <c r="B711" t="s">
        <v>2478</v>
      </c>
      <c r="C711" t="s">
        <v>2479</v>
      </c>
      <c r="D711" s="382">
        <v>42535</v>
      </c>
    </row>
    <row r="712" spans="1:4" x14ac:dyDescent="0.2">
      <c r="A712">
        <v>712</v>
      </c>
      <c r="B712" t="s">
        <v>2480</v>
      </c>
      <c r="C712" t="s">
        <v>2481</v>
      </c>
      <c r="D712" s="382">
        <v>44032</v>
      </c>
    </row>
    <row r="713" spans="1:4" x14ac:dyDescent="0.2">
      <c r="A713">
        <v>713</v>
      </c>
      <c r="B713" t="s">
        <v>2482</v>
      </c>
      <c r="C713" t="s">
        <v>2483</v>
      </c>
      <c r="D713" s="382">
        <v>43063</v>
      </c>
    </row>
    <row r="714" spans="1:4" x14ac:dyDescent="0.2">
      <c r="A714">
        <v>714</v>
      </c>
      <c r="B714" t="s">
        <v>2484</v>
      </c>
      <c r="C714" t="s">
        <v>2485</v>
      </c>
      <c r="D714" t="s">
        <v>1417</v>
      </c>
    </row>
    <row r="715" spans="1:4" x14ac:dyDescent="0.2">
      <c r="A715">
        <v>715</v>
      </c>
      <c r="B715" t="s">
        <v>2486</v>
      </c>
      <c r="C715" t="s">
        <v>2487</v>
      </c>
      <c r="D715" t="s">
        <v>2488</v>
      </c>
    </row>
    <row r="716" spans="1:4" x14ac:dyDescent="0.2">
      <c r="A716">
        <v>716</v>
      </c>
      <c r="B716" t="s">
        <v>2489</v>
      </c>
      <c r="C716" t="s">
        <v>2490</v>
      </c>
      <c r="D716" s="382">
        <v>33066</v>
      </c>
    </row>
    <row r="717" spans="1:4" x14ac:dyDescent="0.2">
      <c r="A717">
        <v>717</v>
      </c>
      <c r="B717" t="s">
        <v>2491</v>
      </c>
      <c r="C717" t="s">
        <v>2492</v>
      </c>
      <c r="D717" s="382">
        <v>44873</v>
      </c>
    </row>
    <row r="718" spans="1:4" x14ac:dyDescent="0.2">
      <c r="A718">
        <v>718</v>
      </c>
      <c r="B718" t="s">
        <v>2493</v>
      </c>
      <c r="C718" t="s">
        <v>2494</v>
      </c>
      <c r="D718" t="s">
        <v>2495</v>
      </c>
    </row>
    <row r="719" spans="1:4" x14ac:dyDescent="0.2">
      <c r="A719">
        <v>719</v>
      </c>
      <c r="B719" t="s">
        <v>2496</v>
      </c>
      <c r="C719" t="s">
        <v>2497</v>
      </c>
      <c r="D719" t="s">
        <v>2498</v>
      </c>
    </row>
    <row r="720" spans="1:4" x14ac:dyDescent="0.2">
      <c r="A720">
        <v>720</v>
      </c>
      <c r="B720" t="s">
        <v>2499</v>
      </c>
      <c r="C720" t="s">
        <v>2500</v>
      </c>
      <c r="D720" s="382">
        <v>37733</v>
      </c>
    </row>
    <row r="721" spans="1:4" x14ac:dyDescent="0.2">
      <c r="A721">
        <v>721</v>
      </c>
      <c r="B721" t="s">
        <v>2501</v>
      </c>
      <c r="C721" t="s">
        <v>2502</v>
      </c>
      <c r="D721" s="382">
        <v>45846</v>
      </c>
    </row>
    <row r="722" spans="1:4" x14ac:dyDescent="0.2">
      <c r="A722">
        <v>722</v>
      </c>
      <c r="B722" t="s">
        <v>2503</v>
      </c>
      <c r="C722" t="s">
        <v>2504</v>
      </c>
      <c r="D722" t="s">
        <v>2505</v>
      </c>
    </row>
    <row r="723" spans="1:4" x14ac:dyDescent="0.2">
      <c r="A723">
        <v>723</v>
      </c>
      <c r="B723" t="s">
        <v>2506</v>
      </c>
      <c r="C723" t="s">
        <v>2507</v>
      </c>
      <c r="D723" s="382">
        <v>43794</v>
      </c>
    </row>
    <row r="724" spans="1:4" x14ac:dyDescent="0.2">
      <c r="A724">
        <v>724</v>
      </c>
      <c r="B724" t="s">
        <v>2508</v>
      </c>
      <c r="C724" t="s">
        <v>2509</v>
      </c>
      <c r="D724" s="382">
        <v>34961</v>
      </c>
    </row>
    <row r="725" spans="1:4" x14ac:dyDescent="0.2">
      <c r="A725">
        <v>725</v>
      </c>
      <c r="B725" t="s">
        <v>2510</v>
      </c>
      <c r="C725" t="s">
        <v>2511</v>
      </c>
      <c r="D725" t="s">
        <v>2512</v>
      </c>
    </row>
    <row r="726" spans="1:4" x14ac:dyDescent="0.2">
      <c r="A726">
        <v>726</v>
      </c>
      <c r="B726" t="s">
        <v>2513</v>
      </c>
      <c r="C726" t="s">
        <v>2514</v>
      </c>
      <c r="D726" t="s">
        <v>2515</v>
      </c>
    </row>
    <row r="727" spans="1:4" x14ac:dyDescent="0.2">
      <c r="A727">
        <v>727</v>
      </c>
      <c r="B727" t="s">
        <v>2516</v>
      </c>
      <c r="C727" t="s">
        <v>2517</v>
      </c>
      <c r="D727" t="s">
        <v>2518</v>
      </c>
    </row>
    <row r="728" spans="1:4" x14ac:dyDescent="0.2">
      <c r="A728">
        <v>728</v>
      </c>
      <c r="B728" t="s">
        <v>2519</v>
      </c>
      <c r="C728" t="s">
        <v>2520</v>
      </c>
      <c r="D728" s="382">
        <v>40736</v>
      </c>
    </row>
    <row r="729" spans="1:4" x14ac:dyDescent="0.2">
      <c r="A729">
        <v>729</v>
      </c>
      <c r="B729" t="s">
        <v>2521</v>
      </c>
      <c r="C729" t="s">
        <v>2522</v>
      </c>
      <c r="D729" s="382">
        <v>44991</v>
      </c>
    </row>
    <row r="730" spans="1:4" x14ac:dyDescent="0.2">
      <c r="A730">
        <v>730</v>
      </c>
      <c r="B730" t="s">
        <v>2523</v>
      </c>
      <c r="C730" t="s">
        <v>2524</v>
      </c>
      <c r="D730" t="s">
        <v>2525</v>
      </c>
    </row>
    <row r="731" spans="1:4" x14ac:dyDescent="0.2">
      <c r="A731">
        <v>731</v>
      </c>
      <c r="B731" t="s">
        <v>2526</v>
      </c>
      <c r="C731" t="s">
        <v>2527</v>
      </c>
      <c r="D731" s="382">
        <v>40218</v>
      </c>
    </row>
    <row r="732" spans="1:4" x14ac:dyDescent="0.2">
      <c r="A732">
        <v>732</v>
      </c>
      <c r="B732" t="s">
        <v>2528</v>
      </c>
      <c r="C732" t="s">
        <v>2529</v>
      </c>
      <c r="D732" t="s">
        <v>1230</v>
      </c>
    </row>
    <row r="733" spans="1:4" x14ac:dyDescent="0.2">
      <c r="A733">
        <v>733</v>
      </c>
      <c r="B733" t="s">
        <v>2530</v>
      </c>
      <c r="C733" t="s">
        <v>2531</v>
      </c>
      <c r="D733" s="382">
        <v>43868</v>
      </c>
    </row>
    <row r="734" spans="1:4" x14ac:dyDescent="0.2">
      <c r="A734">
        <v>734</v>
      </c>
      <c r="B734" t="s">
        <v>2532</v>
      </c>
      <c r="C734" t="s">
        <v>2533</v>
      </c>
      <c r="D734" t="s">
        <v>2534</v>
      </c>
    </row>
    <row r="735" spans="1:4" x14ac:dyDescent="0.2">
      <c r="A735">
        <v>735</v>
      </c>
      <c r="B735" t="s">
        <v>2535</v>
      </c>
      <c r="C735" t="s">
        <v>2536</v>
      </c>
      <c r="D735" s="382">
        <v>39394</v>
      </c>
    </row>
    <row r="736" spans="1:4" x14ac:dyDescent="0.2">
      <c r="A736">
        <v>736</v>
      </c>
      <c r="B736" t="s">
        <v>2537</v>
      </c>
      <c r="C736" t="s">
        <v>2538</v>
      </c>
      <c r="D736" t="s">
        <v>2539</v>
      </c>
    </row>
    <row r="737" spans="1:4" x14ac:dyDescent="0.2">
      <c r="A737">
        <v>737</v>
      </c>
      <c r="B737" t="s">
        <v>2540</v>
      </c>
      <c r="C737" t="s">
        <v>2541</v>
      </c>
      <c r="D737" s="382">
        <v>34656</v>
      </c>
    </row>
    <row r="738" spans="1:4" x14ac:dyDescent="0.2">
      <c r="A738">
        <v>738</v>
      </c>
      <c r="B738" t="s">
        <v>2542</v>
      </c>
      <c r="C738" t="s">
        <v>2543</v>
      </c>
      <c r="D738" s="382">
        <v>43859</v>
      </c>
    </row>
    <row r="739" spans="1:4" x14ac:dyDescent="0.2">
      <c r="A739">
        <v>739</v>
      </c>
      <c r="B739" t="s">
        <v>2544</v>
      </c>
      <c r="C739" t="s">
        <v>2545</v>
      </c>
      <c r="D739" t="s">
        <v>2546</v>
      </c>
    </row>
    <row r="740" spans="1:4" x14ac:dyDescent="0.2">
      <c r="A740">
        <v>740</v>
      </c>
      <c r="B740" t="s">
        <v>2547</v>
      </c>
      <c r="C740" t="s">
        <v>2548</v>
      </c>
      <c r="D740" s="382">
        <v>44082</v>
      </c>
    </row>
    <row r="741" spans="1:4" x14ac:dyDescent="0.2">
      <c r="A741">
        <v>741</v>
      </c>
      <c r="B741" t="s">
        <v>2549</v>
      </c>
      <c r="C741" t="s">
        <v>2550</v>
      </c>
      <c r="D741" t="s">
        <v>2077</v>
      </c>
    </row>
    <row r="742" spans="1:4" x14ac:dyDescent="0.2">
      <c r="A742">
        <v>742</v>
      </c>
      <c r="B742" t="s">
        <v>2551</v>
      </c>
      <c r="C742" t="s">
        <v>2552</v>
      </c>
      <c r="D742" t="s">
        <v>2553</v>
      </c>
    </row>
    <row r="743" spans="1:4" x14ac:dyDescent="0.2">
      <c r="A743">
        <v>743</v>
      </c>
      <c r="B743" t="s">
        <v>2554</v>
      </c>
      <c r="C743" t="s">
        <v>2555</v>
      </c>
      <c r="D743" t="s">
        <v>2556</v>
      </c>
    </row>
    <row r="744" spans="1:4" x14ac:dyDescent="0.2">
      <c r="A744">
        <v>744</v>
      </c>
      <c r="B744" t="s">
        <v>2557</v>
      </c>
      <c r="C744" t="s">
        <v>2558</v>
      </c>
      <c r="D744" t="s">
        <v>1480</v>
      </c>
    </row>
    <row r="745" spans="1:4" x14ac:dyDescent="0.2">
      <c r="A745">
        <v>745</v>
      </c>
      <c r="B745" t="s">
        <v>2559</v>
      </c>
      <c r="C745" t="s">
        <v>2560</v>
      </c>
      <c r="D745" t="s">
        <v>2561</v>
      </c>
    </row>
    <row r="746" spans="1:4" x14ac:dyDescent="0.2">
      <c r="A746">
        <v>746</v>
      </c>
      <c r="B746" t="s">
        <v>2562</v>
      </c>
      <c r="C746" t="s">
        <v>2563</v>
      </c>
      <c r="D746" s="382">
        <v>38826</v>
      </c>
    </row>
    <row r="747" spans="1:4" x14ac:dyDescent="0.2">
      <c r="A747">
        <v>747</v>
      </c>
      <c r="B747" t="s">
        <v>2564</v>
      </c>
      <c r="C747" t="s">
        <v>2565</v>
      </c>
      <c r="D747" s="382">
        <v>35270</v>
      </c>
    </row>
    <row r="748" spans="1:4" x14ac:dyDescent="0.2">
      <c r="A748">
        <v>748</v>
      </c>
      <c r="B748" t="s">
        <v>2566</v>
      </c>
      <c r="C748" t="s">
        <v>2567</v>
      </c>
      <c r="D748" s="382">
        <v>41067</v>
      </c>
    </row>
    <row r="749" spans="1:4" x14ac:dyDescent="0.2">
      <c r="A749">
        <v>749</v>
      </c>
      <c r="B749" t="s">
        <v>2568</v>
      </c>
      <c r="C749" t="s">
        <v>2569</v>
      </c>
      <c r="D749" s="382">
        <v>45665</v>
      </c>
    </row>
    <row r="750" spans="1:4" x14ac:dyDescent="0.2">
      <c r="A750">
        <v>750</v>
      </c>
      <c r="B750" t="s">
        <v>2570</v>
      </c>
      <c r="C750" t="s">
        <v>2571</v>
      </c>
      <c r="D750" t="s">
        <v>2572</v>
      </c>
    </row>
    <row r="751" spans="1:4" x14ac:dyDescent="0.2">
      <c r="A751">
        <v>751</v>
      </c>
      <c r="B751" t="s">
        <v>2573</v>
      </c>
      <c r="C751" t="s">
        <v>2574</v>
      </c>
      <c r="D751" t="s">
        <v>2575</v>
      </c>
    </row>
    <row r="752" spans="1:4" x14ac:dyDescent="0.2">
      <c r="A752">
        <v>752</v>
      </c>
      <c r="B752" t="s">
        <v>2576</v>
      </c>
      <c r="C752" t="s">
        <v>2577</v>
      </c>
      <c r="D752" t="s">
        <v>2578</v>
      </c>
    </row>
    <row r="753" spans="1:4" x14ac:dyDescent="0.2">
      <c r="A753">
        <v>753</v>
      </c>
      <c r="B753" t="s">
        <v>2579</v>
      </c>
      <c r="C753" t="s">
        <v>2580</v>
      </c>
      <c r="D753" t="s">
        <v>2581</v>
      </c>
    </row>
    <row r="754" spans="1:4" x14ac:dyDescent="0.2">
      <c r="A754">
        <v>754</v>
      </c>
      <c r="B754" t="s">
        <v>2582</v>
      </c>
      <c r="C754" t="s">
        <v>2583</v>
      </c>
      <c r="D754" s="382">
        <v>45099</v>
      </c>
    </row>
    <row r="755" spans="1:4" x14ac:dyDescent="0.2">
      <c r="A755">
        <v>755</v>
      </c>
      <c r="B755" t="s">
        <v>2584</v>
      </c>
      <c r="C755" t="s">
        <v>2585</v>
      </c>
      <c r="D755" s="382">
        <v>38546</v>
      </c>
    </row>
    <row r="756" spans="1:4" x14ac:dyDescent="0.2">
      <c r="A756">
        <v>756</v>
      </c>
      <c r="B756" t="s">
        <v>2586</v>
      </c>
      <c r="C756" t="s">
        <v>2587</v>
      </c>
      <c r="D756" s="382">
        <v>45238</v>
      </c>
    </row>
    <row r="757" spans="1:4" x14ac:dyDescent="0.2">
      <c r="A757">
        <v>757</v>
      </c>
      <c r="B757" t="s">
        <v>2588</v>
      </c>
      <c r="C757" t="s">
        <v>2589</v>
      </c>
      <c r="D757" s="382">
        <v>35817</v>
      </c>
    </row>
    <row r="758" spans="1:4" x14ac:dyDescent="0.2">
      <c r="A758">
        <v>758</v>
      </c>
      <c r="B758" t="s">
        <v>2590</v>
      </c>
      <c r="C758" t="s">
        <v>2591</v>
      </c>
      <c r="D758" s="382">
        <v>32937</v>
      </c>
    </row>
    <row r="759" spans="1:4" x14ac:dyDescent="0.2">
      <c r="A759">
        <v>759</v>
      </c>
      <c r="B759" t="s">
        <v>2592</v>
      </c>
      <c r="C759" t="s">
        <v>2593</v>
      </c>
      <c r="D759" s="382">
        <v>36840</v>
      </c>
    </row>
    <row r="760" spans="1:4" x14ac:dyDescent="0.2">
      <c r="A760">
        <v>760</v>
      </c>
      <c r="B760" t="s">
        <v>2594</v>
      </c>
      <c r="C760" t="s">
        <v>2595</v>
      </c>
      <c r="D760" s="382">
        <v>43290</v>
      </c>
    </row>
    <row r="761" spans="1:4" x14ac:dyDescent="0.2">
      <c r="A761">
        <v>761</v>
      </c>
      <c r="B761" t="s">
        <v>2596</v>
      </c>
      <c r="C761" t="s">
        <v>2597</v>
      </c>
      <c r="D761" t="s">
        <v>2598</v>
      </c>
    </row>
    <row r="762" spans="1:4" x14ac:dyDescent="0.2">
      <c r="A762">
        <v>762</v>
      </c>
      <c r="B762" t="s">
        <v>2599</v>
      </c>
      <c r="C762" t="s">
        <v>2600</v>
      </c>
      <c r="D762" s="382">
        <v>45138</v>
      </c>
    </row>
    <row r="763" spans="1:4" x14ac:dyDescent="0.2">
      <c r="A763">
        <v>763</v>
      </c>
      <c r="B763" t="s">
        <v>2601</v>
      </c>
      <c r="C763" t="s">
        <v>2602</v>
      </c>
      <c r="D763" s="382">
        <v>44084</v>
      </c>
    </row>
    <row r="764" spans="1:4" x14ac:dyDescent="0.2">
      <c r="A764">
        <v>764</v>
      </c>
      <c r="B764" t="s">
        <v>2603</v>
      </c>
      <c r="C764" t="s">
        <v>2604</v>
      </c>
      <c r="D764" t="s">
        <v>2605</v>
      </c>
    </row>
    <row r="765" spans="1:4" x14ac:dyDescent="0.2">
      <c r="A765">
        <v>765</v>
      </c>
      <c r="B765" t="s">
        <v>2606</v>
      </c>
      <c r="C765" t="s">
        <v>2607</v>
      </c>
      <c r="D765" s="382">
        <v>43930</v>
      </c>
    </row>
    <row r="766" spans="1:4" x14ac:dyDescent="0.2">
      <c r="A766">
        <v>766</v>
      </c>
      <c r="B766" t="s">
        <v>2608</v>
      </c>
      <c r="C766" t="s">
        <v>2609</v>
      </c>
      <c r="D766" s="382">
        <v>40357</v>
      </c>
    </row>
    <row r="767" spans="1:4" x14ac:dyDescent="0.2">
      <c r="A767">
        <v>767</v>
      </c>
      <c r="B767" t="s">
        <v>2610</v>
      </c>
      <c r="C767" t="s">
        <v>2611</v>
      </c>
      <c r="D767" t="s">
        <v>2612</v>
      </c>
    </row>
    <row r="768" spans="1:4" x14ac:dyDescent="0.2">
      <c r="A768">
        <v>768</v>
      </c>
      <c r="B768" t="s">
        <v>2613</v>
      </c>
      <c r="C768" t="s">
        <v>2614</v>
      </c>
      <c r="D768" s="382">
        <v>44447</v>
      </c>
    </row>
    <row r="769" spans="1:4" x14ac:dyDescent="0.2">
      <c r="A769">
        <v>769</v>
      </c>
      <c r="B769" t="s">
        <v>2615</v>
      </c>
      <c r="C769" t="s">
        <v>2616</v>
      </c>
      <c r="D769" s="382">
        <v>38910</v>
      </c>
    </row>
    <row r="770" spans="1:4" x14ac:dyDescent="0.2">
      <c r="A770">
        <v>770</v>
      </c>
      <c r="B770" t="s">
        <v>2617</v>
      </c>
      <c r="C770" t="s">
        <v>2618</v>
      </c>
      <c r="D770" s="382">
        <v>44447</v>
      </c>
    </row>
    <row r="771" spans="1:4" x14ac:dyDescent="0.2">
      <c r="A771">
        <v>771</v>
      </c>
      <c r="B771" t="s">
        <v>2619</v>
      </c>
      <c r="C771" t="s">
        <v>2620</v>
      </c>
      <c r="D771" t="s">
        <v>2621</v>
      </c>
    </row>
    <row r="772" spans="1:4" x14ac:dyDescent="0.2">
      <c r="A772">
        <v>772</v>
      </c>
      <c r="B772" t="s">
        <v>2622</v>
      </c>
      <c r="C772" t="s">
        <v>2623</v>
      </c>
      <c r="D772" s="382">
        <v>44993</v>
      </c>
    </row>
    <row r="773" spans="1:4" x14ac:dyDescent="0.2">
      <c r="A773">
        <v>773</v>
      </c>
      <c r="B773" t="s">
        <v>2624</v>
      </c>
      <c r="C773" t="s">
        <v>2625</v>
      </c>
      <c r="D773" s="382">
        <v>41285</v>
      </c>
    </row>
    <row r="774" spans="1:4" x14ac:dyDescent="0.2">
      <c r="A774">
        <v>774</v>
      </c>
      <c r="B774" t="s">
        <v>2626</v>
      </c>
      <c r="C774" t="s">
        <v>2627</v>
      </c>
      <c r="D774" s="382">
        <v>43921</v>
      </c>
    </row>
    <row r="775" spans="1:4" x14ac:dyDescent="0.2">
      <c r="A775">
        <v>775</v>
      </c>
      <c r="B775" t="s">
        <v>2628</v>
      </c>
      <c r="C775" t="s">
        <v>2629</v>
      </c>
      <c r="D775" t="s">
        <v>2630</v>
      </c>
    </row>
    <row r="776" spans="1:4" x14ac:dyDescent="0.2">
      <c r="A776">
        <v>776</v>
      </c>
      <c r="B776" t="s">
        <v>2631</v>
      </c>
      <c r="C776" t="s">
        <v>2632</v>
      </c>
      <c r="D776" s="382">
        <v>43409</v>
      </c>
    </row>
    <row r="777" spans="1:4" x14ac:dyDescent="0.2">
      <c r="A777">
        <v>777</v>
      </c>
      <c r="B777" t="s">
        <v>2633</v>
      </c>
      <c r="C777" t="s">
        <v>2634</v>
      </c>
      <c r="D777" s="382">
        <v>43929</v>
      </c>
    </row>
    <row r="778" spans="1:4" x14ac:dyDescent="0.2">
      <c r="A778">
        <v>778</v>
      </c>
      <c r="B778" t="s">
        <v>2635</v>
      </c>
      <c r="C778" t="s">
        <v>2636</v>
      </c>
      <c r="D778" s="382">
        <v>44447</v>
      </c>
    </row>
    <row r="779" spans="1:4" x14ac:dyDescent="0.2">
      <c r="A779">
        <v>779</v>
      </c>
      <c r="B779" t="s">
        <v>2637</v>
      </c>
      <c r="C779" t="s">
        <v>2638</v>
      </c>
      <c r="D779" s="382">
        <v>30152</v>
      </c>
    </row>
    <row r="780" spans="1:4" x14ac:dyDescent="0.2">
      <c r="A780">
        <v>780</v>
      </c>
      <c r="B780" t="s">
        <v>2639</v>
      </c>
      <c r="C780" t="s">
        <v>2640</v>
      </c>
      <c r="D780" s="382">
        <v>37453</v>
      </c>
    </row>
    <row r="781" spans="1:4" x14ac:dyDescent="0.2">
      <c r="A781">
        <v>781</v>
      </c>
      <c r="B781" t="s">
        <v>2641</v>
      </c>
      <c r="C781" t="s">
        <v>2642</v>
      </c>
      <c r="D781" s="382">
        <v>44081</v>
      </c>
    </row>
    <row r="782" spans="1:4" x14ac:dyDescent="0.2">
      <c r="A782">
        <v>782</v>
      </c>
      <c r="B782" t="s">
        <v>2643</v>
      </c>
      <c r="C782" t="s">
        <v>2644</v>
      </c>
      <c r="D782" s="382">
        <v>33032</v>
      </c>
    </row>
    <row r="783" spans="1:4" x14ac:dyDescent="0.2">
      <c r="A783">
        <v>783</v>
      </c>
      <c r="B783" t="s">
        <v>2645</v>
      </c>
      <c r="C783" t="s">
        <v>2646</v>
      </c>
      <c r="D783" s="382">
        <v>40736</v>
      </c>
    </row>
    <row r="784" spans="1:4" x14ac:dyDescent="0.2">
      <c r="A784">
        <v>784</v>
      </c>
      <c r="B784" t="s">
        <v>2647</v>
      </c>
      <c r="C784" t="s">
        <v>2648</v>
      </c>
      <c r="D784" t="s">
        <v>1085</v>
      </c>
    </row>
    <row r="785" spans="1:4" x14ac:dyDescent="0.2">
      <c r="A785">
        <v>785</v>
      </c>
      <c r="B785" t="s">
        <v>2649</v>
      </c>
      <c r="C785" t="s">
        <v>2650</v>
      </c>
      <c r="D785" t="s">
        <v>2651</v>
      </c>
    </row>
    <row r="786" spans="1:4" x14ac:dyDescent="0.2">
      <c r="A786">
        <v>786</v>
      </c>
      <c r="B786" t="s">
        <v>2652</v>
      </c>
      <c r="C786" t="s">
        <v>2653</v>
      </c>
      <c r="D786" s="382">
        <v>44571</v>
      </c>
    </row>
    <row r="787" spans="1:4" x14ac:dyDescent="0.2">
      <c r="A787">
        <v>787</v>
      </c>
      <c r="B787" t="s">
        <v>2654</v>
      </c>
      <c r="C787" t="s">
        <v>2655</v>
      </c>
      <c r="D787" s="382">
        <v>43635</v>
      </c>
    </row>
    <row r="788" spans="1:4" x14ac:dyDescent="0.2">
      <c r="A788">
        <v>788</v>
      </c>
      <c r="B788" t="s">
        <v>2656</v>
      </c>
      <c r="C788" t="s">
        <v>2657</v>
      </c>
      <c r="D788" t="s">
        <v>2658</v>
      </c>
    </row>
    <row r="789" spans="1:4" x14ac:dyDescent="0.2">
      <c r="A789">
        <v>789</v>
      </c>
      <c r="B789" t="s">
        <v>2659</v>
      </c>
      <c r="C789" t="s">
        <v>2660</v>
      </c>
      <c r="D789" s="382">
        <v>39251</v>
      </c>
    </row>
    <row r="790" spans="1:4" x14ac:dyDescent="0.2">
      <c r="A790">
        <v>790</v>
      </c>
      <c r="B790" t="s">
        <v>2661</v>
      </c>
      <c r="C790" t="s">
        <v>2662</v>
      </c>
      <c r="D790" t="s">
        <v>1424</v>
      </c>
    </row>
    <row r="791" spans="1:4" x14ac:dyDescent="0.2">
      <c r="A791">
        <v>791</v>
      </c>
      <c r="B791" t="s">
        <v>2663</v>
      </c>
      <c r="C791" t="s">
        <v>2664</v>
      </c>
      <c r="D791" s="382">
        <v>42537</v>
      </c>
    </row>
    <row r="792" spans="1:4" x14ac:dyDescent="0.2">
      <c r="A792">
        <v>792</v>
      </c>
      <c r="B792" t="s">
        <v>2665</v>
      </c>
      <c r="C792" t="s">
        <v>2666</v>
      </c>
      <c r="D792" s="382">
        <v>44659</v>
      </c>
    </row>
    <row r="793" spans="1:4" x14ac:dyDescent="0.2">
      <c r="A793">
        <v>793</v>
      </c>
      <c r="B793" t="s">
        <v>2667</v>
      </c>
      <c r="C793" t="s">
        <v>2668</v>
      </c>
      <c r="D793" t="s">
        <v>2669</v>
      </c>
    </row>
    <row r="794" spans="1:4" x14ac:dyDescent="0.2">
      <c r="A794">
        <v>794</v>
      </c>
      <c r="B794" t="s">
        <v>2670</v>
      </c>
      <c r="C794" t="s">
        <v>2671</v>
      </c>
      <c r="D794" s="382">
        <v>41529</v>
      </c>
    </row>
    <row r="795" spans="1:4" x14ac:dyDescent="0.2">
      <c r="A795">
        <v>795</v>
      </c>
      <c r="B795" t="s">
        <v>2672</v>
      </c>
      <c r="C795" t="s">
        <v>2673</v>
      </c>
      <c r="D795" s="382">
        <v>34488</v>
      </c>
    </row>
    <row r="796" spans="1:4" x14ac:dyDescent="0.2">
      <c r="A796">
        <v>796</v>
      </c>
      <c r="B796" t="s">
        <v>2674</v>
      </c>
      <c r="C796" t="s">
        <v>2675</v>
      </c>
      <c r="D796" s="382">
        <v>40703</v>
      </c>
    </row>
    <row r="797" spans="1:4" x14ac:dyDescent="0.2">
      <c r="A797">
        <v>797</v>
      </c>
      <c r="B797" t="s">
        <v>2676</v>
      </c>
      <c r="C797" t="s">
        <v>2677</v>
      </c>
      <c r="D797" s="382">
        <v>43777</v>
      </c>
    </row>
    <row r="798" spans="1:4" x14ac:dyDescent="0.2">
      <c r="A798">
        <v>798</v>
      </c>
      <c r="B798" t="s">
        <v>2678</v>
      </c>
      <c r="C798" t="s">
        <v>2679</v>
      </c>
      <c r="D798" t="s">
        <v>2680</v>
      </c>
    </row>
    <row r="799" spans="1:4" x14ac:dyDescent="0.2">
      <c r="A799">
        <v>799</v>
      </c>
      <c r="B799" t="s">
        <v>2681</v>
      </c>
      <c r="C799" t="s">
        <v>2682</v>
      </c>
      <c r="D799" s="382">
        <v>41180</v>
      </c>
    </row>
    <row r="800" spans="1:4" x14ac:dyDescent="0.2">
      <c r="A800">
        <v>800</v>
      </c>
      <c r="B800" t="s">
        <v>2683</v>
      </c>
      <c r="C800" t="s">
        <v>2684</v>
      </c>
      <c r="D800" s="382">
        <v>34220</v>
      </c>
    </row>
    <row r="801" spans="1:4" x14ac:dyDescent="0.2">
      <c r="A801">
        <v>801</v>
      </c>
      <c r="B801" t="s">
        <v>2685</v>
      </c>
      <c r="C801" t="s">
        <v>2686</v>
      </c>
      <c r="D801" t="s">
        <v>2687</v>
      </c>
    </row>
    <row r="802" spans="1:4" x14ac:dyDescent="0.2">
      <c r="A802">
        <v>802</v>
      </c>
      <c r="B802" t="s">
        <v>2688</v>
      </c>
      <c r="C802" t="s">
        <v>2689</v>
      </c>
      <c r="D802" s="382">
        <v>40366</v>
      </c>
    </row>
    <row r="803" spans="1:4" x14ac:dyDescent="0.2">
      <c r="A803">
        <v>803</v>
      </c>
      <c r="B803" t="s">
        <v>2690</v>
      </c>
      <c r="C803" t="s">
        <v>2691</v>
      </c>
      <c r="D803" t="s">
        <v>2692</v>
      </c>
    </row>
    <row r="804" spans="1:4" x14ac:dyDescent="0.2">
      <c r="A804">
        <v>804</v>
      </c>
      <c r="B804" t="s">
        <v>2693</v>
      </c>
      <c r="C804" t="s">
        <v>2694</v>
      </c>
      <c r="D804" s="382">
        <v>33928</v>
      </c>
    </row>
    <row r="805" spans="1:4" x14ac:dyDescent="0.2">
      <c r="A805">
        <v>805</v>
      </c>
      <c r="B805" t="s">
        <v>2695</v>
      </c>
      <c r="C805" t="s">
        <v>2696</v>
      </c>
      <c r="D805" s="382">
        <v>41453</v>
      </c>
    </row>
    <row r="806" spans="1:4" x14ac:dyDescent="0.2">
      <c r="A806">
        <v>806</v>
      </c>
      <c r="B806" t="s">
        <v>2697</v>
      </c>
      <c r="C806" t="s">
        <v>2698</v>
      </c>
      <c r="D806" t="s">
        <v>2699</v>
      </c>
    </row>
    <row r="807" spans="1:4" x14ac:dyDescent="0.2">
      <c r="A807">
        <v>807</v>
      </c>
      <c r="B807" t="s">
        <v>2700</v>
      </c>
      <c r="C807" t="s">
        <v>2701</v>
      </c>
      <c r="D807" t="s">
        <v>2702</v>
      </c>
    </row>
    <row r="808" spans="1:4" x14ac:dyDescent="0.2">
      <c r="A808">
        <v>808</v>
      </c>
      <c r="B808" t="s">
        <v>2703</v>
      </c>
      <c r="C808" t="s">
        <v>2704</v>
      </c>
      <c r="D808" s="382">
        <v>36346</v>
      </c>
    </row>
    <row r="809" spans="1:4" x14ac:dyDescent="0.2">
      <c r="A809">
        <v>809</v>
      </c>
      <c r="B809" t="s">
        <v>2705</v>
      </c>
      <c r="C809" t="s">
        <v>2706</v>
      </c>
      <c r="D809" s="382">
        <v>45321</v>
      </c>
    </row>
    <row r="810" spans="1:4" x14ac:dyDescent="0.2">
      <c r="A810">
        <v>810</v>
      </c>
      <c r="B810" t="s">
        <v>2707</v>
      </c>
      <c r="C810" t="s">
        <v>2708</v>
      </c>
      <c r="D810" s="382">
        <v>33427</v>
      </c>
    </row>
    <row r="811" spans="1:4" x14ac:dyDescent="0.2">
      <c r="A811">
        <v>811</v>
      </c>
      <c r="B811" t="s">
        <v>2709</v>
      </c>
      <c r="C811" t="s">
        <v>2710</v>
      </c>
      <c r="D811" t="s">
        <v>2711</v>
      </c>
    </row>
    <row r="812" spans="1:4" x14ac:dyDescent="0.2">
      <c r="A812">
        <v>812</v>
      </c>
      <c r="B812" t="s">
        <v>2712</v>
      </c>
      <c r="C812" t="s">
        <v>2713</v>
      </c>
      <c r="D812" s="382">
        <v>43657</v>
      </c>
    </row>
    <row r="813" spans="1:4" x14ac:dyDescent="0.2">
      <c r="A813">
        <v>813</v>
      </c>
      <c r="B813" t="s">
        <v>2714</v>
      </c>
      <c r="C813" t="s">
        <v>2715</v>
      </c>
      <c r="D813" s="382">
        <v>44629</v>
      </c>
    </row>
    <row r="814" spans="1:4" x14ac:dyDescent="0.2">
      <c r="A814">
        <v>814</v>
      </c>
      <c r="B814" t="s">
        <v>2716</v>
      </c>
      <c r="C814" t="s">
        <v>2717</v>
      </c>
      <c r="D814" s="382">
        <v>45301</v>
      </c>
    </row>
    <row r="815" spans="1:4" x14ac:dyDescent="0.2">
      <c r="A815">
        <v>815</v>
      </c>
      <c r="B815" t="s">
        <v>2718</v>
      </c>
      <c r="C815" t="s">
        <v>2719</v>
      </c>
      <c r="D815" s="382">
        <v>34885</v>
      </c>
    </row>
    <row r="816" spans="1:4" x14ac:dyDescent="0.2">
      <c r="A816">
        <v>816</v>
      </c>
      <c r="B816" t="s">
        <v>2720</v>
      </c>
      <c r="C816" t="s">
        <v>2721</v>
      </c>
      <c r="D816" t="s">
        <v>2722</v>
      </c>
    </row>
    <row r="817" spans="1:4" x14ac:dyDescent="0.2">
      <c r="A817">
        <v>817</v>
      </c>
      <c r="B817" t="s">
        <v>2723</v>
      </c>
      <c r="C817" t="s">
        <v>2724</v>
      </c>
      <c r="D817" t="s">
        <v>1085</v>
      </c>
    </row>
    <row r="818" spans="1:4" x14ac:dyDescent="0.2">
      <c r="A818">
        <v>818</v>
      </c>
      <c r="B818" t="s">
        <v>2725</v>
      </c>
      <c r="C818" t="s">
        <v>2726</v>
      </c>
      <c r="D818" t="s">
        <v>2727</v>
      </c>
    </row>
    <row r="819" spans="1:4" x14ac:dyDescent="0.2">
      <c r="A819">
        <v>819</v>
      </c>
      <c r="B819" t="s">
        <v>2728</v>
      </c>
      <c r="C819" t="s">
        <v>2729</v>
      </c>
      <c r="D819" s="382">
        <v>35317</v>
      </c>
    </row>
    <row r="820" spans="1:4" x14ac:dyDescent="0.2">
      <c r="A820">
        <v>820</v>
      </c>
      <c r="B820" t="s">
        <v>2730</v>
      </c>
      <c r="C820" t="s">
        <v>2731</v>
      </c>
      <c r="D820" s="382">
        <v>44284</v>
      </c>
    </row>
    <row r="821" spans="1:4" x14ac:dyDescent="0.2">
      <c r="A821">
        <v>821</v>
      </c>
      <c r="B821" t="s">
        <v>2732</v>
      </c>
      <c r="C821" t="s">
        <v>2733</v>
      </c>
      <c r="D821" t="s">
        <v>2734</v>
      </c>
    </row>
    <row r="822" spans="1:4" x14ac:dyDescent="0.2">
      <c r="A822">
        <v>822</v>
      </c>
      <c r="B822" t="s">
        <v>2735</v>
      </c>
      <c r="C822" t="s">
        <v>2736</v>
      </c>
      <c r="D822" s="382">
        <v>44019</v>
      </c>
    </row>
    <row r="823" spans="1:4" x14ac:dyDescent="0.2">
      <c r="A823">
        <v>823</v>
      </c>
      <c r="B823" t="s">
        <v>2737</v>
      </c>
      <c r="C823" t="s">
        <v>2738</v>
      </c>
      <c r="D823" s="382">
        <v>44082</v>
      </c>
    </row>
    <row r="824" spans="1:4" x14ac:dyDescent="0.2">
      <c r="A824">
        <v>824</v>
      </c>
      <c r="B824" t="s">
        <v>2739</v>
      </c>
      <c r="C824" t="s">
        <v>2740</v>
      </c>
      <c r="D824" t="s">
        <v>2741</v>
      </c>
    </row>
    <row r="825" spans="1:4" x14ac:dyDescent="0.2">
      <c r="A825">
        <v>825</v>
      </c>
      <c r="B825" t="s">
        <v>2742</v>
      </c>
      <c r="C825" t="s">
        <v>2743</v>
      </c>
      <c r="D825" s="382">
        <v>33806</v>
      </c>
    </row>
    <row r="826" spans="1:4" x14ac:dyDescent="0.2">
      <c r="A826">
        <v>826</v>
      </c>
      <c r="B826" t="s">
        <v>2744</v>
      </c>
      <c r="C826" t="s">
        <v>2745</v>
      </c>
      <c r="D826" s="382">
        <v>43410</v>
      </c>
    </row>
    <row r="827" spans="1:4" x14ac:dyDescent="0.2">
      <c r="A827">
        <v>827</v>
      </c>
      <c r="B827" t="s">
        <v>2746</v>
      </c>
      <c r="C827" t="s">
        <v>2747</v>
      </c>
      <c r="D827" t="s">
        <v>2748</v>
      </c>
    </row>
    <row r="828" spans="1:4" x14ac:dyDescent="0.2">
      <c r="A828">
        <v>828</v>
      </c>
      <c r="B828" t="s">
        <v>2749</v>
      </c>
      <c r="C828" t="s">
        <v>2750</v>
      </c>
      <c r="D828" s="382">
        <v>44932</v>
      </c>
    </row>
    <row r="829" spans="1:4" x14ac:dyDescent="0.2">
      <c r="A829">
        <v>829</v>
      </c>
      <c r="B829" t="s">
        <v>2751</v>
      </c>
      <c r="C829" t="s">
        <v>2752</v>
      </c>
      <c r="D829" s="382">
        <v>34654</v>
      </c>
    </row>
    <row r="830" spans="1:4" x14ac:dyDescent="0.2">
      <c r="A830">
        <v>830</v>
      </c>
      <c r="B830" t="s">
        <v>2753</v>
      </c>
      <c r="C830" t="s">
        <v>2754</v>
      </c>
      <c r="D830" s="382">
        <v>45476</v>
      </c>
    </row>
    <row r="831" spans="1:4" x14ac:dyDescent="0.2">
      <c r="A831">
        <v>831</v>
      </c>
      <c r="B831" t="s">
        <v>2755</v>
      </c>
      <c r="C831" t="s">
        <v>2756</v>
      </c>
      <c r="D831" t="s">
        <v>2757</v>
      </c>
    </row>
    <row r="832" spans="1:4" x14ac:dyDescent="0.2">
      <c r="A832">
        <v>832</v>
      </c>
      <c r="B832" t="s">
        <v>2758</v>
      </c>
      <c r="C832" t="s">
        <v>2759</v>
      </c>
      <c r="D832" s="382">
        <v>38183</v>
      </c>
    </row>
    <row r="833" spans="1:4" x14ac:dyDescent="0.2">
      <c r="A833">
        <v>833</v>
      </c>
      <c r="B833" t="s">
        <v>2760</v>
      </c>
      <c r="C833" t="s">
        <v>2761</v>
      </c>
      <c r="D833" s="382">
        <v>40644</v>
      </c>
    </row>
    <row r="834" spans="1:4" x14ac:dyDescent="0.2">
      <c r="A834">
        <v>834</v>
      </c>
      <c r="B834" t="s">
        <v>2762</v>
      </c>
      <c r="C834" t="s">
        <v>2763</v>
      </c>
      <c r="D834" s="382">
        <v>41442</v>
      </c>
    </row>
    <row r="835" spans="1:4" x14ac:dyDescent="0.2">
      <c r="A835">
        <v>835</v>
      </c>
      <c r="B835" t="s">
        <v>2764</v>
      </c>
      <c r="C835" t="s">
        <v>2765</v>
      </c>
      <c r="D835" s="382">
        <v>33980</v>
      </c>
    </row>
    <row r="836" spans="1:4" x14ac:dyDescent="0.2">
      <c r="A836">
        <v>836</v>
      </c>
      <c r="B836" t="s">
        <v>2766</v>
      </c>
      <c r="C836" t="s">
        <v>2767</v>
      </c>
      <c r="D836" s="382">
        <v>41451</v>
      </c>
    </row>
    <row r="837" spans="1:4" x14ac:dyDescent="0.2">
      <c r="A837">
        <v>837</v>
      </c>
      <c r="B837" t="s">
        <v>2768</v>
      </c>
      <c r="C837" t="s">
        <v>2769</v>
      </c>
      <c r="D837" s="382">
        <v>35516</v>
      </c>
    </row>
    <row r="838" spans="1:4" x14ac:dyDescent="0.2">
      <c r="A838">
        <v>838</v>
      </c>
      <c r="B838" t="s">
        <v>2770</v>
      </c>
      <c r="C838" t="s">
        <v>2771</v>
      </c>
      <c r="D838" t="s">
        <v>2772</v>
      </c>
    </row>
    <row r="839" spans="1:4" x14ac:dyDescent="0.2">
      <c r="A839">
        <v>839</v>
      </c>
      <c r="B839" t="s">
        <v>2773</v>
      </c>
      <c r="C839" t="s">
        <v>2774</v>
      </c>
      <c r="D839" t="s">
        <v>2775</v>
      </c>
    </row>
    <row r="840" spans="1:4" x14ac:dyDescent="0.2">
      <c r="A840">
        <v>840</v>
      </c>
      <c r="B840" t="s">
        <v>2776</v>
      </c>
      <c r="C840" t="s">
        <v>2777</v>
      </c>
      <c r="D840" s="382">
        <v>44630</v>
      </c>
    </row>
    <row r="841" spans="1:4" x14ac:dyDescent="0.2">
      <c r="A841">
        <v>841</v>
      </c>
      <c r="B841" t="s">
        <v>2778</v>
      </c>
      <c r="C841" t="s">
        <v>2779</v>
      </c>
      <c r="D841" s="382">
        <v>40737</v>
      </c>
    </row>
    <row r="842" spans="1:4" x14ac:dyDescent="0.2">
      <c r="A842">
        <v>842</v>
      </c>
      <c r="B842" t="s">
        <v>2780</v>
      </c>
      <c r="C842" t="s">
        <v>2781</v>
      </c>
      <c r="D842" t="s">
        <v>2782</v>
      </c>
    </row>
    <row r="843" spans="1:4" x14ac:dyDescent="0.2">
      <c r="A843">
        <v>843</v>
      </c>
      <c r="B843" t="s">
        <v>2783</v>
      </c>
      <c r="C843" t="s">
        <v>2784</v>
      </c>
      <c r="D843" t="s">
        <v>2785</v>
      </c>
    </row>
    <row r="844" spans="1:4" x14ac:dyDescent="0.2">
      <c r="A844">
        <v>844</v>
      </c>
      <c r="B844" t="s">
        <v>2786</v>
      </c>
      <c r="C844" t="s">
        <v>2787</v>
      </c>
      <c r="D844" s="382">
        <v>37426</v>
      </c>
    </row>
    <row r="845" spans="1:4" x14ac:dyDescent="0.2">
      <c r="A845">
        <v>845</v>
      </c>
      <c r="B845" t="s">
        <v>2788</v>
      </c>
      <c r="C845" t="s">
        <v>2789</v>
      </c>
      <c r="D845" s="382">
        <v>34414</v>
      </c>
    </row>
    <row r="846" spans="1:4" x14ac:dyDescent="0.2">
      <c r="A846">
        <v>846</v>
      </c>
      <c r="B846" t="s">
        <v>2790</v>
      </c>
      <c r="C846" t="s">
        <v>2791</v>
      </c>
      <c r="D846" s="382">
        <v>44935</v>
      </c>
    </row>
    <row r="847" spans="1:4" x14ac:dyDescent="0.2">
      <c r="A847">
        <v>847</v>
      </c>
      <c r="B847" t="s">
        <v>2792</v>
      </c>
      <c r="C847" t="s">
        <v>2793</v>
      </c>
      <c r="D847" t="s">
        <v>2794</v>
      </c>
    </row>
    <row r="848" spans="1:4" x14ac:dyDescent="0.2">
      <c r="A848">
        <v>848</v>
      </c>
      <c r="B848" t="s">
        <v>2795</v>
      </c>
      <c r="C848" t="s">
        <v>2796</v>
      </c>
      <c r="D848" t="s">
        <v>2008</v>
      </c>
    </row>
    <row r="849" spans="1:4" x14ac:dyDescent="0.2">
      <c r="A849">
        <v>849</v>
      </c>
      <c r="B849" t="s">
        <v>2797</v>
      </c>
      <c r="C849" t="s">
        <v>2798</v>
      </c>
      <c r="D849" t="s">
        <v>2799</v>
      </c>
    </row>
    <row r="850" spans="1:4" x14ac:dyDescent="0.2">
      <c r="A850">
        <v>850</v>
      </c>
      <c r="B850" t="s">
        <v>2800</v>
      </c>
      <c r="C850" t="s">
        <v>2801</v>
      </c>
      <c r="D850" s="382">
        <v>43259</v>
      </c>
    </row>
    <row r="851" spans="1:4" x14ac:dyDescent="0.2">
      <c r="A851">
        <v>851</v>
      </c>
      <c r="B851" t="s">
        <v>2802</v>
      </c>
      <c r="C851" t="s">
        <v>2803</v>
      </c>
      <c r="D851" s="382">
        <v>44749</v>
      </c>
    </row>
    <row r="852" spans="1:4" x14ac:dyDescent="0.2">
      <c r="A852">
        <v>852</v>
      </c>
      <c r="B852" t="s">
        <v>2804</v>
      </c>
      <c r="C852" t="s">
        <v>2805</v>
      </c>
      <c r="D852" s="382">
        <v>41656</v>
      </c>
    </row>
    <row r="853" spans="1:4" x14ac:dyDescent="0.2">
      <c r="A853">
        <v>853</v>
      </c>
      <c r="B853" t="s">
        <v>2806</v>
      </c>
      <c r="C853" t="s">
        <v>2807</v>
      </c>
      <c r="D853" s="382">
        <v>43871</v>
      </c>
    </row>
    <row r="854" spans="1:4" x14ac:dyDescent="0.2">
      <c r="A854">
        <v>854</v>
      </c>
      <c r="B854" t="s">
        <v>2808</v>
      </c>
      <c r="C854" t="s">
        <v>2809</v>
      </c>
      <c r="D854" t="s">
        <v>1402</v>
      </c>
    </row>
    <row r="855" spans="1:4" x14ac:dyDescent="0.2">
      <c r="A855">
        <v>855</v>
      </c>
      <c r="B855" t="s">
        <v>2810</v>
      </c>
      <c r="C855" t="s">
        <v>2811</v>
      </c>
      <c r="D855" s="382">
        <v>44298</v>
      </c>
    </row>
    <row r="856" spans="1:4" x14ac:dyDescent="0.2">
      <c r="A856">
        <v>856</v>
      </c>
      <c r="B856" t="s">
        <v>2812</v>
      </c>
      <c r="C856" t="s">
        <v>2813</v>
      </c>
      <c r="D856" s="382">
        <v>41831</v>
      </c>
    </row>
    <row r="857" spans="1:4" x14ac:dyDescent="0.2">
      <c r="A857">
        <v>857</v>
      </c>
      <c r="B857" t="s">
        <v>2814</v>
      </c>
      <c r="C857" t="s">
        <v>2815</v>
      </c>
      <c r="D857" s="382">
        <v>41215</v>
      </c>
    </row>
    <row r="858" spans="1:4" x14ac:dyDescent="0.2">
      <c r="A858">
        <v>858</v>
      </c>
      <c r="B858" t="s">
        <v>2816</v>
      </c>
      <c r="C858" t="s">
        <v>2817</v>
      </c>
      <c r="D858" t="s">
        <v>1368</v>
      </c>
    </row>
    <row r="859" spans="1:4" x14ac:dyDescent="0.2">
      <c r="A859">
        <v>859</v>
      </c>
      <c r="B859" t="s">
        <v>2818</v>
      </c>
      <c r="C859" t="s">
        <v>2819</v>
      </c>
      <c r="D859" t="s">
        <v>2820</v>
      </c>
    </row>
    <row r="860" spans="1:4" x14ac:dyDescent="0.2">
      <c r="A860">
        <v>860</v>
      </c>
      <c r="B860" t="s">
        <v>2821</v>
      </c>
      <c r="C860" t="s">
        <v>2822</v>
      </c>
      <c r="D860" s="382">
        <v>36570</v>
      </c>
    </row>
    <row r="861" spans="1:4" x14ac:dyDescent="0.2">
      <c r="A861">
        <v>861</v>
      </c>
      <c r="B861" t="s">
        <v>2823</v>
      </c>
      <c r="C861" t="s">
        <v>2824</v>
      </c>
      <c r="D861" t="s">
        <v>2825</v>
      </c>
    </row>
    <row r="862" spans="1:4" x14ac:dyDescent="0.2">
      <c r="A862">
        <v>862</v>
      </c>
      <c r="B862" t="s">
        <v>2826</v>
      </c>
      <c r="C862" t="s">
        <v>2827</v>
      </c>
      <c r="D862" s="382">
        <v>34242</v>
      </c>
    </row>
    <row r="863" spans="1:4" x14ac:dyDescent="0.2">
      <c r="A863">
        <v>863</v>
      </c>
      <c r="B863" t="s">
        <v>2828</v>
      </c>
      <c r="C863" t="s">
        <v>2829</v>
      </c>
      <c r="D863" s="382">
        <v>43287</v>
      </c>
    </row>
    <row r="864" spans="1:4" x14ac:dyDescent="0.2">
      <c r="A864">
        <v>864</v>
      </c>
      <c r="B864" t="s">
        <v>2830</v>
      </c>
      <c r="C864" t="s">
        <v>2831</v>
      </c>
      <c r="D864" s="382">
        <v>43199</v>
      </c>
    </row>
    <row r="865" spans="1:4" x14ac:dyDescent="0.2">
      <c r="A865">
        <v>865</v>
      </c>
      <c r="B865" t="s">
        <v>2832</v>
      </c>
      <c r="C865" t="s">
        <v>2833</v>
      </c>
      <c r="D865" s="382">
        <v>43787</v>
      </c>
    </row>
    <row r="866" spans="1:4" x14ac:dyDescent="0.2">
      <c r="A866">
        <v>866</v>
      </c>
      <c r="B866" t="s">
        <v>2834</v>
      </c>
      <c r="C866" t="s">
        <v>2835</v>
      </c>
      <c r="D866" s="382">
        <v>43986</v>
      </c>
    </row>
    <row r="867" spans="1:4" x14ac:dyDescent="0.2">
      <c r="A867">
        <v>867</v>
      </c>
      <c r="B867" t="s">
        <v>2836</v>
      </c>
      <c r="C867" t="s">
        <v>2837</v>
      </c>
      <c r="D867" s="382">
        <v>40920</v>
      </c>
    </row>
    <row r="868" spans="1:4" x14ac:dyDescent="0.2">
      <c r="A868">
        <v>868</v>
      </c>
      <c r="B868" t="s">
        <v>2838</v>
      </c>
      <c r="C868" t="s">
        <v>2839</v>
      </c>
      <c r="D868" s="382">
        <v>43725</v>
      </c>
    </row>
    <row r="869" spans="1:4" x14ac:dyDescent="0.2">
      <c r="A869">
        <v>869</v>
      </c>
      <c r="B869" t="s">
        <v>2840</v>
      </c>
      <c r="C869" t="s">
        <v>2841</v>
      </c>
      <c r="D869" s="382">
        <v>29277</v>
      </c>
    </row>
    <row r="870" spans="1:4" x14ac:dyDescent="0.2">
      <c r="A870">
        <v>870</v>
      </c>
      <c r="B870" t="s">
        <v>2842</v>
      </c>
      <c r="C870" t="s">
        <v>2843</v>
      </c>
      <c r="D870" s="382">
        <v>33035</v>
      </c>
    </row>
    <row r="871" spans="1:4" x14ac:dyDescent="0.2">
      <c r="A871">
        <v>871</v>
      </c>
      <c r="B871" t="s">
        <v>2844</v>
      </c>
      <c r="C871" t="s">
        <v>2845</v>
      </c>
      <c r="D871" t="s">
        <v>2846</v>
      </c>
    </row>
    <row r="872" spans="1:4" x14ac:dyDescent="0.2">
      <c r="A872">
        <v>872</v>
      </c>
      <c r="B872" t="s">
        <v>2847</v>
      </c>
      <c r="C872" t="s">
        <v>2848</v>
      </c>
      <c r="D872" s="382">
        <v>45117</v>
      </c>
    </row>
    <row r="873" spans="1:4" x14ac:dyDescent="0.2">
      <c r="A873">
        <v>873</v>
      </c>
      <c r="B873" t="s">
        <v>2849</v>
      </c>
      <c r="C873" t="s">
        <v>2850</v>
      </c>
      <c r="D873" s="382">
        <v>40732</v>
      </c>
    </row>
    <row r="874" spans="1:4" x14ac:dyDescent="0.2">
      <c r="A874">
        <v>874</v>
      </c>
      <c r="B874" t="s">
        <v>2851</v>
      </c>
      <c r="C874" t="s">
        <v>2852</v>
      </c>
      <c r="D874" t="s">
        <v>2853</v>
      </c>
    </row>
    <row r="875" spans="1:4" x14ac:dyDescent="0.2">
      <c r="A875">
        <v>875</v>
      </c>
      <c r="B875" t="s">
        <v>2854</v>
      </c>
      <c r="C875" t="s">
        <v>2855</v>
      </c>
      <c r="D875" s="382">
        <v>34177</v>
      </c>
    </row>
    <row r="876" spans="1:4" x14ac:dyDescent="0.2">
      <c r="A876">
        <v>876</v>
      </c>
      <c r="B876" t="s">
        <v>2856</v>
      </c>
      <c r="C876" t="s">
        <v>2857</v>
      </c>
      <c r="D876" t="s">
        <v>2858</v>
      </c>
    </row>
    <row r="877" spans="1:4" x14ac:dyDescent="0.2">
      <c r="A877">
        <v>877</v>
      </c>
      <c r="B877" t="s">
        <v>2859</v>
      </c>
      <c r="C877" t="s">
        <v>2860</v>
      </c>
      <c r="D877" s="382">
        <v>32966</v>
      </c>
    </row>
    <row r="878" spans="1:4" x14ac:dyDescent="0.2">
      <c r="A878">
        <v>878</v>
      </c>
      <c r="B878" t="s">
        <v>2861</v>
      </c>
      <c r="C878" t="s">
        <v>2862</v>
      </c>
      <c r="D878" s="382">
        <v>44663</v>
      </c>
    </row>
    <row r="879" spans="1:4" x14ac:dyDescent="0.2">
      <c r="A879">
        <v>879</v>
      </c>
      <c r="B879" t="s">
        <v>2863</v>
      </c>
      <c r="C879" t="s">
        <v>2864</v>
      </c>
      <c r="D879" s="382">
        <v>35017</v>
      </c>
    </row>
    <row r="880" spans="1:4" x14ac:dyDescent="0.2">
      <c r="A880">
        <v>880</v>
      </c>
      <c r="B880" t="s">
        <v>2865</v>
      </c>
      <c r="C880" t="s">
        <v>2866</v>
      </c>
      <c r="D880" s="382">
        <v>37811</v>
      </c>
    </row>
    <row r="881" spans="1:4" x14ac:dyDescent="0.2">
      <c r="A881">
        <v>881</v>
      </c>
      <c r="B881" t="s">
        <v>2867</v>
      </c>
      <c r="C881" t="s">
        <v>2868</v>
      </c>
      <c r="D881" s="382">
        <v>36899</v>
      </c>
    </row>
    <row r="882" spans="1:4" x14ac:dyDescent="0.2">
      <c r="A882">
        <v>882</v>
      </c>
      <c r="B882" t="s">
        <v>2869</v>
      </c>
      <c r="C882" t="s">
        <v>2870</v>
      </c>
      <c r="D882" s="382">
        <v>43279</v>
      </c>
    </row>
    <row r="883" spans="1:4" x14ac:dyDescent="0.2">
      <c r="A883">
        <v>883</v>
      </c>
      <c r="B883" t="s">
        <v>2871</v>
      </c>
      <c r="C883" t="s">
        <v>2872</v>
      </c>
      <c r="D883" s="382">
        <v>41096</v>
      </c>
    </row>
    <row r="884" spans="1:4" x14ac:dyDescent="0.2">
      <c r="A884">
        <v>884</v>
      </c>
      <c r="B884" t="s">
        <v>2873</v>
      </c>
      <c r="C884" t="s">
        <v>2874</v>
      </c>
      <c r="D884" t="s">
        <v>1273</v>
      </c>
    </row>
    <row r="885" spans="1:4" x14ac:dyDescent="0.2">
      <c r="A885">
        <v>885</v>
      </c>
      <c r="B885" t="s">
        <v>2875</v>
      </c>
      <c r="C885" t="s">
        <v>2876</v>
      </c>
      <c r="D885" s="382">
        <v>42902</v>
      </c>
    </row>
    <row r="886" spans="1:4" x14ac:dyDescent="0.2">
      <c r="A886">
        <v>886</v>
      </c>
      <c r="B886" t="s">
        <v>2877</v>
      </c>
      <c r="C886" t="s">
        <v>2878</v>
      </c>
      <c r="D886" s="382">
        <v>45329</v>
      </c>
    </row>
    <row r="887" spans="1:4" x14ac:dyDescent="0.2">
      <c r="A887">
        <v>887</v>
      </c>
      <c r="B887" t="s">
        <v>2879</v>
      </c>
      <c r="C887" t="s">
        <v>2880</v>
      </c>
      <c r="D887" s="382">
        <v>38923</v>
      </c>
    </row>
    <row r="888" spans="1:4" x14ac:dyDescent="0.2">
      <c r="A888">
        <v>888</v>
      </c>
      <c r="B888" t="s">
        <v>2881</v>
      </c>
      <c r="C888" t="s">
        <v>2882</v>
      </c>
      <c r="D888" t="s">
        <v>2883</v>
      </c>
    </row>
    <row r="889" spans="1:4" x14ac:dyDescent="0.2">
      <c r="A889">
        <v>889</v>
      </c>
      <c r="B889" t="s">
        <v>2884</v>
      </c>
      <c r="C889" t="s">
        <v>2885</v>
      </c>
      <c r="D889" s="382">
        <v>40245</v>
      </c>
    </row>
    <row r="890" spans="1:4" x14ac:dyDescent="0.2">
      <c r="A890">
        <v>890</v>
      </c>
      <c r="B890" t="s">
        <v>2886</v>
      </c>
      <c r="C890" t="s">
        <v>2887</v>
      </c>
      <c r="D890" t="s">
        <v>2888</v>
      </c>
    </row>
    <row r="891" spans="1:4" x14ac:dyDescent="0.2">
      <c r="A891">
        <v>891</v>
      </c>
      <c r="B891" t="s">
        <v>2889</v>
      </c>
      <c r="C891" t="s">
        <v>2890</v>
      </c>
      <c r="D891" t="s">
        <v>2891</v>
      </c>
    </row>
    <row r="892" spans="1:4" x14ac:dyDescent="0.2">
      <c r="A892">
        <v>892</v>
      </c>
      <c r="B892" t="s">
        <v>2892</v>
      </c>
      <c r="C892" t="s">
        <v>2893</v>
      </c>
      <c r="D892" s="382">
        <v>41325</v>
      </c>
    </row>
    <row r="893" spans="1:4" x14ac:dyDescent="0.2">
      <c r="A893">
        <v>893</v>
      </c>
      <c r="B893" t="s">
        <v>2894</v>
      </c>
      <c r="C893" t="s">
        <v>2895</v>
      </c>
      <c r="D893" s="382">
        <v>39701</v>
      </c>
    </row>
    <row r="894" spans="1:4" x14ac:dyDescent="0.2">
      <c r="A894">
        <v>894</v>
      </c>
      <c r="B894" t="s">
        <v>2896</v>
      </c>
      <c r="C894" t="s">
        <v>2897</v>
      </c>
      <c r="D894" s="382">
        <v>44750</v>
      </c>
    </row>
    <row r="895" spans="1:4" x14ac:dyDescent="0.2">
      <c r="A895">
        <v>895</v>
      </c>
      <c r="B895" t="s">
        <v>2898</v>
      </c>
      <c r="C895" t="s">
        <v>2899</v>
      </c>
      <c r="D895" s="382">
        <v>39475</v>
      </c>
    </row>
    <row r="896" spans="1:4" x14ac:dyDescent="0.2">
      <c r="A896">
        <v>896</v>
      </c>
      <c r="B896" t="s">
        <v>2900</v>
      </c>
      <c r="C896" t="s">
        <v>2901</v>
      </c>
      <c r="D896" s="382">
        <v>36556</v>
      </c>
    </row>
    <row r="897" spans="1:4" x14ac:dyDescent="0.2">
      <c r="A897">
        <v>897</v>
      </c>
      <c r="B897" t="s">
        <v>2902</v>
      </c>
      <c r="C897" t="s">
        <v>2903</v>
      </c>
      <c r="D897" s="382">
        <v>43845</v>
      </c>
    </row>
    <row r="898" spans="1:4" x14ac:dyDescent="0.2">
      <c r="A898">
        <v>898</v>
      </c>
      <c r="B898" t="s">
        <v>2904</v>
      </c>
      <c r="C898" t="s">
        <v>2905</v>
      </c>
      <c r="D898" s="382">
        <v>39917</v>
      </c>
    </row>
    <row r="899" spans="1:4" x14ac:dyDescent="0.2">
      <c r="A899">
        <v>899</v>
      </c>
      <c r="B899" t="s">
        <v>2906</v>
      </c>
      <c r="C899" t="s">
        <v>2907</v>
      </c>
      <c r="D899" s="382">
        <v>41088</v>
      </c>
    </row>
    <row r="900" spans="1:4" x14ac:dyDescent="0.2">
      <c r="A900">
        <v>900</v>
      </c>
      <c r="B900" t="s">
        <v>2908</v>
      </c>
      <c r="C900" t="s">
        <v>2909</v>
      </c>
      <c r="D900" t="s">
        <v>2910</v>
      </c>
    </row>
    <row r="901" spans="1:4" x14ac:dyDescent="0.2">
      <c r="A901">
        <v>901</v>
      </c>
      <c r="B901" t="s">
        <v>2911</v>
      </c>
      <c r="C901" t="s">
        <v>2912</v>
      </c>
      <c r="D901" s="382">
        <v>44993</v>
      </c>
    </row>
    <row r="902" spans="1:4" x14ac:dyDescent="0.2">
      <c r="A902">
        <v>902</v>
      </c>
      <c r="B902" t="s">
        <v>2913</v>
      </c>
      <c r="C902" t="s">
        <v>2914</v>
      </c>
      <c r="D902" s="382">
        <v>33056</v>
      </c>
    </row>
    <row r="903" spans="1:4" x14ac:dyDescent="0.2">
      <c r="A903">
        <v>903</v>
      </c>
      <c r="B903" t="b">
        <v>1</v>
      </c>
      <c r="C903" t="s">
        <v>2915</v>
      </c>
      <c r="D903" s="382">
        <v>44357</v>
      </c>
    </row>
    <row r="904" spans="1:4" x14ac:dyDescent="0.2">
      <c r="A904">
        <v>904</v>
      </c>
      <c r="B904" t="s">
        <v>2916</v>
      </c>
      <c r="C904" t="s">
        <v>2917</v>
      </c>
      <c r="D904" t="s">
        <v>2556</v>
      </c>
    </row>
    <row r="905" spans="1:4" x14ac:dyDescent="0.2">
      <c r="A905">
        <v>905</v>
      </c>
      <c r="B905" t="s">
        <v>2918</v>
      </c>
      <c r="C905" t="s">
        <v>2919</v>
      </c>
      <c r="D905" s="382">
        <v>37588</v>
      </c>
    </row>
    <row r="906" spans="1:4" x14ac:dyDescent="0.2">
      <c r="A906">
        <v>906</v>
      </c>
      <c r="B906" t="s">
        <v>2920</v>
      </c>
      <c r="C906" t="s">
        <v>2921</v>
      </c>
      <c r="D906" s="382">
        <v>34502</v>
      </c>
    </row>
    <row r="907" spans="1:4" x14ac:dyDescent="0.2">
      <c r="A907">
        <v>907</v>
      </c>
      <c r="B907" t="s">
        <v>2922</v>
      </c>
      <c r="C907" t="s">
        <v>2923</v>
      </c>
      <c r="D907" t="s">
        <v>2924</v>
      </c>
    </row>
    <row r="908" spans="1:4" x14ac:dyDescent="0.2">
      <c r="A908">
        <v>908</v>
      </c>
      <c r="B908" t="s">
        <v>2925</v>
      </c>
      <c r="C908" t="s">
        <v>2926</v>
      </c>
      <c r="D908" t="s">
        <v>1480</v>
      </c>
    </row>
    <row r="909" spans="1:4" x14ac:dyDescent="0.2">
      <c r="A909">
        <v>909</v>
      </c>
      <c r="B909" t="s">
        <v>2927</v>
      </c>
      <c r="C909" t="s">
        <v>2928</v>
      </c>
      <c r="D909" s="382">
        <v>44018</v>
      </c>
    </row>
    <row r="910" spans="1:4" x14ac:dyDescent="0.2">
      <c r="A910">
        <v>910</v>
      </c>
      <c r="B910" t="s">
        <v>2929</v>
      </c>
      <c r="C910" t="s">
        <v>2930</v>
      </c>
      <c r="D910" t="s">
        <v>2931</v>
      </c>
    </row>
    <row r="911" spans="1:4" x14ac:dyDescent="0.2">
      <c r="A911">
        <v>911</v>
      </c>
      <c r="B911" t="s">
        <v>2932</v>
      </c>
      <c r="C911" t="s">
        <v>2933</v>
      </c>
      <c r="D911" t="s">
        <v>2934</v>
      </c>
    </row>
    <row r="912" spans="1:4" x14ac:dyDescent="0.2">
      <c r="A912">
        <v>912</v>
      </c>
      <c r="B912" t="s">
        <v>2935</v>
      </c>
      <c r="C912" t="s">
        <v>2936</v>
      </c>
      <c r="D912" s="382">
        <v>44228</v>
      </c>
    </row>
    <row r="913" spans="1:4" x14ac:dyDescent="0.2">
      <c r="A913">
        <v>913</v>
      </c>
      <c r="B913" t="s">
        <v>2937</v>
      </c>
      <c r="C913" t="s">
        <v>2938</v>
      </c>
      <c r="D913" s="382">
        <v>33056</v>
      </c>
    </row>
    <row r="914" spans="1:4" x14ac:dyDescent="0.2">
      <c r="A914">
        <v>914</v>
      </c>
      <c r="B914" t="s">
        <v>2939</v>
      </c>
      <c r="C914" t="s">
        <v>2940</v>
      </c>
      <c r="D914" s="382">
        <v>32818</v>
      </c>
    </row>
    <row r="915" spans="1:4" x14ac:dyDescent="0.2">
      <c r="A915">
        <v>915</v>
      </c>
      <c r="B915" t="s">
        <v>2941</v>
      </c>
      <c r="C915" t="s">
        <v>2942</v>
      </c>
      <c r="D915" s="382">
        <v>44263</v>
      </c>
    </row>
    <row r="916" spans="1:4" x14ac:dyDescent="0.2">
      <c r="A916">
        <v>916</v>
      </c>
      <c r="B916" t="s">
        <v>2943</v>
      </c>
      <c r="C916" t="s">
        <v>2944</v>
      </c>
      <c r="D916" s="382">
        <v>37364</v>
      </c>
    </row>
    <row r="917" spans="1:4" x14ac:dyDescent="0.2">
      <c r="A917">
        <v>917</v>
      </c>
      <c r="B917" t="s">
        <v>2945</v>
      </c>
      <c r="C917" t="s">
        <v>2946</v>
      </c>
      <c r="D917" s="382">
        <v>32938</v>
      </c>
    </row>
    <row r="918" spans="1:4" x14ac:dyDescent="0.2">
      <c r="A918">
        <v>918</v>
      </c>
      <c r="B918" t="s">
        <v>2947</v>
      </c>
      <c r="C918" t="s">
        <v>2948</v>
      </c>
      <c r="D918" s="382">
        <v>45329</v>
      </c>
    </row>
    <row r="919" spans="1:4" x14ac:dyDescent="0.2">
      <c r="A919">
        <v>919</v>
      </c>
      <c r="B919" t="s">
        <v>2949</v>
      </c>
      <c r="C919" t="s">
        <v>2950</v>
      </c>
      <c r="D919" s="382">
        <v>32770</v>
      </c>
    </row>
    <row r="920" spans="1:4" x14ac:dyDescent="0.2">
      <c r="A920">
        <v>920</v>
      </c>
      <c r="B920" t="s">
        <v>2951</v>
      </c>
      <c r="C920" t="s">
        <v>2952</v>
      </c>
      <c r="D920" s="382">
        <v>29962</v>
      </c>
    </row>
    <row r="921" spans="1:4" x14ac:dyDescent="0.2">
      <c r="A921">
        <v>921</v>
      </c>
      <c r="B921" t="s">
        <v>2953</v>
      </c>
      <c r="C921" t="s">
        <v>2954</v>
      </c>
      <c r="D921" t="s">
        <v>2748</v>
      </c>
    </row>
    <row r="922" spans="1:4" x14ac:dyDescent="0.2">
      <c r="A922">
        <v>922</v>
      </c>
      <c r="B922" t="s">
        <v>2955</v>
      </c>
      <c r="C922" t="s">
        <v>2956</v>
      </c>
      <c r="D922" s="382">
        <v>44404</v>
      </c>
    </row>
    <row r="923" spans="1:4" x14ac:dyDescent="0.2">
      <c r="A923">
        <v>923</v>
      </c>
      <c r="B923" t="s">
        <v>2957</v>
      </c>
      <c r="C923" t="s">
        <v>2958</v>
      </c>
      <c r="D923" s="382">
        <v>44965</v>
      </c>
    </row>
    <row r="924" spans="1:4" x14ac:dyDescent="0.2">
      <c r="A924">
        <v>924</v>
      </c>
      <c r="B924" t="s">
        <v>2959</v>
      </c>
      <c r="C924" t="s">
        <v>2960</v>
      </c>
      <c r="D924" t="s">
        <v>2525</v>
      </c>
    </row>
    <row r="925" spans="1:4" x14ac:dyDescent="0.2">
      <c r="A925">
        <v>925</v>
      </c>
      <c r="B925" t="s">
        <v>2961</v>
      </c>
      <c r="C925" t="s">
        <v>2962</v>
      </c>
      <c r="D925" t="s">
        <v>2963</v>
      </c>
    </row>
    <row r="926" spans="1:4" x14ac:dyDescent="0.2">
      <c r="A926">
        <v>926</v>
      </c>
      <c r="B926" t="s">
        <v>2964</v>
      </c>
      <c r="C926" t="s">
        <v>2965</v>
      </c>
      <c r="D926" s="382">
        <v>41463</v>
      </c>
    </row>
    <row r="927" spans="1:4" x14ac:dyDescent="0.2">
      <c r="A927">
        <v>927</v>
      </c>
      <c r="B927" t="s">
        <v>2966</v>
      </c>
      <c r="C927" t="s">
        <v>2967</v>
      </c>
      <c r="D927" s="382">
        <v>42275</v>
      </c>
    </row>
    <row r="928" spans="1:4" x14ac:dyDescent="0.2">
      <c r="A928">
        <v>928</v>
      </c>
      <c r="B928" t="s">
        <v>2968</v>
      </c>
      <c r="C928" t="s">
        <v>2969</v>
      </c>
      <c r="D928" s="382">
        <v>45349</v>
      </c>
    </row>
    <row r="929" spans="1:4" x14ac:dyDescent="0.2">
      <c r="A929">
        <v>929</v>
      </c>
      <c r="B929" t="s">
        <v>2970</v>
      </c>
      <c r="C929" t="s">
        <v>2971</v>
      </c>
      <c r="D929" s="382">
        <v>40868</v>
      </c>
    </row>
    <row r="930" spans="1:4" x14ac:dyDescent="0.2">
      <c r="A930">
        <v>930</v>
      </c>
      <c r="B930" t="s">
        <v>2972</v>
      </c>
      <c r="C930" t="s">
        <v>2973</v>
      </c>
      <c r="D930" s="382">
        <v>45096</v>
      </c>
    </row>
    <row r="931" spans="1:4" x14ac:dyDescent="0.2">
      <c r="A931">
        <v>931</v>
      </c>
      <c r="B931" t="s">
        <v>2974</v>
      </c>
      <c r="C931" t="s">
        <v>2975</v>
      </c>
      <c r="D931" t="s">
        <v>2976</v>
      </c>
    </row>
    <row r="932" spans="1:4" x14ac:dyDescent="0.2">
      <c r="A932">
        <v>932</v>
      </c>
      <c r="B932" t="s">
        <v>2977</v>
      </c>
      <c r="C932" t="s">
        <v>2978</v>
      </c>
      <c r="D932" s="382">
        <v>39624</v>
      </c>
    </row>
    <row r="933" spans="1:4" x14ac:dyDescent="0.2">
      <c r="A933">
        <v>933</v>
      </c>
      <c r="B933" t="s">
        <v>2979</v>
      </c>
      <c r="C933" t="s">
        <v>2980</v>
      </c>
      <c r="D933" t="s">
        <v>2981</v>
      </c>
    </row>
    <row r="934" spans="1:4" x14ac:dyDescent="0.2">
      <c r="A934">
        <v>934</v>
      </c>
      <c r="B934" t="s">
        <v>2982</v>
      </c>
      <c r="C934" t="s">
        <v>2983</v>
      </c>
      <c r="D934" s="382">
        <v>37064</v>
      </c>
    </row>
    <row r="935" spans="1:4" x14ac:dyDescent="0.2">
      <c r="A935">
        <v>935</v>
      </c>
      <c r="B935" t="s">
        <v>2984</v>
      </c>
      <c r="C935" t="s">
        <v>2985</v>
      </c>
      <c r="D935" s="382">
        <v>43069</v>
      </c>
    </row>
    <row r="936" spans="1:4" x14ac:dyDescent="0.2">
      <c r="A936">
        <v>936</v>
      </c>
      <c r="B936" t="s">
        <v>2986</v>
      </c>
      <c r="C936" t="s">
        <v>2987</v>
      </c>
      <c r="D936" t="s">
        <v>2988</v>
      </c>
    </row>
    <row r="937" spans="1:4" x14ac:dyDescent="0.2">
      <c r="A937">
        <v>937</v>
      </c>
      <c r="B937" t="s">
        <v>2989</v>
      </c>
      <c r="C937" t="s">
        <v>2990</v>
      </c>
      <c r="D937" t="s">
        <v>1368</v>
      </c>
    </row>
    <row r="938" spans="1:4" x14ac:dyDescent="0.2">
      <c r="A938">
        <v>938</v>
      </c>
      <c r="B938" t="s">
        <v>2991</v>
      </c>
      <c r="C938" t="s">
        <v>2992</v>
      </c>
      <c r="D938" t="s">
        <v>2993</v>
      </c>
    </row>
    <row r="939" spans="1:4" x14ac:dyDescent="0.2">
      <c r="A939">
        <v>939</v>
      </c>
      <c r="B939" t="s">
        <v>2994</v>
      </c>
      <c r="C939" t="s">
        <v>2995</v>
      </c>
      <c r="D939" s="382">
        <v>45117</v>
      </c>
    </row>
    <row r="940" spans="1:4" x14ac:dyDescent="0.2">
      <c r="A940">
        <v>940</v>
      </c>
      <c r="B940" t="s">
        <v>2996</v>
      </c>
      <c r="C940" t="s">
        <v>2997</v>
      </c>
      <c r="D940" t="s">
        <v>2998</v>
      </c>
    </row>
    <row r="941" spans="1:4" x14ac:dyDescent="0.2">
      <c r="A941">
        <v>941</v>
      </c>
      <c r="B941" t="s">
        <v>2999</v>
      </c>
      <c r="C941" t="s">
        <v>3000</v>
      </c>
      <c r="D941" t="s">
        <v>3001</v>
      </c>
    </row>
    <row r="942" spans="1:4" x14ac:dyDescent="0.2">
      <c r="A942">
        <v>942</v>
      </c>
      <c r="B942" t="s">
        <v>3002</v>
      </c>
      <c r="C942" t="s">
        <v>3003</v>
      </c>
      <c r="D942" t="s">
        <v>3004</v>
      </c>
    </row>
    <row r="943" spans="1:4" x14ac:dyDescent="0.2">
      <c r="A943">
        <v>943</v>
      </c>
      <c r="B943" t="s">
        <v>3005</v>
      </c>
      <c r="C943" t="s">
        <v>3006</v>
      </c>
      <c r="D943" s="382">
        <v>44936</v>
      </c>
    </row>
    <row r="944" spans="1:4" x14ac:dyDescent="0.2">
      <c r="A944">
        <v>944</v>
      </c>
      <c r="B944" t="s">
        <v>3007</v>
      </c>
      <c r="C944" t="s">
        <v>3008</v>
      </c>
      <c r="D944" s="382">
        <v>44676</v>
      </c>
    </row>
    <row r="945" spans="1:4" x14ac:dyDescent="0.2">
      <c r="A945">
        <v>945</v>
      </c>
      <c r="B945" t="s">
        <v>3009</v>
      </c>
      <c r="C945" t="s">
        <v>3010</v>
      </c>
      <c r="D945" s="382">
        <v>40511</v>
      </c>
    </row>
    <row r="946" spans="1:4" x14ac:dyDescent="0.2">
      <c r="A946">
        <v>946</v>
      </c>
      <c r="B946" t="s">
        <v>3011</v>
      </c>
      <c r="C946" t="s">
        <v>3012</v>
      </c>
      <c r="D946" s="382">
        <v>44655</v>
      </c>
    </row>
    <row r="947" spans="1:4" x14ac:dyDescent="0.2">
      <c r="A947">
        <v>947</v>
      </c>
      <c r="B947" t="s">
        <v>3013</v>
      </c>
      <c r="C947" t="s">
        <v>3014</v>
      </c>
      <c r="D947" t="s">
        <v>1368</v>
      </c>
    </row>
    <row r="948" spans="1:4" x14ac:dyDescent="0.2">
      <c r="A948">
        <v>948</v>
      </c>
      <c r="B948" t="s">
        <v>3015</v>
      </c>
      <c r="C948" t="s">
        <v>3016</v>
      </c>
      <c r="D948" s="382">
        <v>44229</v>
      </c>
    </row>
    <row r="949" spans="1:4" x14ac:dyDescent="0.2">
      <c r="A949">
        <v>949</v>
      </c>
      <c r="B949" t="s">
        <v>3017</v>
      </c>
      <c r="C949" t="s">
        <v>3018</v>
      </c>
      <c r="D949" t="s">
        <v>3019</v>
      </c>
    </row>
    <row r="950" spans="1:4" x14ac:dyDescent="0.2">
      <c r="A950">
        <v>950</v>
      </c>
      <c r="B950" t="s">
        <v>3020</v>
      </c>
      <c r="C950" t="s">
        <v>3021</v>
      </c>
      <c r="D950" s="382">
        <v>42907</v>
      </c>
    </row>
    <row r="951" spans="1:4" x14ac:dyDescent="0.2">
      <c r="A951">
        <v>951</v>
      </c>
      <c r="B951" t="s">
        <v>3022</v>
      </c>
      <c r="C951" t="s">
        <v>3023</v>
      </c>
      <c r="D951" s="382">
        <v>43777</v>
      </c>
    </row>
    <row r="952" spans="1:4" x14ac:dyDescent="0.2">
      <c r="A952">
        <v>952</v>
      </c>
      <c r="B952" t="s">
        <v>3024</v>
      </c>
      <c r="C952" t="s">
        <v>3025</v>
      </c>
      <c r="D952" s="382">
        <v>42633</v>
      </c>
    </row>
    <row r="953" spans="1:4" x14ac:dyDescent="0.2">
      <c r="A953">
        <v>953</v>
      </c>
      <c r="B953" t="s">
        <v>3026</v>
      </c>
      <c r="C953" t="s">
        <v>3027</v>
      </c>
      <c r="D953" t="s">
        <v>3028</v>
      </c>
    </row>
    <row r="954" spans="1:4" x14ac:dyDescent="0.2">
      <c r="A954">
        <v>954</v>
      </c>
      <c r="B954" t="s">
        <v>3029</v>
      </c>
      <c r="C954" t="s">
        <v>3030</v>
      </c>
      <c r="D954" s="382">
        <v>41737</v>
      </c>
    </row>
    <row r="955" spans="1:4" x14ac:dyDescent="0.2">
      <c r="A955">
        <v>955</v>
      </c>
      <c r="B955" t="s">
        <v>3031</v>
      </c>
      <c r="C955" t="s">
        <v>3032</v>
      </c>
      <c r="D955" t="s">
        <v>3033</v>
      </c>
    </row>
    <row r="956" spans="1:4" x14ac:dyDescent="0.2">
      <c r="A956">
        <v>956</v>
      </c>
      <c r="B956" t="s">
        <v>3034</v>
      </c>
      <c r="C956" t="s">
        <v>3035</v>
      </c>
      <c r="D956" s="382">
        <v>45665</v>
      </c>
    </row>
    <row r="957" spans="1:4" x14ac:dyDescent="0.2">
      <c r="A957">
        <v>957</v>
      </c>
      <c r="B957" t="s">
        <v>3036</v>
      </c>
      <c r="C957" t="s">
        <v>3037</v>
      </c>
      <c r="D957" s="382">
        <v>39512</v>
      </c>
    </row>
    <row r="958" spans="1:4" x14ac:dyDescent="0.2">
      <c r="A958">
        <v>958</v>
      </c>
      <c r="B958" t="s">
        <v>3038</v>
      </c>
      <c r="C958" t="s">
        <v>3039</v>
      </c>
      <c r="D958" t="s">
        <v>3040</v>
      </c>
    </row>
    <row r="959" spans="1:4" x14ac:dyDescent="0.2">
      <c r="A959">
        <v>959</v>
      </c>
      <c r="B959" t="s">
        <v>3041</v>
      </c>
      <c r="C959" t="s">
        <v>3042</v>
      </c>
      <c r="D959" s="382">
        <v>45741</v>
      </c>
    </row>
    <row r="960" spans="1:4" x14ac:dyDescent="0.2">
      <c r="A960">
        <v>960</v>
      </c>
      <c r="B960" t="s">
        <v>3043</v>
      </c>
      <c r="C960" t="s">
        <v>3044</v>
      </c>
      <c r="D960" s="382">
        <v>44875</v>
      </c>
    </row>
    <row r="961" spans="1:4" x14ac:dyDescent="0.2">
      <c r="A961">
        <v>961</v>
      </c>
      <c r="B961" t="s">
        <v>3045</v>
      </c>
      <c r="C961" t="s">
        <v>3046</v>
      </c>
      <c r="D961" t="s">
        <v>3047</v>
      </c>
    </row>
    <row r="962" spans="1:4" x14ac:dyDescent="0.2">
      <c r="A962">
        <v>962</v>
      </c>
      <c r="B962" t="s">
        <v>3048</v>
      </c>
      <c r="C962" t="s">
        <v>3049</v>
      </c>
      <c r="D962" t="s">
        <v>3050</v>
      </c>
    </row>
    <row r="963" spans="1:4" x14ac:dyDescent="0.2">
      <c r="A963">
        <v>963</v>
      </c>
      <c r="B963" t="s">
        <v>3051</v>
      </c>
      <c r="C963" t="s">
        <v>3052</v>
      </c>
      <c r="D963" t="s">
        <v>3053</v>
      </c>
    </row>
    <row r="964" spans="1:4" x14ac:dyDescent="0.2">
      <c r="A964">
        <v>964</v>
      </c>
      <c r="B964" t="s">
        <v>3054</v>
      </c>
      <c r="C964" t="s">
        <v>3055</v>
      </c>
      <c r="D964" s="382">
        <v>44285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4" tint="-0.249977111117893"/>
  </sheetPr>
  <dimension ref="A1:J75"/>
  <sheetViews>
    <sheetView showGridLines="0" zoomScale="79" zoomScaleNormal="100" workbookViewId="0">
      <selection activeCell="C5" sqref="C5"/>
    </sheetView>
  </sheetViews>
  <sheetFormatPr baseColWidth="10" defaultColWidth="8.83203125" defaultRowHeight="15" x14ac:dyDescent="0.2"/>
  <cols>
    <col min="1" max="1" width="12.5" customWidth="1"/>
    <col min="2" max="2" width="70.1640625" customWidth="1"/>
    <col min="3" max="5" width="16.33203125" bestFit="1" customWidth="1"/>
    <col min="6" max="6" width="14.6640625" bestFit="1" customWidth="1"/>
    <col min="7" max="7" width="16.33203125" bestFit="1" customWidth="1"/>
    <col min="8" max="8" width="19.6640625" customWidth="1"/>
    <col min="9" max="9" width="16.33203125" bestFit="1" customWidth="1"/>
  </cols>
  <sheetData>
    <row r="1" spans="1:9" x14ac:dyDescent="0.2">
      <c r="A1" t="str">
        <f>'INCOME STATEMENT'!A1</f>
        <v>Makmur Jaya Sejati Raya</v>
      </c>
    </row>
    <row r="2" spans="1:9" x14ac:dyDescent="0.2">
      <c r="A2" t="s">
        <v>3056</v>
      </c>
    </row>
    <row r="3" spans="1:9" x14ac:dyDescent="0.2">
      <c r="A3" t="str">
        <f>'[3]BALANCE SHEET'!A3</f>
        <v>(IDR)</v>
      </c>
    </row>
    <row r="5" spans="1:9" x14ac:dyDescent="0.2">
      <c r="A5" s="8"/>
      <c r="B5" s="8"/>
      <c r="C5" s="8">
        <f>'BALANCE SHEET'!C4</f>
        <v>2019</v>
      </c>
      <c r="D5" s="8">
        <f>C5+1</f>
        <v>2020</v>
      </c>
      <c r="E5" s="8">
        <f>D5+1</f>
        <v>2021</v>
      </c>
    </row>
    <row r="6" spans="1:9" x14ac:dyDescent="0.2">
      <c r="A6" s="2" t="s">
        <v>3057</v>
      </c>
      <c r="C6" s="10"/>
      <c r="D6" s="10"/>
      <c r="E6" s="10"/>
    </row>
    <row r="7" spans="1:9" x14ac:dyDescent="0.2">
      <c r="A7" s="2" t="s">
        <v>3058</v>
      </c>
      <c r="C7" s="10"/>
      <c r="D7" s="10"/>
    </row>
    <row r="8" spans="1:9" x14ac:dyDescent="0.2">
      <c r="B8" t="s">
        <v>3059</v>
      </c>
      <c r="C8" s="99">
        <f>1267580000+3184183925</f>
        <v>4451763925</v>
      </c>
      <c r="D8" s="475">
        <f t="shared" ref="D8:E13" si="0">C26</f>
        <v>7817274315</v>
      </c>
      <c r="E8" s="475">
        <f t="shared" si="0"/>
        <v>7817274315</v>
      </c>
      <c r="F8" s="331">
        <f>4633090390+3184183925</f>
        <v>7817274315</v>
      </c>
      <c r="G8" s="338"/>
      <c r="H8" t="s">
        <v>3060</v>
      </c>
    </row>
    <row r="9" spans="1:9" x14ac:dyDescent="0.2">
      <c r="B9" t="s">
        <v>3061</v>
      </c>
      <c r="C9" s="99">
        <f>200592860+105000000+131056000+104864091</f>
        <v>541512951</v>
      </c>
      <c r="D9" s="475">
        <f t="shared" si="0"/>
        <v>651512951</v>
      </c>
      <c r="E9" s="475">
        <f t="shared" si="0"/>
        <v>653687951</v>
      </c>
      <c r="F9" s="330">
        <f>310592860+105000000+131056000+107039091</f>
        <v>653687951</v>
      </c>
    </row>
    <row r="10" spans="1:9" x14ac:dyDescent="0.2">
      <c r="B10" t="s">
        <v>3062</v>
      </c>
      <c r="C10" s="99">
        <v>176449500</v>
      </c>
      <c r="D10" s="475">
        <f t="shared" si="0"/>
        <v>176449500</v>
      </c>
      <c r="E10" s="475">
        <f t="shared" si="0"/>
        <v>176449500</v>
      </c>
    </row>
    <row r="11" spans="1:9" x14ac:dyDescent="0.2">
      <c r="B11" t="s">
        <v>3063</v>
      </c>
      <c r="C11" s="99">
        <f>350000000+1435472728</f>
        <v>1785472728</v>
      </c>
      <c r="D11" s="475">
        <f t="shared" si="0"/>
        <v>2060472728</v>
      </c>
      <c r="E11" s="475">
        <f t="shared" si="0"/>
        <v>2207972728</v>
      </c>
      <c r="F11" s="464">
        <f>625000000+1582972728</f>
        <v>2207972728</v>
      </c>
    </row>
    <row r="12" spans="1:9" x14ac:dyDescent="0.2">
      <c r="B12" t="s">
        <v>3064</v>
      </c>
      <c r="C12" s="99">
        <f>1720800000+2000000000</f>
        <v>3720800000</v>
      </c>
      <c r="D12" s="475">
        <f t="shared" si="0"/>
        <v>10145509610</v>
      </c>
      <c r="E12" s="475">
        <f t="shared" si="0"/>
        <v>10145509610</v>
      </c>
      <c r="F12" s="464">
        <f>8145509610+2000000000</f>
        <v>10145509610</v>
      </c>
    </row>
    <row r="13" spans="1:9" x14ac:dyDescent="0.2">
      <c r="A13" s="3"/>
      <c r="B13" s="3" t="s">
        <v>3065</v>
      </c>
      <c r="C13" s="14">
        <v>0</v>
      </c>
      <c r="D13" s="476">
        <f t="shared" si="0"/>
        <v>0</v>
      </c>
      <c r="E13" s="476">
        <f t="shared" si="0"/>
        <v>0</v>
      </c>
    </row>
    <row r="14" spans="1:9" x14ac:dyDescent="0.2">
      <c r="A14" s="2" t="s">
        <v>3066</v>
      </c>
      <c r="C14" s="477">
        <f>SUM(C8:C13)</f>
        <v>10675999104</v>
      </c>
      <c r="D14" s="477">
        <f>SUM(D8:D13)</f>
        <v>20851219104</v>
      </c>
      <c r="E14" s="477">
        <f>SUM(E8:E13)</f>
        <v>21000894104</v>
      </c>
    </row>
    <row r="15" spans="1:9" x14ac:dyDescent="0.2">
      <c r="C15" s="10"/>
      <c r="D15" s="10"/>
      <c r="E15" s="10"/>
    </row>
    <row r="16" spans="1:9" x14ac:dyDescent="0.2">
      <c r="A16" s="2" t="s">
        <v>3067</v>
      </c>
      <c r="C16" s="10"/>
      <c r="D16" s="10"/>
      <c r="E16" s="10"/>
      <c r="G16" s="8">
        <f>$D$5</f>
        <v>2020</v>
      </c>
      <c r="H16" s="8">
        <f>$E$5</f>
        <v>2021</v>
      </c>
      <c r="I16" s="8" t="s">
        <v>3068</v>
      </c>
    </row>
    <row r="17" spans="1:9" x14ac:dyDescent="0.2">
      <c r="B17" t="s">
        <v>3059</v>
      </c>
      <c r="C17" s="10">
        <v>3365510390</v>
      </c>
      <c r="D17" s="10">
        <v>0</v>
      </c>
      <c r="E17" s="10">
        <v>0</v>
      </c>
      <c r="G17" s="9">
        <f t="shared" ref="G17:H22" si="1">IFERROR((D17-C17)/C17,0)</f>
        <v>-1</v>
      </c>
      <c r="H17" s="9">
        <f t="shared" si="1"/>
        <v>0</v>
      </c>
      <c r="I17" s="137">
        <f t="shared" ref="I17:I22" si="2">AVERAGE(G17:H17)</f>
        <v>-0.5</v>
      </c>
    </row>
    <row r="18" spans="1:9" x14ac:dyDescent="0.2">
      <c r="B18" t="s">
        <v>3061</v>
      </c>
      <c r="C18" s="10">
        <v>110000000</v>
      </c>
      <c r="D18" s="10">
        <v>2175000</v>
      </c>
      <c r="E18" s="10">
        <v>0</v>
      </c>
      <c r="G18" s="9">
        <f t="shared" si="1"/>
        <v>-0.98022727272727272</v>
      </c>
      <c r="H18" s="9">
        <f t="shared" si="1"/>
        <v>-1</v>
      </c>
      <c r="I18" s="137">
        <f t="shared" si="2"/>
        <v>-0.99011363636363636</v>
      </c>
    </row>
    <row r="19" spans="1:9" x14ac:dyDescent="0.2">
      <c r="B19" t="s">
        <v>3062</v>
      </c>
      <c r="C19" s="10">
        <v>0</v>
      </c>
      <c r="D19" s="10">
        <v>0</v>
      </c>
      <c r="E19" s="10">
        <v>0</v>
      </c>
      <c r="G19" s="9">
        <f t="shared" si="1"/>
        <v>0</v>
      </c>
      <c r="H19" s="9">
        <f t="shared" si="1"/>
        <v>0</v>
      </c>
      <c r="I19" s="137">
        <f t="shared" si="2"/>
        <v>0</v>
      </c>
    </row>
    <row r="20" spans="1:9" x14ac:dyDescent="0.2">
      <c r="B20" t="s">
        <v>3063</v>
      </c>
      <c r="C20" s="10">
        <v>275000000</v>
      </c>
      <c r="D20" s="10">
        <v>147500000</v>
      </c>
      <c r="E20" s="10">
        <v>0</v>
      </c>
      <c r="G20" s="9">
        <f t="shared" si="1"/>
        <v>-0.46363636363636362</v>
      </c>
      <c r="H20" s="9">
        <f t="shared" si="1"/>
        <v>-1</v>
      </c>
      <c r="I20" s="137">
        <f t="shared" si="2"/>
        <v>-0.73181818181818181</v>
      </c>
    </row>
    <row r="21" spans="1:9" x14ac:dyDescent="0.2">
      <c r="B21" t="s">
        <v>3064</v>
      </c>
      <c r="C21" s="10">
        <v>6424709610</v>
      </c>
      <c r="D21" s="10">
        <v>0</v>
      </c>
      <c r="E21" s="10">
        <v>0</v>
      </c>
      <c r="F21" s="12"/>
      <c r="G21" s="9">
        <f t="shared" si="1"/>
        <v>-1</v>
      </c>
      <c r="H21" s="9">
        <f t="shared" si="1"/>
        <v>0</v>
      </c>
      <c r="I21" s="137">
        <f t="shared" si="2"/>
        <v>-0.5</v>
      </c>
    </row>
    <row r="22" spans="1:9" x14ac:dyDescent="0.2">
      <c r="A22" s="3"/>
      <c r="B22" s="3" t="s">
        <v>3065</v>
      </c>
      <c r="C22" s="14">
        <v>0</v>
      </c>
      <c r="D22" s="14">
        <v>0</v>
      </c>
      <c r="E22" s="14">
        <v>0</v>
      </c>
      <c r="G22" s="9">
        <f t="shared" si="1"/>
        <v>0</v>
      </c>
      <c r="H22" s="9">
        <f t="shared" si="1"/>
        <v>0</v>
      </c>
      <c r="I22" s="137">
        <f t="shared" si="2"/>
        <v>0</v>
      </c>
    </row>
    <row r="23" spans="1:9" x14ac:dyDescent="0.2">
      <c r="A23" s="2" t="s">
        <v>3066</v>
      </c>
      <c r="C23" s="131">
        <f>SUM(C17:C22)</f>
        <v>10175220000</v>
      </c>
      <c r="D23" s="131">
        <f>SUM(D17:D22)</f>
        <v>149675000</v>
      </c>
      <c r="E23" s="131">
        <f>SUM(E17:E22)</f>
        <v>0</v>
      </c>
    </row>
    <row r="24" spans="1:9" x14ac:dyDescent="0.2">
      <c r="C24" s="10"/>
      <c r="D24" s="10"/>
      <c r="E24" s="10"/>
    </row>
    <row r="25" spans="1:9" x14ac:dyDescent="0.2">
      <c r="A25" s="2" t="s">
        <v>3069</v>
      </c>
      <c r="B25" s="12"/>
      <c r="C25" s="10"/>
      <c r="D25" s="10"/>
      <c r="E25" s="10"/>
    </row>
    <row r="26" spans="1:9" x14ac:dyDescent="0.2">
      <c r="B26" t="s">
        <v>3059</v>
      </c>
      <c r="C26" s="475">
        <f t="shared" ref="C26:E32" si="3">+C8+C17</f>
        <v>7817274315</v>
      </c>
      <c r="D26" s="475">
        <f t="shared" si="3"/>
        <v>7817274315</v>
      </c>
      <c r="E26" s="475">
        <f t="shared" si="3"/>
        <v>7817274315</v>
      </c>
    </row>
    <row r="27" spans="1:9" x14ac:dyDescent="0.2">
      <c r="B27" t="s">
        <v>3061</v>
      </c>
      <c r="C27" s="475">
        <f t="shared" si="3"/>
        <v>651512951</v>
      </c>
      <c r="D27" s="475">
        <f t="shared" si="3"/>
        <v>653687951</v>
      </c>
      <c r="E27" s="475">
        <f t="shared" si="3"/>
        <v>653687951</v>
      </c>
    </row>
    <row r="28" spans="1:9" x14ac:dyDescent="0.2">
      <c r="B28" t="s">
        <v>3062</v>
      </c>
      <c r="C28" s="475">
        <f t="shared" si="3"/>
        <v>176449500</v>
      </c>
      <c r="D28" s="475">
        <f t="shared" si="3"/>
        <v>176449500</v>
      </c>
      <c r="E28" s="475">
        <f t="shared" si="3"/>
        <v>176449500</v>
      </c>
    </row>
    <row r="29" spans="1:9" x14ac:dyDescent="0.2">
      <c r="B29" t="s">
        <v>3063</v>
      </c>
      <c r="C29" s="475">
        <f t="shared" si="3"/>
        <v>2060472728</v>
      </c>
      <c r="D29" s="475">
        <f t="shared" si="3"/>
        <v>2207972728</v>
      </c>
      <c r="E29" s="475">
        <f t="shared" si="3"/>
        <v>2207972728</v>
      </c>
    </row>
    <row r="30" spans="1:9" x14ac:dyDescent="0.2">
      <c r="B30" t="s">
        <v>3064</v>
      </c>
      <c r="C30" s="475">
        <f t="shared" si="3"/>
        <v>10145509610</v>
      </c>
      <c r="D30" s="475">
        <f t="shared" si="3"/>
        <v>10145509610</v>
      </c>
      <c r="E30" s="475">
        <f t="shared" si="3"/>
        <v>10145509610</v>
      </c>
    </row>
    <row r="31" spans="1:9" x14ac:dyDescent="0.2">
      <c r="A31" s="3"/>
      <c r="B31" s="3" t="s">
        <v>3065</v>
      </c>
      <c r="C31" s="476">
        <f t="shared" si="3"/>
        <v>0</v>
      </c>
      <c r="D31" s="476">
        <f t="shared" si="3"/>
        <v>0</v>
      </c>
      <c r="E31" s="476">
        <f t="shared" si="3"/>
        <v>0</v>
      </c>
    </row>
    <row r="32" spans="1:9" x14ac:dyDescent="0.2">
      <c r="A32" s="2" t="s">
        <v>3066</v>
      </c>
      <c r="C32" s="477">
        <f t="shared" si="3"/>
        <v>20851219104</v>
      </c>
      <c r="D32" s="477">
        <f t="shared" si="3"/>
        <v>21000894104</v>
      </c>
      <c r="E32" s="477">
        <f t="shared" si="3"/>
        <v>21000894104</v>
      </c>
    </row>
    <row r="33" spans="1:10" x14ac:dyDescent="0.2">
      <c r="C33" s="10"/>
      <c r="D33" s="10"/>
      <c r="E33" s="10"/>
    </row>
    <row r="34" spans="1:10" x14ac:dyDescent="0.2">
      <c r="A34" s="2" t="s">
        <v>3070</v>
      </c>
    </row>
    <row r="35" spans="1:10" x14ac:dyDescent="0.2">
      <c r="A35" s="2" t="s">
        <v>3058</v>
      </c>
      <c r="C35" s="10"/>
      <c r="D35" s="10"/>
      <c r="E35" s="10"/>
    </row>
    <row r="36" spans="1:10" x14ac:dyDescent="0.2">
      <c r="B36" t="s">
        <v>3059</v>
      </c>
      <c r="C36" s="99">
        <v>0</v>
      </c>
      <c r="D36" s="475">
        <f t="shared" ref="D36:E41" si="4">C54</f>
        <v>0</v>
      </c>
      <c r="E36" s="475">
        <f t="shared" si="4"/>
        <v>0</v>
      </c>
    </row>
    <row r="37" spans="1:10" x14ac:dyDescent="0.2">
      <c r="B37" t="s">
        <v>3061</v>
      </c>
      <c r="C37" s="99">
        <v>203967215</v>
      </c>
      <c r="D37" s="475">
        <f t="shared" si="4"/>
        <v>242886427</v>
      </c>
      <c r="E37" s="475">
        <f t="shared" si="4"/>
        <v>276895183</v>
      </c>
    </row>
    <row r="38" spans="1:10" x14ac:dyDescent="0.2">
      <c r="B38" t="s">
        <v>3062</v>
      </c>
      <c r="C38" s="99">
        <v>141871766</v>
      </c>
      <c r="D38" s="475">
        <f t="shared" si="4"/>
        <v>155035543</v>
      </c>
      <c r="E38" s="475">
        <f t="shared" si="4"/>
        <v>165897295</v>
      </c>
    </row>
    <row r="39" spans="1:10" x14ac:dyDescent="0.2">
      <c r="B39" t="s">
        <v>3063</v>
      </c>
      <c r="C39" s="99">
        <v>1433114708</v>
      </c>
      <c r="D39" s="475">
        <f t="shared" si="4"/>
        <v>1637977421</v>
      </c>
      <c r="E39" s="475">
        <f t="shared" si="4"/>
        <v>1826348345</v>
      </c>
    </row>
    <row r="40" spans="1:10" x14ac:dyDescent="0.2">
      <c r="B40" t="s">
        <v>3064</v>
      </c>
      <c r="C40" s="99">
        <v>754572077</v>
      </c>
      <c r="D40" s="475">
        <f t="shared" si="4"/>
        <v>851107950</v>
      </c>
      <c r="E40" s="475">
        <f t="shared" si="4"/>
        <v>1738665546</v>
      </c>
    </row>
    <row r="41" spans="1:10" x14ac:dyDescent="0.2">
      <c r="A41" s="3"/>
      <c r="B41" s="3" t="s">
        <v>3065</v>
      </c>
      <c r="C41" s="474">
        <v>0</v>
      </c>
      <c r="D41" s="476">
        <f t="shared" si="4"/>
        <v>0</v>
      </c>
      <c r="E41" s="476">
        <f t="shared" si="4"/>
        <v>0</v>
      </c>
    </row>
    <row r="42" spans="1:10" x14ac:dyDescent="0.2">
      <c r="A42" s="2" t="s">
        <v>3066</v>
      </c>
      <c r="B42" s="479">
        <f>2391654000+141871766</f>
        <v>2533525766</v>
      </c>
      <c r="C42" s="477">
        <f>SUM(C36:C41)</f>
        <v>2533525766</v>
      </c>
      <c r="D42" s="477">
        <f>SUM(D36:D41)</f>
        <v>2887007341</v>
      </c>
      <c r="E42" s="477">
        <f>SUM(E36:E41)</f>
        <v>4007806369</v>
      </c>
    </row>
    <row r="43" spans="1:10" x14ac:dyDescent="0.2">
      <c r="C43" s="10"/>
      <c r="D43" s="10"/>
      <c r="E43" s="10"/>
    </row>
    <row r="44" spans="1:10" x14ac:dyDescent="0.2">
      <c r="A44" s="2" t="s">
        <v>3067</v>
      </c>
      <c r="C44" s="10"/>
      <c r="D44" s="10"/>
      <c r="E44" s="10"/>
      <c r="G44" s="8">
        <f>$D$5</f>
        <v>2020</v>
      </c>
      <c r="H44" s="8">
        <f>$E$5</f>
        <v>2021</v>
      </c>
      <c r="I44" s="8" t="s">
        <v>3068</v>
      </c>
    </row>
    <row r="45" spans="1:10" x14ac:dyDescent="0.2">
      <c r="B45" t="s">
        <v>3059</v>
      </c>
      <c r="C45" s="99">
        <v>0</v>
      </c>
      <c r="D45" s="99">
        <v>0</v>
      </c>
      <c r="E45" s="10">
        <v>0</v>
      </c>
      <c r="F45" s="12"/>
      <c r="G45" s="9">
        <f t="shared" ref="G45:H50" si="5">IFERROR((D45-C45)/C45,0)</f>
        <v>0</v>
      </c>
      <c r="H45" s="9">
        <f t="shared" si="5"/>
        <v>0</v>
      </c>
      <c r="I45" s="137">
        <f t="shared" ref="I45:I50" si="6">AVERAGE(G45:H45)</f>
        <v>0</v>
      </c>
    </row>
    <row r="46" spans="1:10" x14ac:dyDescent="0.2">
      <c r="B46" t="s">
        <v>3061</v>
      </c>
      <c r="C46" s="99">
        <f>10790628+12359737+15768847</f>
        <v>38919212</v>
      </c>
      <c r="D46" s="99">
        <f>8279196+15529644+10199916</f>
        <v>34008756</v>
      </c>
      <c r="E46" s="99">
        <v>36224681</v>
      </c>
      <c r="F46" s="331">
        <f>11972842+15529643+8722196</f>
        <v>36224681</v>
      </c>
      <c r="G46" s="9">
        <f t="shared" si="5"/>
        <v>-0.12617048875501385</v>
      </c>
      <c r="H46" s="9">
        <f t="shared" si="5"/>
        <v>6.5157484737165927E-2</v>
      </c>
      <c r="I46" s="137">
        <f t="shared" si="6"/>
        <v>-3.0506502008923964E-2</v>
      </c>
      <c r="J46" s="10"/>
    </row>
    <row r="47" spans="1:10" x14ac:dyDescent="0.2">
      <c r="B47" t="s">
        <v>3062</v>
      </c>
      <c r="C47" s="99">
        <v>13163777</v>
      </c>
      <c r="D47" s="99">
        <v>10861752</v>
      </c>
      <c r="E47" s="99">
        <v>10552203</v>
      </c>
      <c r="G47" s="9">
        <f t="shared" si="5"/>
        <v>-0.17487572145897032</v>
      </c>
      <c r="H47" s="9">
        <f t="shared" si="5"/>
        <v>-2.8498993532535082E-2</v>
      </c>
      <c r="I47" s="137">
        <f t="shared" si="6"/>
        <v>-0.10168735749575269</v>
      </c>
    </row>
    <row r="48" spans="1:10" x14ac:dyDescent="0.2">
      <c r="B48" t="s">
        <v>3063</v>
      </c>
      <c r="C48" s="99">
        <f>136112713+68750000</f>
        <v>204862713</v>
      </c>
      <c r="D48" s="99">
        <f>136808424+51562500</f>
        <v>188370924</v>
      </c>
      <c r="E48" s="99">
        <v>158340567</v>
      </c>
      <c r="F48" s="464">
        <f>119668692+38671875</f>
        <v>158340567</v>
      </c>
      <c r="G48" s="9">
        <f t="shared" si="5"/>
        <v>-8.050166259391478E-2</v>
      </c>
      <c r="H48" s="9">
        <f t="shared" si="5"/>
        <v>-0.1594214030611221</v>
      </c>
      <c r="I48" s="137">
        <f t="shared" si="6"/>
        <v>-0.11996153282751844</v>
      </c>
    </row>
    <row r="49" spans="1:10" x14ac:dyDescent="0.2">
      <c r="B49" t="s">
        <v>3064</v>
      </c>
      <c r="C49" s="99">
        <v>96535873</v>
      </c>
      <c r="D49" s="99">
        <v>887557596</v>
      </c>
      <c r="E49" s="99">
        <v>776612890</v>
      </c>
      <c r="F49" s="12"/>
      <c r="G49" s="9">
        <f t="shared" si="5"/>
        <v>8.1940702292089913</v>
      </c>
      <c r="H49" s="9">
        <f t="shared" si="5"/>
        <v>-0.12500000732346839</v>
      </c>
      <c r="I49" s="137">
        <f t="shared" si="6"/>
        <v>4.0345351109427616</v>
      </c>
    </row>
    <row r="50" spans="1:10" x14ac:dyDescent="0.2">
      <c r="A50" s="3"/>
      <c r="B50" s="3" t="s">
        <v>3065</v>
      </c>
      <c r="C50" s="14">
        <v>0</v>
      </c>
      <c r="D50" s="474">
        <v>0</v>
      </c>
      <c r="E50" s="474">
        <v>0</v>
      </c>
      <c r="F50" s="72"/>
      <c r="G50" s="9">
        <f t="shared" si="5"/>
        <v>0</v>
      </c>
      <c r="H50" s="9">
        <f t="shared" si="5"/>
        <v>0</v>
      </c>
      <c r="I50" s="137">
        <f t="shared" si="6"/>
        <v>0</v>
      </c>
    </row>
    <row r="51" spans="1:10" x14ac:dyDescent="0.2">
      <c r="A51" s="2" t="s">
        <v>3066</v>
      </c>
      <c r="C51" s="478">
        <f>SUM(C45:C50)</f>
        <v>353481575</v>
      </c>
      <c r="D51" s="478">
        <f>SUM(D45:D50)</f>
        <v>1120799028</v>
      </c>
      <c r="E51" s="478">
        <f>SUM(E45:E50)</f>
        <v>981730341</v>
      </c>
    </row>
    <row r="52" spans="1:10" x14ac:dyDescent="0.2">
      <c r="C52" s="10"/>
      <c r="D52" s="9">
        <f>(D51-C51)/C51</f>
        <v>2.1707424297857676</v>
      </c>
      <c r="E52" s="9">
        <f>(E51-D51)/D51</f>
        <v>-0.12407994968389641</v>
      </c>
      <c r="F52" s="12"/>
      <c r="G52" s="12"/>
      <c r="H52" s="12"/>
      <c r="I52" s="12"/>
      <c r="J52" s="12"/>
    </row>
    <row r="53" spans="1:10" x14ac:dyDescent="0.2">
      <c r="A53" s="2" t="s">
        <v>3069</v>
      </c>
      <c r="C53" s="10"/>
      <c r="D53" s="10"/>
      <c r="E53" s="10"/>
      <c r="F53" s="9"/>
      <c r="G53" s="9"/>
      <c r="H53" s="9"/>
      <c r="I53" s="9"/>
      <c r="J53" s="9"/>
    </row>
    <row r="54" spans="1:10" x14ac:dyDescent="0.2">
      <c r="B54" t="s">
        <v>3059</v>
      </c>
      <c r="C54" s="475">
        <f t="shared" ref="C54:E60" si="7">+C36+C45</f>
        <v>0</v>
      </c>
      <c r="D54" s="475">
        <f t="shared" si="7"/>
        <v>0</v>
      </c>
      <c r="E54" s="475">
        <f t="shared" si="7"/>
        <v>0</v>
      </c>
    </row>
    <row r="55" spans="1:10" x14ac:dyDescent="0.2">
      <c r="B55" t="s">
        <v>3061</v>
      </c>
      <c r="C55" s="475">
        <f t="shared" si="7"/>
        <v>242886427</v>
      </c>
      <c r="D55" s="475">
        <f t="shared" si="7"/>
        <v>276895183</v>
      </c>
      <c r="E55" s="475">
        <f t="shared" si="7"/>
        <v>313119864</v>
      </c>
    </row>
    <row r="56" spans="1:10" x14ac:dyDescent="0.2">
      <c r="B56" t="s">
        <v>3062</v>
      </c>
      <c r="C56" s="475">
        <f t="shared" si="7"/>
        <v>155035543</v>
      </c>
      <c r="D56" s="475">
        <f t="shared" si="7"/>
        <v>165897295</v>
      </c>
      <c r="E56" s="475">
        <f t="shared" si="7"/>
        <v>176449498</v>
      </c>
    </row>
    <row r="57" spans="1:10" x14ac:dyDescent="0.2">
      <c r="B57" t="s">
        <v>3063</v>
      </c>
      <c r="C57" s="475">
        <f t="shared" si="7"/>
        <v>1637977421</v>
      </c>
      <c r="D57" s="475">
        <f t="shared" si="7"/>
        <v>1826348345</v>
      </c>
      <c r="E57" s="475">
        <f t="shared" si="7"/>
        <v>1984688912</v>
      </c>
    </row>
    <row r="58" spans="1:10" x14ac:dyDescent="0.2">
      <c r="B58" t="s">
        <v>3064</v>
      </c>
      <c r="C58" s="475">
        <f t="shared" si="7"/>
        <v>851107950</v>
      </c>
      <c r="D58" s="475">
        <f t="shared" si="7"/>
        <v>1738665546</v>
      </c>
      <c r="E58" s="475">
        <f t="shared" si="7"/>
        <v>2515278436</v>
      </c>
    </row>
    <row r="59" spans="1:10" x14ac:dyDescent="0.2">
      <c r="A59" s="3"/>
      <c r="B59" s="3" t="s">
        <v>3065</v>
      </c>
      <c r="C59" s="476">
        <f t="shared" si="7"/>
        <v>0</v>
      </c>
      <c r="D59" s="476">
        <f t="shared" si="7"/>
        <v>0</v>
      </c>
      <c r="E59" s="476">
        <f t="shared" si="7"/>
        <v>0</v>
      </c>
    </row>
    <row r="60" spans="1:10" x14ac:dyDescent="0.2">
      <c r="A60" s="2" t="s">
        <v>3066</v>
      </c>
      <c r="B60" s="456"/>
      <c r="C60" s="477">
        <f t="shared" si="7"/>
        <v>2887007341</v>
      </c>
      <c r="D60" s="477">
        <f t="shared" si="7"/>
        <v>4007806369</v>
      </c>
      <c r="E60" s="477">
        <f t="shared" si="7"/>
        <v>4989536710</v>
      </c>
      <c r="F60" s="330">
        <f>3944467162+176449500</f>
        <v>4120916662</v>
      </c>
    </row>
    <row r="62" spans="1:10" x14ac:dyDescent="0.2">
      <c r="A62" s="2" t="s">
        <v>3071</v>
      </c>
    </row>
    <row r="63" spans="1:10" x14ac:dyDescent="0.2">
      <c r="B63" t="s">
        <v>3059</v>
      </c>
      <c r="C63" s="480">
        <f t="shared" ref="C63:E68" si="8">+C26-C54</f>
        <v>7817274315</v>
      </c>
      <c r="D63" s="480">
        <f t="shared" si="8"/>
        <v>7817274315</v>
      </c>
      <c r="E63" s="480">
        <f t="shared" si="8"/>
        <v>7817274315</v>
      </c>
      <c r="G63" s="464">
        <f>E63</f>
        <v>7817274315</v>
      </c>
      <c r="H63" s="464">
        <f>G63</f>
        <v>7817274315</v>
      </c>
      <c r="I63" s="330"/>
    </row>
    <row r="64" spans="1:10" x14ac:dyDescent="0.2">
      <c r="B64" t="s">
        <v>3061</v>
      </c>
      <c r="C64" s="480">
        <f t="shared" si="8"/>
        <v>408626524</v>
      </c>
      <c r="D64" s="480">
        <f t="shared" si="8"/>
        <v>376792768</v>
      </c>
      <c r="E64" s="480">
        <f t="shared" si="8"/>
        <v>340568087</v>
      </c>
      <c r="G64" s="464">
        <f>SUM(E64:E68)</f>
        <v>8194083079</v>
      </c>
      <c r="H64" s="331">
        <f>[4]BANGUNAN!$U$5</f>
        <v>166342337027.92767</v>
      </c>
      <c r="I64" s="330"/>
    </row>
    <row r="65" spans="1:9" x14ac:dyDescent="0.2">
      <c r="B65" t="s">
        <v>3062</v>
      </c>
      <c r="C65" s="480">
        <f t="shared" si="8"/>
        <v>21413957</v>
      </c>
      <c r="D65" s="480">
        <f t="shared" si="8"/>
        <v>10552205</v>
      </c>
      <c r="E65" s="480">
        <f t="shared" si="8"/>
        <v>2</v>
      </c>
      <c r="G65" s="330"/>
      <c r="H65" s="331">
        <f>'[4]FIXTURE FURNITURE EQUIPMENT'!$X$5</f>
        <v>143860102075.67972</v>
      </c>
      <c r="I65" s="330"/>
    </row>
    <row r="66" spans="1:9" x14ac:dyDescent="0.2">
      <c r="B66" t="s">
        <v>3063</v>
      </c>
      <c r="C66" s="480">
        <f t="shared" si="8"/>
        <v>422495307</v>
      </c>
      <c r="D66" s="480">
        <f t="shared" si="8"/>
        <v>381624383</v>
      </c>
      <c r="E66" s="480">
        <f t="shared" si="8"/>
        <v>223283816</v>
      </c>
      <c r="G66" s="330"/>
      <c r="H66" s="464">
        <f>SUM(H64:H65)</f>
        <v>310202439103.60742</v>
      </c>
      <c r="I66" s="330"/>
    </row>
    <row r="67" spans="1:9" x14ac:dyDescent="0.2">
      <c r="B67" t="s">
        <v>3064</v>
      </c>
      <c r="C67" s="480">
        <f t="shared" si="8"/>
        <v>9294401660</v>
      </c>
      <c r="D67" s="480">
        <f t="shared" si="8"/>
        <v>8406844064</v>
      </c>
      <c r="E67" s="480">
        <f t="shared" si="8"/>
        <v>7630231174</v>
      </c>
      <c r="G67" s="330"/>
      <c r="H67" s="464">
        <f>SUM(H63:H65)</f>
        <v>318019713418.60742</v>
      </c>
      <c r="I67" s="464">
        <f>H66-G64</f>
        <v>302008356024.60742</v>
      </c>
    </row>
    <row r="68" spans="1:9" x14ac:dyDescent="0.2">
      <c r="A68" s="3"/>
      <c r="B68" s="3" t="s">
        <v>3065</v>
      </c>
      <c r="C68" s="481">
        <f t="shared" si="8"/>
        <v>0</v>
      </c>
      <c r="D68" s="481">
        <f t="shared" si="8"/>
        <v>0</v>
      </c>
      <c r="E68" s="481">
        <f t="shared" si="8"/>
        <v>0</v>
      </c>
      <c r="G68" s="330"/>
      <c r="H68" s="330"/>
      <c r="I68" s="464">
        <f>H67-E69</f>
        <v>302008356024.60742</v>
      </c>
    </row>
    <row r="69" spans="1:9" x14ac:dyDescent="0.2">
      <c r="A69" s="2" t="s">
        <v>3066</v>
      </c>
      <c r="C69" s="477">
        <f>SUM(C63:C68)</f>
        <v>17964211763</v>
      </c>
      <c r="D69" s="477">
        <f>SUM(D63:D68)</f>
        <v>16993087735</v>
      </c>
      <c r="E69" s="477">
        <f>SUM(E63:E68)</f>
        <v>16011357394</v>
      </c>
      <c r="G69" s="330"/>
      <c r="H69" s="330"/>
      <c r="I69" s="330"/>
    </row>
    <row r="70" spans="1:9" x14ac:dyDescent="0.2">
      <c r="G70" s="330"/>
      <c r="H70" s="330"/>
      <c r="I70" s="330"/>
    </row>
    <row r="71" spans="1:9" x14ac:dyDescent="0.2">
      <c r="G71" s="330"/>
      <c r="H71" s="330"/>
      <c r="I71" s="330"/>
    </row>
    <row r="72" spans="1:9" x14ac:dyDescent="0.2">
      <c r="G72" s="330" t="s">
        <v>3072</v>
      </c>
      <c r="H72" s="464">
        <f>E63</f>
        <v>7817274315</v>
      </c>
      <c r="I72" s="330"/>
    </row>
    <row r="73" spans="1:9" x14ac:dyDescent="0.2">
      <c r="G73" s="330" t="s">
        <v>3073</v>
      </c>
      <c r="H73" s="332">
        <f>H72</f>
        <v>7817274315</v>
      </c>
      <c r="I73" s="330"/>
    </row>
    <row r="74" spans="1:9" x14ac:dyDescent="0.2">
      <c r="G74" s="330" t="s">
        <v>3074</v>
      </c>
      <c r="H74" s="464">
        <f>H73-H72</f>
        <v>0</v>
      </c>
      <c r="I74" s="330"/>
    </row>
    <row r="75" spans="1:9" x14ac:dyDescent="0.2">
      <c r="G75" s="330"/>
      <c r="H75" s="330"/>
      <c r="I75" s="330"/>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tint="-0.249977111117893"/>
  </sheetPr>
  <dimension ref="A1:P68"/>
  <sheetViews>
    <sheetView showGridLines="0" topLeftCell="B1" zoomScale="85" zoomScaleNormal="85" workbookViewId="0">
      <selection activeCell="E4" sqref="E4"/>
    </sheetView>
  </sheetViews>
  <sheetFormatPr baseColWidth="10" defaultColWidth="8.83203125" defaultRowHeight="15" x14ac:dyDescent="0.2"/>
  <cols>
    <col min="1" max="1" width="16.5" customWidth="1"/>
    <col min="2" max="2" width="86.1640625" customWidth="1"/>
    <col min="3" max="4" width="18" bestFit="1" customWidth="1"/>
    <col min="5" max="5" width="20.5" customWidth="1"/>
    <col min="6" max="6" width="21.5" customWidth="1"/>
    <col min="7" max="10" width="11.5" customWidth="1"/>
  </cols>
  <sheetData>
    <row r="1" spans="1:16" x14ac:dyDescent="0.2">
      <c r="A1" t="str">
        <f>HOME!B4</f>
        <v>Makmur Jaya Sejati Raya</v>
      </c>
      <c r="N1" t="s">
        <v>3075</v>
      </c>
    </row>
    <row r="2" spans="1:16" x14ac:dyDescent="0.2">
      <c r="A2" t="s">
        <v>3076</v>
      </c>
      <c r="G2" s="652" t="s">
        <v>3077</v>
      </c>
      <c r="H2" s="651"/>
      <c r="I2" s="651"/>
      <c r="J2" s="651"/>
      <c r="N2" s="128"/>
      <c r="O2" s="133" t="s">
        <v>3078</v>
      </c>
    </row>
    <row r="3" spans="1:16" x14ac:dyDescent="0.2">
      <c r="A3" t="s">
        <v>3079</v>
      </c>
      <c r="N3" s="102"/>
      <c r="O3" s="133" t="s">
        <v>3080</v>
      </c>
    </row>
    <row r="4" spans="1:16" x14ac:dyDescent="0.2">
      <c r="A4" s="8"/>
      <c r="B4" s="8"/>
      <c r="C4" s="8">
        <f>D4-1</f>
        <v>2019</v>
      </c>
      <c r="D4" s="8">
        <f>E4-1</f>
        <v>2020</v>
      </c>
      <c r="E4" s="8">
        <f>YEAR(HOME!B20)</f>
        <v>2021</v>
      </c>
      <c r="G4" s="85">
        <v>2021</v>
      </c>
      <c r="H4" s="85">
        <v>2022</v>
      </c>
      <c r="I4" s="85">
        <v>2023</v>
      </c>
      <c r="J4" s="85" t="s">
        <v>3081</v>
      </c>
      <c r="L4" t="s">
        <v>3082</v>
      </c>
      <c r="M4" s="85">
        <v>2021</v>
      </c>
      <c r="N4" s="85">
        <v>2022</v>
      </c>
      <c r="O4" s="85">
        <v>2023</v>
      </c>
      <c r="P4" s="85" t="s">
        <v>3081</v>
      </c>
    </row>
    <row r="5" spans="1:16" x14ac:dyDescent="0.2">
      <c r="A5" s="2" t="s">
        <v>3083</v>
      </c>
      <c r="C5" s="10"/>
      <c r="D5" s="10"/>
      <c r="E5" s="10"/>
      <c r="G5" s="90"/>
      <c r="H5" s="90"/>
      <c r="I5" s="90"/>
      <c r="J5" s="91"/>
    </row>
    <row r="6" spans="1:16" x14ac:dyDescent="0.2">
      <c r="C6" s="10"/>
      <c r="D6" s="10"/>
      <c r="E6" s="10"/>
      <c r="G6" s="90"/>
      <c r="H6" s="90"/>
      <c r="I6" s="90"/>
      <c r="J6" s="91"/>
    </row>
    <row r="7" spans="1:16" x14ac:dyDescent="0.2">
      <c r="A7" s="2" t="s">
        <v>204</v>
      </c>
      <c r="C7" s="10"/>
      <c r="D7" s="10"/>
      <c r="E7" s="10"/>
      <c r="G7" s="90"/>
      <c r="H7" s="90"/>
      <c r="I7" s="90"/>
      <c r="J7" s="91"/>
    </row>
    <row r="8" spans="1:16" x14ac:dyDescent="0.2">
      <c r="B8" t="s">
        <v>3084</v>
      </c>
      <c r="C8" s="99">
        <v>44887819</v>
      </c>
      <c r="D8" s="99">
        <f>53472823+97995296</f>
        <v>151468119</v>
      </c>
      <c r="E8" s="99">
        <f>82771246+635077549</f>
        <v>717848795</v>
      </c>
      <c r="G8" s="87">
        <f t="shared" ref="G8:I13" si="0">C8/C$26</f>
        <v>2.4042069234327065E-3</v>
      </c>
      <c r="H8" s="87">
        <f t="shared" si="0"/>
        <v>8.2273239302591197E-3</v>
      </c>
      <c r="I8" s="87">
        <f t="shared" si="0"/>
        <v>4.1546279699740327E-2</v>
      </c>
      <c r="J8" s="92">
        <f t="shared" ref="J8:J13" si="1">AVERAGE(G8:I8)</f>
        <v>1.7392603517810717E-2</v>
      </c>
      <c r="M8" s="378">
        <f>0</f>
        <v>0</v>
      </c>
      <c r="N8" s="9">
        <f t="shared" ref="N8:O13" si="2">IFERROR((D8-C8)/C8,0)</f>
        <v>2.3743702049769895</v>
      </c>
      <c r="O8" s="9">
        <f t="shared" si="2"/>
        <v>3.739273186590506</v>
      </c>
      <c r="P8" s="9">
        <f t="shared" ref="P8:P13" si="3">AVERAGE(M8:O8)</f>
        <v>2.0378811305224986</v>
      </c>
    </row>
    <row r="9" spans="1:16" x14ac:dyDescent="0.2">
      <c r="B9" t="s">
        <v>3085</v>
      </c>
      <c r="C9" s="99">
        <v>374140018</v>
      </c>
      <c r="D9" s="99">
        <v>572440850</v>
      </c>
      <c r="E9" s="99">
        <v>337031731</v>
      </c>
      <c r="G9" s="87">
        <f t="shared" si="0"/>
        <v>2.0039067204598145E-2</v>
      </c>
      <c r="H9" s="87">
        <f t="shared" si="0"/>
        <v>3.1093383445679884E-2</v>
      </c>
      <c r="I9" s="87">
        <f t="shared" si="0"/>
        <v>1.9506077967037114E-2</v>
      </c>
      <c r="J9" s="92">
        <f t="shared" si="1"/>
        <v>2.3546176205771718E-2</v>
      </c>
      <c r="M9" s="378">
        <f>0</f>
        <v>0</v>
      </c>
      <c r="N9" s="9">
        <f t="shared" si="2"/>
        <v>0.53001770048559738</v>
      </c>
      <c r="O9" s="9">
        <f t="shared" si="2"/>
        <v>-0.41123745623674479</v>
      </c>
      <c r="P9" s="9">
        <f t="shared" si="3"/>
        <v>3.9593414749617528E-2</v>
      </c>
    </row>
    <row r="10" spans="1:16" x14ac:dyDescent="0.2">
      <c r="B10" t="s">
        <v>3086</v>
      </c>
      <c r="C10" s="473">
        <v>248591028</v>
      </c>
      <c r="D10" s="473">
        <v>675378320</v>
      </c>
      <c r="E10" s="473">
        <v>191055111</v>
      </c>
      <c r="G10" s="87">
        <f t="shared" si="0"/>
        <v>1.3314620401157246E-2</v>
      </c>
      <c r="H10" s="87">
        <f t="shared" si="0"/>
        <v>3.6684658466737817E-2</v>
      </c>
      <c r="I10" s="87">
        <f t="shared" si="0"/>
        <v>1.1057522329156983E-2</v>
      </c>
      <c r="J10" s="92">
        <f t="shared" si="1"/>
        <v>2.0352267065684018E-2</v>
      </c>
      <c r="M10" s="378">
        <f>0</f>
        <v>0</v>
      </c>
      <c r="N10" s="9">
        <f t="shared" si="2"/>
        <v>1.7168250014236235</v>
      </c>
      <c r="O10" s="9">
        <f t="shared" si="2"/>
        <v>-0.71711394141286622</v>
      </c>
      <c r="P10" s="9">
        <f t="shared" si="3"/>
        <v>0.33323702000358574</v>
      </c>
    </row>
    <row r="11" spans="1:16" x14ac:dyDescent="0.2">
      <c r="B11" t="s">
        <v>3087</v>
      </c>
      <c r="C11" s="473">
        <v>38700000</v>
      </c>
      <c r="D11" s="473">
        <v>18000000</v>
      </c>
      <c r="E11" s="473">
        <v>21000000</v>
      </c>
      <c r="G11" s="87">
        <f t="shared" si="0"/>
        <v>2.0727852234666546E-3</v>
      </c>
      <c r="H11" s="87">
        <f t="shared" si="0"/>
        <v>9.7770957824242963E-4</v>
      </c>
      <c r="I11" s="87">
        <f t="shared" si="0"/>
        <v>1.2153978383352259E-3</v>
      </c>
      <c r="J11" s="92">
        <f t="shared" si="1"/>
        <v>1.4219642133481035E-3</v>
      </c>
      <c r="M11" s="378">
        <f>0</f>
        <v>0</v>
      </c>
      <c r="N11" s="9">
        <f t="shared" si="2"/>
        <v>-0.53488372093023251</v>
      </c>
      <c r="O11" s="9">
        <f t="shared" si="2"/>
        <v>0.16666666666666666</v>
      </c>
      <c r="P11" s="9">
        <f t="shared" si="3"/>
        <v>-0.1227390180878553</v>
      </c>
    </row>
    <row r="12" spans="1:16" x14ac:dyDescent="0.2">
      <c r="B12" t="s">
        <v>3088</v>
      </c>
      <c r="C12" s="473">
        <v>0</v>
      </c>
      <c r="D12" s="473">
        <v>0</v>
      </c>
      <c r="E12" s="127">
        <v>0</v>
      </c>
      <c r="G12" s="87">
        <f t="shared" si="0"/>
        <v>0</v>
      </c>
      <c r="H12" s="87">
        <f t="shared" si="0"/>
        <v>0</v>
      </c>
      <c r="I12" s="87">
        <f t="shared" si="0"/>
        <v>0</v>
      </c>
      <c r="J12" s="92">
        <f t="shared" si="1"/>
        <v>0</v>
      </c>
      <c r="M12" s="378">
        <f>0</f>
        <v>0</v>
      </c>
      <c r="N12" s="9">
        <f t="shared" si="2"/>
        <v>0</v>
      </c>
      <c r="O12" s="9">
        <f t="shared" si="2"/>
        <v>0</v>
      </c>
      <c r="P12" s="9">
        <f t="shared" si="3"/>
        <v>0</v>
      </c>
    </row>
    <row r="13" spans="1:16" x14ac:dyDescent="0.2">
      <c r="B13" t="s">
        <v>3089</v>
      </c>
      <c r="C13" s="473">
        <v>0</v>
      </c>
      <c r="D13" s="473">
        <v>0</v>
      </c>
      <c r="E13" s="127">
        <v>0</v>
      </c>
      <c r="G13" s="87">
        <f t="shared" si="0"/>
        <v>0</v>
      </c>
      <c r="H13" s="87">
        <f t="shared" si="0"/>
        <v>0</v>
      </c>
      <c r="I13" s="87">
        <f t="shared" si="0"/>
        <v>0</v>
      </c>
      <c r="J13" s="92">
        <f t="shared" si="1"/>
        <v>0</v>
      </c>
      <c r="M13" s="378">
        <f>0</f>
        <v>0</v>
      </c>
      <c r="N13" s="9">
        <f t="shared" si="2"/>
        <v>0</v>
      </c>
      <c r="O13" s="9">
        <f t="shared" si="2"/>
        <v>0</v>
      </c>
      <c r="P13" s="9">
        <f t="shared" si="3"/>
        <v>0</v>
      </c>
    </row>
    <row r="14" spans="1:16" x14ac:dyDescent="0.2">
      <c r="C14" s="99"/>
      <c r="D14" s="10"/>
      <c r="E14" s="10"/>
      <c r="G14" s="90"/>
      <c r="H14" s="90"/>
      <c r="I14" s="90"/>
      <c r="J14" s="91"/>
      <c r="M14" s="9"/>
      <c r="N14" s="9"/>
      <c r="O14" s="9"/>
      <c r="P14" s="9"/>
    </row>
    <row r="15" spans="1:16" x14ac:dyDescent="0.2">
      <c r="A15" s="20" t="s">
        <v>204</v>
      </c>
      <c r="B15" s="3"/>
      <c r="C15" s="474">
        <f>SUM(C8:C13)</f>
        <v>706318865</v>
      </c>
      <c r="D15" s="474">
        <f>SUM(D8:D13)</f>
        <v>1417287289</v>
      </c>
      <c r="E15" s="474">
        <f>SUM(E8:E13)</f>
        <v>1266935637</v>
      </c>
      <c r="G15" s="90"/>
      <c r="H15" s="90"/>
      <c r="I15" s="90"/>
      <c r="J15" s="91"/>
      <c r="M15" s="9"/>
      <c r="N15" s="9"/>
      <c r="O15" s="9"/>
      <c r="P15" s="9"/>
    </row>
    <row r="16" spans="1:16" x14ac:dyDescent="0.2">
      <c r="C16" s="10"/>
      <c r="D16" s="10"/>
      <c r="E16" s="10"/>
      <c r="G16" s="90"/>
      <c r="H16" s="90"/>
      <c r="I16" s="90"/>
      <c r="J16" s="91"/>
      <c r="M16" s="9"/>
      <c r="N16" s="9"/>
      <c r="O16" s="9"/>
      <c r="P16" s="9"/>
    </row>
    <row r="17" spans="1:16" x14ac:dyDescent="0.2">
      <c r="A17" s="2" t="s">
        <v>3090</v>
      </c>
      <c r="C17" s="10"/>
      <c r="D17" s="10"/>
      <c r="E17" s="10"/>
      <c r="G17" s="90"/>
      <c r="H17" s="90"/>
      <c r="I17" s="90"/>
      <c r="J17" s="91"/>
      <c r="M17" s="9"/>
      <c r="N17" s="9"/>
      <c r="O17" s="9"/>
      <c r="P17" s="9"/>
    </row>
    <row r="18" spans="1:16" x14ac:dyDescent="0.2">
      <c r="A18" t="s">
        <v>3091</v>
      </c>
      <c r="C18" s="10"/>
      <c r="D18" s="10"/>
      <c r="E18" s="10"/>
      <c r="G18" s="90"/>
      <c r="H18" s="90"/>
      <c r="I18" s="90"/>
      <c r="J18" s="91"/>
      <c r="M18" s="9"/>
      <c r="N18" s="9"/>
      <c r="O18" s="9"/>
      <c r="P18" s="9"/>
    </row>
    <row r="19" spans="1:16" x14ac:dyDescent="0.2">
      <c r="B19" t="s">
        <v>3058</v>
      </c>
      <c r="C19" s="475">
        <f>'FIXED ASSET'!C32</f>
        <v>20851219104</v>
      </c>
      <c r="D19" s="475">
        <f>'FIXED ASSET'!D32</f>
        <v>21000894104</v>
      </c>
      <c r="E19" s="475">
        <f>'FIXED ASSET'!E32</f>
        <v>21000894104</v>
      </c>
      <c r="G19" s="87">
        <f t="shared" ref="G19:I20" si="4">C19/C$26</f>
        <v>1.1167984198975922</v>
      </c>
      <c r="H19" s="87">
        <f t="shared" si="4"/>
        <v>1.1407097398408759</v>
      </c>
      <c r="I19" s="87">
        <f t="shared" si="4"/>
        <v>1.2154495855765997</v>
      </c>
      <c r="J19" s="92">
        <f>AVERAGE(G19:I19)</f>
        <v>1.1576525817716894</v>
      </c>
      <c r="M19" s="378">
        <f>0</f>
        <v>0</v>
      </c>
      <c r="N19" s="9">
        <f t="shared" ref="N19:O24" si="5">IFERROR((D19-C19)/C19,0)</f>
        <v>7.1782373612527556E-3</v>
      </c>
      <c r="O19" s="9">
        <f t="shared" si="5"/>
        <v>0</v>
      </c>
      <c r="P19" s="9">
        <f t="shared" ref="P19:P24" si="6">AVERAGE(M19:O19)</f>
        <v>2.3927457870842519E-3</v>
      </c>
    </row>
    <row r="20" spans="1:16" x14ac:dyDescent="0.2">
      <c r="B20" t="s">
        <v>3092</v>
      </c>
      <c r="C20" s="475">
        <f>'FIXED ASSET'!C60*-1</f>
        <v>-2887007341</v>
      </c>
      <c r="D20" s="475">
        <f>'FIXED ASSET'!D60*-1</f>
        <v>-4007806369</v>
      </c>
      <c r="E20" s="475">
        <f>'FIXED ASSET'!E60*-1</f>
        <v>-4989536710</v>
      </c>
      <c r="G20" s="87">
        <f t="shared" si="4"/>
        <v>-0.15462909965024696</v>
      </c>
      <c r="H20" s="87">
        <f t="shared" si="4"/>
        <v>-0.21769281526179518</v>
      </c>
      <c r="I20" s="87">
        <f t="shared" si="4"/>
        <v>-0.28877486341086933</v>
      </c>
      <c r="J20" s="92">
        <f>AVERAGE(G20:I20)</f>
        <v>-0.22036559277430381</v>
      </c>
      <c r="M20" s="378">
        <f>0</f>
        <v>0</v>
      </c>
      <c r="N20" s="9">
        <f t="shared" si="5"/>
        <v>0.38822174508630736</v>
      </c>
      <c r="O20" s="9">
        <f t="shared" si="5"/>
        <v>0.24495453388007729</v>
      </c>
      <c r="P20" s="9">
        <f t="shared" si="6"/>
        <v>0.21105875965546153</v>
      </c>
    </row>
    <row r="21" spans="1:16" x14ac:dyDescent="0.2">
      <c r="B21" t="s">
        <v>3093</v>
      </c>
      <c r="C21" s="100">
        <f>C19+C20</f>
        <v>17964211763</v>
      </c>
      <c r="D21" s="100">
        <f>D19+D20</f>
        <v>16993087735</v>
      </c>
      <c r="E21" s="100">
        <f>E19+E20</f>
        <v>16011357394</v>
      </c>
      <c r="G21" s="90"/>
      <c r="H21" s="90"/>
      <c r="I21" s="90"/>
      <c r="J21" s="91"/>
      <c r="M21" s="378">
        <f>0</f>
        <v>0</v>
      </c>
      <c r="N21" s="9">
        <f t="shared" si="5"/>
        <v>-5.4058816541017192E-2</v>
      </c>
      <c r="O21" s="9">
        <f t="shared" si="5"/>
        <v>-5.7772334040150239E-2</v>
      </c>
      <c r="P21" s="9">
        <f t="shared" si="6"/>
        <v>-3.7277050193722482E-2</v>
      </c>
    </row>
    <row r="22" spans="1:16" x14ac:dyDescent="0.2">
      <c r="A22" t="s">
        <v>3090</v>
      </c>
      <c r="C22" s="10">
        <v>0</v>
      </c>
      <c r="D22" s="10">
        <v>0</v>
      </c>
      <c r="E22" s="99">
        <v>0</v>
      </c>
      <c r="F22" s="10"/>
      <c r="G22" s="90"/>
      <c r="H22" s="90"/>
      <c r="I22" s="90"/>
      <c r="J22" s="91"/>
      <c r="M22" s="378">
        <f>0</f>
        <v>0</v>
      </c>
      <c r="N22" s="9">
        <f t="shared" si="5"/>
        <v>0</v>
      </c>
      <c r="O22" s="9">
        <f t="shared" si="5"/>
        <v>0</v>
      </c>
      <c r="P22" s="9">
        <f t="shared" si="6"/>
        <v>0</v>
      </c>
    </row>
    <row r="23" spans="1:16" x14ac:dyDescent="0.2">
      <c r="A23" t="s">
        <v>3094</v>
      </c>
      <c r="C23" s="10">
        <v>0</v>
      </c>
      <c r="D23" s="10">
        <v>0</v>
      </c>
      <c r="E23" s="99">
        <v>0</v>
      </c>
      <c r="F23" s="10"/>
      <c r="G23" s="90"/>
      <c r="H23" s="90"/>
      <c r="I23" s="90"/>
      <c r="J23" s="91"/>
      <c r="M23" s="378">
        <f>0</f>
        <v>0</v>
      </c>
      <c r="N23" s="9">
        <f t="shared" si="5"/>
        <v>0</v>
      </c>
      <c r="O23" s="9">
        <f t="shared" si="5"/>
        <v>0</v>
      </c>
      <c r="P23" s="9">
        <f t="shared" si="6"/>
        <v>0</v>
      </c>
    </row>
    <row r="24" spans="1:16" x14ac:dyDescent="0.2">
      <c r="A24" t="s">
        <v>3095</v>
      </c>
      <c r="C24" s="99">
        <f>C21+C22+C23</f>
        <v>17964211763</v>
      </c>
      <c r="D24" s="99">
        <f>D21+D22+D23</f>
        <v>16993087735</v>
      </c>
      <c r="E24" s="99">
        <f>E21+E22+E23</f>
        <v>16011357394</v>
      </c>
      <c r="F24" s="12"/>
      <c r="G24" s="90"/>
      <c r="H24" s="90"/>
      <c r="I24" s="90"/>
      <c r="J24" s="91"/>
      <c r="M24" s="378">
        <f>0</f>
        <v>0</v>
      </c>
      <c r="N24" s="9">
        <f t="shared" si="5"/>
        <v>-5.4058816541017192E-2</v>
      </c>
      <c r="O24" s="9">
        <f t="shared" si="5"/>
        <v>-5.7772334040150239E-2</v>
      </c>
      <c r="P24" s="9">
        <f t="shared" si="6"/>
        <v>-3.7277050193722482E-2</v>
      </c>
    </row>
    <row r="25" spans="1:16" x14ac:dyDescent="0.2">
      <c r="C25" s="10"/>
      <c r="D25" s="10"/>
      <c r="E25" s="10"/>
      <c r="F25" s="12"/>
      <c r="G25" s="90"/>
      <c r="H25" s="90"/>
      <c r="I25" s="90"/>
      <c r="J25" s="91"/>
      <c r="M25" s="9"/>
      <c r="N25" s="9"/>
      <c r="O25" s="9"/>
      <c r="P25" s="9"/>
    </row>
    <row r="26" spans="1:16" x14ac:dyDescent="0.2">
      <c r="A26" s="20" t="s">
        <v>3083</v>
      </c>
      <c r="B26" s="3"/>
      <c r="C26" s="482">
        <f>+C15+C24</f>
        <v>18670530628</v>
      </c>
      <c r="D26" s="482">
        <f>+D15+D24</f>
        <v>18410375024</v>
      </c>
      <c r="E26" s="482">
        <f>+E15+E24</f>
        <v>17278293031</v>
      </c>
      <c r="F26" s="12"/>
      <c r="G26" s="90"/>
      <c r="H26" s="90"/>
      <c r="I26" s="90"/>
      <c r="J26" s="91"/>
      <c r="M26" s="9"/>
      <c r="N26" s="9"/>
      <c r="O26" s="9"/>
      <c r="P26" s="9"/>
    </row>
    <row r="27" spans="1:16" x14ac:dyDescent="0.2">
      <c r="C27" s="10"/>
      <c r="D27" s="10"/>
      <c r="E27" s="10"/>
      <c r="G27" s="90"/>
      <c r="H27" s="90"/>
      <c r="I27" s="90"/>
      <c r="J27" s="91"/>
      <c r="M27" s="9"/>
      <c r="N27" s="9"/>
      <c r="O27" s="9"/>
      <c r="P27" s="9"/>
    </row>
    <row r="28" spans="1:16" x14ac:dyDescent="0.2">
      <c r="A28" s="2" t="s">
        <v>3096</v>
      </c>
      <c r="C28" s="10"/>
      <c r="D28" s="10"/>
      <c r="E28" s="10"/>
      <c r="G28" s="90"/>
      <c r="H28" s="90"/>
      <c r="I28" s="90"/>
      <c r="J28" s="91"/>
      <c r="M28" s="9"/>
      <c r="N28" s="9"/>
      <c r="O28" s="9"/>
      <c r="P28" s="9"/>
    </row>
    <row r="29" spans="1:16" x14ac:dyDescent="0.2">
      <c r="A29" s="2" t="s">
        <v>208</v>
      </c>
      <c r="C29" s="10"/>
      <c r="D29" s="10"/>
      <c r="E29" s="10"/>
      <c r="G29" s="90"/>
      <c r="H29" s="90"/>
      <c r="I29" s="90"/>
      <c r="J29" s="91"/>
      <c r="M29" s="9"/>
      <c r="N29" s="9"/>
      <c r="O29" s="9"/>
      <c r="P29" s="9"/>
    </row>
    <row r="30" spans="1:16" x14ac:dyDescent="0.2">
      <c r="B30" t="s">
        <v>3097</v>
      </c>
      <c r="C30" s="483">
        <v>0</v>
      </c>
      <c r="D30" s="483">
        <v>0</v>
      </c>
      <c r="E30" s="483">
        <v>0</v>
      </c>
      <c r="G30" s="87">
        <f t="shared" ref="G30:I33" si="7">C30/C$50</f>
        <v>0</v>
      </c>
      <c r="H30" s="87">
        <f t="shared" si="7"/>
        <v>0</v>
      </c>
      <c r="I30" s="87">
        <f t="shared" si="7"/>
        <v>0</v>
      </c>
      <c r="J30" s="92">
        <f>AVERAGE(G30:I30)</f>
        <v>0</v>
      </c>
      <c r="M30" s="378">
        <f>0</f>
        <v>0</v>
      </c>
      <c r="N30" s="9">
        <f t="shared" ref="N30:O33" si="8">IFERROR((D30-C30)/C30,0)</f>
        <v>0</v>
      </c>
      <c r="O30" s="9">
        <f t="shared" si="8"/>
        <v>0</v>
      </c>
      <c r="P30" s="9">
        <f>AVERAGE(M30:O30)</f>
        <v>0</v>
      </c>
    </row>
    <row r="31" spans="1:16" x14ac:dyDescent="0.2">
      <c r="B31" t="s">
        <v>3098</v>
      </c>
      <c r="C31" s="483">
        <v>1349091893</v>
      </c>
      <c r="D31" s="483">
        <v>722586680</v>
      </c>
      <c r="E31" s="483">
        <v>1823364600</v>
      </c>
      <c r="G31" s="87">
        <f t="shared" si="7"/>
        <v>7.295672840361285E-2</v>
      </c>
      <c r="H31" s="87">
        <f t="shared" si="7"/>
        <v>3.9169761195239176E-2</v>
      </c>
      <c r="I31" s="87">
        <f t="shared" si="7"/>
        <v>0.10482685748121266</v>
      </c>
      <c r="J31" s="92">
        <f>AVERAGE(G31:I31)</f>
        <v>7.2317782360021565E-2</v>
      </c>
      <c r="M31" s="378">
        <f>0</f>
        <v>0</v>
      </c>
      <c r="N31" s="9">
        <f t="shared" si="8"/>
        <v>-0.46439031785064622</v>
      </c>
      <c r="O31" s="9">
        <f t="shared" si="8"/>
        <v>1.5233852912982011</v>
      </c>
      <c r="P31" s="9">
        <f>AVERAGE(M31:O31)</f>
        <v>0.35299832448251828</v>
      </c>
    </row>
    <row r="32" spans="1:16" x14ac:dyDescent="0.2">
      <c r="B32" t="s">
        <v>3099</v>
      </c>
      <c r="C32" s="483">
        <f>20499268+7791190+71113530</f>
        <v>99403988</v>
      </c>
      <c r="D32" s="483">
        <f>28927903+9457631+2401280+70425650+139134936</f>
        <v>250347400</v>
      </c>
      <c r="E32" s="483">
        <f>263030563+11451679+81022+102761900+301193090</f>
        <v>678518254</v>
      </c>
      <c r="G32" s="87">
        <f t="shared" si="7"/>
        <v>5.3756084314057848E-3</v>
      </c>
      <c r="H32" s="87">
        <f t="shared" si="7"/>
        <v>1.3570756485365909E-2</v>
      </c>
      <c r="I32" s="87">
        <f t="shared" si="7"/>
        <v>3.9008619729953765E-2</v>
      </c>
      <c r="J32" s="92">
        <f>AVERAGE(G32:I32)</f>
        <v>1.9318328215575154E-2</v>
      </c>
      <c r="M32" s="378">
        <f>0</f>
        <v>0</v>
      </c>
      <c r="N32" s="9">
        <f t="shared" si="8"/>
        <v>1.5184844696572939</v>
      </c>
      <c r="O32" s="9">
        <f t="shared" si="8"/>
        <v>1.7103067737072564</v>
      </c>
      <c r="P32" s="9">
        <f>AVERAGE(M32:O32)</f>
        <v>1.0762637477881833</v>
      </c>
    </row>
    <row r="33" spans="1:16" x14ac:dyDescent="0.2">
      <c r="B33" t="s">
        <v>3100</v>
      </c>
      <c r="C33" s="483">
        <v>397739810</v>
      </c>
      <c r="D33" s="483">
        <v>295472920</v>
      </c>
      <c r="E33" s="483">
        <v>1075354928</v>
      </c>
      <c r="G33" s="87">
        <f t="shared" si="7"/>
        <v>2.1509131767849542E-2</v>
      </c>
      <c r="H33" s="87">
        <f t="shared" si="7"/>
        <v>1.6016907087271538E-2</v>
      </c>
      <c r="I33" s="87">
        <f t="shared" si="7"/>
        <v>6.1823114137005676E-2</v>
      </c>
      <c r="J33" s="92">
        <f>AVERAGE(G33:I33)</f>
        <v>3.3116384330708924E-2</v>
      </c>
      <c r="M33" s="378">
        <f>0</f>
        <v>0</v>
      </c>
      <c r="N33" s="9">
        <f t="shared" si="8"/>
        <v>-0.25712007555894395</v>
      </c>
      <c r="O33" s="9">
        <f t="shared" si="8"/>
        <v>2.6394364938756487</v>
      </c>
      <c r="P33" s="9">
        <f>AVERAGE(M33:O33)</f>
        <v>0.79410547277223487</v>
      </c>
    </row>
    <row r="34" spans="1:16" x14ac:dyDescent="0.2">
      <c r="A34" s="15" t="s">
        <v>208</v>
      </c>
      <c r="B34" s="16"/>
      <c r="C34" s="484">
        <f>SUM(C30:C33)</f>
        <v>1846235691</v>
      </c>
      <c r="D34" s="484">
        <f>SUM(D30:D33)</f>
        <v>1268407000</v>
      </c>
      <c r="E34" s="484">
        <f>SUM(E30:E33)</f>
        <v>3577237782</v>
      </c>
      <c r="G34" s="90"/>
      <c r="H34" s="90"/>
      <c r="I34" s="90"/>
      <c r="J34" s="91"/>
    </row>
    <row r="35" spans="1:16" x14ac:dyDescent="0.2">
      <c r="C35" s="10"/>
      <c r="D35" s="10"/>
      <c r="E35" s="10"/>
      <c r="G35" s="90"/>
      <c r="H35" s="90"/>
      <c r="I35" s="90"/>
      <c r="J35" s="91"/>
    </row>
    <row r="36" spans="1:16" x14ac:dyDescent="0.2">
      <c r="A36" s="2" t="s">
        <v>3101</v>
      </c>
      <c r="C36" s="10"/>
      <c r="D36" s="10"/>
      <c r="E36" s="10"/>
      <c r="G36" s="90"/>
      <c r="H36" s="90"/>
      <c r="I36" s="90"/>
      <c r="J36" s="91"/>
    </row>
    <row r="37" spans="1:16" x14ac:dyDescent="0.2">
      <c r="B37" t="s">
        <v>3102</v>
      </c>
      <c r="C37" s="99">
        <v>0</v>
      </c>
      <c r="D37" s="99">
        <v>0</v>
      </c>
      <c r="E37" s="99">
        <v>0</v>
      </c>
      <c r="G37" s="87">
        <f t="shared" ref="G37:I39" si="9">C37/C$50</f>
        <v>0</v>
      </c>
      <c r="H37" s="87">
        <f t="shared" si="9"/>
        <v>0</v>
      </c>
      <c r="I37" s="87">
        <f t="shared" si="9"/>
        <v>0</v>
      </c>
      <c r="J37" s="92">
        <f>AVERAGE(G37:I37)</f>
        <v>0</v>
      </c>
      <c r="M37" s="378">
        <f>0</f>
        <v>0</v>
      </c>
      <c r="N37" s="9">
        <f>IFERROR((D37-C37)/C37,0)</f>
        <v>0</v>
      </c>
      <c r="O37" s="9">
        <f>IFERROR((E37-D37)/D37,0)</f>
        <v>0</v>
      </c>
      <c r="P37" s="9">
        <f>AVERAGE(M37:O37)</f>
        <v>0</v>
      </c>
    </row>
    <row r="38" spans="1:16" x14ac:dyDescent="0.2">
      <c r="B38" t="s">
        <v>3103</v>
      </c>
      <c r="C38" s="99">
        <v>0</v>
      </c>
      <c r="D38" s="99">
        <v>0</v>
      </c>
      <c r="E38" s="99">
        <v>0</v>
      </c>
      <c r="G38" s="87">
        <f t="shared" si="9"/>
        <v>0</v>
      </c>
      <c r="H38" s="87">
        <f t="shared" si="9"/>
        <v>0</v>
      </c>
      <c r="I38" s="87">
        <f t="shared" si="9"/>
        <v>0</v>
      </c>
      <c r="J38" s="92">
        <f>AVERAGE(G38:I38)</f>
        <v>0</v>
      </c>
      <c r="M38" s="378">
        <f>0</f>
        <v>0</v>
      </c>
      <c r="N38" s="9">
        <f>IFERROR((D38-C38)/C38,0)</f>
        <v>0</v>
      </c>
      <c r="O38" s="9">
        <f>IFERROR((E38-D38)/D38,0)</f>
        <v>0</v>
      </c>
      <c r="P38" s="9">
        <f>AVERAGE(M38:O38)</f>
        <v>0</v>
      </c>
    </row>
    <row r="39" spans="1:16" ht="16" customHeight="1" thickBot="1" x14ac:dyDescent="0.25">
      <c r="A39" s="21" t="s">
        <v>3101</v>
      </c>
      <c r="B39" s="22"/>
      <c r="C39" s="485">
        <f>+C37+C38</f>
        <v>0</v>
      </c>
      <c r="D39" s="485">
        <f>+D37+D38</f>
        <v>0</v>
      </c>
      <c r="E39" s="485">
        <f>+E37+E38</f>
        <v>0</v>
      </c>
      <c r="G39" s="87">
        <f t="shared" si="9"/>
        <v>0</v>
      </c>
      <c r="H39" s="87">
        <f t="shared" si="9"/>
        <v>0</v>
      </c>
      <c r="I39" s="87">
        <f t="shared" si="9"/>
        <v>0</v>
      </c>
      <c r="J39" s="92">
        <f>AVERAGE(G39:I39)</f>
        <v>0</v>
      </c>
      <c r="M39" s="9"/>
      <c r="N39" s="9"/>
      <c r="O39" s="9"/>
      <c r="P39" s="9"/>
    </row>
    <row r="40" spans="1:16" ht="16" customHeight="1" thickTop="1" x14ac:dyDescent="0.2">
      <c r="A40" s="2" t="s">
        <v>3104</v>
      </c>
      <c r="C40" s="100">
        <f>+C34+C39</f>
        <v>1846235691</v>
      </c>
      <c r="D40" s="100">
        <f>+D34+D39</f>
        <v>1268407000</v>
      </c>
      <c r="E40" s="100">
        <f>+E34+E39</f>
        <v>3577237782</v>
      </c>
      <c r="G40" s="90"/>
      <c r="H40" s="90"/>
      <c r="I40" s="90"/>
      <c r="J40" s="91"/>
    </row>
    <row r="41" spans="1:16" x14ac:dyDescent="0.2">
      <c r="A41" s="2" t="s">
        <v>3105</v>
      </c>
      <c r="C41" s="10"/>
      <c r="D41" s="10"/>
      <c r="E41" s="10"/>
      <c r="G41" s="90"/>
      <c r="H41" s="90"/>
      <c r="I41" s="90"/>
      <c r="J41" s="91"/>
    </row>
    <row r="42" spans="1:16" x14ac:dyDescent="0.2">
      <c r="A42" t="s">
        <v>3106</v>
      </c>
      <c r="C42" s="99">
        <v>5280000000</v>
      </c>
      <c r="D42" s="99">
        <v>5280000000</v>
      </c>
      <c r="E42" s="99">
        <v>5280000000</v>
      </c>
      <c r="G42" s="87">
        <f>C42/C$50</f>
        <v>0.28553394173503927</v>
      </c>
      <c r="H42" s="87">
        <f>D42/D$50</f>
        <v>0.28621665031365218</v>
      </c>
      <c r="I42" s="87">
        <f>E42/E$50</f>
        <v>0.30355191029857814</v>
      </c>
      <c r="J42" s="92">
        <f>AVERAGE(G42:I42)</f>
        <v>0.29176750078242319</v>
      </c>
      <c r="M42" s="378">
        <f>0</f>
        <v>0</v>
      </c>
      <c r="N42" s="9">
        <f>IFERROR((D42-C42)/C42,0)</f>
        <v>0</v>
      </c>
      <c r="O42" s="9">
        <f>IFERROR((E42-D42)/D42,0)</f>
        <v>0</v>
      </c>
      <c r="P42" s="9">
        <f>AVERAGE(M42:O42)</f>
        <v>0</v>
      </c>
    </row>
    <row r="43" spans="1:16" x14ac:dyDescent="0.2">
      <c r="A43" t="s">
        <v>3107</v>
      </c>
      <c r="C43" s="99">
        <v>3550000000</v>
      </c>
      <c r="D43" s="99">
        <v>3150000000</v>
      </c>
      <c r="E43" s="99">
        <v>0</v>
      </c>
      <c r="G43" s="87"/>
      <c r="H43" s="87"/>
      <c r="I43" s="87"/>
      <c r="J43" s="92"/>
    </row>
    <row r="44" spans="1:16" x14ac:dyDescent="0.2">
      <c r="A44" t="s">
        <v>3108</v>
      </c>
      <c r="C44" s="10"/>
      <c r="D44" s="10"/>
      <c r="E44" s="10"/>
      <c r="G44" s="90"/>
      <c r="H44" s="90"/>
      <c r="I44" s="90"/>
      <c r="J44" s="91"/>
    </row>
    <row r="45" spans="1:16" x14ac:dyDescent="0.2">
      <c r="B45" t="s">
        <v>3109</v>
      </c>
      <c r="C45" s="99">
        <f>5289183925+2085507326</f>
        <v>7374691251</v>
      </c>
      <c r="D45" s="99">
        <f>5289183925+2705111011</f>
        <v>7994294936</v>
      </c>
      <c r="E45" s="99">
        <f>5289183925+3909531302-2500000000</f>
        <v>6698715227</v>
      </c>
      <c r="F45" s="12"/>
      <c r="G45" s="87">
        <f t="shared" ref="G45:I47" si="10">C45/C$50</f>
        <v>0.39881148901078367</v>
      </c>
      <c r="H45" s="87">
        <f t="shared" si="10"/>
        <v>0.43335233299267278</v>
      </c>
      <c r="I45" s="87">
        <f t="shared" si="10"/>
        <v>0.38511511433750445</v>
      </c>
      <c r="J45" s="92">
        <f>AVERAGE(G45:I45)</f>
        <v>0.40575964544698695</v>
      </c>
      <c r="M45" s="378">
        <f>0</f>
        <v>0</v>
      </c>
      <c r="N45" s="9">
        <f t="shared" ref="N45:O47" si="11">IFERROR((D45-C45)/C45,0)</f>
        <v>8.4017576317650236E-2</v>
      </c>
      <c r="O45" s="9">
        <f t="shared" si="11"/>
        <v>-0.1620630361241403</v>
      </c>
      <c r="P45" s="9">
        <f>AVERAGE(M45:O45)</f>
        <v>-2.6015153268830023E-2</v>
      </c>
    </row>
    <row r="46" spans="1:16" x14ac:dyDescent="0.2">
      <c r="B46" s="455" t="s">
        <v>56</v>
      </c>
      <c r="C46" s="545">
        <f>'INCOME STATEMENT'!C35</f>
        <v>440745074</v>
      </c>
      <c r="D46" s="545">
        <f>'INCOME STATEMENT'!D35</f>
        <v>754862153</v>
      </c>
      <c r="E46" s="545">
        <f>'INCOME STATEMENT'!E35</f>
        <v>1838106527</v>
      </c>
      <c r="G46" s="87">
        <f t="shared" si="10"/>
        <v>2.383478755293969E-2</v>
      </c>
      <c r="H46" s="87">
        <f t="shared" si="10"/>
        <v>4.0919340318221892E-2</v>
      </c>
      <c r="I46" s="87">
        <f t="shared" si="10"/>
        <v>0.10567438401574528</v>
      </c>
      <c r="J46" s="92">
        <f>AVERAGE(G46:I46)</f>
        <v>5.6809503962302284E-2</v>
      </c>
      <c r="M46" s="378">
        <f>0</f>
        <v>0</v>
      </c>
      <c r="N46" s="9">
        <f t="shared" si="11"/>
        <v>0.71269560916295116</v>
      </c>
      <c r="O46" s="9">
        <f t="shared" si="11"/>
        <v>1.4350227650107132</v>
      </c>
      <c r="P46" s="9">
        <f>AVERAGE(M46:O46)</f>
        <v>0.71590612472455473</v>
      </c>
    </row>
    <row r="47" spans="1:16" x14ac:dyDescent="0.2">
      <c r="A47" t="s">
        <v>3110</v>
      </c>
      <c r="C47" s="545">
        <f>+C46+C45</f>
        <v>7815436325</v>
      </c>
      <c r="D47" s="545">
        <f>+D46+D45</f>
        <v>8749157089</v>
      </c>
      <c r="E47" s="545">
        <f>+E46+E45</f>
        <v>8536821754</v>
      </c>
      <c r="G47" s="87">
        <f t="shared" si="10"/>
        <v>0.42264627656372339</v>
      </c>
      <c r="H47" s="87">
        <f t="shared" si="10"/>
        <v>0.47427167331089465</v>
      </c>
      <c r="I47" s="87">
        <f t="shared" si="10"/>
        <v>0.49078949835324975</v>
      </c>
      <c r="J47" s="92">
        <f>AVERAGE(G47:I47)</f>
        <v>0.46256914940928923</v>
      </c>
      <c r="M47" s="378">
        <f>0</f>
        <v>0</v>
      </c>
      <c r="N47" s="9">
        <f t="shared" si="11"/>
        <v>0.119471354531188</v>
      </c>
      <c r="O47" s="9">
        <f t="shared" si="11"/>
        <v>-2.4269233349000163E-2</v>
      </c>
      <c r="P47" s="9">
        <f>AVERAGE(M47:O47)</f>
        <v>3.1734040394062614E-2</v>
      </c>
    </row>
    <row r="48" spans="1:16" x14ac:dyDescent="0.2">
      <c r="A48" s="20" t="s">
        <v>3105</v>
      </c>
      <c r="B48" s="3"/>
      <c r="C48" s="546">
        <f>+C42+C47+C43</f>
        <v>16645436325</v>
      </c>
      <c r="D48" s="546">
        <f>+D42+D47+D43</f>
        <v>17179157089</v>
      </c>
      <c r="E48" s="546">
        <f>+E42+E47+E43</f>
        <v>13816821754</v>
      </c>
      <c r="G48" s="34"/>
      <c r="H48" s="34"/>
      <c r="I48" s="34"/>
      <c r="J48" s="84"/>
    </row>
    <row r="49" spans="1:5" x14ac:dyDescent="0.2">
      <c r="A49" s="2"/>
      <c r="C49" s="11"/>
      <c r="D49" s="11"/>
      <c r="E49" s="11"/>
    </row>
    <row r="50" spans="1:5" ht="16" customHeight="1" thickBot="1" x14ac:dyDescent="0.25">
      <c r="A50" s="25" t="s">
        <v>3111</v>
      </c>
      <c r="B50" s="26"/>
      <c r="C50" s="547">
        <f>C34+C39+C48</f>
        <v>18491672016</v>
      </c>
      <c r="D50" s="547">
        <f>D34+D39+D48</f>
        <v>18447564089</v>
      </c>
      <c r="E50" s="547">
        <f>E34+E39+E48</f>
        <v>17394059536</v>
      </c>
    </row>
    <row r="51" spans="1:5" x14ac:dyDescent="0.2">
      <c r="C51" s="10"/>
      <c r="D51" s="10"/>
      <c r="E51" s="332">
        <f>E26-E50</f>
        <v>-115766505</v>
      </c>
    </row>
    <row r="52" spans="1:5" x14ac:dyDescent="0.2">
      <c r="C52" s="10"/>
      <c r="D52" s="10"/>
      <c r="E52" s="10"/>
    </row>
    <row r="53" spans="1:5" x14ac:dyDescent="0.2">
      <c r="C53" s="10"/>
      <c r="D53" s="10"/>
      <c r="E53" s="10"/>
    </row>
    <row r="54" spans="1:5" x14ac:dyDescent="0.2">
      <c r="C54" s="10"/>
      <c r="D54" s="10"/>
      <c r="E54" s="9"/>
    </row>
    <row r="55" spans="1:5" x14ac:dyDescent="0.2">
      <c r="C55" s="10"/>
      <c r="D55" s="10"/>
      <c r="E55" s="10"/>
    </row>
    <row r="56" spans="1:5" x14ac:dyDescent="0.2">
      <c r="C56" s="10"/>
      <c r="D56" s="10"/>
      <c r="E56" s="10"/>
    </row>
    <row r="57" spans="1:5" x14ac:dyDescent="0.2">
      <c r="C57" s="10"/>
      <c r="D57" s="10"/>
      <c r="E57" s="10"/>
    </row>
    <row r="58" spans="1:5" x14ac:dyDescent="0.2">
      <c r="C58" s="10"/>
      <c r="D58" s="10"/>
      <c r="E58" s="10"/>
    </row>
    <row r="59" spans="1:5" x14ac:dyDescent="0.2">
      <c r="C59" s="10"/>
      <c r="D59" s="10"/>
      <c r="E59" s="10"/>
    </row>
    <row r="60" spans="1:5" x14ac:dyDescent="0.2">
      <c r="C60" s="10"/>
      <c r="D60" s="10"/>
      <c r="E60" s="10"/>
    </row>
    <row r="61" spans="1:5" x14ac:dyDescent="0.2">
      <c r="C61" s="10"/>
      <c r="D61" s="10"/>
      <c r="E61" s="10"/>
    </row>
    <row r="62" spans="1:5" x14ac:dyDescent="0.2">
      <c r="C62" s="10"/>
      <c r="D62" s="10"/>
      <c r="E62" s="10"/>
    </row>
    <row r="63" spans="1:5" x14ac:dyDescent="0.2">
      <c r="C63" s="10"/>
      <c r="D63" s="10"/>
      <c r="E63" s="10"/>
    </row>
    <row r="64" spans="1:5" x14ac:dyDescent="0.2">
      <c r="C64" s="10"/>
      <c r="D64" s="10"/>
      <c r="E64" s="10"/>
    </row>
    <row r="65" spans="3:5" x14ac:dyDescent="0.2">
      <c r="C65" s="10"/>
      <c r="D65" s="10"/>
      <c r="E65" s="10"/>
    </row>
    <row r="66" spans="3:5" x14ac:dyDescent="0.2">
      <c r="C66" s="10"/>
      <c r="D66" s="10"/>
      <c r="E66" s="10"/>
    </row>
    <row r="67" spans="3:5" x14ac:dyDescent="0.2">
      <c r="C67" s="10"/>
      <c r="D67" s="10"/>
      <c r="E67" s="10"/>
    </row>
    <row r="68" spans="3:5" x14ac:dyDescent="0.2">
      <c r="C68" s="10"/>
      <c r="D68" s="10"/>
      <c r="E68" s="10"/>
    </row>
  </sheetData>
  <mergeCells count="1">
    <mergeCell ref="G2:J2"/>
  </mergeCells>
  <hyperlinks>
    <hyperlink ref="O2" location="'CASH FLOW STATEMENT'!C8:E8" display="Komponen cash flow statement, changes on working capital, current assets" xr:uid="{00000000-0004-0000-0400-000000000000}"/>
    <hyperlink ref="O3" location="'CASH FLOW STATEMENT'!C9:E9" display="Komponen cash flow statement, changes on working capital, current liabilities" xr:uid="{00000000-0004-0000-0400-000001000000}"/>
  </hyperlink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4" tint="-0.249977111117893"/>
  </sheetPr>
  <dimension ref="A1:O38"/>
  <sheetViews>
    <sheetView showGridLines="0" topLeftCell="B2" zoomScale="75" zoomScaleNormal="115" workbookViewId="0">
      <selection activeCell="N12" sqref="N12"/>
    </sheetView>
  </sheetViews>
  <sheetFormatPr baseColWidth="10" defaultColWidth="8.83203125" defaultRowHeight="15" x14ac:dyDescent="0.2"/>
  <cols>
    <col min="1" max="1" width="18.5" customWidth="1"/>
    <col min="2" max="2" width="222.6640625" customWidth="1"/>
    <col min="3" max="3" width="18" bestFit="1" customWidth="1"/>
    <col min="4" max="4" width="18.83203125" customWidth="1"/>
    <col min="5" max="5" width="19.6640625" bestFit="1" customWidth="1"/>
    <col min="6" max="6" width="11.33203125" customWidth="1"/>
    <col min="7" max="12" width="11.5" bestFit="1" customWidth="1"/>
  </cols>
  <sheetData>
    <row r="1" spans="1:15" x14ac:dyDescent="0.2">
      <c r="A1" t="str">
        <f>'BALANCE SHEET'!A1</f>
        <v>Makmur Jaya Sejati Raya</v>
      </c>
    </row>
    <row r="2" spans="1:15" x14ac:dyDescent="0.2">
      <c r="A2" t="s">
        <v>3112</v>
      </c>
    </row>
    <row r="3" spans="1:15" x14ac:dyDescent="0.2">
      <c r="A3" t="str">
        <f>'[3]BALANCE SHEET'!A3</f>
        <v>(IDR)</v>
      </c>
      <c r="D3" s="9"/>
      <c r="E3" s="9"/>
      <c r="F3" s="9"/>
      <c r="G3" s="653" t="s">
        <v>3077</v>
      </c>
      <c r="H3" s="651"/>
      <c r="I3" s="651"/>
      <c r="J3" s="651"/>
      <c r="K3" s="9"/>
      <c r="L3" s="9" t="s">
        <v>3113</v>
      </c>
    </row>
    <row r="5" spans="1:15" x14ac:dyDescent="0.2">
      <c r="A5" s="8"/>
      <c r="B5" s="8"/>
      <c r="C5" s="8">
        <f>D5-1</f>
        <v>2019</v>
      </c>
      <c r="D5" s="8">
        <f>E5-1</f>
        <v>2020</v>
      </c>
      <c r="E5" s="8">
        <f>YEAR(HOME!B20)</f>
        <v>2021</v>
      </c>
      <c r="F5" s="31"/>
      <c r="G5" s="86">
        <f>C5</f>
        <v>2019</v>
      </c>
      <c r="H5" s="86">
        <f>D5</f>
        <v>2020</v>
      </c>
      <c r="I5" s="86">
        <f>E5</f>
        <v>2021</v>
      </c>
      <c r="J5" s="86" t="s">
        <v>3081</v>
      </c>
      <c r="L5" s="86">
        <v>2021</v>
      </c>
      <c r="M5" s="86">
        <v>2022</v>
      </c>
      <c r="N5" s="86">
        <v>2023</v>
      </c>
      <c r="O5" s="86" t="s">
        <v>3081</v>
      </c>
    </row>
    <row r="6" spans="1:15" x14ac:dyDescent="0.2">
      <c r="A6" t="s">
        <v>3114</v>
      </c>
      <c r="C6" s="99">
        <v>9335637236</v>
      </c>
      <c r="D6" s="99">
        <v>11406787320</v>
      </c>
      <c r="E6" s="99">
        <f>16663916100</f>
        <v>16663916100</v>
      </c>
      <c r="F6" s="96"/>
      <c r="G6" s="520">
        <f>IFERROR((C6-0)/0,0)</f>
        <v>0</v>
      </c>
      <c r="H6" s="87">
        <f>(D6-C6)/C6</f>
        <v>0.22185417359762544</v>
      </c>
      <c r="I6" s="87">
        <f>(E6-D6)/D6</f>
        <v>0.46087725075599989</v>
      </c>
      <c r="J6" s="93">
        <f>AVERAGE(G6:I6)</f>
        <v>0.22757714145120844</v>
      </c>
      <c r="K6" s="10"/>
      <c r="L6" s="9">
        <f>IFERROR((C6-0)/0,0)</f>
        <v>0</v>
      </c>
      <c r="M6" s="9">
        <f>(D6-C6)/C6</f>
        <v>0.22185417359762544</v>
      </c>
      <c r="N6" s="9">
        <f>(E6-D6)/D6</f>
        <v>0.46087725075599989</v>
      </c>
      <c r="O6" s="4">
        <f>AVERAGE(L6:N6)</f>
        <v>0.22757714145120844</v>
      </c>
    </row>
    <row r="7" spans="1:15" x14ac:dyDescent="0.2">
      <c r="A7" t="s">
        <v>3115</v>
      </c>
      <c r="C7" s="99">
        <f>(1341236655+237790000+532433990+60489260+4531901900+176756281)*-1</f>
        <v>-6880608086</v>
      </c>
      <c r="D7" s="99">
        <f>(1118290360+389785500+47250000+678881440+154953960+4984022900+192568750)*-1</f>
        <v>-7565752910</v>
      </c>
      <c r="E7" s="99">
        <f>(1868593447+567317727+806095500+470963990+6699039850+367647700)*-1</f>
        <v>-10779658214</v>
      </c>
      <c r="F7" s="9"/>
      <c r="G7" s="87">
        <f t="shared" ref="G7:I8" si="0">C7/C$6</f>
        <v>-0.73702607674889731</v>
      </c>
      <c r="H7" s="87">
        <f t="shared" si="0"/>
        <v>-0.66326764037536201</v>
      </c>
      <c r="I7" s="87">
        <f t="shared" si="0"/>
        <v>-0.6468862510655583</v>
      </c>
      <c r="J7" s="93">
        <f>AVERAGE(G7:I7)</f>
        <v>-0.68239332272993913</v>
      </c>
      <c r="K7" s="10"/>
      <c r="L7" s="521">
        <f>IFERROR((C7-0)/0,0)</f>
        <v>0</v>
      </c>
      <c r="M7" s="9">
        <f>(D7-C7)/C7</f>
        <v>9.957620248624055E-2</v>
      </c>
      <c r="N7" s="9">
        <f>(E7-D7)/D7</f>
        <v>0.42479649312258599</v>
      </c>
      <c r="O7" s="4">
        <f>AVERAGE(L7:N7)</f>
        <v>0.17479089853627552</v>
      </c>
    </row>
    <row r="8" spans="1:15" x14ac:dyDescent="0.2">
      <c r="A8" s="2" t="s">
        <v>3116</v>
      </c>
      <c r="B8" s="2"/>
      <c r="C8" s="100">
        <f>SUM(C6:C7)</f>
        <v>2455029150</v>
      </c>
      <c r="D8" s="100">
        <f>SUM(D6:D7)</f>
        <v>3841034410</v>
      </c>
      <c r="E8" s="100">
        <f>SUM(E6:E7)</f>
        <v>5884257886</v>
      </c>
      <c r="F8" s="11"/>
      <c r="G8" s="88">
        <f t="shared" si="0"/>
        <v>0.26297392325110264</v>
      </c>
      <c r="H8" s="88">
        <f t="shared" si="0"/>
        <v>0.33673235962463793</v>
      </c>
      <c r="I8" s="88">
        <f t="shared" si="0"/>
        <v>0.35311374893444164</v>
      </c>
      <c r="J8" s="93">
        <f>AVERAGE(G8:I8)</f>
        <v>0.31760667727006076</v>
      </c>
      <c r="K8" s="11"/>
      <c r="L8" s="11"/>
    </row>
    <row r="9" spans="1:15" x14ac:dyDescent="0.2">
      <c r="B9" s="1" t="s">
        <v>3117</v>
      </c>
      <c r="C9" s="339">
        <f>+C8/C6</f>
        <v>0.26297392325110264</v>
      </c>
      <c r="D9" s="339">
        <f>+D8/D6</f>
        <v>0.33673235962463793</v>
      </c>
      <c r="E9" s="339">
        <f>+E8/E6</f>
        <v>0.35311374893444164</v>
      </c>
      <c r="F9" s="9"/>
      <c r="G9" s="89"/>
      <c r="H9" s="89"/>
      <c r="I9" s="89">
        <f>I8-H8</f>
        <v>1.6381389309803707E-2</v>
      </c>
      <c r="J9" s="94"/>
      <c r="K9" s="9"/>
      <c r="L9" s="9"/>
    </row>
    <row r="10" spans="1:15" x14ac:dyDescent="0.2">
      <c r="G10" s="90"/>
      <c r="H10" s="90"/>
      <c r="I10" s="90"/>
      <c r="J10" s="91"/>
    </row>
    <row r="11" spans="1:15" x14ac:dyDescent="0.2">
      <c r="A11" t="s">
        <v>3118</v>
      </c>
      <c r="G11" s="90"/>
      <c r="H11" s="90"/>
      <c r="I11" s="90"/>
      <c r="J11" s="91"/>
    </row>
    <row r="12" spans="1:15" x14ac:dyDescent="0.2">
      <c r="B12" t="s">
        <v>3089</v>
      </c>
      <c r="C12" s="99">
        <v>0</v>
      </c>
      <c r="D12" s="10">
        <v>0</v>
      </c>
      <c r="E12" s="99">
        <v>0</v>
      </c>
      <c r="G12" s="87">
        <f t="shared" ref="G12:I13" si="1">C12/C$6</f>
        <v>0</v>
      </c>
      <c r="H12" s="87">
        <f t="shared" si="1"/>
        <v>0</v>
      </c>
      <c r="I12" s="87">
        <f t="shared" si="1"/>
        <v>0</v>
      </c>
      <c r="J12" s="93">
        <f>AVERAGE(G12:I12)</f>
        <v>0</v>
      </c>
      <c r="L12" s="9">
        <f>IFERROR((C12-0)/0,0)</f>
        <v>0</v>
      </c>
      <c r="M12" s="9">
        <f>IFERROR((D12-C12)/C12,0)</f>
        <v>0</v>
      </c>
      <c r="N12" s="9">
        <f>IFERROR((E12-D12)/D12,0)</f>
        <v>0</v>
      </c>
      <c r="O12" s="4">
        <f>AVERAGE(L12:N12)</f>
        <v>0</v>
      </c>
    </row>
    <row r="13" spans="1:15" x14ac:dyDescent="0.2">
      <c r="B13" t="s">
        <v>3119</v>
      </c>
      <c r="C13" s="99">
        <f>(28989940+226329500+10176400+336574200+171636900+55010000+507006500+1505306+4000000+17133467+25364440+36857132)*-1</f>
        <v>-1420583785</v>
      </c>
      <c r="D13" s="99">
        <f>(39888220+388515583+12543000+475888200+19685000+331373500+445539100+1477600+22156200+14335851+58476654)*-1</f>
        <v>-1809878908</v>
      </c>
      <c r="E13" s="99">
        <f>(10290500+543625269+10767100+809649273+146537000+507940000+449519500+1418500+24268976+37800600+34972298+64306088)*-1</f>
        <v>-2641095104</v>
      </c>
      <c r="G13" s="87">
        <f t="shared" si="1"/>
        <v>-0.15216784340355016</v>
      </c>
      <c r="H13" s="87">
        <f t="shared" si="1"/>
        <v>-0.158666840822627</v>
      </c>
      <c r="I13" s="87">
        <f t="shared" si="1"/>
        <v>-0.15849186278608304</v>
      </c>
      <c r="J13" s="93">
        <f>AVERAGE(G13:I13)</f>
        <v>-0.15644218233742005</v>
      </c>
      <c r="L13" s="9">
        <f>IFERROR((C13-0)/0,0)</f>
        <v>0</v>
      </c>
      <c r="M13" s="9">
        <f>(D13-C13)/C13</f>
        <v>0.27403883326740913</v>
      </c>
      <c r="N13" s="9">
        <f>(E13-D13)/D13</f>
        <v>0.45926619307284616</v>
      </c>
      <c r="O13" s="4">
        <f>AVERAGE(L13:N13)</f>
        <v>0.24443500878008509</v>
      </c>
    </row>
    <row r="14" spans="1:15" x14ac:dyDescent="0.2">
      <c r="C14" s="9"/>
      <c r="D14" s="9"/>
      <c r="E14" s="9"/>
      <c r="G14" s="90"/>
      <c r="H14" s="90"/>
      <c r="I14" s="90"/>
      <c r="J14" s="91"/>
    </row>
    <row r="15" spans="1:15" x14ac:dyDescent="0.2">
      <c r="A15" t="s">
        <v>3120</v>
      </c>
      <c r="C15" s="99">
        <f>C12+C13</f>
        <v>-1420583785</v>
      </c>
      <c r="D15" s="99">
        <f>D12+D13</f>
        <v>-1809878908</v>
      </c>
      <c r="E15" s="99">
        <f>E12+E13</f>
        <v>-2641095104</v>
      </c>
      <c r="G15" s="87">
        <f>C15/C$6</f>
        <v>-0.15216784340355016</v>
      </c>
      <c r="H15" s="87">
        <f>D15/D$6</f>
        <v>-0.158666840822627</v>
      </c>
      <c r="I15" s="87">
        <f>E15/E$6</f>
        <v>-0.15849186278608304</v>
      </c>
      <c r="J15" s="93">
        <f>AVERAGE(G15:I15)</f>
        <v>-0.15644218233742005</v>
      </c>
      <c r="L15" s="9">
        <f>IFERROR((C15-0)/0,0)</f>
        <v>0</v>
      </c>
      <c r="M15" s="9">
        <f>(D15-C15)/C15</f>
        <v>0.27403883326740913</v>
      </c>
      <c r="N15" s="9">
        <f>(E15-D15)/D15</f>
        <v>0.45926619307284616</v>
      </c>
      <c r="O15" s="4">
        <f>AVERAGE(L15:N15)</f>
        <v>0.24443500878008509</v>
      </c>
    </row>
    <row r="16" spans="1:15" x14ac:dyDescent="0.2">
      <c r="A16" t="s">
        <v>3121</v>
      </c>
      <c r="B16" s="455"/>
      <c r="G16" s="90"/>
      <c r="H16" s="90"/>
      <c r="I16" s="90"/>
      <c r="J16" s="91"/>
    </row>
    <row r="17" spans="1:15" x14ac:dyDescent="0.2">
      <c r="A17" s="3"/>
      <c r="B17" s="3"/>
      <c r="C17" s="3"/>
      <c r="D17" s="3"/>
      <c r="E17" s="3"/>
      <c r="G17" s="90"/>
      <c r="H17" s="90"/>
      <c r="I17" s="90"/>
      <c r="J17" s="91"/>
    </row>
    <row r="18" spans="1:15" x14ac:dyDescent="0.2">
      <c r="A18" s="2" t="s">
        <v>1</v>
      </c>
      <c r="C18" s="486">
        <f>C8+C15</f>
        <v>1034445365</v>
      </c>
      <c r="D18" s="486">
        <f>D8+D15</f>
        <v>2031155502</v>
      </c>
      <c r="E18" s="486">
        <f>E8+E15</f>
        <v>3243162782</v>
      </c>
      <c r="G18" s="88">
        <f>C18/C$6</f>
        <v>0.11080607984755246</v>
      </c>
      <c r="H18" s="88">
        <f>D18/D$6</f>
        <v>0.17806551880201094</v>
      </c>
      <c r="I18" s="88">
        <f>E18/E$6</f>
        <v>0.1946218861483586</v>
      </c>
      <c r="J18" s="93">
        <f>AVERAGE(G18:I18)</f>
        <v>0.16116449493264065</v>
      </c>
      <c r="L18" s="9">
        <f>IFERROR((C18-0)/0,0)</f>
        <v>0</v>
      </c>
      <c r="M18" s="9">
        <f>(D18-C18)/C18</f>
        <v>0.96352129433147971</v>
      </c>
      <c r="N18" s="9">
        <f>(E18-D18)/D18</f>
        <v>0.59670826719401027</v>
      </c>
      <c r="O18" s="4">
        <f>AVERAGE(L18:N18)</f>
        <v>0.52007652050849662</v>
      </c>
    </row>
    <row r="19" spans="1:15" x14ac:dyDescent="0.2">
      <c r="B19" s="1" t="s">
        <v>3122</v>
      </c>
      <c r="C19" s="373">
        <f>C18/C6</f>
        <v>0.11080607984755246</v>
      </c>
      <c r="D19" s="373">
        <f>D18/D6</f>
        <v>0.17806551880201094</v>
      </c>
      <c r="E19" s="373">
        <f>E18/E6</f>
        <v>0.1946218861483586</v>
      </c>
      <c r="G19" s="87"/>
      <c r="H19" s="87"/>
      <c r="I19" s="87"/>
      <c r="J19" s="93"/>
    </row>
    <row r="20" spans="1:15" x14ac:dyDescent="0.2">
      <c r="B20" s="1"/>
      <c r="C20" s="9"/>
      <c r="D20" s="9"/>
      <c r="E20" s="9"/>
      <c r="G20" s="90"/>
      <c r="H20" s="90"/>
      <c r="I20" s="90"/>
      <c r="J20" s="91"/>
    </row>
    <row r="21" spans="1:15" x14ac:dyDescent="0.2">
      <c r="A21" s="3" t="s">
        <v>3123</v>
      </c>
      <c r="B21" s="3"/>
      <c r="C21" s="474">
        <f>'FIXED ASSET'!C51*-1</f>
        <v>-353481575</v>
      </c>
      <c r="D21" s="474">
        <f>'FIXED ASSET'!D51*-1</f>
        <v>-1120799028</v>
      </c>
      <c r="E21" s="474">
        <f>'FIXED ASSET'!E51*-1</f>
        <v>-981730341</v>
      </c>
      <c r="G21" s="90"/>
      <c r="H21" s="90"/>
      <c r="I21" s="90"/>
      <c r="J21" s="91"/>
    </row>
    <row r="22" spans="1:15" x14ac:dyDescent="0.2">
      <c r="A22" s="2" t="s">
        <v>3124</v>
      </c>
      <c r="C22" s="100">
        <f>+C18+C21</f>
        <v>680963790</v>
      </c>
      <c r="D22" s="100">
        <f>+D18+D21</f>
        <v>910356474</v>
      </c>
      <c r="E22" s="100">
        <f>+E18+E21</f>
        <v>2261432441</v>
      </c>
      <c r="G22" s="88">
        <f t="shared" ref="G22:I23" si="2">C22/C$6</f>
        <v>7.294240047953808E-2</v>
      </c>
      <c r="H22" s="88">
        <f t="shared" si="2"/>
        <v>7.9808314862137714E-2</v>
      </c>
      <c r="I22" s="88">
        <f t="shared" si="2"/>
        <v>0.13570834295067052</v>
      </c>
      <c r="J22" s="93">
        <f>AVERAGE(G22:I22)</f>
        <v>9.6153019430782097E-2</v>
      </c>
      <c r="L22" s="9">
        <f>IFERROR((C22-0)/0,0)</f>
        <v>0</v>
      </c>
      <c r="M22" s="9">
        <f>(D22-C22)/C22</f>
        <v>0.33686473108944603</v>
      </c>
      <c r="N22" s="9">
        <f>(E22-D22)/D22</f>
        <v>1.4841174919793012</v>
      </c>
      <c r="O22" s="4">
        <f>AVERAGE(L22:N22)</f>
        <v>0.60699407435624908</v>
      </c>
    </row>
    <row r="23" spans="1:15" x14ac:dyDescent="0.2">
      <c r="B23" s="1" t="s">
        <v>3125</v>
      </c>
      <c r="C23" s="373">
        <f>+C22/C6</f>
        <v>7.294240047953808E-2</v>
      </c>
      <c r="D23" s="373">
        <f>+D22/D6</f>
        <v>7.9808314862137714E-2</v>
      </c>
      <c r="E23" s="373">
        <f>+E22/E6</f>
        <v>0.13570834295067052</v>
      </c>
      <c r="G23" s="87">
        <f t="shared" si="2"/>
        <v>7.8133284997684207E-12</v>
      </c>
      <c r="H23" s="87">
        <f t="shared" si="2"/>
        <v>6.9965637671008771E-12</v>
      </c>
      <c r="I23" s="87">
        <f t="shared" si="2"/>
        <v>8.1438445882880143E-12</v>
      </c>
      <c r="J23" s="93">
        <f>AVERAGE(G23:I23)</f>
        <v>7.6512456183857702E-12</v>
      </c>
      <c r="L23" s="9"/>
      <c r="M23" s="9"/>
      <c r="N23" s="9"/>
      <c r="O23" s="4"/>
    </row>
    <row r="24" spans="1:15" x14ac:dyDescent="0.2">
      <c r="C24" s="10"/>
      <c r="D24" s="10"/>
      <c r="E24" s="10"/>
      <c r="G24" s="90"/>
      <c r="H24" s="90"/>
      <c r="I24" s="90"/>
      <c r="J24" s="91"/>
    </row>
    <row r="25" spans="1:15" x14ac:dyDescent="0.2">
      <c r="A25" t="s">
        <v>3126</v>
      </c>
      <c r="C25" s="10"/>
      <c r="D25" s="10"/>
      <c r="E25" s="10"/>
      <c r="G25" s="90"/>
      <c r="H25" s="90"/>
      <c r="I25" s="90"/>
      <c r="J25" s="91"/>
    </row>
    <row r="26" spans="1:15" x14ac:dyDescent="0.2">
      <c r="B26" t="s">
        <v>3127</v>
      </c>
      <c r="C26" s="99">
        <f>7222836+74171233</f>
        <v>81394069</v>
      </c>
      <c r="D26" s="99">
        <f>6803933+5000000</f>
        <v>11803933</v>
      </c>
      <c r="E26" s="99">
        <f>(2443706+2266459+9247176)</f>
        <v>13957341</v>
      </c>
      <c r="G26" s="87">
        <f t="shared" ref="G26:I28" si="3">C26/C$6</f>
        <v>8.7186409392739604E-3</v>
      </c>
      <c r="H26" s="87">
        <f t="shared" si="3"/>
        <v>1.0348166112735062E-3</v>
      </c>
      <c r="I26" s="87">
        <f t="shared" si="3"/>
        <v>8.3757868896135407E-4</v>
      </c>
      <c r="J26" s="93">
        <f>AVERAGE(G26:I26)</f>
        <v>3.5303454131696069E-3</v>
      </c>
      <c r="L26" s="9"/>
      <c r="M26" s="9"/>
      <c r="N26" s="9"/>
      <c r="O26" s="4"/>
    </row>
    <row r="27" spans="1:15" x14ac:dyDescent="0.2">
      <c r="B27" t="s">
        <v>3128</v>
      </c>
      <c r="C27" s="99">
        <f>(1444567+14834247)*-1</f>
        <v>-16278814</v>
      </c>
      <c r="D27" s="99">
        <f>(1360787+341)*-1</f>
        <v>-1361128</v>
      </c>
      <c r="E27" s="99">
        <f>(488741+453292)*-1</f>
        <v>-942033</v>
      </c>
      <c r="G27" s="87">
        <f t="shared" si="3"/>
        <v>-1.7437282092780753E-3</v>
      </c>
      <c r="H27" s="87">
        <f t="shared" si="3"/>
        <v>-1.1932614870564624E-4</v>
      </c>
      <c r="I27" s="87">
        <f t="shared" si="3"/>
        <v>-5.6531309588146573E-5</v>
      </c>
      <c r="J27" s="93">
        <f>AVERAGE(G27:I27)</f>
        <v>-6.3986188919062275E-4</v>
      </c>
      <c r="L27" s="9">
        <f>IFERROR((C27-0)/0,0)</f>
        <v>0</v>
      </c>
      <c r="M27" s="9">
        <f>(D27-C27)/C27</f>
        <v>-0.91638653774163159</v>
      </c>
      <c r="N27" s="9">
        <f>(E27-D27)/D27</f>
        <v>-0.30790271010514808</v>
      </c>
      <c r="O27" s="4">
        <f>AVERAGE(L27:N27)</f>
        <v>-0.40809641594892659</v>
      </c>
    </row>
    <row r="28" spans="1:15" x14ac:dyDescent="0.2">
      <c r="A28" t="s">
        <v>3129</v>
      </c>
      <c r="C28" s="99">
        <f>+C26+C27</f>
        <v>65115255</v>
      </c>
      <c r="D28" s="99">
        <f>+D26+D27</f>
        <v>10442805</v>
      </c>
      <c r="E28" s="99">
        <f>+E26+E27</f>
        <v>13015308</v>
      </c>
      <c r="G28" s="87">
        <f t="shared" si="3"/>
        <v>6.9749127299958856E-3</v>
      </c>
      <c r="H28" s="87">
        <f t="shared" si="3"/>
        <v>9.1549046256786002E-4</v>
      </c>
      <c r="I28" s="87">
        <f t="shared" si="3"/>
        <v>7.8104737937320743E-4</v>
      </c>
      <c r="J28" s="93">
        <f>AVERAGE(G28:I28)</f>
        <v>2.8904835239789844E-3</v>
      </c>
      <c r="L28" s="9">
        <f>IFERROR((C28-0)/0,0)</f>
        <v>0</v>
      </c>
      <c r="M28" s="9">
        <f>(D28-C28)/C28</f>
        <v>-0.83962582961550258</v>
      </c>
      <c r="N28" s="9">
        <f>(E28-D28)/D28</f>
        <v>0.24634214657843367</v>
      </c>
      <c r="O28" s="4">
        <f>AVERAGE(L28:N28)</f>
        <v>-0.19776122767902296</v>
      </c>
    </row>
    <row r="29" spans="1:15" x14ac:dyDescent="0.2">
      <c r="C29" s="10"/>
      <c r="D29" s="10"/>
      <c r="E29" s="10"/>
      <c r="G29" s="90"/>
      <c r="H29" s="90"/>
      <c r="I29" s="90"/>
      <c r="J29" s="91"/>
    </row>
    <row r="30" spans="1:15" x14ac:dyDescent="0.2">
      <c r="A30" t="s">
        <v>3130</v>
      </c>
      <c r="C30" s="99">
        <v>0</v>
      </c>
      <c r="D30" s="10">
        <v>0</v>
      </c>
      <c r="E30" s="99">
        <f>(12125-225000)</f>
        <v>-212875</v>
      </c>
      <c r="G30" s="87">
        <f>C30/C$6</f>
        <v>0</v>
      </c>
      <c r="H30" s="87">
        <f>D30/D$6</f>
        <v>0</v>
      </c>
      <c r="I30" s="87">
        <f>E30/E$6</f>
        <v>-1.2774608244697056E-5</v>
      </c>
      <c r="J30" s="93">
        <f>AVERAGE(G30:I30)</f>
        <v>-4.2582027482323517E-6</v>
      </c>
      <c r="L30" s="9">
        <f>IFERROR((C30-0)/0,0)</f>
        <v>0</v>
      </c>
      <c r="M30" s="9">
        <f>IFERROR((D30-C30)/C30,0)</f>
        <v>0</v>
      </c>
      <c r="N30" s="9">
        <f>IFERROR((E30-D30)/D30,0)</f>
        <v>0</v>
      </c>
      <c r="O30" s="4">
        <f>AVERAGE(L30:N30)</f>
        <v>0</v>
      </c>
    </row>
    <row r="31" spans="1:15" x14ac:dyDescent="0.2">
      <c r="A31" s="3"/>
      <c r="B31" s="3"/>
      <c r="C31" s="14"/>
      <c r="D31" s="14"/>
      <c r="E31" s="14"/>
      <c r="G31" s="90"/>
      <c r="H31" s="90"/>
      <c r="I31" s="90"/>
      <c r="J31" s="91"/>
    </row>
    <row r="32" spans="1:15" x14ac:dyDescent="0.2">
      <c r="A32" s="2" t="s">
        <v>3131</v>
      </c>
      <c r="C32" s="100">
        <f>+C22+C28+C30</f>
        <v>746079045</v>
      </c>
      <c r="D32" s="100">
        <f>+D22+D28+D30</f>
        <v>920799279</v>
      </c>
      <c r="E32" s="100">
        <f>+E22+E28+E30</f>
        <v>2274234874</v>
      </c>
      <c r="G32" s="88">
        <f>C32/C$6</f>
        <v>7.9917313209533963E-2</v>
      </c>
      <c r="H32" s="88">
        <f>D32/D$6</f>
        <v>8.0723805324705578E-2</v>
      </c>
      <c r="I32" s="88">
        <f>E32/E$6</f>
        <v>0.13647661572179903</v>
      </c>
      <c r="J32" s="93">
        <f>AVERAGE(G32:I32)</f>
        <v>9.9039244752012867E-2</v>
      </c>
      <c r="L32" s="9">
        <f>IFERROR((C32-0)/0,0)</f>
        <v>0</v>
      </c>
      <c r="M32" s="9">
        <f>(D32-C32)/C32</f>
        <v>0.23418461511675348</v>
      </c>
      <c r="N32" s="9">
        <f>(E32-D32)/D32</f>
        <v>1.4698486693754242</v>
      </c>
      <c r="O32" s="4">
        <f>AVERAGE(L32:N32)</f>
        <v>0.56801109483072587</v>
      </c>
    </row>
    <row r="33" spans="1:15" x14ac:dyDescent="0.2">
      <c r="A33" t="s">
        <v>2</v>
      </c>
      <c r="B33" s="4"/>
      <c r="C33" s="99">
        <v>-305333971</v>
      </c>
      <c r="D33" s="99">
        <v>-165937126</v>
      </c>
      <c r="E33" s="99">
        <v>-436128347</v>
      </c>
      <c r="G33" s="87"/>
      <c r="H33" s="87"/>
      <c r="I33" s="87">
        <f>(E33-D33)/D33</f>
        <v>1.6282746815802993</v>
      </c>
      <c r="J33" s="93"/>
    </row>
    <row r="34" spans="1:15" x14ac:dyDescent="0.2">
      <c r="A34" s="3"/>
      <c r="B34" s="3"/>
      <c r="C34" s="14"/>
      <c r="D34" s="14"/>
      <c r="E34" s="14"/>
      <c r="G34" s="90"/>
      <c r="H34" s="90"/>
      <c r="I34" s="90"/>
      <c r="J34" s="91"/>
    </row>
    <row r="35" spans="1:15" x14ac:dyDescent="0.2">
      <c r="A35" s="15" t="s">
        <v>3132</v>
      </c>
      <c r="B35" s="16"/>
      <c r="C35" s="484">
        <f>+C32+C33</f>
        <v>440745074</v>
      </c>
      <c r="D35" s="484">
        <f>+D32+D33</f>
        <v>754862153</v>
      </c>
      <c r="E35" s="484">
        <f>+E32+E33</f>
        <v>1838106527</v>
      </c>
      <c r="G35" s="88">
        <f>C35/C$6</f>
        <v>4.7211032611721764E-2</v>
      </c>
      <c r="H35" s="88">
        <f>D35/D$6</f>
        <v>6.617657819186902E-2</v>
      </c>
      <c r="I35" s="88">
        <f>E35/E$6</f>
        <v>0.11030459562863498</v>
      </c>
      <c r="J35" s="93">
        <f>AVERAGE(G35:I35)</f>
        <v>7.4564068810741915E-2</v>
      </c>
      <c r="L35" s="9">
        <f>IFERROR((C35-0)/0,0)</f>
        <v>0</v>
      </c>
      <c r="M35" s="9">
        <f>(D35-C35)/C35</f>
        <v>0.71269560916295116</v>
      </c>
      <c r="N35" s="9">
        <f>(E35-D35)/D35</f>
        <v>1.4350227650107132</v>
      </c>
      <c r="O35" s="4">
        <f>AVERAGE(L35:N35)</f>
        <v>0.71590612472455473</v>
      </c>
    </row>
    <row r="36" spans="1:15" x14ac:dyDescent="0.2">
      <c r="A36" s="16"/>
      <c r="B36" s="18" t="s">
        <v>3133</v>
      </c>
      <c r="C36" s="374">
        <f>+C35/C6</f>
        <v>4.7211032611721764E-2</v>
      </c>
      <c r="D36" s="374">
        <f>+D35/D6</f>
        <v>6.617657819186902E-2</v>
      </c>
      <c r="E36" s="374">
        <f>+E35/E6</f>
        <v>0.11030459562863498</v>
      </c>
      <c r="H36" s="463">
        <f>I35-H35</f>
        <v>4.4128017436765962E-2</v>
      </c>
    </row>
    <row r="38" spans="1:15" x14ac:dyDescent="0.2">
      <c r="E38" s="72"/>
    </row>
  </sheetData>
  <mergeCells count="1">
    <mergeCell ref="G3:J3"/>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theme="4"/>
  </sheetPr>
  <dimension ref="A1:G26"/>
  <sheetViews>
    <sheetView workbookViewId="0">
      <selection activeCell="C23" sqref="C23"/>
    </sheetView>
  </sheetViews>
  <sheetFormatPr baseColWidth="10" defaultColWidth="8.83203125" defaultRowHeight="15" x14ac:dyDescent="0.2"/>
  <cols>
    <col min="1" max="1" width="16.6640625" customWidth="1"/>
    <col min="2" max="2" width="26.6640625" customWidth="1"/>
    <col min="3" max="5" width="16.6640625" customWidth="1"/>
  </cols>
  <sheetData>
    <row r="1" spans="1:7" x14ac:dyDescent="0.2">
      <c r="A1" t="str">
        <f>HOME!B4</f>
        <v>Makmur Jaya Sejati Raya</v>
      </c>
    </row>
    <row r="2" spans="1:7" x14ac:dyDescent="0.2">
      <c r="A2" t="s">
        <v>3134</v>
      </c>
    </row>
    <row r="3" spans="1:7" x14ac:dyDescent="0.2">
      <c r="A3" t="str">
        <f>'BALANCE SHEET'!A3</f>
        <v>(IDR)</v>
      </c>
    </row>
    <row r="5" spans="1:7" x14ac:dyDescent="0.2">
      <c r="A5" s="8"/>
      <c r="B5" s="8"/>
      <c r="C5" s="8">
        <f>'FIXED ASSET'!C5</f>
        <v>2019</v>
      </c>
      <c r="D5" s="8">
        <f>'FIXED ASSET'!D5</f>
        <v>2020</v>
      </c>
      <c r="E5" s="8">
        <f>'FIXED ASSET'!E5</f>
        <v>2021</v>
      </c>
    </row>
    <row r="6" spans="1:7" x14ac:dyDescent="0.2">
      <c r="A6" s="2"/>
    </row>
    <row r="7" spans="1:7" x14ac:dyDescent="0.2">
      <c r="A7" s="2" t="s">
        <v>3135</v>
      </c>
      <c r="C7" s="10"/>
      <c r="D7" s="10"/>
      <c r="E7" s="10"/>
      <c r="F7" s="10"/>
      <c r="G7" s="10"/>
    </row>
    <row r="8" spans="1:7" x14ac:dyDescent="0.2">
      <c r="A8" s="2" t="s">
        <v>3136</v>
      </c>
      <c r="C8" s="71">
        <v>0.13</v>
      </c>
      <c r="D8" s="71">
        <v>0.13</v>
      </c>
      <c r="E8" s="71">
        <v>0.13</v>
      </c>
      <c r="F8" s="10"/>
      <c r="G8" s="10"/>
    </row>
    <row r="9" spans="1:7" x14ac:dyDescent="0.2">
      <c r="A9" t="s">
        <v>3058</v>
      </c>
      <c r="C9" s="99">
        <f>0</f>
        <v>0</v>
      </c>
      <c r="D9" s="99">
        <f>C12</f>
        <v>0</v>
      </c>
      <c r="E9" s="99">
        <f>D12</f>
        <v>0</v>
      </c>
      <c r="F9" s="10"/>
      <c r="G9" s="10"/>
    </row>
    <row r="10" spans="1:7" x14ac:dyDescent="0.2">
      <c r="B10" t="s">
        <v>3137</v>
      </c>
      <c r="C10" s="99">
        <f>('BALANCE SHEET'!C30-0)</f>
        <v>0</v>
      </c>
      <c r="D10" s="99">
        <f>('BALANCE SHEET'!D30-'BALANCE SHEET'!C30)</f>
        <v>0</v>
      </c>
      <c r="E10" s="99">
        <f>('BALANCE SHEET'!E30-'BALANCE SHEET'!D30)</f>
        <v>0</v>
      </c>
      <c r="F10" s="10"/>
      <c r="G10" s="10"/>
    </row>
    <row r="11" spans="1:7" x14ac:dyDescent="0.2">
      <c r="A11" s="3"/>
      <c r="B11" s="3" t="s">
        <v>3138</v>
      </c>
      <c r="C11" s="474">
        <v>0</v>
      </c>
      <c r="D11" s="474">
        <v>0</v>
      </c>
      <c r="E11" s="474">
        <v>0</v>
      </c>
      <c r="F11" s="10"/>
      <c r="G11" s="10"/>
    </row>
    <row r="12" spans="1:7" x14ac:dyDescent="0.2">
      <c r="A12" s="2" t="s">
        <v>3069</v>
      </c>
      <c r="C12" s="100">
        <f>SUM(C9:C11)</f>
        <v>0</v>
      </c>
      <c r="D12" s="100">
        <f>SUM(D9:D11)</f>
        <v>0</v>
      </c>
      <c r="E12" s="100">
        <f>SUM(E9:E11)</f>
        <v>0</v>
      </c>
      <c r="F12" s="10"/>
      <c r="G12" s="10"/>
    </row>
    <row r="13" spans="1:7" x14ac:dyDescent="0.2">
      <c r="C13" s="10"/>
      <c r="D13" s="10"/>
      <c r="E13" s="10"/>
      <c r="F13" s="10"/>
      <c r="G13" s="10"/>
    </row>
    <row r="14" spans="1:7" x14ac:dyDescent="0.2">
      <c r="A14" t="s">
        <v>3139</v>
      </c>
      <c r="B14" s="4"/>
      <c r="C14" s="10">
        <v>0</v>
      </c>
      <c r="D14" s="10">
        <v>0</v>
      </c>
      <c r="E14" s="10">
        <v>0</v>
      </c>
      <c r="F14" s="10"/>
      <c r="G14" s="10"/>
    </row>
    <row r="15" spans="1:7" x14ac:dyDescent="0.2">
      <c r="C15" s="9"/>
      <c r="D15" s="9"/>
      <c r="E15" s="10"/>
      <c r="F15" s="10"/>
      <c r="G15" s="10"/>
    </row>
    <row r="16" spans="1:7" x14ac:dyDescent="0.2">
      <c r="A16" s="2" t="s">
        <v>3140</v>
      </c>
      <c r="C16" s="10"/>
      <c r="D16" s="10"/>
      <c r="E16" s="10"/>
      <c r="F16" s="10"/>
      <c r="G16" s="10"/>
    </row>
    <row r="17" spans="1:7" x14ac:dyDescent="0.2">
      <c r="A17" s="2" t="s">
        <v>3136</v>
      </c>
      <c r="C17" s="71">
        <v>0.13</v>
      </c>
      <c r="D17" s="71">
        <v>0.13</v>
      </c>
      <c r="E17" s="71">
        <v>0.13</v>
      </c>
      <c r="F17" s="10"/>
      <c r="G17" s="10"/>
    </row>
    <row r="18" spans="1:7" x14ac:dyDescent="0.2">
      <c r="A18" t="s">
        <v>3058</v>
      </c>
      <c r="C18" s="99">
        <v>0</v>
      </c>
      <c r="D18" s="99">
        <f>C21</f>
        <v>0</v>
      </c>
      <c r="E18" s="99">
        <f>D21</f>
        <v>0</v>
      </c>
      <c r="F18" s="10"/>
      <c r="G18" s="10"/>
    </row>
    <row r="19" spans="1:7" x14ac:dyDescent="0.2">
      <c r="B19" t="s">
        <v>3137</v>
      </c>
      <c r="C19" s="99">
        <v>0</v>
      </c>
      <c r="D19" s="99">
        <v>0</v>
      </c>
      <c r="E19" s="99">
        <v>0</v>
      </c>
      <c r="F19" s="10"/>
      <c r="G19" s="10"/>
    </row>
    <row r="20" spans="1:7" x14ac:dyDescent="0.2">
      <c r="A20" s="3"/>
      <c r="B20" s="3" t="s">
        <v>3138</v>
      </c>
      <c r="C20" s="474">
        <v>0</v>
      </c>
      <c r="D20" s="474">
        <v>0</v>
      </c>
      <c r="E20" s="474">
        <v>0</v>
      </c>
      <c r="F20" s="10"/>
      <c r="G20" s="10"/>
    </row>
    <row r="21" spans="1:7" x14ac:dyDescent="0.2">
      <c r="A21" s="2" t="s">
        <v>3069</v>
      </c>
      <c r="C21" s="100">
        <f>SUM(C18:C20)</f>
        <v>0</v>
      </c>
      <c r="D21" s="100">
        <f>SUM(D18:D20)</f>
        <v>0</v>
      </c>
      <c r="E21" s="100">
        <f>SUM(E18:E20)</f>
        <v>0</v>
      </c>
      <c r="F21" s="10"/>
      <c r="G21" s="10"/>
    </row>
    <row r="22" spans="1:7" x14ac:dyDescent="0.2">
      <c r="C22" s="10"/>
      <c r="D22" s="10"/>
      <c r="E22" s="10"/>
      <c r="F22" s="10"/>
      <c r="G22" s="10"/>
    </row>
    <row r="23" spans="1:7" x14ac:dyDescent="0.2">
      <c r="A23" s="20" t="s">
        <v>3139</v>
      </c>
      <c r="B23" s="3"/>
      <c r="C23" s="482">
        <v>0</v>
      </c>
      <c r="D23" s="482">
        <v>0</v>
      </c>
      <c r="E23" s="482">
        <v>0</v>
      </c>
      <c r="F23" s="10"/>
      <c r="G23" s="10"/>
    </row>
    <row r="24" spans="1:7" x14ac:dyDescent="0.2">
      <c r="C24" s="9"/>
      <c r="D24" s="9"/>
      <c r="E24" s="9"/>
      <c r="F24" s="10"/>
      <c r="G24" s="10"/>
    </row>
    <row r="25" spans="1:7" x14ac:dyDescent="0.2">
      <c r="C25" s="10"/>
      <c r="D25" s="10"/>
      <c r="E25" s="10"/>
      <c r="F25" s="10"/>
      <c r="G25" s="10"/>
    </row>
    <row r="26" spans="1:7" x14ac:dyDescent="0.2">
      <c r="C26" s="10"/>
      <c r="D26" s="10"/>
      <c r="E26" s="10"/>
      <c r="F26" s="10"/>
      <c r="G26" s="10"/>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4" tint="-0.249977111117893"/>
  </sheetPr>
  <dimension ref="A1:J51"/>
  <sheetViews>
    <sheetView showGridLines="0" topLeftCell="A10" workbookViewId="0">
      <selection activeCell="C32" sqref="C32"/>
    </sheetView>
  </sheetViews>
  <sheetFormatPr baseColWidth="10" defaultColWidth="8.83203125" defaultRowHeight="15" x14ac:dyDescent="0.2"/>
  <cols>
    <col min="1" max="2" width="21.33203125" customWidth="1"/>
    <col min="3" max="5" width="19.6640625" customWidth="1"/>
  </cols>
  <sheetData>
    <row r="1" spans="1:10" x14ac:dyDescent="0.2">
      <c r="A1" t="str">
        <f>HOME!B4</f>
        <v>Makmur Jaya Sejati Raya</v>
      </c>
    </row>
    <row r="2" spans="1:10" x14ac:dyDescent="0.2">
      <c r="A2" t="s">
        <v>0</v>
      </c>
    </row>
    <row r="3" spans="1:10" x14ac:dyDescent="0.2">
      <c r="A3" t="str">
        <f>'BALANCE SHEET'!A3</f>
        <v>(IDR)</v>
      </c>
    </row>
    <row r="4" spans="1:10" x14ac:dyDescent="0.2">
      <c r="A4" s="8"/>
      <c r="B4" s="8"/>
      <c r="C4" s="8">
        <f>'INCOME STATEMENT'!C5</f>
        <v>2019</v>
      </c>
      <c r="D4" s="8">
        <f>'INCOME STATEMENT'!D5</f>
        <v>2020</v>
      </c>
      <c r="E4" s="8">
        <f>'INCOME STATEMENT'!E5</f>
        <v>2021</v>
      </c>
      <c r="I4" t="s">
        <v>3075</v>
      </c>
    </row>
    <row r="5" spans="1:10" x14ac:dyDescent="0.2">
      <c r="A5" t="s">
        <v>1</v>
      </c>
      <c r="C5" s="99">
        <f>'INCOME STATEMENT'!C18</f>
        <v>1034445365</v>
      </c>
      <c r="D5" s="99">
        <f>'INCOME STATEMENT'!D18</f>
        <v>2031155502</v>
      </c>
      <c r="E5" s="99">
        <f>'INCOME STATEMENT'!E18</f>
        <v>3243162782</v>
      </c>
      <c r="I5" s="33"/>
      <c r="J5" t="str">
        <f>"Angkanya didapat dari saldo "&amp;C4&amp;" - "&amp;C4-1&amp;", karena "&amp;C4-1&amp;" ada LK-nya sehingga diisi sekalian di Balance Sheet biar otomatis nyambung."</f>
        <v>Angkanya didapat dari saldo 2019 - 2018, karena 2018 ada LK-nya sehingga diisi sekalian di Balance Sheet biar otomatis nyambung.</v>
      </c>
    </row>
    <row r="6" spans="1:10" x14ac:dyDescent="0.2">
      <c r="A6" t="s">
        <v>2</v>
      </c>
      <c r="C6" s="99">
        <f>'INCOME STATEMENT'!C33</f>
        <v>-305333971</v>
      </c>
      <c r="D6" s="99">
        <f>'INCOME STATEMENT'!D33</f>
        <v>-165937126</v>
      </c>
      <c r="E6" s="99">
        <f>'INCOME STATEMENT'!E33</f>
        <v>-436128347</v>
      </c>
    </row>
    <row r="7" spans="1:10" x14ac:dyDescent="0.2">
      <c r="A7" t="s">
        <v>3</v>
      </c>
      <c r="C7" s="10"/>
      <c r="D7" s="10"/>
      <c r="E7" s="10"/>
    </row>
    <row r="8" spans="1:10" x14ac:dyDescent="0.2">
      <c r="B8" s="455" t="s">
        <v>4</v>
      </c>
      <c r="C8" s="548">
        <f>('BALANCE SHEET'!C10+'BALANCE SHEET'!C12)*-1</f>
        <v>-248591028</v>
      </c>
      <c r="D8" s="549">
        <f>(('BALANCE SHEET'!D10+'BALANCE SHEET'!D12)-('BALANCE SHEET'!C10+'BALANCE SHEET'!C12))*-1</f>
        <v>-426787292</v>
      </c>
      <c r="E8" s="549">
        <f>(('BALANCE SHEET'!E10+'BALANCE SHEET'!E12)-('BALANCE SHEET'!D10+'BALANCE SHEET'!D12))*-1</f>
        <v>484323209</v>
      </c>
    </row>
    <row r="9" spans="1:10" x14ac:dyDescent="0.2">
      <c r="B9" s="455" t="s">
        <v>5</v>
      </c>
      <c r="C9" s="550">
        <f>('BALANCE SHEET'!C31+'BALANCE SHEET'!C33)-(0+0)</f>
        <v>1746831703</v>
      </c>
      <c r="D9" s="550">
        <f>('BALANCE SHEET'!D31+'BALANCE SHEET'!D33)-('BALANCE SHEET'!C31+'BALANCE SHEET'!C33)</f>
        <v>-728772103</v>
      </c>
      <c r="E9" s="550">
        <f>('BALANCE SHEET'!E31+'BALANCE SHEET'!E33)-('BALANCE SHEET'!D31+'BALANCE SHEET'!D33)</f>
        <v>1880659928</v>
      </c>
    </row>
    <row r="10" spans="1:10" x14ac:dyDescent="0.2">
      <c r="A10" t="s">
        <v>6</v>
      </c>
      <c r="C10" s="551">
        <f>+C8+C9</f>
        <v>1498240675</v>
      </c>
      <c r="D10" s="551">
        <f>+D8+D9</f>
        <v>-1155559395</v>
      </c>
      <c r="E10" s="551">
        <f>+E8+E9</f>
        <v>2364983137</v>
      </c>
    </row>
    <row r="11" spans="1:10" x14ac:dyDescent="0.2">
      <c r="A11" s="20" t="s">
        <v>8</v>
      </c>
      <c r="B11" s="20"/>
      <c r="C11" s="546">
        <f>SUM(C5:C9)</f>
        <v>2227352069</v>
      </c>
      <c r="D11" s="546">
        <f>SUM(D5:D9)</f>
        <v>709658981</v>
      </c>
      <c r="E11" s="546">
        <f>SUM(E5:E9)</f>
        <v>5172017572</v>
      </c>
    </row>
    <row r="12" spans="1:10" x14ac:dyDescent="0.2">
      <c r="C12" s="10"/>
      <c r="D12" s="10"/>
      <c r="E12" s="10"/>
    </row>
    <row r="13" spans="1:10" x14ac:dyDescent="0.2">
      <c r="A13" s="3" t="s">
        <v>9</v>
      </c>
      <c r="B13" s="3"/>
      <c r="C13" s="474">
        <f>'INCOME STATEMENT'!C30</f>
        <v>0</v>
      </c>
      <c r="D13" s="474">
        <f>'INCOME STATEMENT'!D30</f>
        <v>0</v>
      </c>
      <c r="E13" s="474">
        <f>'INCOME STATEMENT'!E30</f>
        <v>-212875</v>
      </c>
    </row>
    <row r="14" spans="1:10" x14ac:dyDescent="0.2">
      <c r="C14" s="10"/>
      <c r="D14" s="10"/>
      <c r="E14" s="10"/>
    </row>
    <row r="15" spans="1:10" x14ac:dyDescent="0.2">
      <c r="C15" s="10"/>
      <c r="D15" s="10"/>
      <c r="E15" s="10"/>
    </row>
    <row r="16" spans="1:10" x14ac:dyDescent="0.2">
      <c r="B16" s="2"/>
    </row>
    <row r="17" spans="1:5" x14ac:dyDescent="0.2">
      <c r="A17" s="20" t="s">
        <v>10</v>
      </c>
      <c r="B17" s="20"/>
      <c r="C17" s="482">
        <f>'FIXED ASSET'!C23*-1</f>
        <v>-10175220000</v>
      </c>
      <c r="D17" s="482">
        <f>'FIXED ASSET'!D23*-1</f>
        <v>-149675000</v>
      </c>
      <c r="E17" s="482">
        <f>'FIXED ASSET'!E23*-1</f>
        <v>0</v>
      </c>
    </row>
    <row r="18" spans="1:5" x14ac:dyDescent="0.2">
      <c r="C18" s="10"/>
      <c r="D18" s="10"/>
      <c r="E18" s="10"/>
    </row>
    <row r="19" spans="1:5" x14ac:dyDescent="0.2">
      <c r="A19" s="20" t="s">
        <v>11</v>
      </c>
      <c r="B19" s="3"/>
      <c r="C19" s="482">
        <f>C11+C13+C17</f>
        <v>-7947867931</v>
      </c>
      <c r="D19" s="482">
        <f>D11+D13+D17</f>
        <v>559983981</v>
      </c>
      <c r="E19" s="482">
        <f>E11+E13+E17</f>
        <v>5171804697</v>
      </c>
    </row>
    <row r="20" spans="1:5" x14ac:dyDescent="0.2">
      <c r="C20" s="10"/>
      <c r="D20" s="10"/>
      <c r="E20" s="10"/>
    </row>
    <row r="21" spans="1:5" x14ac:dyDescent="0.2">
      <c r="A21" t="s">
        <v>12</v>
      </c>
      <c r="C21" s="10"/>
      <c r="D21" s="10"/>
      <c r="E21" s="10"/>
    </row>
    <row r="22" spans="1:5" x14ac:dyDescent="0.2">
      <c r="B22" t="s">
        <v>13</v>
      </c>
      <c r="C22" s="552">
        <f>('BALANCE SHEET'!C42+'BALANCE SHEET'!C43)-0</f>
        <v>8830000000</v>
      </c>
      <c r="D22" s="552">
        <f>('BALANCE SHEET'!D42+'BALANCE SHEET'!D43)-('BALANCE SHEET'!C42+'BALANCE SHEET'!C43)</f>
        <v>-400000000</v>
      </c>
      <c r="E22" s="552">
        <f>('BALANCE SHEET'!E42+'BALANCE SHEET'!E43)-('BALANCE SHEET'!D42+'BALANCE SHEET'!D43)</f>
        <v>-3150000000</v>
      </c>
    </row>
    <row r="23" spans="1:5" x14ac:dyDescent="0.2">
      <c r="B23" t="s">
        <v>14</v>
      </c>
      <c r="C23" s="99">
        <f>'ACC PAYABLES'!C10+'ACC PAYABLES'!C19</f>
        <v>0</v>
      </c>
      <c r="D23" s="99">
        <f>'ACC PAYABLES'!D10+'ACC PAYABLES'!D19</f>
        <v>0</v>
      </c>
      <c r="E23" s="99">
        <f>'ACC PAYABLES'!E10+'ACC PAYABLES'!E19</f>
        <v>0</v>
      </c>
    </row>
    <row r="24" spans="1:5" x14ac:dyDescent="0.2">
      <c r="B24" t="s">
        <v>3141</v>
      </c>
      <c r="C24" s="99">
        <f>'INCOME STATEMENT'!C27</f>
        <v>-16278814</v>
      </c>
      <c r="D24" s="99">
        <f>'INCOME STATEMENT'!D27</f>
        <v>-1361128</v>
      </c>
      <c r="E24" s="99">
        <f>'INCOME STATEMENT'!E27</f>
        <v>-942033</v>
      </c>
    </row>
    <row r="25" spans="1:5" x14ac:dyDescent="0.2">
      <c r="B25" t="s">
        <v>16</v>
      </c>
      <c r="C25" s="99">
        <f>'INCOME STATEMENT'!C26</f>
        <v>81394069</v>
      </c>
      <c r="D25" s="99">
        <f>'INCOME STATEMENT'!D26</f>
        <v>11803933</v>
      </c>
      <c r="E25" s="99">
        <f>'INCOME STATEMENT'!E26</f>
        <v>13957341</v>
      </c>
    </row>
    <row r="26" spans="1:5" x14ac:dyDescent="0.2">
      <c r="B26" t="s">
        <v>17</v>
      </c>
      <c r="C26" s="99">
        <f>'ACC PAYABLES'!C20</f>
        <v>0</v>
      </c>
      <c r="D26" s="99">
        <f>'ACC PAYABLES'!D20</f>
        <v>0</v>
      </c>
      <c r="E26" s="99">
        <f>'ACC PAYABLES'!E20</f>
        <v>0</v>
      </c>
    </row>
    <row r="27" spans="1:5" x14ac:dyDescent="0.2">
      <c r="C27" s="10"/>
      <c r="D27" s="10"/>
      <c r="E27" s="10"/>
    </row>
    <row r="28" spans="1:5" x14ac:dyDescent="0.2">
      <c r="A28" s="20" t="s">
        <v>18</v>
      </c>
      <c r="B28" s="3"/>
      <c r="C28" s="546">
        <f>SUM(C22:C26)</f>
        <v>8895115255</v>
      </c>
      <c r="D28" s="546">
        <f>SUM(D22:D26)</f>
        <v>-389557195</v>
      </c>
      <c r="E28" s="546">
        <f>SUM(E22:E26)</f>
        <v>-3136984692</v>
      </c>
    </row>
    <row r="29" spans="1:5" x14ac:dyDescent="0.2">
      <c r="C29" s="10"/>
      <c r="D29" s="10"/>
      <c r="E29" s="10"/>
    </row>
    <row r="30" spans="1:5" ht="16" customHeight="1" thickBot="1" x14ac:dyDescent="0.25">
      <c r="A30" s="21" t="s">
        <v>19</v>
      </c>
      <c r="B30" s="21"/>
      <c r="C30" s="553">
        <f>+C11+C13+C17+C28</f>
        <v>947247324</v>
      </c>
      <c r="D30" s="553">
        <f>+D11+D13+D17+D28</f>
        <v>170426786</v>
      </c>
      <c r="E30" s="553">
        <f>+E11+E13+E17+E28</f>
        <v>2034820005</v>
      </c>
    </row>
    <row r="31" spans="1:5" ht="16" customHeight="1" thickTop="1" x14ac:dyDescent="0.2">
      <c r="C31" s="10"/>
      <c r="D31" s="10"/>
      <c r="E31" s="10"/>
    </row>
    <row r="32" spans="1:5" x14ac:dyDescent="0.2">
      <c r="A32" t="s">
        <v>20</v>
      </c>
      <c r="C32" s="487">
        <f>259004307+250716909+3500000000</f>
        <v>4009721216</v>
      </c>
      <c r="D32" s="99">
        <f>C33</f>
        <v>419027837</v>
      </c>
      <c r="E32" s="99">
        <f>D33</f>
        <v>723908969</v>
      </c>
    </row>
    <row r="33" spans="1:5" x14ac:dyDescent="0.2">
      <c r="A33" s="20" t="s">
        <v>21</v>
      </c>
      <c r="B33" s="3"/>
      <c r="C33" s="482">
        <f>'BALANCE SHEET'!C8+'BALANCE SHEET'!C9</f>
        <v>419027837</v>
      </c>
      <c r="D33" s="482">
        <f>'BALANCE SHEET'!D8+'BALANCE SHEET'!D9</f>
        <v>723908969</v>
      </c>
      <c r="E33" s="482">
        <f>'BALANCE SHEET'!E8+'BALANCE SHEET'!E9</f>
        <v>1054880526</v>
      </c>
    </row>
    <row r="34" spans="1:5" x14ac:dyDescent="0.2">
      <c r="C34" s="10"/>
      <c r="D34" s="10"/>
      <c r="E34" s="10"/>
    </row>
    <row r="35" spans="1:5" x14ac:dyDescent="0.2">
      <c r="A35" t="s">
        <v>22</v>
      </c>
      <c r="C35" s="99">
        <f>'BALANCE SHEET'!C9</f>
        <v>374140018</v>
      </c>
      <c r="D35" s="99">
        <f>'BALANCE SHEET'!D9</f>
        <v>572440850</v>
      </c>
      <c r="E35" s="99">
        <f>'BALANCE SHEET'!E9</f>
        <v>337031731</v>
      </c>
    </row>
    <row r="36" spans="1:5" ht="16" customHeight="1" thickBot="1" x14ac:dyDescent="0.25">
      <c r="A36" s="26" t="s">
        <v>23</v>
      </c>
      <c r="B36" s="26"/>
      <c r="C36" s="488">
        <f>'BALANCE SHEET'!C8</f>
        <v>44887819</v>
      </c>
      <c r="D36" s="488">
        <f>'BALANCE SHEET'!D8</f>
        <v>151468119</v>
      </c>
      <c r="E36" s="488">
        <f>'BALANCE SHEET'!E8</f>
        <v>717848795</v>
      </c>
    </row>
    <row r="37" spans="1:5" x14ac:dyDescent="0.2">
      <c r="C37" s="10"/>
      <c r="D37" s="10"/>
      <c r="E37" s="10"/>
    </row>
    <row r="38" spans="1:5" x14ac:dyDescent="0.2">
      <c r="C38" s="10"/>
      <c r="D38" s="10"/>
      <c r="E38" s="10"/>
    </row>
    <row r="39" spans="1:5" x14ac:dyDescent="0.2">
      <c r="C39" s="10"/>
      <c r="D39" s="10"/>
      <c r="E39" s="10"/>
    </row>
    <row r="40" spans="1:5" x14ac:dyDescent="0.2">
      <c r="C40" s="10"/>
      <c r="D40" s="10"/>
      <c r="E40" s="10"/>
    </row>
    <row r="41" spans="1:5" x14ac:dyDescent="0.2">
      <c r="C41" s="10"/>
      <c r="D41" s="10"/>
      <c r="E41" s="10"/>
    </row>
    <row r="42" spans="1:5" x14ac:dyDescent="0.2">
      <c r="C42" s="10"/>
      <c r="D42" s="10"/>
      <c r="E42" s="10"/>
    </row>
    <row r="43" spans="1:5" x14ac:dyDescent="0.2">
      <c r="C43" s="10"/>
      <c r="D43" s="10"/>
      <c r="E43" s="10"/>
    </row>
    <row r="44" spans="1:5" x14ac:dyDescent="0.2">
      <c r="C44" s="10"/>
      <c r="D44" s="10"/>
      <c r="E44" s="10"/>
    </row>
    <row r="45" spans="1:5" x14ac:dyDescent="0.2">
      <c r="C45" s="10"/>
      <c r="D45" s="10"/>
      <c r="E45" s="10"/>
    </row>
    <row r="46" spans="1:5" x14ac:dyDescent="0.2">
      <c r="C46" s="10"/>
      <c r="D46" s="10"/>
      <c r="E46" s="10"/>
    </row>
    <row r="47" spans="1:5" x14ac:dyDescent="0.2">
      <c r="C47" s="10"/>
      <c r="D47" s="10"/>
      <c r="E47" s="10"/>
    </row>
    <row r="48" spans="1:5" x14ac:dyDescent="0.2">
      <c r="C48" s="10"/>
      <c r="D48" s="10"/>
      <c r="E48" s="10"/>
    </row>
    <row r="49" spans="3:5" x14ac:dyDescent="0.2">
      <c r="C49" s="10"/>
      <c r="D49" s="10"/>
      <c r="E49" s="10"/>
    </row>
    <row r="50" spans="3:5" x14ac:dyDescent="0.2">
      <c r="C50" s="10"/>
      <c r="D50" s="10"/>
      <c r="E50" s="10"/>
    </row>
    <row r="51" spans="3:5" x14ac:dyDescent="0.2">
      <c r="C51" s="10"/>
      <c r="D51" s="10"/>
      <c r="E51" s="10"/>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tabColor theme="4" tint="-0.249977111117893"/>
  </sheetPr>
  <dimension ref="A1:I30"/>
  <sheetViews>
    <sheetView showGridLines="0" zoomScaleNormal="100" workbookViewId="0">
      <selection activeCell="F9" sqref="F9"/>
    </sheetView>
  </sheetViews>
  <sheetFormatPr baseColWidth="10" defaultColWidth="8.83203125" defaultRowHeight="15" x14ac:dyDescent="0.2"/>
  <cols>
    <col min="1" max="1" width="28.6640625" bestFit="1" customWidth="1"/>
    <col min="2" max="2" width="27.33203125" customWidth="1"/>
    <col min="3" max="3" width="34.5" customWidth="1"/>
    <col min="4" max="6" width="17" customWidth="1"/>
    <col min="7" max="7" width="12.6640625" customWidth="1"/>
  </cols>
  <sheetData>
    <row r="1" spans="1:9" x14ac:dyDescent="0.2">
      <c r="A1" t="str">
        <f>HOME!B4</f>
        <v>Makmur Jaya Sejati Raya</v>
      </c>
    </row>
    <row r="2" spans="1:9" x14ac:dyDescent="0.2">
      <c r="A2" t="s">
        <v>3142</v>
      </c>
    </row>
    <row r="4" spans="1:9" x14ac:dyDescent="0.2">
      <c r="A4" s="7"/>
      <c r="B4" s="7" t="s">
        <v>3143</v>
      </c>
      <c r="C4" s="8" t="s">
        <v>3144</v>
      </c>
      <c r="D4" s="8">
        <f>ROIC!B5</f>
        <v>2019</v>
      </c>
      <c r="E4" s="8">
        <f>ROIC!C5</f>
        <v>2020</v>
      </c>
      <c r="F4" s="8">
        <f>ROIC!D5</f>
        <v>2021</v>
      </c>
      <c r="G4" s="8" t="s">
        <v>3145</v>
      </c>
    </row>
    <row r="5" spans="1:9" x14ac:dyDescent="0.2">
      <c r="A5" s="36" t="s">
        <v>3146</v>
      </c>
      <c r="B5" t="s">
        <v>3146</v>
      </c>
      <c r="C5" t="s">
        <v>3144</v>
      </c>
      <c r="D5" s="34" t="s">
        <v>3147</v>
      </c>
      <c r="E5" s="34" t="s">
        <v>3148</v>
      </c>
      <c r="F5" s="34" t="s">
        <v>3149</v>
      </c>
      <c r="G5" s="38" t="s">
        <v>3150</v>
      </c>
    </row>
    <row r="6" spans="1:9" x14ac:dyDescent="0.2">
      <c r="B6" t="s">
        <v>3117</v>
      </c>
      <c r="C6" t="s">
        <v>3151</v>
      </c>
      <c r="D6" s="34">
        <f>'INCOME STATEMENT'!C9</f>
        <v>0.26297392325110264</v>
      </c>
      <c r="E6" s="34">
        <f>'INCOME STATEMENT'!D9</f>
        <v>0.33673235962463793</v>
      </c>
      <c r="F6" s="34">
        <f>'INCOME STATEMENT'!E9</f>
        <v>0.35311374893444164</v>
      </c>
      <c r="G6" s="38">
        <f t="shared" ref="G6:G11" si="0">AVERAGE(D6:F6)</f>
        <v>0.31760667727006076</v>
      </c>
    </row>
    <row r="7" spans="1:9" x14ac:dyDescent="0.2">
      <c r="B7" t="s">
        <v>3152</v>
      </c>
      <c r="C7" t="s">
        <v>3153</v>
      </c>
      <c r="D7" s="34">
        <f>'INCOME STATEMENT'!C19</f>
        <v>0.11080607984755246</v>
      </c>
      <c r="E7" s="34">
        <f>'INCOME STATEMENT'!D19</f>
        <v>0.17806551880201094</v>
      </c>
      <c r="F7" s="34">
        <f>'INCOME STATEMENT'!E19</f>
        <v>0.1946218861483586</v>
      </c>
      <c r="G7" s="38">
        <f t="shared" si="0"/>
        <v>0.16116449493264065</v>
      </c>
    </row>
    <row r="8" spans="1:9" x14ac:dyDescent="0.2">
      <c r="B8" t="s">
        <v>3154</v>
      </c>
      <c r="C8" t="s">
        <v>3155</v>
      </c>
      <c r="D8" s="34">
        <f>'INCOME STATEMENT'!C23</f>
        <v>7.294240047953808E-2</v>
      </c>
      <c r="E8" s="34">
        <f>'INCOME STATEMENT'!D23</f>
        <v>7.9808314862137714E-2</v>
      </c>
      <c r="F8" s="34">
        <f>'INCOME STATEMENT'!E23</f>
        <v>0.13570834295067052</v>
      </c>
      <c r="G8" s="38">
        <f t="shared" si="0"/>
        <v>9.6153019430782097E-2</v>
      </c>
    </row>
    <row r="9" spans="1:9" x14ac:dyDescent="0.2">
      <c r="B9" t="s">
        <v>3133</v>
      </c>
      <c r="C9" t="s">
        <v>3156</v>
      </c>
      <c r="D9" s="34">
        <f>'INCOME STATEMENT'!C36</f>
        <v>4.7211032611721764E-2</v>
      </c>
      <c r="E9" s="34">
        <f>'INCOME STATEMENT'!D36</f>
        <v>6.617657819186902E-2</v>
      </c>
      <c r="F9" s="34">
        <f>'INCOME STATEMENT'!E36</f>
        <v>0.11030459562863498</v>
      </c>
      <c r="G9" s="38">
        <f t="shared" si="0"/>
        <v>7.4564068810741915E-2</v>
      </c>
    </row>
    <row r="10" spans="1:9" x14ac:dyDescent="0.2">
      <c r="B10" t="s">
        <v>3157</v>
      </c>
      <c r="C10" t="s">
        <v>3158</v>
      </c>
      <c r="D10" s="34">
        <f>'INCOME STATEMENT'!C35/'BALANCE SHEET'!C26</f>
        <v>2.3606456762349282E-2</v>
      </c>
      <c r="E10" s="34">
        <f>'INCOME STATEMENT'!D35/'BALANCE SHEET'!D26</f>
        <v>4.1001997624489021E-2</v>
      </c>
      <c r="F10" s="34">
        <f>'INCOME STATEMENT'!E35/'BALANCE SHEET'!E26</f>
        <v>0.10638241426407952</v>
      </c>
      <c r="G10" s="38">
        <f t="shared" si="0"/>
        <v>5.6996956216972615E-2</v>
      </c>
    </row>
    <row r="11" spans="1:9" x14ac:dyDescent="0.2">
      <c r="B11" t="s">
        <v>3159</v>
      </c>
      <c r="C11" t="s">
        <v>3160</v>
      </c>
      <c r="D11" s="34">
        <f>'INCOME STATEMENT'!C35/'BALANCE SHEET'!C48</f>
        <v>2.6478433211032094E-2</v>
      </c>
      <c r="E11" s="34">
        <f>'INCOME STATEMENT'!D35/'BALANCE SHEET'!D48</f>
        <v>4.3940581548284834E-2</v>
      </c>
      <c r="F11" s="34">
        <f>'INCOME STATEMENT'!E35/'BALANCE SHEET'!E48</f>
        <v>0.13303396104591594</v>
      </c>
      <c r="G11" s="38">
        <f t="shared" si="0"/>
        <v>6.7817658601744282E-2</v>
      </c>
    </row>
    <row r="12" spans="1:9" x14ac:dyDescent="0.2">
      <c r="D12" s="34"/>
      <c r="E12" s="34"/>
      <c r="F12" s="34"/>
      <c r="G12" s="38"/>
    </row>
    <row r="13" spans="1:9" x14ac:dyDescent="0.2">
      <c r="A13" s="36" t="s">
        <v>3161</v>
      </c>
      <c r="B13" t="s">
        <v>3161</v>
      </c>
      <c r="C13" t="s">
        <v>3144</v>
      </c>
      <c r="D13" s="37" t="s">
        <v>3147</v>
      </c>
      <c r="E13" s="37" t="s">
        <v>3148</v>
      </c>
      <c r="F13" s="37" t="s">
        <v>3149</v>
      </c>
      <c r="G13" s="387" t="s">
        <v>3150</v>
      </c>
      <c r="I13" s="9"/>
    </row>
    <row r="14" spans="1:9" x14ac:dyDescent="0.2">
      <c r="B14" t="s">
        <v>3162</v>
      </c>
      <c r="C14" t="s">
        <v>3163</v>
      </c>
      <c r="D14" s="37">
        <f>'BALANCE SHEET'!C15/'BALANCE SHEET'!C34</f>
        <v>0.38257242476849074</v>
      </c>
      <c r="E14" s="37">
        <f>'BALANCE SHEET'!D15/'BALANCE SHEET'!D34</f>
        <v>1.1173758020887616</v>
      </c>
      <c r="F14" s="37">
        <f>'BALANCE SHEET'!E15/'BALANCE SHEET'!E34</f>
        <v>0.35416589955942718</v>
      </c>
      <c r="G14" s="387">
        <f>AVERAGE(D14:F14)</f>
        <v>0.61803804213889324</v>
      </c>
    </row>
    <row r="15" spans="1:9" x14ac:dyDescent="0.2">
      <c r="B15" t="s">
        <v>3164</v>
      </c>
      <c r="C15" t="s">
        <v>3165</v>
      </c>
      <c r="D15" s="37">
        <f>('BALANCE SHEET'!C8+'BALANCE SHEET'!C9+'BALANCE SHEET'!C10)/'BALANCE SHEET'!C34</f>
        <v>0.36161085404994481</v>
      </c>
      <c r="E15" s="37">
        <f>('BALANCE SHEET'!D8+'BALANCE SHEET'!D9+'BALANCE SHEET'!D10)/'BALANCE SHEET'!D34</f>
        <v>1.1031847734993578</v>
      </c>
      <c r="F15" s="37">
        <f>('BALANCE SHEET'!E8+'BALANCE SHEET'!E9+'BALANCE SHEET'!E10)/'BALANCE SHEET'!E34</f>
        <v>0.34829544831191206</v>
      </c>
      <c r="G15" s="387">
        <f>AVERAGE(D15:F15)</f>
        <v>0.60436369195373818</v>
      </c>
    </row>
    <row r="16" spans="1:9" x14ac:dyDescent="0.2">
      <c r="B16" t="s">
        <v>3166</v>
      </c>
      <c r="C16" t="s">
        <v>3167</v>
      </c>
      <c r="D16" s="37">
        <f>('BALANCE SHEET'!C8+'BALANCE SHEET'!C9)/'BALANCE SHEET'!C34</f>
        <v>0.22696334982725669</v>
      </c>
      <c r="E16" s="37">
        <f>('BALANCE SHEET'!D8+'BALANCE SHEET'!D9)/'BALANCE SHEET'!D34</f>
        <v>0.57072293751138237</v>
      </c>
      <c r="F16" s="37">
        <f>('BALANCE SHEET'!E8+'BALANCE SHEET'!E9)/'BALANCE SHEET'!E34</f>
        <v>0.29488689046838429</v>
      </c>
      <c r="G16" s="387">
        <f>AVERAGE(D16:F16)</f>
        <v>0.3641910592690078</v>
      </c>
    </row>
    <row r="17" spans="1:7" x14ac:dyDescent="0.2">
      <c r="D17" s="37"/>
      <c r="E17" s="37"/>
      <c r="F17" s="37"/>
      <c r="G17" s="387"/>
    </row>
    <row r="18" spans="1:7" x14ac:dyDescent="0.2">
      <c r="A18" s="36" t="s">
        <v>3168</v>
      </c>
      <c r="B18" t="s">
        <v>3168</v>
      </c>
      <c r="C18" t="s">
        <v>3144</v>
      </c>
      <c r="D18" s="34" t="s">
        <v>3147</v>
      </c>
      <c r="E18" s="34" t="s">
        <v>3148</v>
      </c>
      <c r="F18" s="34" t="s">
        <v>3149</v>
      </c>
      <c r="G18" s="38" t="s">
        <v>3150</v>
      </c>
    </row>
    <row r="19" spans="1:7" x14ac:dyDescent="0.2">
      <c r="B19" t="s">
        <v>3169</v>
      </c>
      <c r="C19" t="s">
        <v>3170</v>
      </c>
      <c r="D19" s="34">
        <f>('BALANCE SHEET'!C34+'BALANCE SHEET'!C39)/'BALANCE SHEET'!C26</f>
        <v>9.8885014453269984E-2</v>
      </c>
      <c r="E19" s="34">
        <f>('BALANCE SHEET'!D34+'BALANCE SHEET'!D39)/'BALANCE SHEET'!D26</f>
        <v>6.889631516720808E-2</v>
      </c>
      <c r="F19" s="34">
        <f>('BALANCE SHEET'!E34+'BALANCE SHEET'!E39)/'BALANCE SHEET'!E26</f>
        <v>0.20703652702161421</v>
      </c>
      <c r="G19" s="38">
        <f>AVERAGE(D19:F19)</f>
        <v>0.1249392855473641</v>
      </c>
    </row>
    <row r="20" spans="1:7" x14ac:dyDescent="0.2">
      <c r="B20" t="s">
        <v>3171</v>
      </c>
      <c r="C20" t="s">
        <v>3172</v>
      </c>
      <c r="D20" s="34">
        <f>('BALANCE SHEET'!C34+'BALANCE SHEET'!C39)/'BALANCE SHEET'!C48</f>
        <v>0.11091542780570518</v>
      </c>
      <c r="E20" s="34">
        <f>('BALANCE SHEET'!D34+'BALANCE SHEET'!D39)/'BALANCE SHEET'!D48</f>
        <v>7.3834064932800147E-2</v>
      </c>
      <c r="F20" s="34">
        <f>('BALANCE SHEET'!E34+'BALANCE SHEET'!E39)/'BALANCE SHEET'!E48</f>
        <v>0.25890453287235771</v>
      </c>
      <c r="G20" s="38">
        <f>AVERAGE(D20:F20)</f>
        <v>0.147884675203621</v>
      </c>
    </row>
    <row r="21" spans="1:7" x14ac:dyDescent="0.2">
      <c r="B21" t="s">
        <v>3173</v>
      </c>
      <c r="C21" t="s">
        <v>3174</v>
      </c>
      <c r="D21" s="34">
        <f>'BALANCE SHEET'!C37/('BALANCE SHEET'!C37+'BALANCE SHEET'!C48)</f>
        <v>0</v>
      </c>
      <c r="E21" s="34">
        <f>'BALANCE SHEET'!D37/('BALANCE SHEET'!D37+'BALANCE SHEET'!D48)</f>
        <v>0</v>
      </c>
      <c r="F21" s="34">
        <f>'BALANCE SHEET'!E37/('BALANCE SHEET'!E37+'BALANCE SHEET'!E48)</f>
        <v>0</v>
      </c>
      <c r="G21" s="38">
        <f>AVERAGE(D21:F21)</f>
        <v>0</v>
      </c>
    </row>
    <row r="22" spans="1:7" x14ac:dyDescent="0.2">
      <c r="B22" t="s">
        <v>3175</v>
      </c>
      <c r="C22" t="s">
        <v>3176</v>
      </c>
      <c r="D22" s="37">
        <f>IFERROR(ABS('INCOME STATEMENT'!C22/'INCOME STATEMENT'!C27),0)</f>
        <v>41.831290043611283</v>
      </c>
      <c r="E22" s="37">
        <f>IFERROR(ABS('INCOME STATEMENT'!D22/'INCOME STATEMENT'!D27),0)</f>
        <v>668.82502894657955</v>
      </c>
      <c r="F22" s="37">
        <f>IFERROR(ABS('INCOME STATEMENT'!E22/'INCOME STATEMENT'!E27),0)</f>
        <v>2400.5872840972661</v>
      </c>
      <c r="G22" s="387">
        <f>AVERAGE(D22:F22)</f>
        <v>1037.0812010291522</v>
      </c>
    </row>
    <row r="23" spans="1:7" x14ac:dyDescent="0.2">
      <c r="B23" t="s">
        <v>3177</v>
      </c>
      <c r="D23" s="9">
        <f>'BALANCE SHEET'!C48/'BALANCE SHEET'!C26</f>
        <v>0.89153525717351667</v>
      </c>
      <c r="E23" s="9">
        <f>'BALANCE SHEET'!D48/'BALANCE SHEET'!D26</f>
        <v>0.93312369066925749</v>
      </c>
      <c r="F23" s="9">
        <f>'BALANCE SHEET'!E48/'BALANCE SHEET'!E26</f>
        <v>0.79966358535593929</v>
      </c>
      <c r="G23" s="38">
        <f>AVERAGE(D23:F23)</f>
        <v>0.87477417773290445</v>
      </c>
    </row>
    <row r="24" spans="1:7" x14ac:dyDescent="0.2">
      <c r="D24" s="9"/>
      <c r="E24" s="9"/>
      <c r="F24" s="9"/>
      <c r="G24" s="38"/>
    </row>
    <row r="25" spans="1:7" x14ac:dyDescent="0.2">
      <c r="A25" s="36" t="s">
        <v>3178</v>
      </c>
      <c r="B25" t="s">
        <v>3178</v>
      </c>
      <c r="C25" t="s">
        <v>3179</v>
      </c>
      <c r="D25" s="34" t="s">
        <v>3147</v>
      </c>
      <c r="E25" s="34" t="s">
        <v>3148</v>
      </c>
      <c r="F25" s="34" t="s">
        <v>3149</v>
      </c>
      <c r="G25" s="38" t="s">
        <v>3150</v>
      </c>
    </row>
    <row r="26" spans="1:7" x14ac:dyDescent="0.2">
      <c r="B26" t="s">
        <v>3180</v>
      </c>
      <c r="C26" t="s">
        <v>3180</v>
      </c>
      <c r="D26" s="34">
        <f>'CASH FLOW STATEMENT'!C11/'INCOME STATEMENT'!C6</f>
        <v>0.23858597037285309</v>
      </c>
      <c r="E26" s="34">
        <f>'CASH FLOW STATEMENT'!D11/'INCOME STATEMENT'!D6</f>
        <v>6.2213747051786006E-2</v>
      </c>
      <c r="F26" s="34">
        <f>'CASH FLOW STATEMENT'!E11/'INCOME STATEMENT'!E6</f>
        <v>0.3103722762982466</v>
      </c>
      <c r="G26" s="38">
        <f>AVERAGE(D26:F26)</f>
        <v>0.20372399790762855</v>
      </c>
    </row>
    <row r="27" spans="1:7" x14ac:dyDescent="0.2">
      <c r="B27" t="s">
        <v>3181</v>
      </c>
      <c r="C27" t="s">
        <v>3182</v>
      </c>
      <c r="D27" s="34">
        <f>FCF!C20/'CASH FLOW STATEMENT'!C11</f>
        <v>-3.498479698047233</v>
      </c>
      <c r="E27" s="34">
        <f>FCF!D20/'CASH FLOW STATEMENT'!D11</f>
        <v>0.74069756995015046</v>
      </c>
      <c r="F27" s="34">
        <f>FCF!E20/'CASH FLOW STATEMENT'!E11</f>
        <v>0.98813097806311934</v>
      </c>
      <c r="G27" s="38">
        <f>AVERAGE(D27:F27)</f>
        <v>-0.58988371667798767</v>
      </c>
    </row>
    <row r="28" spans="1:7" x14ac:dyDescent="0.2">
      <c r="B28" t="s">
        <v>3183</v>
      </c>
      <c r="C28" t="s">
        <v>3184</v>
      </c>
      <c r="D28" s="39">
        <f>IFERROR('CASH FLOW STATEMENT'!C11/'BALANCE SHEET'!C30,0)</f>
        <v>0</v>
      </c>
      <c r="E28" s="39">
        <f>IFERROR('CASH FLOW STATEMENT'!D11/'BALANCE SHEET'!D30,0)</f>
        <v>0</v>
      </c>
      <c r="F28" s="39">
        <f>IFERROR('CASH FLOW STATEMENT'!E11/'BALANCE SHEET'!E30,0)</f>
        <v>0</v>
      </c>
      <c r="G28" s="387">
        <f>AVERAGE(D28:F28)</f>
        <v>0</v>
      </c>
    </row>
    <row r="30" spans="1:7" x14ac:dyDescent="0.2">
      <c r="B30" t="s">
        <v>3185</v>
      </c>
      <c r="C30" t="s">
        <v>3186</v>
      </c>
      <c r="D30" s="39">
        <f>IFERROR(ABS('CASH FLOW STATEMENT'!C11/'CASH FLOW STATEMENT'!C17),0)</f>
        <v>0.21889964728035363</v>
      </c>
      <c r="E30" s="39">
        <f>IFERROR(ABS('CASH FLOW STATEMENT'!D11/'CASH FLOW STATEMENT'!D17),0)</f>
        <v>4.7413327609821279</v>
      </c>
      <c r="F30" s="39">
        <f>IFERROR(ABS('CASH FLOW STATEMENT'!E11/'CASH FLOW STATEMENT'!E17),0)</f>
        <v>0</v>
      </c>
      <c r="G30" s="387">
        <f>AVERAGE(D30:F30)</f>
        <v>1.6534108027541603</v>
      </c>
    </row>
  </sheetData>
  <pageMargins left="0.7" right="0.7" top="0.75" bottom="0.75" header="0.3" footer="0.3"/>
  <pageSetup paperSize="9" orientation="portrait" horizontalDpi="0" verticalDpi="0"/>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tabColor rgb="FFFFC000"/>
  </sheetPr>
  <dimension ref="A1:M37"/>
  <sheetViews>
    <sheetView topLeftCell="A11" workbookViewId="0">
      <selection activeCell="D35" sqref="D35"/>
    </sheetView>
  </sheetViews>
  <sheetFormatPr baseColWidth="10" defaultColWidth="8.83203125" defaultRowHeight="15" x14ac:dyDescent="0.2"/>
  <cols>
    <col min="1" max="1" width="16.83203125" customWidth="1"/>
    <col min="2" max="10" width="16.33203125" customWidth="1"/>
  </cols>
  <sheetData>
    <row r="1" spans="1:13" x14ac:dyDescent="0.2">
      <c r="A1" t="str">
        <f>HOME!B4</f>
        <v>Makmur Jaya Sejati Raya</v>
      </c>
    </row>
    <row r="2" spans="1:13" x14ac:dyDescent="0.2">
      <c r="A2" t="s">
        <v>3187</v>
      </c>
    </row>
    <row r="3" spans="1:13" x14ac:dyDescent="0.2">
      <c r="A3" t="s">
        <v>3188</v>
      </c>
    </row>
    <row r="4" spans="1:13" x14ac:dyDescent="0.2">
      <c r="A4" t="str">
        <f>'BALANCE SHEET'!A3</f>
        <v>(IDR)</v>
      </c>
    </row>
    <row r="6" spans="1:13" x14ac:dyDescent="0.2">
      <c r="A6" s="62"/>
      <c r="B6" s="62"/>
      <c r="C6" s="62"/>
      <c r="D6" s="62">
        <f>'INCOME STATEMENT'!E5+1</f>
        <v>2022</v>
      </c>
      <c r="E6" s="62">
        <f t="shared" ref="E6:J6" si="0">D6+1</f>
        <v>2023</v>
      </c>
      <c r="F6" s="62">
        <f t="shared" si="0"/>
        <v>2024</v>
      </c>
      <c r="G6" s="62">
        <f t="shared" si="0"/>
        <v>2025</v>
      </c>
      <c r="H6" s="62">
        <f t="shared" si="0"/>
        <v>2026</v>
      </c>
      <c r="I6" s="62">
        <f t="shared" si="0"/>
        <v>2027</v>
      </c>
      <c r="J6" s="62">
        <f t="shared" si="0"/>
        <v>2028</v>
      </c>
    </row>
    <row r="7" spans="1:13" x14ac:dyDescent="0.2">
      <c r="A7" s="64" t="s">
        <v>3189</v>
      </c>
    </row>
    <row r="8" spans="1:13" x14ac:dyDescent="0.2">
      <c r="A8" t="s">
        <v>3190</v>
      </c>
      <c r="C8" s="4">
        <v>0.14000000000000001</v>
      </c>
      <c r="D8" s="4"/>
      <c r="E8" s="4"/>
      <c r="F8" s="4"/>
      <c r="G8" s="4"/>
      <c r="H8" s="4"/>
      <c r="I8" s="4"/>
      <c r="J8" s="4"/>
    </row>
    <row r="9" spans="1:13" x14ac:dyDescent="0.2">
      <c r="A9" t="s">
        <v>3191</v>
      </c>
      <c r="C9" s="4">
        <v>0.12</v>
      </c>
      <c r="D9" s="4"/>
      <c r="E9" s="4"/>
      <c r="F9" s="4"/>
      <c r="G9" s="4"/>
      <c r="H9" s="4"/>
      <c r="I9" s="4"/>
      <c r="J9" s="4"/>
      <c r="M9" t="s">
        <v>3192</v>
      </c>
    </row>
    <row r="10" spans="1:13" x14ac:dyDescent="0.2">
      <c r="A10" t="s">
        <v>3193</v>
      </c>
      <c r="C10" s="4">
        <v>0.09</v>
      </c>
      <c r="D10" s="4"/>
      <c r="E10" s="4"/>
      <c r="F10" s="4"/>
      <c r="G10" s="4"/>
      <c r="H10" s="4"/>
      <c r="I10" s="4"/>
      <c r="J10" s="4"/>
    </row>
    <row r="11" spans="1:13" ht="16" customHeight="1" thickBot="1" x14ac:dyDescent="0.25">
      <c r="A11" s="26" t="s">
        <v>3194</v>
      </c>
      <c r="B11" s="26"/>
      <c r="C11" s="63">
        <v>0.22</v>
      </c>
      <c r="D11" s="63"/>
      <c r="E11" s="63"/>
      <c r="F11" s="63"/>
      <c r="G11" s="63"/>
      <c r="H11" s="63"/>
      <c r="I11" s="63"/>
      <c r="J11" s="63"/>
    </row>
    <row r="13" spans="1:13" x14ac:dyDescent="0.2">
      <c r="A13" s="64" t="s">
        <v>3195</v>
      </c>
    </row>
    <row r="14" spans="1:13" x14ac:dyDescent="0.2">
      <c r="A14" t="s">
        <v>3196</v>
      </c>
      <c r="C14" s="31" t="s">
        <v>3197</v>
      </c>
      <c r="D14" s="10">
        <v>1091700</v>
      </c>
      <c r="E14" s="10">
        <f t="shared" ref="E14:J14" si="1">ROUND(D14*(1+E15),-2)</f>
        <v>1146300</v>
      </c>
      <c r="F14" s="10">
        <f t="shared" si="1"/>
        <v>1260900</v>
      </c>
      <c r="G14" s="10">
        <f t="shared" si="1"/>
        <v>1387000</v>
      </c>
      <c r="H14" s="10">
        <f t="shared" si="1"/>
        <v>1525700</v>
      </c>
      <c r="I14" s="10">
        <f t="shared" si="1"/>
        <v>1678300</v>
      </c>
      <c r="J14" s="10">
        <f t="shared" si="1"/>
        <v>1846100</v>
      </c>
      <c r="M14" t="s">
        <v>3198</v>
      </c>
    </row>
    <row r="15" spans="1:13" x14ac:dyDescent="0.2">
      <c r="B15" t="s">
        <v>3199</v>
      </c>
      <c r="C15" s="31"/>
      <c r="D15" s="4"/>
      <c r="E15" s="4">
        <v>0.05</v>
      </c>
      <c r="F15" s="4">
        <v>0.1</v>
      </c>
      <c r="G15" s="4">
        <v>0.1</v>
      </c>
      <c r="H15" s="4">
        <v>0.1</v>
      </c>
      <c r="I15" s="4">
        <v>0.1</v>
      </c>
      <c r="J15" s="4">
        <v>0.1</v>
      </c>
    </row>
    <row r="16" spans="1:13" x14ac:dyDescent="0.2">
      <c r="C16" s="31"/>
      <c r="D16" s="4"/>
    </row>
    <row r="17" spans="1:13" x14ac:dyDescent="0.2">
      <c r="A17" t="s">
        <v>3200</v>
      </c>
      <c r="C17" s="31" t="s">
        <v>3201</v>
      </c>
      <c r="D17" s="10">
        <v>111000</v>
      </c>
      <c r="E17" s="10">
        <f t="shared" ref="E17:J17" si="2">ROUNDUP(D17*(1+E18),-3)</f>
        <v>117000</v>
      </c>
      <c r="F17" s="10">
        <f t="shared" si="2"/>
        <v>123000</v>
      </c>
      <c r="G17" s="10">
        <f t="shared" si="2"/>
        <v>130000</v>
      </c>
      <c r="H17" s="10">
        <f t="shared" si="2"/>
        <v>137000</v>
      </c>
      <c r="I17" s="10">
        <f t="shared" si="2"/>
        <v>144000</v>
      </c>
      <c r="J17" s="10">
        <f t="shared" si="2"/>
        <v>152000</v>
      </c>
    </row>
    <row r="18" spans="1:13" x14ac:dyDescent="0.2">
      <c r="B18" t="s">
        <v>3199</v>
      </c>
      <c r="C18" s="31"/>
      <c r="E18" s="4">
        <v>0.05</v>
      </c>
      <c r="F18" s="4">
        <v>0.05</v>
      </c>
      <c r="G18" s="4">
        <v>0.05</v>
      </c>
      <c r="H18" s="4">
        <v>0.05</v>
      </c>
      <c r="I18" s="4">
        <v>0.05</v>
      </c>
      <c r="J18" s="4">
        <v>0.05</v>
      </c>
      <c r="M18" t="s">
        <v>3198</v>
      </c>
    </row>
    <row r="19" spans="1:13" x14ac:dyDescent="0.2">
      <c r="C19" s="31"/>
    </row>
    <row r="20" spans="1:13" x14ac:dyDescent="0.2">
      <c r="A20" t="s">
        <v>3202</v>
      </c>
      <c r="C20" s="31" t="s">
        <v>3203</v>
      </c>
      <c r="D20" s="449">
        <f>'INCOME STATEMENT'!J7</f>
        <v>-0.68239332272993913</v>
      </c>
      <c r="E20" s="450">
        <f t="shared" ref="E20:J20" si="3">D20</f>
        <v>-0.68239332272993913</v>
      </c>
      <c r="F20" s="450">
        <f t="shared" si="3"/>
        <v>-0.68239332272993913</v>
      </c>
      <c r="G20" s="450">
        <f t="shared" si="3"/>
        <v>-0.68239332272993913</v>
      </c>
      <c r="H20" s="450">
        <f t="shared" si="3"/>
        <v>-0.68239332272993913</v>
      </c>
      <c r="I20" s="450">
        <f t="shared" si="3"/>
        <v>-0.68239332272993913</v>
      </c>
      <c r="J20" s="450">
        <f t="shared" si="3"/>
        <v>-0.68239332272993913</v>
      </c>
    </row>
    <row r="21" spans="1:13" x14ac:dyDescent="0.2">
      <c r="C21" s="31"/>
    </row>
    <row r="22" spans="1:13" x14ac:dyDescent="0.2">
      <c r="A22" t="s">
        <v>3204</v>
      </c>
      <c r="C22" s="31"/>
    </row>
    <row r="23" spans="1:13" x14ac:dyDescent="0.2">
      <c r="B23" t="s">
        <v>3205</v>
      </c>
      <c r="C23" s="31" t="s">
        <v>3203</v>
      </c>
      <c r="D23" s="84">
        <f>'INCOME STATEMENT'!J12</f>
        <v>0</v>
      </c>
      <c r="E23" s="84">
        <f t="shared" ref="E23:J24" si="4">D23</f>
        <v>0</v>
      </c>
      <c r="F23" s="84">
        <f t="shared" si="4"/>
        <v>0</v>
      </c>
      <c r="G23" s="84">
        <f t="shared" si="4"/>
        <v>0</v>
      </c>
      <c r="H23" s="84">
        <f t="shared" si="4"/>
        <v>0</v>
      </c>
      <c r="I23" s="84">
        <f t="shared" si="4"/>
        <v>0</v>
      </c>
      <c r="J23" s="84">
        <f t="shared" si="4"/>
        <v>0</v>
      </c>
      <c r="M23" t="s">
        <v>3206</v>
      </c>
    </row>
    <row r="24" spans="1:13" ht="16" customHeight="1" thickBot="1" x14ac:dyDescent="0.25">
      <c r="A24" s="26"/>
      <c r="B24" s="26" t="s">
        <v>3207</v>
      </c>
      <c r="C24" s="66" t="s">
        <v>3208</v>
      </c>
      <c r="D24" s="63">
        <f>'INCOME STATEMENT'!J13</f>
        <v>-0.15644218233742005</v>
      </c>
      <c r="E24" s="63">
        <f t="shared" si="4"/>
        <v>-0.15644218233742005</v>
      </c>
      <c r="F24" s="63">
        <f t="shared" si="4"/>
        <v>-0.15644218233742005</v>
      </c>
      <c r="G24" s="63">
        <f t="shared" si="4"/>
        <v>-0.15644218233742005</v>
      </c>
      <c r="H24" s="63">
        <f t="shared" si="4"/>
        <v>-0.15644218233742005</v>
      </c>
      <c r="I24" s="63">
        <f t="shared" si="4"/>
        <v>-0.15644218233742005</v>
      </c>
      <c r="J24" s="63">
        <f t="shared" si="4"/>
        <v>-0.15644218233742005</v>
      </c>
    </row>
    <row r="25" spans="1:13" x14ac:dyDescent="0.2">
      <c r="C25" s="31"/>
    </row>
    <row r="26" spans="1:13" x14ac:dyDescent="0.2">
      <c r="A26" s="65" t="s">
        <v>3209</v>
      </c>
      <c r="C26" s="31"/>
    </row>
    <row r="27" spans="1:13" x14ac:dyDescent="0.2">
      <c r="A27" t="s">
        <v>3210</v>
      </c>
      <c r="C27" s="31"/>
    </row>
    <row r="28" spans="1:13" x14ac:dyDescent="0.2">
      <c r="B28" t="s">
        <v>3211</v>
      </c>
      <c r="C28" s="31" t="s">
        <v>3212</v>
      </c>
      <c r="D28">
        <v>35</v>
      </c>
      <c r="E28">
        <v>35</v>
      </c>
      <c r="F28">
        <v>35</v>
      </c>
      <c r="G28">
        <v>35</v>
      </c>
      <c r="H28">
        <v>35</v>
      </c>
      <c r="I28">
        <v>35</v>
      </c>
      <c r="J28">
        <v>35</v>
      </c>
    </row>
    <row r="29" spans="1:13" x14ac:dyDescent="0.2">
      <c r="B29" t="s">
        <v>3088</v>
      </c>
      <c r="C29" s="31" t="s">
        <v>3212</v>
      </c>
      <c r="D29">
        <v>50</v>
      </c>
      <c r="E29">
        <v>50</v>
      </c>
      <c r="F29">
        <v>50</v>
      </c>
      <c r="G29">
        <v>50</v>
      </c>
      <c r="H29">
        <v>50</v>
      </c>
      <c r="I29">
        <v>50</v>
      </c>
      <c r="J29">
        <v>50</v>
      </c>
    </row>
    <row r="30" spans="1:13" x14ac:dyDescent="0.2">
      <c r="B30" t="s">
        <v>3213</v>
      </c>
      <c r="C30" s="31" t="s">
        <v>3212</v>
      </c>
      <c r="D30">
        <v>90</v>
      </c>
      <c r="E30">
        <v>90</v>
      </c>
      <c r="F30">
        <v>90</v>
      </c>
      <c r="G30">
        <v>90</v>
      </c>
      <c r="H30">
        <v>90</v>
      </c>
      <c r="I30">
        <v>90</v>
      </c>
      <c r="J30">
        <v>90</v>
      </c>
    </row>
    <row r="32" spans="1:13" x14ac:dyDescent="0.2">
      <c r="A32" t="s">
        <v>3214</v>
      </c>
    </row>
    <row r="33" spans="1:10" x14ac:dyDescent="0.2">
      <c r="B33" t="s">
        <v>3215</v>
      </c>
    </row>
    <row r="34" spans="1:10" x14ac:dyDescent="0.2">
      <c r="B34" t="s">
        <v>3216</v>
      </c>
    </row>
    <row r="35" spans="1:10" x14ac:dyDescent="0.2">
      <c r="B35" t="s">
        <v>3217</v>
      </c>
      <c r="D35" s="10">
        <v>1000</v>
      </c>
      <c r="E35" s="10">
        <v>1000</v>
      </c>
      <c r="F35" s="10">
        <v>1000</v>
      </c>
      <c r="G35" s="10">
        <v>1000</v>
      </c>
      <c r="H35" s="10">
        <v>1000</v>
      </c>
      <c r="I35" s="10">
        <v>1000</v>
      </c>
      <c r="J35" s="10">
        <v>1000</v>
      </c>
    </row>
    <row r="36" spans="1:10" x14ac:dyDescent="0.2">
      <c r="B36" t="s">
        <v>3089</v>
      </c>
      <c r="D36" s="10">
        <v>500</v>
      </c>
      <c r="E36" s="10">
        <v>500</v>
      </c>
      <c r="F36" s="10">
        <v>500</v>
      </c>
      <c r="G36" s="10">
        <v>500</v>
      </c>
      <c r="H36" s="10">
        <v>500</v>
      </c>
      <c r="I36" s="10">
        <v>500</v>
      </c>
      <c r="J36" s="10">
        <v>500</v>
      </c>
    </row>
    <row r="37" spans="1:10" ht="16" customHeight="1" thickBot="1" x14ac:dyDescent="0.25">
      <c r="A37" s="67" t="s">
        <v>3218</v>
      </c>
      <c r="B37" s="67"/>
      <c r="C37" s="67"/>
      <c r="D37" s="68">
        <f t="shared" ref="D37:J37" si="5">SUM(D35:D36)</f>
        <v>1500</v>
      </c>
      <c r="E37" s="68">
        <f t="shared" si="5"/>
        <v>1500</v>
      </c>
      <c r="F37" s="68">
        <f t="shared" si="5"/>
        <v>1500</v>
      </c>
      <c r="G37" s="68">
        <f t="shared" si="5"/>
        <v>1500</v>
      </c>
      <c r="H37" s="68">
        <f t="shared" si="5"/>
        <v>1500</v>
      </c>
      <c r="I37" s="68">
        <f t="shared" si="5"/>
        <v>1500</v>
      </c>
      <c r="J37" s="68">
        <f t="shared" si="5"/>
        <v>1500</v>
      </c>
    </row>
  </sheetData>
  <hyperlinks>
    <hyperlink ref="D20" location="'INCOME STATEMENT'!K7" display="'INCOME STATEMENT'!K7" xr:uid="{00000000-0004-0000-0900-000000000000}"/>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4" tint="-0.249977111117893"/>
  </sheetPr>
  <dimension ref="A1:E19"/>
  <sheetViews>
    <sheetView showGridLines="0" workbookViewId="0">
      <selection activeCell="E19" sqref="E19"/>
    </sheetView>
  </sheetViews>
  <sheetFormatPr baseColWidth="10" defaultColWidth="8.83203125" defaultRowHeight="15" x14ac:dyDescent="0.2"/>
  <cols>
    <col min="1" max="1" width="21.83203125" customWidth="1"/>
    <col min="2" max="2" width="25" customWidth="1"/>
    <col min="3" max="5" width="16.33203125" customWidth="1"/>
  </cols>
  <sheetData>
    <row r="1" spans="1:5" x14ac:dyDescent="0.2">
      <c r="A1" t="str">
        <f>HOME!B4</f>
        <v>Makmur Jaya Sejati Raya</v>
      </c>
    </row>
    <row r="2" spans="1:5" x14ac:dyDescent="0.2">
      <c r="A2" t="s">
        <v>93</v>
      </c>
    </row>
    <row r="3" spans="1:5" x14ac:dyDescent="0.2">
      <c r="A3" t="str">
        <f>'BALANCE SHEET'!A3</f>
        <v>(IDR)</v>
      </c>
    </row>
    <row r="5" spans="1:5" x14ac:dyDescent="0.2">
      <c r="A5" s="6"/>
      <c r="B5" s="6"/>
      <c r="C5" s="8">
        <f>'ACC PAYABLES'!C5</f>
        <v>2019</v>
      </c>
      <c r="D5" s="8">
        <f>'ACC PAYABLES'!D5</f>
        <v>2020</v>
      </c>
      <c r="E5" s="8">
        <f>'ACC PAYABLES'!E5</f>
        <v>2021</v>
      </c>
    </row>
    <row r="7" spans="1:5" x14ac:dyDescent="0.2">
      <c r="A7" t="s">
        <v>3131</v>
      </c>
      <c r="C7" s="99">
        <f>'INCOME STATEMENT'!C32</f>
        <v>746079045</v>
      </c>
      <c r="D7" s="99">
        <f>'INCOME STATEMENT'!D32</f>
        <v>920799279</v>
      </c>
      <c r="E7" s="99">
        <f>'INCOME STATEMENT'!E32</f>
        <v>2274234874</v>
      </c>
    </row>
    <row r="8" spans="1:5" x14ac:dyDescent="0.2">
      <c r="A8" t="s">
        <v>3219</v>
      </c>
      <c r="C8" s="99">
        <f>'INCOME STATEMENT'!C27*-1</f>
        <v>16278814</v>
      </c>
      <c r="D8" s="99">
        <f>'INCOME STATEMENT'!D27*-1</f>
        <v>1361128</v>
      </c>
      <c r="E8" s="99">
        <f>'INCOME STATEMENT'!E27*-1</f>
        <v>942033</v>
      </c>
    </row>
    <row r="9" spans="1:5" x14ac:dyDescent="0.2">
      <c r="A9" t="s">
        <v>3220</v>
      </c>
      <c r="C9" s="99">
        <f>'INCOME STATEMENT'!C26*-1</f>
        <v>-81394069</v>
      </c>
      <c r="D9" s="99">
        <f>'INCOME STATEMENT'!D26*-1</f>
        <v>-11803933</v>
      </c>
      <c r="E9" s="99">
        <f>'INCOME STATEMENT'!E26*-1</f>
        <v>-13957341</v>
      </c>
    </row>
    <row r="10" spans="1:5" x14ac:dyDescent="0.2">
      <c r="A10" s="3" t="s">
        <v>3221</v>
      </c>
      <c r="B10" s="3"/>
      <c r="C10" s="474">
        <f>'INCOME STATEMENT'!C30*-1</f>
        <v>0</v>
      </c>
      <c r="D10" s="474">
        <f>'INCOME STATEMENT'!D30*-1</f>
        <v>0</v>
      </c>
      <c r="E10" s="474">
        <f>'INCOME STATEMENT'!E30*-1</f>
        <v>212875</v>
      </c>
    </row>
    <row r="11" spans="1:5" x14ac:dyDescent="0.2">
      <c r="A11" s="2" t="s">
        <v>3124</v>
      </c>
      <c r="C11" s="100">
        <f>SUM(C7:C10)</f>
        <v>680963790</v>
      </c>
      <c r="D11" s="100">
        <f>SUM(D7:D10)</f>
        <v>910356474</v>
      </c>
      <c r="E11" s="100">
        <f>SUM(E7:E10)</f>
        <v>2261432441</v>
      </c>
    </row>
    <row r="12" spans="1:5" x14ac:dyDescent="0.2">
      <c r="C12" s="10"/>
      <c r="D12" s="10"/>
      <c r="E12" s="10"/>
    </row>
    <row r="13" spans="1:5" x14ac:dyDescent="0.2">
      <c r="A13" s="455" t="s">
        <v>96</v>
      </c>
      <c r="C13" s="545">
        <f>C11*STAT_ASSUMPTIONS!$B$5</f>
        <v>149812033.80000001</v>
      </c>
      <c r="D13" s="545">
        <f>D11*STAT_ASSUMPTIONS!$B$5</f>
        <v>200278424.28</v>
      </c>
      <c r="E13" s="545">
        <f>E11*STAT_ASSUMPTIONS!$B$5</f>
        <v>497515137.01999998</v>
      </c>
    </row>
    <row r="14" spans="1:5" x14ac:dyDescent="0.2">
      <c r="A14" s="455" t="s">
        <v>101</v>
      </c>
      <c r="C14" s="332">
        <f>0</f>
        <v>0</v>
      </c>
      <c r="D14" s="332">
        <f>0</f>
        <v>0</v>
      </c>
      <c r="E14" s="332">
        <f>0</f>
        <v>0</v>
      </c>
    </row>
    <row r="15" spans="1:5" x14ac:dyDescent="0.2">
      <c r="A15" s="455" t="s">
        <v>106</v>
      </c>
      <c r="C15" s="332">
        <f>0</f>
        <v>0</v>
      </c>
      <c r="D15" s="332">
        <f>0</f>
        <v>0</v>
      </c>
      <c r="E15" s="332">
        <f>0</f>
        <v>0</v>
      </c>
    </row>
    <row r="16" spans="1:5" x14ac:dyDescent="0.2">
      <c r="A16" s="554" t="s">
        <v>110</v>
      </c>
      <c r="B16" s="3"/>
      <c r="C16" s="555">
        <f>0</f>
        <v>0</v>
      </c>
      <c r="D16" s="555">
        <f>0</f>
        <v>0</v>
      </c>
      <c r="E16" s="555">
        <f>0</f>
        <v>0</v>
      </c>
    </row>
    <row r="17" spans="1:5" x14ac:dyDescent="0.2">
      <c r="A17" s="2" t="s">
        <v>3222</v>
      </c>
      <c r="C17" s="556">
        <f>SUM(C13:C16)</f>
        <v>149812033.80000001</v>
      </c>
      <c r="D17" s="556">
        <f>SUM(D13:D16)</f>
        <v>200278424.28</v>
      </c>
      <c r="E17" s="556">
        <f>SUM(E13:E16)</f>
        <v>497515137.01999998</v>
      </c>
    </row>
    <row r="18" spans="1:5" x14ac:dyDescent="0.2">
      <c r="C18" s="10"/>
      <c r="D18" s="10"/>
      <c r="E18" s="10"/>
    </row>
    <row r="19" spans="1:5" ht="16" customHeight="1" thickBot="1" x14ac:dyDescent="0.25">
      <c r="A19" s="25" t="s">
        <v>93</v>
      </c>
      <c r="B19" s="26"/>
      <c r="C19" s="557">
        <f>C11-C17</f>
        <v>531151756.19999999</v>
      </c>
      <c r="D19" s="557">
        <f>D11-D17</f>
        <v>710078049.72000003</v>
      </c>
      <c r="E19" s="557">
        <f>E11-E17</f>
        <v>1763917303.98</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4" tint="-0.249977111117893"/>
  </sheetPr>
  <dimension ref="A1:E29"/>
  <sheetViews>
    <sheetView showGridLines="0" workbookViewId="0">
      <selection activeCell="C16" sqref="C16"/>
    </sheetView>
  </sheetViews>
  <sheetFormatPr baseColWidth="10" defaultColWidth="8.83203125" defaultRowHeight="15" x14ac:dyDescent="0.2"/>
  <cols>
    <col min="1" max="2" width="22.1640625" customWidth="1"/>
    <col min="3" max="4" width="17" bestFit="1" customWidth="1"/>
    <col min="5" max="5" width="16.33203125" customWidth="1"/>
  </cols>
  <sheetData>
    <row r="1" spans="1:5" x14ac:dyDescent="0.2">
      <c r="A1" t="str">
        <f>HOME!B4</f>
        <v>Makmur Jaya Sejati Raya</v>
      </c>
    </row>
    <row r="2" spans="1:5" x14ac:dyDescent="0.2">
      <c r="A2" t="s">
        <v>3223</v>
      </c>
    </row>
    <row r="3" spans="1:5" x14ac:dyDescent="0.2">
      <c r="A3" t="str">
        <f>'BALANCE SHEET'!A3</f>
        <v>(IDR)</v>
      </c>
    </row>
    <row r="5" spans="1:5" x14ac:dyDescent="0.2">
      <c r="A5" s="6"/>
      <c r="B5" s="6"/>
      <c r="C5" s="8">
        <f>NOPLAT!C5</f>
        <v>2019</v>
      </c>
      <c r="D5" s="8">
        <f>NOPLAT!D5</f>
        <v>2020</v>
      </c>
      <c r="E5" s="8">
        <f>NOPLAT!E5</f>
        <v>2021</v>
      </c>
    </row>
    <row r="7" spans="1:5" x14ac:dyDescent="0.2">
      <c r="A7" s="2" t="s">
        <v>93</v>
      </c>
      <c r="C7" s="489">
        <f>NOPLAT!C19</f>
        <v>531151756.19999999</v>
      </c>
      <c r="D7" s="489">
        <f>NOPLAT!D19</f>
        <v>710078049.72000003</v>
      </c>
      <c r="E7" s="489">
        <f>NOPLAT!E19</f>
        <v>1763917303.98</v>
      </c>
    </row>
    <row r="8" spans="1:5" x14ac:dyDescent="0.2">
      <c r="A8" s="3" t="s">
        <v>3224</v>
      </c>
      <c r="B8" s="3"/>
      <c r="C8" s="490">
        <f>'FIXED ASSET'!C51</f>
        <v>353481575</v>
      </c>
      <c r="D8" s="490">
        <f>'FIXED ASSET'!D51</f>
        <v>1120799028</v>
      </c>
      <c r="E8" s="490">
        <f>'FIXED ASSET'!E51</f>
        <v>981730341</v>
      </c>
    </row>
    <row r="9" spans="1:5" x14ac:dyDescent="0.2">
      <c r="A9" s="2" t="s">
        <v>3225</v>
      </c>
      <c r="C9" s="100">
        <f>+C7+C8</f>
        <v>884633331.20000005</v>
      </c>
      <c r="D9" s="100">
        <f>+D7+D8</f>
        <v>1830877077.72</v>
      </c>
      <c r="E9" s="100">
        <f>+E7+E8</f>
        <v>2745647644.98</v>
      </c>
    </row>
    <row r="10" spans="1:5" x14ac:dyDescent="0.2">
      <c r="C10" s="10"/>
      <c r="D10" s="10"/>
      <c r="E10" s="10"/>
    </row>
    <row r="11" spans="1:5" x14ac:dyDescent="0.2">
      <c r="A11" s="2" t="s">
        <v>3</v>
      </c>
      <c r="C11" s="10"/>
      <c r="D11" s="10"/>
      <c r="E11" s="10"/>
    </row>
    <row r="12" spans="1:5" x14ac:dyDescent="0.2">
      <c r="A12" t="s">
        <v>487</v>
      </c>
      <c r="C12" s="558">
        <f>'CASH FLOW STATEMENT'!C8</f>
        <v>-248591028</v>
      </c>
      <c r="D12" s="558">
        <f>'CASH FLOW STATEMENT'!D8</f>
        <v>-426787292</v>
      </c>
      <c r="E12" s="558">
        <f>'CASH FLOW STATEMENT'!E8</f>
        <v>484323209</v>
      </c>
    </row>
    <row r="13" spans="1:5" x14ac:dyDescent="0.2">
      <c r="A13" s="3" t="s">
        <v>491</v>
      </c>
      <c r="B13" s="3"/>
      <c r="C13" s="559">
        <f>'CASH FLOW STATEMENT'!C9</f>
        <v>1746831703</v>
      </c>
      <c r="D13" s="560">
        <f>'CASH FLOW STATEMENT'!D9</f>
        <v>-728772103</v>
      </c>
      <c r="E13" s="560">
        <f>'CASH FLOW STATEMENT'!E9</f>
        <v>1880659928</v>
      </c>
    </row>
    <row r="14" spans="1:5" x14ac:dyDescent="0.2">
      <c r="A14" s="2" t="s">
        <v>3226</v>
      </c>
      <c r="C14" s="551">
        <f>'CASH FLOW STATEMENT'!C10</f>
        <v>1498240675</v>
      </c>
      <c r="D14" s="551">
        <f>'CASH FLOW STATEMENT'!D10</f>
        <v>-1155559395</v>
      </c>
      <c r="E14" s="551">
        <f>'CASH FLOW STATEMENT'!E10</f>
        <v>2364983137</v>
      </c>
    </row>
    <row r="15" spans="1:5" x14ac:dyDescent="0.2">
      <c r="C15" s="10"/>
      <c r="D15" s="10"/>
      <c r="E15" s="10"/>
    </row>
    <row r="16" spans="1:5" x14ac:dyDescent="0.2">
      <c r="A16" t="s">
        <v>3227</v>
      </c>
      <c r="C16" s="491">
        <f>'FIXED ASSET'!C23*-1</f>
        <v>-10175220000</v>
      </c>
      <c r="D16" s="491">
        <f>'FIXED ASSET'!D23*-1</f>
        <v>-149675000</v>
      </c>
      <c r="E16" s="130">
        <f>'FIXED ASSET'!E23*-1</f>
        <v>0</v>
      </c>
    </row>
    <row r="17" spans="1:5" x14ac:dyDescent="0.2">
      <c r="A17" s="3"/>
      <c r="B17" s="3"/>
      <c r="C17" s="3"/>
      <c r="D17" s="3"/>
      <c r="E17" s="3"/>
    </row>
    <row r="18" spans="1:5" x14ac:dyDescent="0.2">
      <c r="A18" s="2" t="s">
        <v>3228</v>
      </c>
      <c r="B18" s="2"/>
      <c r="C18" s="556">
        <f>+C14+C16</f>
        <v>-8676979325</v>
      </c>
      <c r="D18" s="556">
        <f>+D14+D16</f>
        <v>-1305234395</v>
      </c>
      <c r="E18" s="556">
        <f>+E14+E16</f>
        <v>2364983137</v>
      </c>
    </row>
    <row r="19" spans="1:5" x14ac:dyDescent="0.2">
      <c r="C19" s="10"/>
      <c r="D19" s="10"/>
      <c r="E19" s="10"/>
    </row>
    <row r="20" spans="1:5" ht="16" customHeight="1" thickBot="1" x14ac:dyDescent="0.25">
      <c r="A20" s="25" t="s">
        <v>3223</v>
      </c>
      <c r="B20" s="25"/>
      <c r="C20" s="547">
        <f>+C9+C18</f>
        <v>-7792345993.8000002</v>
      </c>
      <c r="D20" s="547">
        <f>+D9+D18</f>
        <v>525642682.72000003</v>
      </c>
      <c r="E20" s="547">
        <f>+E9+E18</f>
        <v>5110630781.9799995</v>
      </c>
    </row>
    <row r="21" spans="1:5" x14ac:dyDescent="0.2">
      <c r="C21" s="10"/>
      <c r="D21" s="10"/>
      <c r="E21" s="10"/>
    </row>
    <row r="22" spans="1:5" x14ac:dyDescent="0.2">
      <c r="C22" s="10"/>
      <c r="D22" s="10"/>
      <c r="E22" s="10"/>
    </row>
    <row r="23" spans="1:5" x14ac:dyDescent="0.2">
      <c r="C23" s="10"/>
      <c r="D23" s="10"/>
      <c r="E23" s="10"/>
    </row>
    <row r="24" spans="1:5" x14ac:dyDescent="0.2">
      <c r="C24" s="10"/>
      <c r="D24" s="10"/>
      <c r="E24" s="10"/>
    </row>
    <row r="25" spans="1:5" x14ac:dyDescent="0.2">
      <c r="C25" s="10"/>
      <c r="D25" s="10"/>
      <c r="E25" s="10"/>
    </row>
    <row r="26" spans="1:5" x14ac:dyDescent="0.2">
      <c r="C26" s="10"/>
      <c r="D26" s="10"/>
      <c r="E26" s="10"/>
    </row>
    <row r="27" spans="1:5" x14ac:dyDescent="0.2">
      <c r="C27" s="10"/>
      <c r="D27" s="10"/>
      <c r="E27" s="10"/>
    </row>
    <row r="28" spans="1:5" x14ac:dyDescent="0.2">
      <c r="C28" s="10"/>
      <c r="D28" s="10"/>
      <c r="E28" s="10"/>
    </row>
    <row r="29" spans="1:5" x14ac:dyDescent="0.2">
      <c r="C29" s="10"/>
      <c r="D29" s="10"/>
      <c r="E29" s="10"/>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tabColor theme="4" tint="-0.249977111117893"/>
  </sheetPr>
  <dimension ref="A1:I28"/>
  <sheetViews>
    <sheetView workbookViewId="0">
      <selection activeCell="D15" sqref="D15"/>
    </sheetView>
  </sheetViews>
  <sheetFormatPr baseColWidth="10" defaultColWidth="8.83203125" defaultRowHeight="15" x14ac:dyDescent="0.2"/>
  <cols>
    <col min="1" max="1" width="42.5" customWidth="1"/>
    <col min="2" max="3" width="17" bestFit="1" customWidth="1"/>
    <col min="4" max="4" width="18" bestFit="1" customWidth="1"/>
    <col min="9" max="9" width="16.83203125" bestFit="1" customWidth="1"/>
  </cols>
  <sheetData>
    <row r="1" spans="1:6" x14ac:dyDescent="0.2">
      <c r="A1" t="str">
        <f>HOME!B4</f>
        <v>Makmur Jaya Sejati Raya</v>
      </c>
    </row>
    <row r="2" spans="1:6" x14ac:dyDescent="0.2">
      <c r="A2" t="s">
        <v>327</v>
      </c>
    </row>
    <row r="3" spans="1:6" x14ac:dyDescent="0.2">
      <c r="A3" t="str">
        <f>'BALANCE SHEET'!A3</f>
        <v>(IDR)</v>
      </c>
    </row>
    <row r="5" spans="1:6" x14ac:dyDescent="0.2">
      <c r="A5" s="6"/>
      <c r="B5" s="8">
        <f>'BALANCE SHEET'!C4</f>
        <v>2019</v>
      </c>
      <c r="C5" s="8">
        <f>B5+1</f>
        <v>2020</v>
      </c>
      <c r="D5" s="8">
        <f>C5+1</f>
        <v>2021</v>
      </c>
    </row>
    <row r="6" spans="1:6" x14ac:dyDescent="0.2">
      <c r="A6" s="31"/>
      <c r="B6" s="102"/>
      <c r="C6" s="102"/>
      <c r="D6" s="102"/>
    </row>
    <row r="7" spans="1:6" x14ac:dyDescent="0.2">
      <c r="A7" s="32" t="s">
        <v>93</v>
      </c>
      <c r="B7" s="492">
        <f>FCF!C20</f>
        <v>-7792345993.8000002</v>
      </c>
      <c r="C7" s="492">
        <f>FCF!D20</f>
        <v>525642682.72000003</v>
      </c>
      <c r="D7" s="492">
        <f>FCF!E20</f>
        <v>5110630781.9799995</v>
      </c>
    </row>
    <row r="8" spans="1:6" x14ac:dyDescent="0.2">
      <c r="A8" t="s">
        <v>3229</v>
      </c>
      <c r="B8" s="492">
        <f>'BALANCE SHEET'!C26</f>
        <v>18670530628</v>
      </c>
      <c r="C8" s="492">
        <f>'BALANCE SHEET'!D26</f>
        <v>18410375024</v>
      </c>
      <c r="D8" s="492">
        <f>'BALANCE SHEET'!E26</f>
        <v>17278293031</v>
      </c>
    </row>
    <row r="9" spans="1:6" x14ac:dyDescent="0.2">
      <c r="A9" t="s">
        <v>3230</v>
      </c>
      <c r="B9" s="33">
        <v>0</v>
      </c>
      <c r="C9" s="33">
        <v>0</v>
      </c>
      <c r="D9" s="33">
        <v>0</v>
      </c>
      <c r="F9" s="455" t="s">
        <v>343</v>
      </c>
    </row>
    <row r="10" spans="1:6" x14ac:dyDescent="0.2">
      <c r="A10" s="455" t="s">
        <v>330</v>
      </c>
      <c r="B10" s="561">
        <f>('BALANCE SHEET'!C8+'BALANCE SHEET'!C9)*-1</f>
        <v>-419027837</v>
      </c>
      <c r="C10" s="561">
        <f>('BALANCE SHEET'!D8+'BALANCE SHEET'!D9)*-1</f>
        <v>-723908969</v>
      </c>
      <c r="D10" s="561">
        <f>('BALANCE SHEET'!E8+'BALANCE SHEET'!E9)*-1</f>
        <v>-1054880526</v>
      </c>
      <c r="F10" s="455" t="s">
        <v>346</v>
      </c>
    </row>
    <row r="11" spans="1:6" x14ac:dyDescent="0.2">
      <c r="A11" t="s">
        <v>3231</v>
      </c>
      <c r="B11" s="487">
        <v>0</v>
      </c>
      <c r="C11" s="33">
        <v>0</v>
      </c>
      <c r="D11" s="33">
        <v>0</v>
      </c>
    </row>
    <row r="12" spans="1:6" x14ac:dyDescent="0.2">
      <c r="A12" t="s">
        <v>3232</v>
      </c>
      <c r="B12" s="562">
        <f>SUM(B8:B11)</f>
        <v>18251502791</v>
      </c>
      <c r="C12" s="562">
        <f>SUM(C8:C11)</f>
        <v>17686466055</v>
      </c>
      <c r="D12" s="562">
        <f>SUM(D8:D11)</f>
        <v>16223412505</v>
      </c>
    </row>
    <row r="13" spans="1:6" x14ac:dyDescent="0.2">
      <c r="A13" t="s">
        <v>3233</v>
      </c>
      <c r="B13" s="104"/>
      <c r="C13" s="562">
        <f>B12</f>
        <v>18251502791</v>
      </c>
      <c r="D13" s="562">
        <f>C12</f>
        <v>17686466055</v>
      </c>
    </row>
    <row r="14" spans="1:6" x14ac:dyDescent="0.2">
      <c r="B14" s="104"/>
      <c r="C14" s="104"/>
      <c r="D14" s="104"/>
    </row>
    <row r="15" spans="1:6" x14ac:dyDescent="0.2">
      <c r="A15" s="2" t="s">
        <v>3234</v>
      </c>
      <c r="B15" s="104"/>
      <c r="C15" s="563">
        <f>C7/C13</f>
        <v>2.8799967254159464E-2</v>
      </c>
      <c r="D15" s="563">
        <f>D7/D13</f>
        <v>0.28895714757755203</v>
      </c>
    </row>
    <row r="16" spans="1:6" x14ac:dyDescent="0.2">
      <c r="B16" s="10"/>
      <c r="C16" s="10"/>
      <c r="D16" s="10"/>
    </row>
    <row r="17" spans="1:9" x14ac:dyDescent="0.2">
      <c r="B17" s="10"/>
      <c r="C17" s="10"/>
      <c r="D17" s="10"/>
    </row>
    <row r="18" spans="1:9" x14ac:dyDescent="0.2">
      <c r="A18" s="2" t="s">
        <v>3235</v>
      </c>
      <c r="B18" s="10"/>
      <c r="C18" s="10"/>
      <c r="D18" s="10"/>
    </row>
    <row r="19" spans="1:9" x14ac:dyDescent="0.2">
      <c r="A19" t="s">
        <v>3236</v>
      </c>
      <c r="B19" s="10"/>
      <c r="C19" s="10"/>
      <c r="D19" s="10"/>
    </row>
    <row r="20" spans="1:9" x14ac:dyDescent="0.2">
      <c r="A20" t="s">
        <v>3237</v>
      </c>
      <c r="B20" s="10"/>
      <c r="C20" s="10"/>
      <c r="D20" s="10"/>
    </row>
    <row r="21" spans="1:9" x14ac:dyDescent="0.2">
      <c r="B21" s="10"/>
      <c r="C21" s="10"/>
      <c r="D21" s="10"/>
    </row>
    <row r="22" spans="1:9" x14ac:dyDescent="0.2">
      <c r="B22" s="10"/>
      <c r="C22" s="10"/>
      <c r="D22" s="10"/>
    </row>
    <row r="27" spans="1:9" x14ac:dyDescent="0.2">
      <c r="I27" s="37"/>
    </row>
    <row r="28" spans="1:9" x14ac:dyDescent="0.2">
      <c r="I28" s="37"/>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
    <tabColor theme="9" tint="-0.499984740745262"/>
    <pageSetUpPr fitToPage="1"/>
  </sheetPr>
  <dimension ref="A1:B147"/>
  <sheetViews>
    <sheetView view="pageBreakPreview" topLeftCell="A112" zoomScaleNormal="100" zoomScaleSheetLayoutView="100" workbookViewId="0">
      <selection activeCell="D10" sqref="D10"/>
    </sheetView>
  </sheetViews>
  <sheetFormatPr baseColWidth="10" defaultColWidth="9.1640625" defaultRowHeight="14" x14ac:dyDescent="0.15"/>
  <cols>
    <col min="1" max="1" width="7.5" style="151" customWidth="1"/>
    <col min="2" max="2" width="101" style="150" customWidth="1"/>
    <col min="3" max="3" width="9.33203125" style="150" customWidth="1"/>
    <col min="4" max="4" width="9.1640625" style="150" customWidth="1"/>
    <col min="5" max="16384" width="9.1640625" style="150"/>
  </cols>
  <sheetData>
    <row r="1" spans="1:2" x14ac:dyDescent="0.15">
      <c r="A1" s="656" t="s">
        <v>3238</v>
      </c>
      <c r="B1" s="655"/>
    </row>
    <row r="2" spans="1:2" x14ac:dyDescent="0.15">
      <c r="A2" s="654" t="str">
        <f>"Asumsi kondisi "&amp;HOME!B4&amp;" pada saat tanggal Penilaian ("&amp;TEXT(HOME!B20,"dd/mm/yyyy")&amp;")"</f>
        <v>Asumsi kondisi Makmur Jaya Sejati Raya pada saat tanggal Penilaian (31/12/2021)</v>
      </c>
      <c r="B2" s="655"/>
    </row>
    <row r="5" spans="1:2" x14ac:dyDescent="0.15">
      <c r="A5" s="152" t="s">
        <v>26</v>
      </c>
      <c r="B5" s="152" t="s">
        <v>3239</v>
      </c>
    </row>
    <row r="6" spans="1:2" ht="30" customHeight="1" x14ac:dyDescent="0.15">
      <c r="A6" s="159">
        <v>1</v>
      </c>
      <c r="B6" s="156" t="s">
        <v>3240</v>
      </c>
    </row>
    <row r="7" spans="1:2" x14ac:dyDescent="0.15">
      <c r="A7" s="160"/>
      <c r="B7" s="158" t="s">
        <v>3241</v>
      </c>
    </row>
    <row r="8" spans="1:2" x14ac:dyDescent="0.15">
      <c r="A8" s="160"/>
      <c r="B8" s="154" t="s">
        <v>3242</v>
      </c>
    </row>
    <row r="9" spans="1:2" x14ac:dyDescent="0.15">
      <c r="A9" s="160"/>
      <c r="B9" s="154" t="s">
        <v>3243</v>
      </c>
    </row>
    <row r="10" spans="1:2" x14ac:dyDescent="0.15">
      <c r="A10" s="161"/>
      <c r="B10" s="155"/>
    </row>
    <row r="11" spans="1:2" ht="30" customHeight="1" x14ac:dyDescent="0.15">
      <c r="A11" s="159">
        <v>2</v>
      </c>
      <c r="B11" s="156" t="s">
        <v>3244</v>
      </c>
    </row>
    <row r="12" spans="1:2" x14ac:dyDescent="0.15">
      <c r="A12" s="160"/>
      <c r="B12" s="158" t="s">
        <v>3241</v>
      </c>
    </row>
    <row r="13" spans="1:2" x14ac:dyDescent="0.15">
      <c r="A13" s="160"/>
      <c r="B13" s="154" t="s">
        <v>3245</v>
      </c>
    </row>
    <row r="14" spans="1:2" x14ac:dyDescent="0.15">
      <c r="A14" s="160"/>
      <c r="B14" s="154" t="s">
        <v>3246</v>
      </c>
    </row>
    <row r="15" spans="1:2" x14ac:dyDescent="0.15">
      <c r="A15" s="160"/>
      <c r="B15" s="154" t="s">
        <v>3247</v>
      </c>
    </row>
    <row r="16" spans="1:2" x14ac:dyDescent="0.15">
      <c r="A16" s="161"/>
      <c r="B16" s="155"/>
    </row>
    <row r="17" spans="1:2" ht="30" customHeight="1" x14ac:dyDescent="0.15">
      <c r="A17" s="159">
        <v>3</v>
      </c>
      <c r="B17" s="156" t="s">
        <v>3248</v>
      </c>
    </row>
    <row r="18" spans="1:2" x14ac:dyDescent="0.15">
      <c r="A18" s="160"/>
      <c r="B18" s="158" t="s">
        <v>3241</v>
      </c>
    </row>
    <row r="19" spans="1:2" x14ac:dyDescent="0.15">
      <c r="A19" s="160"/>
      <c r="B19" s="154" t="s">
        <v>3245</v>
      </c>
    </row>
    <row r="20" spans="1:2" x14ac:dyDescent="0.15">
      <c r="A20" s="160"/>
      <c r="B20" s="154" t="s">
        <v>3249</v>
      </c>
    </row>
    <row r="21" spans="1:2" x14ac:dyDescent="0.15">
      <c r="A21" s="160"/>
      <c r="B21" s="154" t="s">
        <v>3250</v>
      </c>
    </row>
    <row r="22" spans="1:2" x14ac:dyDescent="0.15">
      <c r="A22" s="161"/>
      <c r="B22" s="155"/>
    </row>
    <row r="23" spans="1:2" ht="15" customHeight="1" x14ac:dyDescent="0.15">
      <c r="A23" s="159">
        <v>4</v>
      </c>
      <c r="B23" s="156" t="s">
        <v>3251</v>
      </c>
    </row>
    <row r="24" spans="1:2" x14ac:dyDescent="0.15">
      <c r="A24" s="160"/>
      <c r="B24" s="158" t="s">
        <v>3241</v>
      </c>
    </row>
    <row r="25" spans="1:2" x14ac:dyDescent="0.15">
      <c r="A25" s="160"/>
      <c r="B25" s="154" t="s">
        <v>3252</v>
      </c>
    </row>
    <row r="26" spans="1:2" x14ac:dyDescent="0.15">
      <c r="A26" s="160"/>
      <c r="B26" s="154" t="s">
        <v>3253</v>
      </c>
    </row>
    <row r="27" spans="1:2" x14ac:dyDescent="0.15">
      <c r="A27" s="160"/>
      <c r="B27" s="154" t="s">
        <v>3254</v>
      </c>
    </row>
    <row r="28" spans="1:2" x14ac:dyDescent="0.15">
      <c r="A28" s="161"/>
      <c r="B28" s="155"/>
    </row>
    <row r="29" spans="1:2" ht="15" customHeight="1" x14ac:dyDescent="0.15">
      <c r="A29" s="159">
        <v>5</v>
      </c>
      <c r="B29" s="156" t="s">
        <v>3255</v>
      </c>
    </row>
    <row r="30" spans="1:2" x14ac:dyDescent="0.15">
      <c r="A30" s="160"/>
      <c r="B30" s="158" t="s">
        <v>3241</v>
      </c>
    </row>
    <row r="31" spans="1:2" x14ac:dyDescent="0.15">
      <c r="A31" s="160"/>
      <c r="B31" s="154" t="s">
        <v>3256</v>
      </c>
    </row>
    <row r="32" spans="1:2" x14ac:dyDescent="0.15">
      <c r="A32" s="160"/>
      <c r="B32" s="154" t="s">
        <v>3253</v>
      </c>
    </row>
    <row r="33" spans="1:2" x14ac:dyDescent="0.15">
      <c r="A33" s="160"/>
      <c r="B33" s="154" t="s">
        <v>3257</v>
      </c>
    </row>
    <row r="34" spans="1:2" x14ac:dyDescent="0.15">
      <c r="A34" s="161"/>
      <c r="B34" s="155"/>
    </row>
    <row r="35" spans="1:2" ht="30" customHeight="1" x14ac:dyDescent="0.15">
      <c r="A35" s="159">
        <v>6</v>
      </c>
      <c r="B35" s="156" t="s">
        <v>3258</v>
      </c>
    </row>
    <row r="36" spans="1:2" x14ac:dyDescent="0.15">
      <c r="A36" s="160"/>
      <c r="B36" s="158" t="s">
        <v>3241</v>
      </c>
    </row>
    <row r="37" spans="1:2" x14ac:dyDescent="0.15">
      <c r="A37" s="160"/>
      <c r="B37" s="154" t="s">
        <v>3242</v>
      </c>
    </row>
    <row r="38" spans="1:2" x14ac:dyDescent="0.15">
      <c r="A38" s="160"/>
      <c r="B38" s="154" t="s">
        <v>3259</v>
      </c>
    </row>
    <row r="39" spans="1:2" x14ac:dyDescent="0.15">
      <c r="A39" s="160"/>
      <c r="B39" s="154" t="s">
        <v>3260</v>
      </c>
    </row>
    <row r="40" spans="1:2" x14ac:dyDescent="0.15">
      <c r="A40" s="161"/>
      <c r="B40" s="155"/>
    </row>
    <row r="41" spans="1:2" ht="30" customHeight="1" x14ac:dyDescent="0.15">
      <c r="A41" s="159">
        <v>7</v>
      </c>
      <c r="B41" s="156" t="s">
        <v>3261</v>
      </c>
    </row>
    <row r="42" spans="1:2" x14ac:dyDescent="0.15">
      <c r="A42" s="160"/>
      <c r="B42" s="158" t="s">
        <v>3241</v>
      </c>
    </row>
    <row r="43" spans="1:2" x14ac:dyDescent="0.15">
      <c r="A43" s="160"/>
      <c r="B43" s="154" t="s">
        <v>3262</v>
      </c>
    </row>
    <row r="44" spans="1:2" x14ac:dyDescent="0.15">
      <c r="A44" s="160"/>
      <c r="B44" s="154" t="s">
        <v>3263</v>
      </c>
    </row>
    <row r="45" spans="1:2" x14ac:dyDescent="0.15">
      <c r="A45" s="160"/>
      <c r="B45" s="154" t="s">
        <v>3264</v>
      </c>
    </row>
    <row r="46" spans="1:2" x14ac:dyDescent="0.15">
      <c r="A46" s="161"/>
      <c r="B46" s="155"/>
    </row>
    <row r="47" spans="1:2" ht="30" customHeight="1" x14ac:dyDescent="0.15">
      <c r="A47" s="159">
        <v>8</v>
      </c>
      <c r="B47" s="156" t="s">
        <v>3265</v>
      </c>
    </row>
    <row r="48" spans="1:2" x14ac:dyDescent="0.15">
      <c r="A48" s="160"/>
      <c r="B48" s="158" t="s">
        <v>3241</v>
      </c>
    </row>
    <row r="49" spans="1:2" x14ac:dyDescent="0.15">
      <c r="A49" s="160"/>
      <c r="B49" s="154" t="s">
        <v>3266</v>
      </c>
    </row>
    <row r="50" spans="1:2" x14ac:dyDescent="0.15">
      <c r="A50" s="160"/>
      <c r="B50" s="154" t="s">
        <v>3267</v>
      </c>
    </row>
    <row r="51" spans="1:2" x14ac:dyDescent="0.15">
      <c r="A51" s="160"/>
      <c r="B51" s="154" t="s">
        <v>3260</v>
      </c>
    </row>
    <row r="52" spans="1:2" x14ac:dyDescent="0.15">
      <c r="A52" s="161"/>
      <c r="B52" s="155"/>
    </row>
    <row r="53" spans="1:2" ht="15" customHeight="1" x14ac:dyDescent="0.15">
      <c r="A53" s="159">
        <v>9</v>
      </c>
      <c r="B53" s="156" t="s">
        <v>3268</v>
      </c>
    </row>
    <row r="54" spans="1:2" x14ac:dyDescent="0.15">
      <c r="A54" s="160"/>
      <c r="B54" s="158" t="s">
        <v>3241</v>
      </c>
    </row>
    <row r="55" spans="1:2" x14ac:dyDescent="0.15">
      <c r="A55" s="160"/>
      <c r="B55" s="154" t="s">
        <v>3269</v>
      </c>
    </row>
    <row r="56" spans="1:2" x14ac:dyDescent="0.15">
      <c r="A56" s="160"/>
      <c r="B56" s="154" t="s">
        <v>3270</v>
      </c>
    </row>
    <row r="57" spans="1:2" x14ac:dyDescent="0.15">
      <c r="A57" s="160"/>
      <c r="B57" s="154" t="s">
        <v>3271</v>
      </c>
    </row>
    <row r="58" spans="1:2" x14ac:dyDescent="0.15">
      <c r="A58" s="161"/>
      <c r="B58" s="155"/>
    </row>
    <row r="59" spans="1:2" ht="15" customHeight="1" x14ac:dyDescent="0.15">
      <c r="A59" s="159">
        <v>10</v>
      </c>
      <c r="B59" s="156" t="s">
        <v>3272</v>
      </c>
    </row>
    <row r="60" spans="1:2" x14ac:dyDescent="0.15">
      <c r="A60" s="160"/>
      <c r="B60" s="158" t="s">
        <v>3241</v>
      </c>
    </row>
    <row r="61" spans="1:2" x14ac:dyDescent="0.15">
      <c r="A61" s="160"/>
      <c r="B61" s="154" t="s">
        <v>3273</v>
      </c>
    </row>
    <row r="62" spans="1:2" x14ac:dyDescent="0.15">
      <c r="A62" s="160"/>
      <c r="B62" s="154" t="s">
        <v>3274</v>
      </c>
    </row>
    <row r="63" spans="1:2" x14ac:dyDescent="0.15">
      <c r="A63" s="160"/>
      <c r="B63" s="154" t="s">
        <v>3275</v>
      </c>
    </row>
    <row r="64" spans="1:2" x14ac:dyDescent="0.15">
      <c r="A64" s="161"/>
      <c r="B64" s="155"/>
    </row>
    <row r="65" spans="1:2" ht="15" customHeight="1" x14ac:dyDescent="0.15">
      <c r="A65" s="159">
        <v>11</v>
      </c>
      <c r="B65" s="156" t="s">
        <v>3276</v>
      </c>
    </row>
    <row r="66" spans="1:2" x14ac:dyDescent="0.15">
      <c r="A66" s="160"/>
      <c r="B66" s="158" t="s">
        <v>3241</v>
      </c>
    </row>
    <row r="67" spans="1:2" x14ac:dyDescent="0.15">
      <c r="A67" s="160"/>
      <c r="B67" s="154" t="s">
        <v>3269</v>
      </c>
    </row>
    <row r="68" spans="1:2" x14ac:dyDescent="0.15">
      <c r="A68" s="160"/>
      <c r="B68" s="154" t="s">
        <v>3270</v>
      </c>
    </row>
    <row r="69" spans="1:2" x14ac:dyDescent="0.15">
      <c r="A69" s="160"/>
      <c r="B69" s="154" t="s">
        <v>3271</v>
      </c>
    </row>
    <row r="70" spans="1:2" x14ac:dyDescent="0.15">
      <c r="A70" s="161"/>
      <c r="B70" s="155"/>
    </row>
    <row r="71" spans="1:2" ht="15" customHeight="1" x14ac:dyDescent="0.15">
      <c r="A71" s="159">
        <v>12</v>
      </c>
      <c r="B71" s="156" t="s">
        <v>3277</v>
      </c>
    </row>
    <row r="72" spans="1:2" x14ac:dyDescent="0.15">
      <c r="A72" s="160"/>
      <c r="B72" s="158" t="s">
        <v>3241</v>
      </c>
    </row>
    <row r="73" spans="1:2" x14ac:dyDescent="0.15">
      <c r="A73" s="160"/>
      <c r="B73" s="154" t="s">
        <v>3269</v>
      </c>
    </row>
    <row r="74" spans="1:2" x14ac:dyDescent="0.15">
      <c r="A74" s="160"/>
      <c r="B74" s="154" t="s">
        <v>3270</v>
      </c>
    </row>
    <row r="75" spans="1:2" x14ac:dyDescent="0.15">
      <c r="A75" s="160"/>
      <c r="B75" s="154" t="s">
        <v>3271</v>
      </c>
    </row>
    <row r="76" spans="1:2" x14ac:dyDescent="0.15">
      <c r="A76" s="161"/>
      <c r="B76" s="155"/>
    </row>
    <row r="77" spans="1:2" ht="15" customHeight="1" x14ac:dyDescent="0.15">
      <c r="A77" s="159">
        <v>13</v>
      </c>
      <c r="B77" s="156" t="s">
        <v>3278</v>
      </c>
    </row>
    <row r="78" spans="1:2" x14ac:dyDescent="0.15">
      <c r="A78" s="160"/>
      <c r="B78" s="158" t="s">
        <v>3241</v>
      </c>
    </row>
    <row r="79" spans="1:2" x14ac:dyDescent="0.15">
      <c r="A79" s="160"/>
      <c r="B79" s="154" t="s">
        <v>3279</v>
      </c>
    </row>
    <row r="80" spans="1:2" x14ac:dyDescent="0.15">
      <c r="A80" s="160"/>
      <c r="B80" s="154" t="s">
        <v>3270</v>
      </c>
    </row>
    <row r="81" spans="1:2" x14ac:dyDescent="0.15">
      <c r="A81" s="160"/>
      <c r="B81" s="154" t="s">
        <v>3280</v>
      </c>
    </row>
    <row r="82" spans="1:2" x14ac:dyDescent="0.15">
      <c r="A82" s="161"/>
      <c r="B82" s="155"/>
    </row>
    <row r="83" spans="1:2" ht="15" customHeight="1" x14ac:dyDescent="0.15">
      <c r="A83" s="159">
        <v>14</v>
      </c>
      <c r="B83" s="156" t="s">
        <v>3281</v>
      </c>
    </row>
    <row r="84" spans="1:2" x14ac:dyDescent="0.15">
      <c r="A84" s="160"/>
      <c r="B84" s="158" t="s">
        <v>3241</v>
      </c>
    </row>
    <row r="85" spans="1:2" x14ac:dyDescent="0.15">
      <c r="A85" s="160"/>
      <c r="B85" s="154" t="s">
        <v>3282</v>
      </c>
    </row>
    <row r="86" spans="1:2" x14ac:dyDescent="0.15">
      <c r="A86" s="160"/>
      <c r="B86" s="154" t="s">
        <v>3283</v>
      </c>
    </row>
    <row r="87" spans="1:2" x14ac:dyDescent="0.15">
      <c r="A87" s="160"/>
      <c r="B87" s="154" t="s">
        <v>3284</v>
      </c>
    </row>
    <row r="88" spans="1:2" x14ac:dyDescent="0.15">
      <c r="A88" s="161"/>
      <c r="B88" s="155"/>
    </row>
    <row r="89" spans="1:2" ht="30" customHeight="1" x14ac:dyDescent="0.15">
      <c r="A89" s="159">
        <v>15</v>
      </c>
      <c r="B89" s="156" t="s">
        <v>3285</v>
      </c>
    </row>
    <row r="90" spans="1:2" x14ac:dyDescent="0.15">
      <c r="A90" s="160"/>
      <c r="B90" s="154" t="s">
        <v>3241</v>
      </c>
    </row>
    <row r="91" spans="1:2" x14ac:dyDescent="0.15">
      <c r="A91" s="160"/>
      <c r="B91" s="158" t="s">
        <v>3266</v>
      </c>
    </row>
    <row r="92" spans="1:2" x14ac:dyDescent="0.15">
      <c r="A92" s="160"/>
      <c r="B92" s="154" t="s">
        <v>3283</v>
      </c>
    </row>
    <row r="93" spans="1:2" x14ac:dyDescent="0.15">
      <c r="A93" s="160"/>
      <c r="B93" s="154" t="s">
        <v>3286</v>
      </c>
    </row>
    <row r="94" spans="1:2" x14ac:dyDescent="0.15">
      <c r="A94" s="161"/>
      <c r="B94" s="155"/>
    </row>
    <row r="95" spans="1:2" x14ac:dyDescent="0.15">
      <c r="A95" s="159">
        <v>16</v>
      </c>
      <c r="B95" s="157" t="s">
        <v>3287</v>
      </c>
    </row>
    <row r="96" spans="1:2" x14ac:dyDescent="0.15">
      <c r="A96" s="160"/>
      <c r="B96" s="158" t="s">
        <v>3241</v>
      </c>
    </row>
    <row r="97" spans="1:2" x14ac:dyDescent="0.15">
      <c r="A97" s="160"/>
      <c r="B97" s="154" t="s">
        <v>3288</v>
      </c>
    </row>
    <row r="98" spans="1:2" x14ac:dyDescent="0.15">
      <c r="A98" s="160"/>
      <c r="B98" s="154" t="s">
        <v>3289</v>
      </c>
    </row>
    <row r="99" spans="1:2" x14ac:dyDescent="0.15">
      <c r="A99" s="161"/>
      <c r="B99" s="155"/>
    </row>
    <row r="100" spans="1:2" ht="15" customHeight="1" x14ac:dyDescent="0.15">
      <c r="A100" s="159">
        <v>17</v>
      </c>
      <c r="B100" s="156" t="s">
        <v>3290</v>
      </c>
    </row>
    <row r="101" spans="1:2" x14ac:dyDescent="0.15">
      <c r="A101" s="160"/>
      <c r="B101" s="158" t="s">
        <v>3241</v>
      </c>
    </row>
    <row r="102" spans="1:2" x14ac:dyDescent="0.15">
      <c r="A102" s="160"/>
      <c r="B102" s="154" t="s">
        <v>3252</v>
      </c>
    </row>
    <row r="103" spans="1:2" x14ac:dyDescent="0.15">
      <c r="A103" s="160"/>
      <c r="B103" s="154" t="s">
        <v>3291</v>
      </c>
    </row>
    <row r="104" spans="1:2" x14ac:dyDescent="0.15">
      <c r="A104" s="161"/>
      <c r="B104" s="155"/>
    </row>
    <row r="105" spans="1:2" ht="15" customHeight="1" x14ac:dyDescent="0.15">
      <c r="A105" s="159">
        <v>18</v>
      </c>
      <c r="B105" s="156" t="s">
        <v>3292</v>
      </c>
    </row>
    <row r="106" spans="1:2" x14ac:dyDescent="0.15">
      <c r="A106" s="160"/>
      <c r="B106" s="158" t="s">
        <v>3241</v>
      </c>
    </row>
    <row r="107" spans="1:2" x14ac:dyDescent="0.15">
      <c r="A107" s="160"/>
      <c r="B107" s="154" t="s">
        <v>3293</v>
      </c>
    </row>
    <row r="108" spans="1:2" x14ac:dyDescent="0.15">
      <c r="A108" s="160"/>
      <c r="B108" s="154" t="s">
        <v>3294</v>
      </c>
    </row>
    <row r="109" spans="1:2" x14ac:dyDescent="0.15">
      <c r="A109" s="161"/>
      <c r="B109" s="155"/>
    </row>
    <row r="110" spans="1:2" ht="15" customHeight="1" x14ac:dyDescent="0.15">
      <c r="A110" s="159">
        <v>19</v>
      </c>
      <c r="B110" s="156" t="s">
        <v>3295</v>
      </c>
    </row>
    <row r="111" spans="1:2" x14ac:dyDescent="0.15">
      <c r="A111" s="160"/>
      <c r="B111" s="158" t="s">
        <v>3241</v>
      </c>
    </row>
    <row r="112" spans="1:2" x14ac:dyDescent="0.15">
      <c r="A112" s="160"/>
      <c r="B112" s="154" t="s">
        <v>3293</v>
      </c>
    </row>
    <row r="113" spans="1:2" x14ac:dyDescent="0.15">
      <c r="A113" s="160"/>
      <c r="B113" s="154" t="s">
        <v>3294</v>
      </c>
    </row>
    <row r="114" spans="1:2" x14ac:dyDescent="0.15">
      <c r="A114" s="161"/>
      <c r="B114" s="155"/>
    </row>
    <row r="115" spans="1:2" ht="15" customHeight="1" x14ac:dyDescent="0.15">
      <c r="A115" s="159">
        <v>20</v>
      </c>
      <c r="B115" s="156" t="s">
        <v>3296</v>
      </c>
    </row>
    <row r="116" spans="1:2" x14ac:dyDescent="0.15">
      <c r="A116" s="160"/>
      <c r="B116" s="158" t="s">
        <v>3241</v>
      </c>
    </row>
    <row r="117" spans="1:2" x14ac:dyDescent="0.15">
      <c r="A117" s="160"/>
      <c r="B117" s="154" t="s">
        <v>3266</v>
      </c>
    </row>
    <row r="118" spans="1:2" x14ac:dyDescent="0.15">
      <c r="A118" s="160"/>
      <c r="B118" s="154" t="s">
        <v>3297</v>
      </c>
    </row>
    <row r="119" spans="1:2" x14ac:dyDescent="0.15">
      <c r="A119" s="161"/>
      <c r="B119" s="155"/>
    </row>
    <row r="120" spans="1:2" ht="15" customHeight="1" x14ac:dyDescent="0.15">
      <c r="A120" s="159">
        <v>21</v>
      </c>
      <c r="B120" s="156" t="s">
        <v>3298</v>
      </c>
    </row>
    <row r="121" spans="1:2" x14ac:dyDescent="0.15">
      <c r="A121" s="160"/>
      <c r="B121" s="158" t="s">
        <v>3241</v>
      </c>
    </row>
    <row r="122" spans="1:2" x14ac:dyDescent="0.15">
      <c r="A122" s="160"/>
      <c r="B122" s="154" t="s">
        <v>3266</v>
      </c>
    </row>
    <row r="123" spans="1:2" x14ac:dyDescent="0.15">
      <c r="A123" s="160"/>
      <c r="B123" s="154" t="s">
        <v>3297</v>
      </c>
    </row>
    <row r="124" spans="1:2" x14ac:dyDescent="0.15">
      <c r="A124" s="161"/>
      <c r="B124" s="155"/>
    </row>
    <row r="125" spans="1:2" ht="30" customHeight="1" x14ac:dyDescent="0.15">
      <c r="A125" s="159">
        <v>22</v>
      </c>
      <c r="B125" s="156" t="s">
        <v>3299</v>
      </c>
    </row>
    <row r="126" spans="1:2" x14ac:dyDescent="0.15">
      <c r="A126" s="160"/>
      <c r="B126" s="158" t="s">
        <v>3241</v>
      </c>
    </row>
    <row r="127" spans="1:2" x14ac:dyDescent="0.15">
      <c r="A127" s="160"/>
      <c r="B127" s="154">
        <v>0</v>
      </c>
    </row>
    <row r="128" spans="1:2" x14ac:dyDescent="0.15">
      <c r="A128" s="160"/>
      <c r="B128" s="154"/>
    </row>
    <row r="129" spans="1:2" x14ac:dyDescent="0.15">
      <c r="A129" s="161"/>
      <c r="B129" s="155"/>
    </row>
    <row r="130" spans="1:2" ht="15" customHeight="1" x14ac:dyDescent="0.15">
      <c r="A130" s="159">
        <v>23</v>
      </c>
      <c r="B130" s="156" t="s">
        <v>3300</v>
      </c>
    </row>
    <row r="131" spans="1:2" x14ac:dyDescent="0.15">
      <c r="A131" s="160"/>
      <c r="B131" s="158" t="s">
        <v>3241</v>
      </c>
    </row>
    <row r="132" spans="1:2" x14ac:dyDescent="0.15">
      <c r="A132" s="160"/>
      <c r="B132" s="154"/>
    </row>
    <row r="133" spans="1:2" x14ac:dyDescent="0.15">
      <c r="A133" s="161"/>
      <c r="B133" s="155"/>
    </row>
    <row r="134" spans="1:2" ht="15" customHeight="1" x14ac:dyDescent="0.15">
      <c r="A134" s="162">
        <v>23</v>
      </c>
      <c r="B134" s="153" t="s">
        <v>3301</v>
      </c>
    </row>
    <row r="135" spans="1:2" x14ac:dyDescent="0.15">
      <c r="A135" s="160"/>
      <c r="B135" s="158" t="s">
        <v>3241</v>
      </c>
    </row>
    <row r="136" spans="1:2" x14ac:dyDescent="0.15">
      <c r="A136" s="160"/>
      <c r="B136" s="154"/>
    </row>
    <row r="137" spans="1:2" x14ac:dyDescent="0.15">
      <c r="A137" s="160"/>
      <c r="B137" s="154"/>
    </row>
    <row r="138" spans="1:2" x14ac:dyDescent="0.15">
      <c r="A138" s="161"/>
      <c r="B138" s="155"/>
    </row>
    <row r="141" spans="1:2" x14ac:dyDescent="0.15">
      <c r="B141" s="150" t="s">
        <v>3302</v>
      </c>
    </row>
    <row r="146" spans="2:2" x14ac:dyDescent="0.15">
      <c r="B146" s="150" t="s">
        <v>3303</v>
      </c>
    </row>
    <row r="147" spans="2:2" x14ac:dyDescent="0.15">
      <c r="B147" s="150" t="s">
        <v>3304</v>
      </c>
    </row>
  </sheetData>
  <mergeCells count="2">
    <mergeCell ref="A2:B2"/>
    <mergeCell ref="A1:B1"/>
  </mergeCells>
  <pageMargins left="0.7" right="0.7" top="0.75" bottom="0.75" header="0.3" footer="0.3"/>
  <pageSetup paperSize="9" scale="91" fitToHeight="0" orientation="portrait"/>
  <rowBreaks count="2" manualBreakCount="2">
    <brk id="58" max="16383" man="1"/>
    <brk id="11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
    <tabColor theme="9" tint="-0.499984740745262"/>
  </sheetPr>
  <dimension ref="A1:L39"/>
  <sheetViews>
    <sheetView tabSelected="1" topLeftCell="A7" workbookViewId="0">
      <selection activeCell="G29" sqref="G29"/>
    </sheetView>
  </sheetViews>
  <sheetFormatPr baseColWidth="10" defaultColWidth="9.1640625" defaultRowHeight="15" x14ac:dyDescent="0.2"/>
  <cols>
    <col min="1" max="1" width="9.1640625" style="225" customWidth="1"/>
    <col min="2" max="2" width="24.5" style="225" bestFit="1" customWidth="1"/>
    <col min="3" max="3" width="48.5" style="225" customWidth="1"/>
    <col min="4" max="4" width="22.83203125" style="225" customWidth="1"/>
    <col min="5" max="6" width="11.5" style="225" customWidth="1"/>
    <col min="7" max="7" width="41.33203125" style="225" customWidth="1"/>
    <col min="8" max="8" width="9.1640625" style="225" customWidth="1"/>
    <col min="9" max="16384" width="9.1640625" style="225"/>
  </cols>
  <sheetData>
    <row r="1" spans="1:12" x14ac:dyDescent="0.2">
      <c r="E1" s="465"/>
      <c r="F1" s="465"/>
    </row>
    <row r="2" spans="1:12" ht="19" customHeight="1" x14ac:dyDescent="0.25">
      <c r="A2" s="667" t="s">
        <v>3305</v>
      </c>
      <c r="B2" s="668"/>
      <c r="C2" s="668"/>
      <c r="D2" s="668"/>
      <c r="E2" s="668"/>
      <c r="F2" s="668"/>
    </row>
    <row r="3" spans="1:12" x14ac:dyDescent="0.2">
      <c r="E3" s="465"/>
      <c r="F3" s="465"/>
    </row>
    <row r="4" spans="1:12" x14ac:dyDescent="0.2">
      <c r="A4" s="659" t="s">
        <v>3306</v>
      </c>
      <c r="B4" s="659" t="s">
        <v>3307</v>
      </c>
      <c r="C4" s="659" t="s">
        <v>3308</v>
      </c>
      <c r="D4" s="659" t="s">
        <v>3309</v>
      </c>
      <c r="E4" s="659" t="s">
        <v>3310</v>
      </c>
      <c r="F4" s="669"/>
    </row>
    <row r="5" spans="1:12" x14ac:dyDescent="0.2">
      <c r="A5" s="661"/>
      <c r="B5" s="661"/>
      <c r="C5" s="661"/>
      <c r="D5" s="661"/>
      <c r="E5" s="670"/>
      <c r="F5" s="671"/>
    </row>
    <row r="6" spans="1:12" x14ac:dyDescent="0.2">
      <c r="A6" s="660"/>
      <c r="B6" s="660"/>
      <c r="C6" s="660"/>
      <c r="D6" s="660"/>
      <c r="E6" s="672"/>
      <c r="F6" s="673"/>
    </row>
    <row r="7" spans="1:12" ht="30" customHeight="1" x14ac:dyDescent="0.2">
      <c r="A7" s="659">
        <v>1</v>
      </c>
      <c r="B7" s="662" t="s">
        <v>3311</v>
      </c>
      <c r="C7" s="666" t="s">
        <v>3312</v>
      </c>
      <c r="D7" s="638"/>
      <c r="E7" s="663" t="s">
        <v>3313</v>
      </c>
      <c r="F7" s="659">
        <f>IF(E7="Ada",0,1)</f>
        <v>0</v>
      </c>
      <c r="H7" s="225" t="s">
        <v>3313</v>
      </c>
      <c r="I7" s="225" t="s">
        <v>3314</v>
      </c>
      <c r="J7" s="225" t="s">
        <v>3314</v>
      </c>
      <c r="K7" s="225" t="s">
        <v>3315</v>
      </c>
      <c r="L7" s="225" t="s">
        <v>59</v>
      </c>
    </row>
    <row r="8" spans="1:12" ht="46" customHeight="1" x14ac:dyDescent="0.2">
      <c r="A8" s="660"/>
      <c r="B8" s="660"/>
      <c r="C8" s="660"/>
      <c r="D8" s="639"/>
      <c r="E8" s="664"/>
      <c r="F8" s="660"/>
      <c r="H8" s="225" t="s">
        <v>3315</v>
      </c>
      <c r="I8" s="225" t="s">
        <v>3316</v>
      </c>
      <c r="J8" s="225" t="s">
        <v>3317</v>
      </c>
      <c r="K8" s="225" t="s">
        <v>3318</v>
      </c>
      <c r="L8" s="225" t="s">
        <v>3318</v>
      </c>
    </row>
    <row r="9" spans="1:12" ht="30" customHeight="1" x14ac:dyDescent="0.2">
      <c r="A9" s="659">
        <v>2</v>
      </c>
      <c r="B9" s="662" t="s">
        <v>3319</v>
      </c>
      <c r="C9" s="666" t="s">
        <v>3320</v>
      </c>
      <c r="D9" s="638"/>
      <c r="E9" s="663" t="s">
        <v>3314</v>
      </c>
      <c r="F9" s="659">
        <f>IF(E9="Rendah",0,IF(E9="Sedang",0.5,1))</f>
        <v>0</v>
      </c>
      <c r="I9" s="225" t="s">
        <v>3321</v>
      </c>
      <c r="J9" s="225" t="s">
        <v>3322</v>
      </c>
      <c r="K9" s="225" t="s">
        <v>3323</v>
      </c>
      <c r="L9" s="225" t="s">
        <v>43</v>
      </c>
    </row>
    <row r="10" spans="1:12" ht="30" customHeight="1" x14ac:dyDescent="0.2">
      <c r="A10" s="660"/>
      <c r="B10" s="660"/>
      <c r="C10" s="660"/>
      <c r="D10" s="639"/>
      <c r="E10" s="664"/>
      <c r="F10" s="660"/>
    </row>
    <row r="11" spans="1:12" ht="30" customHeight="1" x14ac:dyDescent="0.2">
      <c r="A11" s="659">
        <v>3</v>
      </c>
      <c r="B11" s="662" t="s">
        <v>3324</v>
      </c>
      <c r="C11" s="666" t="s">
        <v>3325</v>
      </c>
      <c r="D11" s="638"/>
      <c r="E11" s="663" t="s">
        <v>3314</v>
      </c>
      <c r="F11" s="659">
        <f>IF(E11="Rendah",0,IF(E11="Moderat",0.5,1))</f>
        <v>0</v>
      </c>
    </row>
    <row r="12" spans="1:12" ht="30" customHeight="1" x14ac:dyDescent="0.2">
      <c r="A12" s="660"/>
      <c r="B12" s="660"/>
      <c r="C12" s="660"/>
      <c r="D12" s="639"/>
      <c r="E12" s="664"/>
      <c r="F12" s="660"/>
    </row>
    <row r="13" spans="1:12" ht="30" customHeight="1" x14ac:dyDescent="0.2">
      <c r="A13" s="659">
        <v>4</v>
      </c>
      <c r="B13" s="665" t="s">
        <v>3326</v>
      </c>
      <c r="C13" s="662" t="s">
        <v>3327</v>
      </c>
      <c r="D13" s="640"/>
      <c r="E13" s="663" t="s">
        <v>3318</v>
      </c>
      <c r="F13" s="659">
        <f>IF(E13="Tidak Ada",0,IF(E13="Sebagian",0.5,1))</f>
        <v>0.5</v>
      </c>
    </row>
    <row r="14" spans="1:12" ht="30" customHeight="1" x14ac:dyDescent="0.2">
      <c r="A14" s="660"/>
      <c r="B14" s="660"/>
      <c r="C14" s="660"/>
      <c r="D14" s="641"/>
      <c r="E14" s="664"/>
      <c r="F14" s="660"/>
    </row>
    <row r="15" spans="1:12" ht="30" customHeight="1" x14ac:dyDescent="0.2">
      <c r="A15" s="659">
        <v>5</v>
      </c>
      <c r="B15" s="662" t="s">
        <v>3328</v>
      </c>
      <c r="C15" s="662" t="s">
        <v>3329</v>
      </c>
      <c r="D15" s="640"/>
      <c r="E15" s="663" t="s">
        <v>59</v>
      </c>
      <c r="F15" s="659">
        <f>IF(E15="Tidak",0,IF(E15="Sebagian",0.5,1))</f>
        <v>0</v>
      </c>
    </row>
    <row r="16" spans="1:12" ht="30" customHeight="1" x14ac:dyDescent="0.2">
      <c r="A16" s="660"/>
      <c r="B16" s="660"/>
      <c r="C16" s="660"/>
      <c r="D16" s="641"/>
      <c r="E16" s="664"/>
      <c r="F16" s="660"/>
    </row>
    <row r="17" spans="1:6" x14ac:dyDescent="0.2">
      <c r="A17" s="657" t="s">
        <v>3330</v>
      </c>
      <c r="B17" s="658"/>
      <c r="C17" s="658"/>
      <c r="D17" s="658"/>
      <c r="E17" s="658"/>
      <c r="F17" s="111">
        <f>SUM(F7:F16)</f>
        <v>0.5</v>
      </c>
    </row>
    <row r="18" spans="1:6" x14ac:dyDescent="0.2">
      <c r="E18" s="465"/>
      <c r="F18" s="465"/>
    </row>
    <row r="19" spans="1:6" x14ac:dyDescent="0.2">
      <c r="C19" s="225" t="str">
        <f>"Perhitungan"&amp;" "&amp;E20</f>
        <v>Perhitungan DLOC</v>
      </c>
      <c r="E19" s="465"/>
      <c r="F19" s="465"/>
    </row>
    <row r="20" spans="1:6" x14ac:dyDescent="0.2">
      <c r="A20" s="466">
        <f>IF(B20="DLOC Perusahaan tertutup ",1,2)</f>
        <v>1</v>
      </c>
      <c r="B20" s="466" t="str">
        <f>IF(HOME!B7="tertutup","DLOC Perusahaan tertutup ","DLOC Perusahaan terbuka ")</f>
        <v xml:space="preserve">DLOC Perusahaan tertutup </v>
      </c>
      <c r="C20" s="225" t="s">
        <v>4661</v>
      </c>
      <c r="E20" s="642" t="str">
        <f>IF(HOME!B12="Minoritas","DLOC","PFC")</f>
        <v>DLOC</v>
      </c>
      <c r="F20" s="465"/>
    </row>
    <row r="21" spans="1:6" x14ac:dyDescent="0.2">
      <c r="A21" s="466">
        <f>IF(B31="Minoritas",5,7)</f>
        <v>7</v>
      </c>
      <c r="B21" s="466" t="s">
        <v>3331</v>
      </c>
      <c r="C21" s="466"/>
      <c r="D21" s="466"/>
      <c r="E21" s="467"/>
      <c r="F21" s="465"/>
    </row>
    <row r="22" spans="1:6" x14ac:dyDescent="0.2">
      <c r="A22" s="466"/>
      <c r="B22" s="466" t="str">
        <f>IF(A20=1," 30% - 70%"," 20% - 35%")</f>
        <v xml:space="preserve"> 30% - 70%</v>
      </c>
      <c r="C22" s="466" t="s">
        <v>3332</v>
      </c>
      <c r="D22" s="466"/>
      <c r="E22" s="467">
        <v>5</v>
      </c>
      <c r="F22" s="465"/>
    </row>
    <row r="23" spans="1:6" x14ac:dyDescent="0.2">
      <c r="A23" s="466"/>
      <c r="B23" s="466"/>
      <c r="C23" s="466" t="str">
        <f>E20&amp;" "&amp;"Perusahaan Tertutup 30% - 70%"</f>
        <v>DLOC Perusahaan Tertutup 30% - 70%</v>
      </c>
      <c r="D23" s="466"/>
      <c r="E23" s="468">
        <f>RIGHT(B22,3)-LEFT(B22,4)</f>
        <v>0.39999999999999997</v>
      </c>
      <c r="F23" s="465"/>
    </row>
    <row r="24" spans="1:6" x14ac:dyDescent="0.2">
      <c r="A24" s="466"/>
      <c r="B24" s="466"/>
      <c r="C24" s="466" t="s">
        <v>3333</v>
      </c>
      <c r="D24" s="466"/>
      <c r="E24" s="467">
        <f>F17</f>
        <v>0.5</v>
      </c>
      <c r="F24" s="465"/>
    </row>
    <row r="25" spans="1:6" x14ac:dyDescent="0.2">
      <c r="A25" s="466"/>
      <c r="B25" s="466"/>
      <c r="C25" s="466" t="s">
        <v>4664</v>
      </c>
      <c r="D25" s="469"/>
      <c r="E25" s="470">
        <f>LEFT(B22,4)+(E24/E22*E23)</f>
        <v>0.33999999999999997</v>
      </c>
    </row>
    <row r="26" spans="1:6" x14ac:dyDescent="0.2">
      <c r="A26" s="466"/>
      <c r="B26" s="466"/>
      <c r="C26" s="466" t="str">
        <f>E20&amp;" "&amp;"Objek Penilaian"</f>
        <v>DLOC Objek Penilaian</v>
      </c>
      <c r="D26" s="466"/>
      <c r="E26" s="522">
        <f>IF(E20="DLOC",E25,(E25*-1))</f>
        <v>0.33999999999999997</v>
      </c>
    </row>
    <row r="27" spans="1:6" x14ac:dyDescent="0.2">
      <c r="A27" s="466"/>
      <c r="B27" s="466"/>
      <c r="C27" s="225" t="str">
        <f>"Status"&amp;" "&amp;C26</f>
        <v>Status DLOC Objek Penilaian</v>
      </c>
      <c r="E27" s="643" t="str">
        <f>IF(AND(E26&lt;=-30%, E26&gt;=-43%), "Rendah", IF(AND(E26&lt;=-44%, E26&gt;=-57%), "Moderat", IF(AND(E26&lt;=-58%, E26&gt;=-70%), "Tinggi", IF(AND(E26&gt;=30%, E26&lt;=43%), "Rendah", IF(AND(E26&gt;=44%, E26&lt;=57%), "Moderat", IF(AND(E26&gt;=58%, E26&lt;=70%), "Tinggi", "-"))))))</f>
        <v>Rendah</v>
      </c>
    </row>
    <row r="28" spans="1:6" x14ac:dyDescent="0.2">
      <c r="A28" s="466"/>
      <c r="B28" s="466"/>
      <c r="C28" s="225" t="s">
        <v>4659</v>
      </c>
      <c r="E28" s="643" t="str">
        <f>IF(AND(E27="Rendah", E26&gt;0), "Tinggi", IF(AND(E27="Rendah", E26&lt;0), "Rendah", IF(E27="Moderat", "Moderat", IF(AND(E27="Tinggi", E26&gt;0), "Rendah", IF(AND(E27="Tinggi", E26&lt;0), "Tinggi", "-")))))</f>
        <v>Tinggi</v>
      </c>
    </row>
    <row r="31" spans="1:6" x14ac:dyDescent="0.2">
      <c r="D31" s="225" t="s">
        <v>4660</v>
      </c>
    </row>
    <row r="32" spans="1:6" x14ac:dyDescent="0.2">
      <c r="C32" s="625" t="s">
        <v>3314</v>
      </c>
      <c r="D32" s="635" t="s">
        <v>4665</v>
      </c>
    </row>
    <row r="33" spans="3:4" x14ac:dyDescent="0.2">
      <c r="C33" s="625" t="s">
        <v>3317</v>
      </c>
      <c r="D33" s="635" t="s">
        <v>4666</v>
      </c>
    </row>
    <row r="34" spans="3:4" x14ac:dyDescent="0.2">
      <c r="C34" s="625" t="s">
        <v>3321</v>
      </c>
      <c r="D34" s="635" t="s">
        <v>4667</v>
      </c>
    </row>
    <row r="36" spans="3:4" x14ac:dyDescent="0.2">
      <c r="D36" s="225" t="s">
        <v>3509</v>
      </c>
    </row>
    <row r="37" spans="3:4" x14ac:dyDescent="0.2">
      <c r="C37" s="625" t="s">
        <v>3314</v>
      </c>
      <c r="D37" s="644" t="s">
        <v>4668</v>
      </c>
    </row>
    <row r="38" spans="3:4" x14ac:dyDescent="0.2">
      <c r="C38" s="625" t="s">
        <v>3317</v>
      </c>
      <c r="D38" s="644" t="s">
        <v>4669</v>
      </c>
    </row>
    <row r="39" spans="3:4" x14ac:dyDescent="0.2">
      <c r="C39" s="625" t="s">
        <v>3321</v>
      </c>
      <c r="D39" s="644" t="s">
        <v>4670</v>
      </c>
    </row>
  </sheetData>
  <mergeCells count="32">
    <mergeCell ref="E11:E12"/>
    <mergeCell ref="B15:B16"/>
    <mergeCell ref="F13:F14"/>
    <mergeCell ref="A13:A14"/>
    <mergeCell ref="A2:F2"/>
    <mergeCell ref="C9:C10"/>
    <mergeCell ref="E9:E10"/>
    <mergeCell ref="A4:A6"/>
    <mergeCell ref="B4:B6"/>
    <mergeCell ref="E4:F6"/>
    <mergeCell ref="B9:B10"/>
    <mergeCell ref="F9:F10"/>
    <mergeCell ref="C7:C8"/>
    <mergeCell ref="E7:E8"/>
    <mergeCell ref="D4:D6"/>
    <mergeCell ref="A7:A8"/>
    <mergeCell ref="A17:E17"/>
    <mergeCell ref="F11:F12"/>
    <mergeCell ref="C4:C6"/>
    <mergeCell ref="C13:C14"/>
    <mergeCell ref="A9:A10"/>
    <mergeCell ref="A15:A16"/>
    <mergeCell ref="B7:B8"/>
    <mergeCell ref="C15:C16"/>
    <mergeCell ref="F7:F8"/>
    <mergeCell ref="A11:A12"/>
    <mergeCell ref="F15:F16"/>
    <mergeCell ref="E13:E14"/>
    <mergeCell ref="B11:B12"/>
    <mergeCell ref="B13:B14"/>
    <mergeCell ref="E15:E16"/>
    <mergeCell ref="C11:C12"/>
  </mergeCells>
  <dataValidations disablePrompts="1" count="5">
    <dataValidation type="list" allowBlank="1" showInputMessage="1" showErrorMessage="1" sqref="E15:E16" xr:uid="{00000000-0002-0000-0E00-000000000000}">
      <formula1>$L$7:$L$9</formula1>
    </dataValidation>
    <dataValidation type="list" allowBlank="1" showInputMessage="1" showErrorMessage="1" sqref="E13:E14" xr:uid="{00000000-0002-0000-0E00-000001000000}">
      <formula1>$K$7:$K$9</formula1>
    </dataValidation>
    <dataValidation type="list" allowBlank="1" showInputMessage="1" showErrorMessage="1" sqref="E11:E12" xr:uid="{00000000-0002-0000-0E00-000002000000}">
      <formula1>$J$7:$J$9</formula1>
    </dataValidation>
    <dataValidation type="list" allowBlank="1" showInputMessage="1" showErrorMessage="1" sqref="E9:E10" xr:uid="{00000000-0002-0000-0E00-000003000000}">
      <formula1>$I$7:$I$9</formula1>
    </dataValidation>
    <dataValidation type="list" allowBlank="1" showInputMessage="1" showErrorMessage="1" sqref="E7:E8" xr:uid="{00000000-0002-0000-0E00-000004000000}">
      <formula1>$H$7:$H$8</formula1>
    </dataValidation>
  </dataValidations>
  <pageMargins left="0.7" right="0.7" top="0.75" bottom="0.75" header="0.3" footer="0.3"/>
  <pageSetup scale="80"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
    <tabColor theme="9" tint="-0.499984740745262"/>
  </sheetPr>
  <dimension ref="B1:M42"/>
  <sheetViews>
    <sheetView topLeftCell="A11" zoomScale="80" zoomScaleNormal="80" workbookViewId="0">
      <selection activeCell="F34" sqref="F34"/>
    </sheetView>
  </sheetViews>
  <sheetFormatPr baseColWidth="10" defaultColWidth="9.1640625" defaultRowHeight="15" x14ac:dyDescent="0.2"/>
  <cols>
    <col min="1" max="2" width="9.1640625" style="625" customWidth="1"/>
    <col min="3" max="3" width="25.5" style="625" customWidth="1"/>
    <col min="4" max="4" width="55.5" style="625" customWidth="1"/>
    <col min="5" max="5" width="20.5" style="625" customWidth="1"/>
    <col min="6" max="6" width="15.6640625" style="625" customWidth="1"/>
    <col min="7" max="7" width="10.6640625" style="625" customWidth="1"/>
    <col min="8" max="8" width="9.1640625" style="625" customWidth="1"/>
    <col min="9" max="16384" width="9.1640625" style="625"/>
  </cols>
  <sheetData>
    <row r="1" spans="2:13" x14ac:dyDescent="0.2">
      <c r="F1" s="626"/>
      <c r="G1" s="626"/>
    </row>
    <row r="2" spans="2:13" ht="19" customHeight="1" x14ac:dyDescent="0.25">
      <c r="B2" s="682" t="s">
        <v>3334</v>
      </c>
      <c r="C2" s="683"/>
      <c r="D2" s="683"/>
      <c r="E2" s="683"/>
      <c r="F2" s="683"/>
      <c r="G2" s="683"/>
    </row>
    <row r="3" spans="2:13" x14ac:dyDescent="0.2">
      <c r="F3" s="626"/>
      <c r="G3" s="626"/>
    </row>
    <row r="4" spans="2:13" x14ac:dyDescent="0.2">
      <c r="B4" s="674" t="s">
        <v>3306</v>
      </c>
      <c r="C4" s="674" t="s">
        <v>3307</v>
      </c>
      <c r="D4" s="674" t="s">
        <v>3335</v>
      </c>
      <c r="E4" s="674" t="s">
        <v>3309</v>
      </c>
      <c r="F4" s="674" t="s">
        <v>3336</v>
      </c>
      <c r="G4" s="669"/>
    </row>
    <row r="5" spans="2:13" x14ac:dyDescent="0.2">
      <c r="B5" s="661"/>
      <c r="C5" s="661"/>
      <c r="D5" s="661"/>
      <c r="E5" s="661"/>
      <c r="F5" s="670"/>
      <c r="G5" s="671"/>
    </row>
    <row r="6" spans="2:13" x14ac:dyDescent="0.2">
      <c r="B6" s="660"/>
      <c r="C6" s="660"/>
      <c r="D6" s="660"/>
      <c r="E6" s="660"/>
      <c r="F6" s="672"/>
      <c r="G6" s="673"/>
    </row>
    <row r="7" spans="2:13" ht="30" customHeight="1" x14ac:dyDescent="0.2">
      <c r="B7" s="674">
        <v>1</v>
      </c>
      <c r="C7" s="678" t="s">
        <v>3337</v>
      </c>
      <c r="D7" s="679" t="s">
        <v>3338</v>
      </c>
      <c r="E7" s="627"/>
      <c r="F7" s="676" t="s">
        <v>3313</v>
      </c>
      <c r="G7" s="674">
        <f>IF(F7="Ada",0,IF(F7="Terbatas",0.5,1))</f>
        <v>0</v>
      </c>
      <c r="I7" s="628" t="s">
        <v>3313</v>
      </c>
      <c r="J7" s="628" t="s">
        <v>3339</v>
      </c>
      <c r="K7" s="628" t="s">
        <v>43</v>
      </c>
      <c r="L7" s="628" t="s">
        <v>3340</v>
      </c>
      <c r="M7" s="628" t="s">
        <v>3341</v>
      </c>
    </row>
    <row r="8" spans="2:13" ht="30" customHeight="1" x14ac:dyDescent="0.2">
      <c r="B8" s="660"/>
      <c r="C8" s="660"/>
      <c r="D8" s="660"/>
      <c r="E8" s="629"/>
      <c r="F8" s="664"/>
      <c r="G8" s="660"/>
      <c r="I8" s="628" t="s">
        <v>3342</v>
      </c>
      <c r="J8" s="628" t="s">
        <v>3343</v>
      </c>
      <c r="K8" s="628" t="s">
        <v>3344</v>
      </c>
      <c r="L8" s="628" t="s">
        <v>3345</v>
      </c>
      <c r="M8" s="628" t="s">
        <v>3346</v>
      </c>
    </row>
    <row r="9" spans="2:13" ht="30" customHeight="1" x14ac:dyDescent="0.2">
      <c r="B9" s="674">
        <v>2</v>
      </c>
      <c r="C9" s="675" t="s">
        <v>3347</v>
      </c>
      <c r="D9" s="679" t="s">
        <v>3348</v>
      </c>
      <c r="E9" s="627"/>
      <c r="F9" s="676" t="s">
        <v>3343</v>
      </c>
      <c r="G9" s="674">
        <f>IF(F9="Tidak Terbatas",0,IF(F9="Segmen Tertentu",0.5,1))</f>
        <v>0.5</v>
      </c>
      <c r="I9" s="628" t="s">
        <v>3315</v>
      </c>
      <c r="J9" s="628" t="s">
        <v>3349</v>
      </c>
      <c r="K9" s="628" t="s">
        <v>3315</v>
      </c>
      <c r="L9" s="628" t="s">
        <v>3350</v>
      </c>
      <c r="M9" s="628" t="s">
        <v>3351</v>
      </c>
    </row>
    <row r="10" spans="2:13" ht="30" customHeight="1" x14ac:dyDescent="0.2">
      <c r="B10" s="660"/>
      <c r="C10" s="660"/>
      <c r="D10" s="660"/>
      <c r="E10" s="629"/>
      <c r="F10" s="664"/>
      <c r="G10" s="660"/>
    </row>
    <row r="11" spans="2:13" ht="30" customHeight="1" x14ac:dyDescent="0.2">
      <c r="B11" s="674">
        <v>3</v>
      </c>
      <c r="C11" s="678" t="s">
        <v>3352</v>
      </c>
      <c r="D11" s="679" t="s">
        <v>3353</v>
      </c>
      <c r="E11" s="627"/>
      <c r="F11" s="676" t="s">
        <v>3344</v>
      </c>
      <c r="G11" s="674">
        <f>IF(F11="Ya",0,IF(F11="Kadang-kadang",0.5,1))</f>
        <v>0.5</v>
      </c>
      <c r="I11" s="628" t="s">
        <v>3350</v>
      </c>
      <c r="J11" s="628" t="s">
        <v>3340</v>
      </c>
      <c r="K11" s="628" t="s">
        <v>3354</v>
      </c>
      <c r="L11" s="628" t="s">
        <v>3355</v>
      </c>
      <c r="M11" s="628" t="s">
        <v>43</v>
      </c>
    </row>
    <row r="12" spans="2:13" ht="30" customHeight="1" x14ac:dyDescent="0.2">
      <c r="B12" s="660"/>
      <c r="C12" s="660"/>
      <c r="D12" s="660"/>
      <c r="E12" s="629"/>
      <c r="F12" s="664"/>
      <c r="G12" s="660"/>
      <c r="I12" s="628" t="s">
        <v>3345</v>
      </c>
      <c r="J12" s="628" t="s">
        <v>3345</v>
      </c>
      <c r="K12" s="628" t="s">
        <v>3345</v>
      </c>
      <c r="L12" s="628" t="s">
        <v>3356</v>
      </c>
      <c r="M12" s="628" t="s">
        <v>3356</v>
      </c>
    </row>
    <row r="13" spans="2:13" ht="30" customHeight="1" x14ac:dyDescent="0.2">
      <c r="B13" s="674">
        <v>4</v>
      </c>
      <c r="C13" s="678" t="s">
        <v>3357</v>
      </c>
      <c r="D13" s="675" t="s">
        <v>3358</v>
      </c>
      <c r="E13" s="630"/>
      <c r="F13" s="676" t="s">
        <v>3340</v>
      </c>
      <c r="G13" s="674">
        <f>IF(F13="Diatas",0,IF(F13="Rata-rata",0.5,1))</f>
        <v>0</v>
      </c>
      <c r="I13" s="628" t="s">
        <v>3340</v>
      </c>
      <c r="J13" s="628" t="s">
        <v>3350</v>
      </c>
      <c r="K13" s="628" t="s">
        <v>3359</v>
      </c>
      <c r="L13" s="628" t="s">
        <v>3360</v>
      </c>
      <c r="M13" s="628" t="s">
        <v>59</v>
      </c>
    </row>
    <row r="14" spans="2:13" ht="30" customHeight="1" x14ac:dyDescent="0.2">
      <c r="B14" s="660"/>
      <c r="C14" s="660"/>
      <c r="D14" s="660"/>
      <c r="E14" s="631"/>
      <c r="F14" s="664"/>
      <c r="G14" s="660"/>
    </row>
    <row r="15" spans="2:13" ht="30" customHeight="1" x14ac:dyDescent="0.2">
      <c r="B15" s="674">
        <v>5</v>
      </c>
      <c r="C15" s="678" t="s">
        <v>3361</v>
      </c>
      <c r="D15" s="675" t="s">
        <v>3362</v>
      </c>
      <c r="E15" s="630"/>
      <c r="F15" s="676" t="s">
        <v>3341</v>
      </c>
      <c r="G15" s="674">
        <f>IF(F15="Tidak, Meningkat",0,IF(F15="Sedang, Stabil",0.5,1))</f>
        <v>0</v>
      </c>
    </row>
    <row r="16" spans="2:13" ht="30" customHeight="1" x14ac:dyDescent="0.2">
      <c r="B16" s="660"/>
      <c r="C16" s="660"/>
      <c r="D16" s="660"/>
      <c r="E16" s="631"/>
      <c r="F16" s="664"/>
      <c r="G16" s="660"/>
    </row>
    <row r="17" spans="2:7" ht="30" customHeight="1" x14ac:dyDescent="0.2">
      <c r="B17" s="674">
        <v>6</v>
      </c>
      <c r="C17" s="678" t="s">
        <v>3363</v>
      </c>
      <c r="D17" s="675" t="s">
        <v>3364</v>
      </c>
      <c r="E17" s="630"/>
      <c r="F17" s="676" t="s">
        <v>3345</v>
      </c>
      <c r="G17" s="674">
        <f>IF(F17="Dibawah",0,IF(F17="Rata-rata",0.5,1))</f>
        <v>0.5</v>
      </c>
    </row>
    <row r="18" spans="2:7" ht="30" customHeight="1" x14ac:dyDescent="0.2">
      <c r="B18" s="660"/>
      <c r="C18" s="660"/>
      <c r="D18" s="660"/>
      <c r="E18" s="631"/>
      <c r="F18" s="664"/>
      <c r="G18" s="660"/>
    </row>
    <row r="19" spans="2:7" ht="30" customHeight="1" x14ac:dyDescent="0.2">
      <c r="B19" s="674">
        <v>7</v>
      </c>
      <c r="C19" s="678" t="s">
        <v>3365</v>
      </c>
      <c r="D19" s="675" t="s">
        <v>3366</v>
      </c>
      <c r="E19" s="630"/>
      <c r="F19" s="676" t="s">
        <v>3345</v>
      </c>
      <c r="G19" s="674">
        <f>IF(F19="Diatas",0,IF(F19="Rata-rata",0.5,1))</f>
        <v>0.5</v>
      </c>
    </row>
    <row r="20" spans="2:7" ht="30" customHeight="1" x14ac:dyDescent="0.2">
      <c r="B20" s="660"/>
      <c r="C20" s="660"/>
      <c r="D20" s="660"/>
      <c r="E20" s="631"/>
      <c r="F20" s="664"/>
      <c r="G20" s="660"/>
    </row>
    <row r="21" spans="2:7" ht="30" customHeight="1" x14ac:dyDescent="0.2">
      <c r="B21" s="674">
        <v>8</v>
      </c>
      <c r="C21" s="675" t="s">
        <v>3367</v>
      </c>
      <c r="D21" s="675" t="s">
        <v>3368</v>
      </c>
      <c r="E21" s="630"/>
      <c r="F21" s="676" t="s">
        <v>3354</v>
      </c>
      <c r="G21" s="674">
        <f>IF(F21="Lebih Besar",0,IF(F21="Rata-rata",0.5,1))</f>
        <v>0</v>
      </c>
    </row>
    <row r="22" spans="2:7" ht="30" customHeight="1" x14ac:dyDescent="0.2">
      <c r="B22" s="660"/>
      <c r="C22" s="660"/>
      <c r="D22" s="660"/>
      <c r="E22" s="631"/>
      <c r="F22" s="664"/>
      <c r="G22" s="660"/>
    </row>
    <row r="23" spans="2:7" ht="30" customHeight="1" x14ac:dyDescent="0.2">
      <c r="B23" s="674">
        <v>9</v>
      </c>
      <c r="C23" s="675" t="s">
        <v>3369</v>
      </c>
      <c r="D23" s="675" t="s">
        <v>3370</v>
      </c>
      <c r="E23" s="630"/>
      <c r="F23" s="676" t="s">
        <v>3356</v>
      </c>
      <c r="G23" s="674">
        <f>IF(F23="Meningkat",0,IF(F23="Seperti Saat Ini",0.5,1))</f>
        <v>0.5</v>
      </c>
    </row>
    <row r="24" spans="2:7" ht="30" customHeight="1" x14ac:dyDescent="0.2">
      <c r="B24" s="660"/>
      <c r="C24" s="660"/>
      <c r="D24" s="660"/>
      <c r="E24" s="631"/>
      <c r="F24" s="664"/>
      <c r="G24" s="660"/>
    </row>
    <row r="25" spans="2:7" ht="30" customHeight="1" x14ac:dyDescent="0.2">
      <c r="B25" s="674">
        <v>10</v>
      </c>
      <c r="C25" s="678" t="s">
        <v>3371</v>
      </c>
      <c r="D25" s="677" t="s">
        <v>3372</v>
      </c>
      <c r="E25" s="632"/>
      <c r="F25" s="676" t="s">
        <v>43</v>
      </c>
      <c r="G25" s="674">
        <f>IF(F25="Ya",0,IF(F25="Seperti Saat Ini",0.5,1))</f>
        <v>0</v>
      </c>
    </row>
    <row r="26" spans="2:7" ht="30" customHeight="1" x14ac:dyDescent="0.2">
      <c r="B26" s="660"/>
      <c r="C26" s="660"/>
      <c r="D26" s="660"/>
      <c r="E26" s="633"/>
      <c r="F26" s="664"/>
      <c r="G26" s="660"/>
    </row>
    <row r="27" spans="2:7" x14ac:dyDescent="0.2">
      <c r="B27" s="680" t="s">
        <v>3330</v>
      </c>
      <c r="C27" s="658"/>
      <c r="D27" s="658"/>
      <c r="E27" s="658"/>
      <c r="F27" s="681"/>
      <c r="G27" s="111">
        <f>SUM(G7:G26)</f>
        <v>2.5</v>
      </c>
    </row>
    <row r="28" spans="2:7" hidden="1" x14ac:dyDescent="0.2">
      <c r="F28" s="626"/>
      <c r="G28" s="626"/>
    </row>
    <row r="29" spans="2:7" hidden="1" x14ac:dyDescent="0.2">
      <c r="F29" s="626"/>
      <c r="G29" s="626"/>
    </row>
    <row r="30" spans="2:7" x14ac:dyDescent="0.2">
      <c r="B30" s="625">
        <f>IF(C30="DLOM Perusahaan tertutup ",1,2)</f>
        <v>1</v>
      </c>
      <c r="C30" s="625" t="s">
        <v>3373</v>
      </c>
      <c r="D30" s="625" t="s">
        <v>3374</v>
      </c>
      <c r="F30" s="626"/>
      <c r="G30" s="626"/>
    </row>
    <row r="31" spans="2:7" x14ac:dyDescent="0.2">
      <c r="B31" s="625">
        <f>IF(C31="Minoritas",5,7)</f>
        <v>7</v>
      </c>
      <c r="C31" s="625" t="s">
        <v>3331</v>
      </c>
      <c r="D31" s="625" t="s">
        <v>3332</v>
      </c>
      <c r="F31" s="626">
        <v>10</v>
      </c>
      <c r="G31" s="626"/>
    </row>
    <row r="32" spans="2:7" x14ac:dyDescent="0.2">
      <c r="C32" s="625" t="str">
        <f>IF(B30+B31=6,"30% - 50%",IF(B30+B31=8,"20% - 40%",IF(B30+B31=7,"10% - 30%",IF(B30+B31=9,"0% - 20%","-"))))</f>
        <v>20% - 40%</v>
      </c>
      <c r="D32" s="625" t="str">
        <f>C30&amp;C32</f>
        <v>DLOM Perusahaan tertutup 20% - 40%</v>
      </c>
      <c r="F32" s="634">
        <f>RIGHT(C32,3)-LEFT(C32,3)</f>
        <v>0.2</v>
      </c>
      <c r="G32" s="626"/>
    </row>
    <row r="33" spans="3:7" x14ac:dyDescent="0.2">
      <c r="D33" s="625" t="s">
        <v>3333</v>
      </c>
      <c r="F33" s="626">
        <f>G27</f>
        <v>2.5</v>
      </c>
      <c r="G33" s="626"/>
    </row>
    <row r="34" spans="3:7" x14ac:dyDescent="0.2">
      <c r="D34" s="112" t="s">
        <v>3375</v>
      </c>
      <c r="E34" s="112"/>
      <c r="F34" s="113">
        <f>LEFT(C32,3)+(F33/F31*F32)</f>
        <v>0.25</v>
      </c>
      <c r="G34" s="626"/>
    </row>
    <row r="35" spans="3:7" x14ac:dyDescent="0.2">
      <c r="D35" s="625" t="s">
        <v>4658</v>
      </c>
      <c r="F35" s="637" t="str">
        <f>IF(AND(F34&gt;=20%, F34&lt;=26%), C38, IF(AND(F34&gt;=27%, F34&lt;=33%), C39, IF(AND(F34&gt;=34%, F34&lt;=40%), C40, "")))</f>
        <v>Rendah</v>
      </c>
    </row>
    <row r="36" spans="3:7" x14ac:dyDescent="0.2">
      <c r="D36" s="636" t="s">
        <v>4659</v>
      </c>
      <c r="F36" s="637" t="str">
        <f>IF(F35="Rendah","Tinggi",IF(F35="Moderat","Moderat","Rendah"))</f>
        <v>Tinggi</v>
      </c>
    </row>
    <row r="38" spans="3:7" x14ac:dyDescent="0.2">
      <c r="C38" s="636" t="s">
        <v>3314</v>
      </c>
      <c r="D38" s="635" t="s">
        <v>4656</v>
      </c>
    </row>
    <row r="39" spans="3:7" x14ac:dyDescent="0.2">
      <c r="C39" s="625" t="s">
        <v>3317</v>
      </c>
      <c r="D39" s="635" t="s">
        <v>4655</v>
      </c>
    </row>
    <row r="40" spans="3:7" x14ac:dyDescent="0.2">
      <c r="C40" s="636" t="s">
        <v>3321</v>
      </c>
      <c r="D40" s="635" t="s">
        <v>4657</v>
      </c>
    </row>
    <row r="42" spans="3:7" x14ac:dyDescent="0.2">
      <c r="F42" s="112"/>
    </row>
  </sheetData>
  <mergeCells count="57">
    <mergeCell ref="D4:D6"/>
    <mergeCell ref="B2:G2"/>
    <mergeCell ref="F15:F16"/>
    <mergeCell ref="G23:G24"/>
    <mergeCell ref="G17:G18"/>
    <mergeCell ref="F4:G6"/>
    <mergeCell ref="E4:E6"/>
    <mergeCell ref="C7:C8"/>
    <mergeCell ref="B7:B8"/>
    <mergeCell ref="C4:C6"/>
    <mergeCell ref="C13:C14"/>
    <mergeCell ref="C19:C20"/>
    <mergeCell ref="D19:D20"/>
    <mergeCell ref="G9:G10"/>
    <mergeCell ref="F19:F20"/>
    <mergeCell ref="C15:C16"/>
    <mergeCell ref="B27:F27"/>
    <mergeCell ref="C9:C10"/>
    <mergeCell ref="B23:B24"/>
    <mergeCell ref="F21:F22"/>
    <mergeCell ref="B4:B6"/>
    <mergeCell ref="B13:B14"/>
    <mergeCell ref="D13:D14"/>
    <mergeCell ref="F17:F18"/>
    <mergeCell ref="C25:C26"/>
    <mergeCell ref="D7:D8"/>
    <mergeCell ref="C21:C22"/>
    <mergeCell ref="C11:C12"/>
    <mergeCell ref="F23:F24"/>
    <mergeCell ref="B19:B20"/>
    <mergeCell ref="B15:B16"/>
    <mergeCell ref="F13:F14"/>
    <mergeCell ref="G13:G14"/>
    <mergeCell ref="G7:G8"/>
    <mergeCell ref="D17:D18"/>
    <mergeCell ref="D11:D12"/>
    <mergeCell ref="G19:G20"/>
    <mergeCell ref="G15:G16"/>
    <mergeCell ref="D15:D16"/>
    <mergeCell ref="D9:D10"/>
    <mergeCell ref="F9:F10"/>
    <mergeCell ref="B25:B26"/>
    <mergeCell ref="D23:D24"/>
    <mergeCell ref="F7:F8"/>
    <mergeCell ref="G11:G12"/>
    <mergeCell ref="B21:B22"/>
    <mergeCell ref="D25:D26"/>
    <mergeCell ref="G25:G26"/>
    <mergeCell ref="F11:F12"/>
    <mergeCell ref="G21:G22"/>
    <mergeCell ref="F25:F26"/>
    <mergeCell ref="B17:B18"/>
    <mergeCell ref="D21:D22"/>
    <mergeCell ref="B11:B12"/>
    <mergeCell ref="B9:B10"/>
    <mergeCell ref="C23:C24"/>
    <mergeCell ref="C17:C18"/>
  </mergeCells>
  <dataValidations count="10">
    <dataValidation type="list" allowBlank="1" showInputMessage="1" showErrorMessage="1" sqref="F25:F26" xr:uid="{00000000-0002-0000-0F00-000000000000}">
      <formula1>$M$11:$M$13</formula1>
    </dataValidation>
    <dataValidation type="list" allowBlank="1" showInputMessage="1" showErrorMessage="1" sqref="F15:F16" xr:uid="{00000000-0002-0000-0F00-000001000000}">
      <formula1>$M$7:$M$9</formula1>
    </dataValidation>
    <dataValidation type="list" allowBlank="1" showInputMessage="1" showErrorMessage="1" sqref="F13:F14" xr:uid="{00000000-0002-0000-0F00-000002000000}">
      <formula1>$L$7:$L$9</formula1>
    </dataValidation>
    <dataValidation type="list" allowBlank="1" showInputMessage="1" showErrorMessage="1" sqref="F19:F20" xr:uid="{00000000-0002-0000-0F00-000003000000}">
      <formula1>$J$11:$J$13</formula1>
    </dataValidation>
    <dataValidation type="list" allowBlank="1" showInputMessage="1" showErrorMessage="1" sqref="F11:F12" xr:uid="{00000000-0002-0000-0F00-000004000000}">
      <formula1>$K$7:$K$9</formula1>
    </dataValidation>
    <dataValidation type="list" allowBlank="1" showInputMessage="1" showErrorMessage="1" sqref="F9:F10" xr:uid="{00000000-0002-0000-0F00-000005000000}">
      <formula1>$J$7:$J$9</formula1>
    </dataValidation>
    <dataValidation type="list" allowBlank="1" showInputMessage="1" showErrorMessage="1" sqref="F23:F24" xr:uid="{00000000-0002-0000-0F00-000006000000}">
      <formula1>$L$11:$L$13</formula1>
    </dataValidation>
    <dataValidation type="list" allowBlank="1" showInputMessage="1" showErrorMessage="1" sqref="F7:F8" xr:uid="{00000000-0002-0000-0F00-000007000000}">
      <formula1>$I$7:$I$9</formula1>
    </dataValidation>
    <dataValidation type="list" allowBlank="1" showInputMessage="1" showErrorMessage="1" sqref="F17:F18" xr:uid="{00000000-0002-0000-0F00-000008000000}">
      <formula1>$I$11:$I$13</formula1>
    </dataValidation>
    <dataValidation type="list" allowBlank="1" showInputMessage="1" showErrorMessage="1" sqref="F21:F22" xr:uid="{00000000-0002-0000-0F00-000009000000}">
      <formula1>$K$11:$K$13</formula1>
    </dataValidation>
  </dataValidations>
  <pageMargins left="0.7" right="0.7" top="0.75" bottom="0.75" header="0.3" footer="0.3"/>
  <pageSetup scale="75"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499984740745262"/>
  </sheetPr>
  <dimension ref="B2:S14"/>
  <sheetViews>
    <sheetView showGridLines="0" workbookViewId="0">
      <selection activeCell="R15" sqref="R15"/>
    </sheetView>
  </sheetViews>
  <sheetFormatPr baseColWidth="10" defaultColWidth="8.83203125" defaultRowHeight="15" x14ac:dyDescent="0.2"/>
  <cols>
    <col min="2" max="2" width="11" customWidth="1"/>
    <col min="7" max="7" width="9.1640625" customWidth="1"/>
    <col min="9" max="9" width="11.33203125" customWidth="1"/>
    <col min="19" max="19" width="11.33203125" customWidth="1"/>
  </cols>
  <sheetData>
    <row r="2" spans="2:19" x14ac:dyDescent="0.2">
      <c r="N2" s="652" t="s">
        <v>3376</v>
      </c>
      <c r="O2" s="651"/>
    </row>
    <row r="3" spans="2:19" x14ac:dyDescent="0.2">
      <c r="N3" s="419"/>
    </row>
    <row r="4" spans="2:19" x14ac:dyDescent="0.2">
      <c r="F4" s="409"/>
      <c r="N4" s="419"/>
    </row>
    <row r="5" spans="2:19" x14ac:dyDescent="0.2">
      <c r="F5" s="409"/>
      <c r="N5" s="419"/>
    </row>
    <row r="6" spans="2:19" x14ac:dyDescent="0.2">
      <c r="F6" s="409"/>
      <c r="J6" s="411"/>
      <c r="N6" s="419"/>
    </row>
    <row r="7" spans="2:19" ht="16" customHeight="1" thickBot="1" x14ac:dyDescent="0.25">
      <c r="B7" s="26"/>
      <c r="C7" s="26"/>
      <c r="D7" s="26"/>
      <c r="E7" s="26"/>
      <c r="F7" s="410"/>
      <c r="G7" s="26"/>
      <c r="H7" s="26"/>
      <c r="I7" s="26"/>
      <c r="J7" s="418"/>
      <c r="K7" s="26"/>
      <c r="L7" s="26"/>
      <c r="M7" s="26"/>
      <c r="N7" s="420"/>
      <c r="O7" s="26"/>
      <c r="P7" s="26"/>
      <c r="Q7" s="26"/>
      <c r="R7" s="26"/>
      <c r="S7" s="26"/>
    </row>
    <row r="8" spans="2:19" x14ac:dyDescent="0.2">
      <c r="F8" s="409"/>
      <c r="J8" s="411"/>
      <c r="N8" s="419"/>
      <c r="O8" s="412"/>
    </row>
    <row r="9" spans="2:19" x14ac:dyDescent="0.2">
      <c r="F9" s="409"/>
      <c r="J9" s="411"/>
      <c r="N9" s="419"/>
      <c r="O9" s="408"/>
      <c r="P9" t="s">
        <v>3377</v>
      </c>
    </row>
    <row r="10" spans="2:19" x14ac:dyDescent="0.2">
      <c r="C10" s="413">
        <f>'BALANCE SHEET'!D4</f>
        <v>2020</v>
      </c>
      <c r="D10" s="414"/>
      <c r="E10" s="415"/>
      <c r="F10" s="409"/>
      <c r="H10" s="413" t="s">
        <v>3378</v>
      </c>
      <c r="I10" s="414"/>
      <c r="J10" s="415"/>
      <c r="L10" s="413">
        <f>'BALANCE SHEET'!E4</f>
        <v>2021</v>
      </c>
      <c r="M10" s="414"/>
      <c r="N10" s="415"/>
      <c r="Q10">
        <f>L10+1</f>
        <v>2022</v>
      </c>
    </row>
    <row r="11" spans="2:19" x14ac:dyDescent="0.2">
      <c r="C11" s="408" t="s">
        <v>3379</v>
      </c>
      <c r="D11" s="686">
        <f>'INCOME STATEMENT'!D35</f>
        <v>754862153</v>
      </c>
      <c r="E11" s="687"/>
      <c r="F11" s="409"/>
      <c r="H11" s="408" t="s">
        <v>3379</v>
      </c>
      <c r="I11" s="684"/>
      <c r="J11" s="685"/>
      <c r="L11" s="408" t="s">
        <v>3379</v>
      </c>
      <c r="M11" s="689">
        <f>'INCOME STATEMENT'!E35</f>
        <v>1838106527</v>
      </c>
      <c r="N11" s="685"/>
      <c r="Q11" t="s">
        <v>3379</v>
      </c>
      <c r="R11" s="688">
        <f>1341033576-379554295</f>
        <v>961479281</v>
      </c>
      <c r="S11" s="651"/>
    </row>
    <row r="12" spans="2:19" x14ac:dyDescent="0.2">
      <c r="C12" s="408" t="s">
        <v>3380</v>
      </c>
      <c r="D12" s="686">
        <f>'BALANCE SHEET'!D48</f>
        <v>17179157089</v>
      </c>
      <c r="E12" s="687"/>
      <c r="F12" s="409"/>
      <c r="H12" s="408" t="s">
        <v>3380</v>
      </c>
      <c r="I12" s="684"/>
      <c r="J12" s="685"/>
      <c r="L12" s="408" t="s">
        <v>3380</v>
      </c>
      <c r="M12" s="689">
        <f>'BALANCE SHEET'!E48</f>
        <v>13816821754</v>
      </c>
      <c r="N12" s="685"/>
      <c r="Q12" t="s">
        <v>3380</v>
      </c>
      <c r="R12" s="688">
        <v>14328714899</v>
      </c>
      <c r="S12" s="651"/>
    </row>
    <row r="13" spans="2:19" x14ac:dyDescent="0.2">
      <c r="C13" s="408" t="s">
        <v>3381</v>
      </c>
      <c r="D13" s="38">
        <f>'FINANCIAL RATIO'!E20</f>
        <v>7.3834064932800147E-2</v>
      </c>
      <c r="E13" s="411"/>
      <c r="F13" s="409"/>
      <c r="H13" s="408" t="s">
        <v>3381</v>
      </c>
      <c r="J13" s="411"/>
      <c r="L13" s="408" t="s">
        <v>3381</v>
      </c>
      <c r="M13" s="38">
        <f>'FINANCIAL RATIO'!F20</f>
        <v>0.25890453287235771</v>
      </c>
      <c r="N13" s="411"/>
      <c r="Q13" t="s">
        <v>3381</v>
      </c>
      <c r="R13" s="9">
        <f>1741793728/R12</f>
        <v>0.12155966116134809</v>
      </c>
    </row>
    <row r="14" spans="2:19" x14ac:dyDescent="0.2">
      <c r="C14" s="416" t="s">
        <v>3382</v>
      </c>
      <c r="D14" s="493">
        <f>'FINANCIAL RATIO'!E9</f>
        <v>6.617657819186902E-2</v>
      </c>
      <c r="E14" s="417"/>
      <c r="F14" s="409"/>
      <c r="H14" s="416" t="s">
        <v>3382</v>
      </c>
      <c r="I14" s="3"/>
      <c r="J14" s="417"/>
      <c r="L14" s="416" t="s">
        <v>3382</v>
      </c>
      <c r="M14" s="493">
        <f>'FINANCIAL RATIO'!F9</f>
        <v>0.11030459562863498</v>
      </c>
      <c r="N14" s="417"/>
      <c r="Q14" t="s">
        <v>3382</v>
      </c>
      <c r="R14" s="9">
        <f>R11/15069211620</f>
        <v>6.3804219175203278E-2</v>
      </c>
    </row>
  </sheetData>
  <mergeCells count="9">
    <mergeCell ref="N2:O2"/>
    <mergeCell ref="I11:J11"/>
    <mergeCell ref="D12:E12"/>
    <mergeCell ref="R12:S12"/>
    <mergeCell ref="I12:J12"/>
    <mergeCell ref="M11:N11"/>
    <mergeCell ref="M12:N12"/>
    <mergeCell ref="D11:E11"/>
    <mergeCell ref="R11:S11"/>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499984740745262"/>
  </sheetPr>
  <dimension ref="B1:AB64"/>
  <sheetViews>
    <sheetView zoomScale="73" zoomScaleNormal="73" workbookViewId="0"/>
  </sheetViews>
  <sheetFormatPr baseColWidth="10" defaultColWidth="9" defaultRowHeight="15" x14ac:dyDescent="0.2"/>
  <cols>
    <col min="1" max="1" width="9" style="398" customWidth="1"/>
    <col min="2" max="16384" width="9" style="398"/>
  </cols>
  <sheetData>
    <row r="1" spans="2:28" ht="16" customHeight="1" thickBot="1" x14ac:dyDescent="0.25"/>
    <row r="2" spans="2:28" x14ac:dyDescent="0.2">
      <c r="B2" s="404"/>
      <c r="C2" s="405"/>
      <c r="D2" s="405"/>
      <c r="E2" s="405"/>
      <c r="F2" s="405"/>
      <c r="G2" s="405"/>
      <c r="H2" s="405"/>
      <c r="I2" s="405"/>
      <c r="J2" s="405"/>
      <c r="K2" s="405"/>
      <c r="L2" s="406"/>
      <c r="M2" s="690" t="s">
        <v>3383</v>
      </c>
      <c r="N2" s="691"/>
      <c r="O2" s="691"/>
      <c r="P2" s="691"/>
      <c r="Q2" s="691"/>
      <c r="R2" s="691"/>
      <c r="S2" s="691"/>
      <c r="T2" s="692"/>
      <c r="U2" s="690" t="s">
        <v>853</v>
      </c>
      <c r="V2" s="691"/>
      <c r="W2" s="691"/>
      <c r="X2" s="691"/>
      <c r="Y2" s="691"/>
      <c r="Z2" s="691"/>
      <c r="AA2" s="691"/>
      <c r="AB2" s="692"/>
    </row>
    <row r="3" spans="2:28" x14ac:dyDescent="0.2">
      <c r="B3" s="399"/>
      <c r="L3" s="400"/>
      <c r="M3" s="399"/>
      <c r="T3" s="400"/>
      <c r="U3" s="399"/>
      <c r="AB3" s="400"/>
    </row>
    <row r="4" spans="2:28" x14ac:dyDescent="0.2">
      <c r="B4" s="399"/>
      <c r="L4" s="400"/>
      <c r="M4" s="399"/>
      <c r="T4" s="400"/>
      <c r="U4" s="399"/>
      <c r="AB4" s="400"/>
    </row>
    <row r="5" spans="2:28" x14ac:dyDescent="0.2">
      <c r="B5" s="399"/>
      <c r="L5" s="400"/>
      <c r="M5" s="399"/>
      <c r="T5" s="400"/>
      <c r="U5" s="399"/>
      <c r="AB5" s="400"/>
    </row>
    <row r="6" spans="2:28" x14ac:dyDescent="0.2">
      <c r="B6" s="399"/>
      <c r="L6" s="400"/>
      <c r="M6" s="399"/>
      <c r="T6" s="400"/>
      <c r="U6" s="399"/>
      <c r="AB6" s="400"/>
    </row>
    <row r="7" spans="2:28" x14ac:dyDescent="0.2">
      <c r="B7" s="399"/>
      <c r="L7" s="400"/>
      <c r="M7" s="399"/>
      <c r="T7" s="400"/>
      <c r="U7" s="399"/>
      <c r="AB7" s="400"/>
    </row>
    <row r="8" spans="2:28" x14ac:dyDescent="0.2">
      <c r="B8" s="399"/>
      <c r="L8" s="400"/>
      <c r="M8" s="399"/>
      <c r="T8" s="400"/>
      <c r="U8" s="399"/>
      <c r="AB8" s="400"/>
    </row>
    <row r="9" spans="2:28" x14ac:dyDescent="0.2">
      <c r="B9" s="399"/>
      <c r="L9" s="400"/>
      <c r="M9" s="399"/>
      <c r="T9" s="400"/>
      <c r="U9" s="399"/>
      <c r="AB9" s="400"/>
    </row>
    <row r="10" spans="2:28" x14ac:dyDescent="0.2">
      <c r="B10" s="399"/>
      <c r="L10" s="400"/>
      <c r="M10" s="399"/>
      <c r="T10" s="400"/>
      <c r="U10" s="399"/>
      <c r="AB10" s="400"/>
    </row>
    <row r="11" spans="2:28" x14ac:dyDescent="0.2">
      <c r="B11" s="399"/>
      <c r="L11" s="400"/>
      <c r="M11" s="399"/>
      <c r="T11" s="400"/>
      <c r="U11" s="399"/>
      <c r="AB11" s="400"/>
    </row>
    <row r="12" spans="2:28" x14ac:dyDescent="0.2">
      <c r="B12" s="399"/>
      <c r="L12" s="400"/>
      <c r="M12" s="399"/>
      <c r="T12" s="400"/>
      <c r="U12" s="399"/>
      <c r="AB12" s="400"/>
    </row>
    <row r="13" spans="2:28" x14ac:dyDescent="0.2">
      <c r="B13" s="399"/>
      <c r="L13" s="400"/>
      <c r="M13" s="399"/>
      <c r="T13" s="400"/>
      <c r="U13" s="399"/>
      <c r="AB13" s="400"/>
    </row>
    <row r="14" spans="2:28" x14ac:dyDescent="0.2">
      <c r="B14" s="399"/>
      <c r="L14" s="400"/>
      <c r="M14" s="399"/>
      <c r="T14" s="400"/>
      <c r="U14" s="399"/>
      <c r="AB14" s="400"/>
    </row>
    <row r="15" spans="2:28" x14ac:dyDescent="0.2">
      <c r="B15" s="399"/>
      <c r="L15" s="400"/>
      <c r="M15" s="399"/>
      <c r="T15" s="400"/>
      <c r="U15" s="399"/>
      <c r="AB15" s="400"/>
    </row>
    <row r="16" spans="2:28" x14ac:dyDescent="0.2">
      <c r="B16" s="399"/>
      <c r="L16" s="400"/>
      <c r="M16" s="399"/>
      <c r="T16" s="400"/>
      <c r="U16" s="399"/>
      <c r="AB16" s="400"/>
    </row>
    <row r="17" spans="2:28" ht="16" customHeight="1" thickBot="1" x14ac:dyDescent="0.25">
      <c r="B17" s="399"/>
      <c r="L17" s="400"/>
      <c r="M17" s="401"/>
      <c r="N17" s="402"/>
      <c r="O17" s="402"/>
      <c r="P17" s="402"/>
      <c r="Q17" s="402"/>
      <c r="R17" s="402"/>
      <c r="S17" s="402"/>
      <c r="T17" s="403"/>
      <c r="U17" s="401"/>
      <c r="V17" s="402"/>
      <c r="W17" s="402"/>
      <c r="X17" s="402"/>
      <c r="Y17" s="402"/>
      <c r="Z17" s="402"/>
      <c r="AA17" s="402"/>
      <c r="AB17" s="403"/>
    </row>
    <row r="18" spans="2:28" x14ac:dyDescent="0.2">
      <c r="B18" s="399"/>
      <c r="L18" s="400"/>
      <c r="M18" s="404"/>
      <c r="N18" s="405"/>
      <c r="O18" s="405"/>
      <c r="P18" s="405"/>
      <c r="Q18" s="405"/>
      <c r="R18" s="405"/>
      <c r="S18" s="405"/>
      <c r="T18" s="406"/>
      <c r="U18" s="404"/>
      <c r="V18" s="405"/>
      <c r="W18" s="405"/>
      <c r="X18" s="405"/>
      <c r="Y18" s="405"/>
      <c r="Z18" s="405"/>
      <c r="AA18" s="405"/>
      <c r="AB18" s="406"/>
    </row>
    <row r="19" spans="2:28" x14ac:dyDescent="0.2">
      <c r="B19" s="399"/>
      <c r="L19" s="400"/>
      <c r="M19" s="399"/>
      <c r="T19" s="400"/>
      <c r="U19" s="399"/>
      <c r="AB19" s="400"/>
    </row>
    <row r="20" spans="2:28" x14ac:dyDescent="0.2">
      <c r="B20" s="399"/>
      <c r="L20" s="400"/>
      <c r="M20" s="399"/>
      <c r="T20" s="400"/>
      <c r="U20" s="399"/>
      <c r="AB20" s="400"/>
    </row>
    <row r="21" spans="2:28" x14ac:dyDescent="0.2">
      <c r="B21" s="399"/>
      <c r="L21" s="400"/>
      <c r="M21" s="399"/>
      <c r="T21" s="400"/>
      <c r="U21" s="399"/>
      <c r="AB21" s="400"/>
    </row>
    <row r="22" spans="2:28" x14ac:dyDescent="0.2">
      <c r="B22" s="399"/>
      <c r="L22" s="400"/>
      <c r="M22" s="399"/>
      <c r="T22" s="400"/>
      <c r="U22" s="399"/>
      <c r="AB22" s="400"/>
    </row>
    <row r="23" spans="2:28" x14ac:dyDescent="0.2">
      <c r="B23" s="399"/>
      <c r="L23" s="400"/>
      <c r="M23" s="399"/>
      <c r="T23" s="400"/>
      <c r="U23" s="399"/>
      <c r="AB23" s="400"/>
    </row>
    <row r="24" spans="2:28" x14ac:dyDescent="0.2">
      <c r="B24" s="399"/>
      <c r="L24" s="400"/>
      <c r="M24" s="399"/>
      <c r="T24" s="400"/>
      <c r="U24" s="399"/>
      <c r="AB24" s="400"/>
    </row>
    <row r="25" spans="2:28" x14ac:dyDescent="0.2">
      <c r="B25" s="399"/>
      <c r="L25" s="400"/>
      <c r="M25" s="399"/>
      <c r="T25" s="400"/>
      <c r="U25" s="399"/>
      <c r="AB25" s="400"/>
    </row>
    <row r="26" spans="2:28" x14ac:dyDescent="0.2">
      <c r="B26" s="399"/>
      <c r="L26" s="400"/>
      <c r="M26" s="399"/>
      <c r="T26" s="400"/>
      <c r="U26" s="399"/>
      <c r="AB26" s="400"/>
    </row>
    <row r="27" spans="2:28" x14ac:dyDescent="0.2">
      <c r="B27" s="399"/>
      <c r="L27" s="400"/>
      <c r="M27" s="399"/>
      <c r="T27" s="400"/>
      <c r="U27" s="399"/>
      <c r="AB27" s="400"/>
    </row>
    <row r="28" spans="2:28" x14ac:dyDescent="0.2">
      <c r="B28" s="399"/>
      <c r="L28" s="400"/>
      <c r="M28" s="399"/>
      <c r="T28" s="400"/>
      <c r="U28" s="399"/>
      <c r="AB28" s="400"/>
    </row>
    <row r="29" spans="2:28" x14ac:dyDescent="0.2">
      <c r="B29" s="399"/>
      <c r="L29" s="400"/>
      <c r="M29" s="399"/>
      <c r="T29" s="400"/>
      <c r="U29" s="399"/>
      <c r="AB29" s="400"/>
    </row>
    <row r="30" spans="2:28" x14ac:dyDescent="0.2">
      <c r="B30" s="399"/>
      <c r="L30" s="400"/>
      <c r="M30" s="399"/>
      <c r="T30" s="400"/>
      <c r="U30" s="399"/>
      <c r="AB30" s="400"/>
    </row>
    <row r="31" spans="2:28" x14ac:dyDescent="0.2">
      <c r="B31" s="399"/>
      <c r="L31" s="400"/>
      <c r="M31" s="399"/>
      <c r="T31" s="400"/>
      <c r="U31" s="399"/>
      <c r="AB31" s="400"/>
    </row>
    <row r="32" spans="2:28" ht="16" customHeight="1" thickBot="1" x14ac:dyDescent="0.25">
      <c r="B32" s="399"/>
      <c r="L32" s="400"/>
      <c r="M32" s="401"/>
      <c r="N32" s="402"/>
      <c r="O32" s="402"/>
      <c r="P32" s="402"/>
      <c r="Q32" s="402"/>
      <c r="R32" s="402"/>
      <c r="S32" s="402"/>
      <c r="T32" s="403"/>
      <c r="U32" s="401"/>
      <c r="V32" s="402"/>
      <c r="W32" s="402"/>
      <c r="X32" s="402"/>
      <c r="Y32" s="402"/>
      <c r="Z32" s="402"/>
      <c r="AA32" s="402"/>
      <c r="AB32" s="403"/>
    </row>
    <row r="33" spans="2:28" x14ac:dyDescent="0.2">
      <c r="B33" s="399"/>
      <c r="L33" s="400"/>
      <c r="M33" s="399"/>
      <c r="T33" s="400"/>
      <c r="U33" s="399"/>
      <c r="AB33" s="400"/>
    </row>
    <row r="34" spans="2:28" x14ac:dyDescent="0.2">
      <c r="B34" s="399"/>
      <c r="L34" s="400"/>
      <c r="M34" s="399"/>
      <c r="T34" s="400"/>
      <c r="U34" s="399"/>
      <c r="AB34" s="400"/>
    </row>
    <row r="35" spans="2:28" x14ac:dyDescent="0.2">
      <c r="B35" s="399"/>
      <c r="L35" s="400"/>
      <c r="M35" s="399"/>
      <c r="T35" s="400"/>
      <c r="U35" s="399"/>
      <c r="AB35" s="400"/>
    </row>
    <row r="36" spans="2:28" x14ac:dyDescent="0.2">
      <c r="B36" s="399"/>
      <c r="L36" s="400"/>
      <c r="M36" s="399"/>
      <c r="T36" s="400"/>
      <c r="U36" s="399"/>
      <c r="AB36" s="400"/>
    </row>
    <row r="37" spans="2:28" x14ac:dyDescent="0.2">
      <c r="B37" s="399"/>
      <c r="L37" s="400"/>
      <c r="M37" s="399"/>
      <c r="T37" s="400"/>
      <c r="U37" s="399"/>
      <c r="AB37" s="400"/>
    </row>
    <row r="38" spans="2:28" x14ac:dyDescent="0.2">
      <c r="B38" s="399"/>
      <c r="L38" s="400"/>
      <c r="M38" s="399"/>
      <c r="T38" s="400"/>
      <c r="U38" s="399"/>
      <c r="AB38" s="400"/>
    </row>
    <row r="39" spans="2:28" x14ac:dyDescent="0.2">
      <c r="B39" s="399"/>
      <c r="L39" s="400"/>
      <c r="M39" s="399"/>
      <c r="T39" s="400"/>
      <c r="U39" s="399"/>
      <c r="AB39" s="400"/>
    </row>
    <row r="40" spans="2:28" x14ac:dyDescent="0.2">
      <c r="B40" s="399"/>
      <c r="L40" s="400"/>
      <c r="M40" s="399"/>
      <c r="T40" s="400"/>
      <c r="U40" s="399"/>
      <c r="AB40" s="400"/>
    </row>
    <row r="41" spans="2:28" x14ac:dyDescent="0.2">
      <c r="B41" s="399"/>
      <c r="L41" s="400"/>
      <c r="M41" s="399"/>
      <c r="T41" s="400"/>
      <c r="U41" s="399"/>
      <c r="AB41" s="400"/>
    </row>
    <row r="42" spans="2:28" x14ac:dyDescent="0.2">
      <c r="B42" s="399"/>
      <c r="L42" s="400"/>
      <c r="M42" s="399"/>
      <c r="T42" s="400"/>
      <c r="U42" s="399"/>
      <c r="AB42" s="400"/>
    </row>
    <row r="43" spans="2:28" x14ac:dyDescent="0.2">
      <c r="B43" s="399"/>
      <c r="L43" s="400"/>
      <c r="M43" s="399"/>
      <c r="T43" s="400"/>
      <c r="U43" s="399"/>
      <c r="AB43" s="400"/>
    </row>
    <row r="44" spans="2:28" x14ac:dyDescent="0.2">
      <c r="B44" s="399"/>
      <c r="L44" s="400"/>
      <c r="M44" s="399"/>
      <c r="T44" s="400"/>
      <c r="U44" s="399"/>
      <c r="AB44" s="400"/>
    </row>
    <row r="45" spans="2:28" x14ac:dyDescent="0.2">
      <c r="B45" s="399"/>
      <c r="L45" s="400"/>
      <c r="M45" s="399"/>
      <c r="T45" s="400"/>
      <c r="U45" s="399"/>
      <c r="AB45" s="400"/>
    </row>
    <row r="46" spans="2:28" x14ac:dyDescent="0.2">
      <c r="B46" s="399"/>
      <c r="L46" s="400"/>
      <c r="M46" s="399"/>
      <c r="T46" s="400"/>
      <c r="U46" s="399"/>
      <c r="AB46" s="400"/>
    </row>
    <row r="47" spans="2:28" x14ac:dyDescent="0.2">
      <c r="B47" s="399"/>
      <c r="L47" s="400"/>
      <c r="M47" s="399"/>
      <c r="T47" s="400"/>
      <c r="U47" s="399"/>
      <c r="V47" s="407"/>
      <c r="AB47" s="400"/>
    </row>
    <row r="48" spans="2:28" ht="16" customHeight="1" thickBot="1" x14ac:dyDescent="0.25">
      <c r="B48" s="401"/>
      <c r="C48" s="402"/>
      <c r="D48" s="402"/>
      <c r="E48" s="402"/>
      <c r="F48" s="402"/>
      <c r="G48" s="402"/>
      <c r="H48" s="402"/>
      <c r="I48" s="402"/>
      <c r="J48" s="402"/>
      <c r="K48" s="402"/>
      <c r="L48" s="403"/>
      <c r="M48" s="401"/>
      <c r="N48" s="402"/>
      <c r="O48" s="402"/>
      <c r="P48" s="402"/>
      <c r="Q48" s="402"/>
      <c r="R48" s="402"/>
      <c r="S48" s="402"/>
      <c r="T48" s="403"/>
      <c r="U48" s="401"/>
      <c r="V48" s="402"/>
      <c r="W48" s="402"/>
      <c r="X48" s="402"/>
      <c r="Y48" s="402"/>
      <c r="Z48" s="402"/>
      <c r="AA48" s="402"/>
      <c r="AB48" s="403"/>
    </row>
    <row r="49" spans="2:28" x14ac:dyDescent="0.2">
      <c r="B49" s="421"/>
      <c r="C49" s="422"/>
      <c r="D49" s="422"/>
      <c r="E49" s="422"/>
      <c r="F49" s="422"/>
      <c r="G49" s="422"/>
      <c r="H49" s="422"/>
      <c r="I49" s="422"/>
      <c r="J49" s="422"/>
      <c r="K49" s="422"/>
      <c r="L49" s="422"/>
      <c r="M49" s="422"/>
      <c r="N49" s="422"/>
      <c r="O49" s="422"/>
      <c r="P49" s="422"/>
      <c r="Q49" s="422"/>
      <c r="R49" s="422"/>
      <c r="S49" s="422"/>
      <c r="T49" s="422"/>
      <c r="U49" s="422"/>
      <c r="V49" s="422"/>
      <c r="W49" s="422"/>
      <c r="X49" s="422"/>
      <c r="Y49" s="422"/>
      <c r="Z49" s="422"/>
      <c r="AA49" s="422"/>
      <c r="AB49" s="423"/>
    </row>
    <row r="50" spans="2:28" x14ac:dyDescent="0.2">
      <c r="B50" s="424"/>
      <c r="C50" s="425"/>
      <c r="D50" s="425"/>
      <c r="E50" s="425"/>
      <c r="F50" s="425"/>
      <c r="G50" s="425"/>
      <c r="H50" s="425"/>
      <c r="I50" s="425"/>
      <c r="J50" s="425"/>
      <c r="K50" s="425"/>
      <c r="L50" s="425"/>
      <c r="M50" s="425"/>
      <c r="N50" s="425"/>
      <c r="O50" s="425"/>
      <c r="P50" s="425"/>
      <c r="Q50" s="425"/>
      <c r="R50" s="446" t="s">
        <v>3376</v>
      </c>
      <c r="S50" s="446"/>
      <c r="T50" s="425"/>
      <c r="U50" s="425"/>
      <c r="V50" s="425"/>
      <c r="W50" s="425"/>
      <c r="X50" s="425"/>
      <c r="Y50" s="425"/>
      <c r="Z50" s="425"/>
      <c r="AA50" s="425"/>
      <c r="AB50" s="426"/>
    </row>
    <row r="51" spans="2:28" x14ac:dyDescent="0.2">
      <c r="B51" s="424"/>
      <c r="C51" s="425"/>
      <c r="D51" s="425"/>
      <c r="E51" s="425"/>
      <c r="F51" s="425"/>
      <c r="G51" s="425"/>
      <c r="H51" s="425"/>
      <c r="I51" s="425"/>
      <c r="J51" s="425"/>
      <c r="K51" s="425"/>
      <c r="L51" s="425"/>
      <c r="M51" s="425"/>
      <c r="N51" s="425"/>
      <c r="O51" s="425"/>
      <c r="P51" s="425"/>
      <c r="Q51" s="425"/>
      <c r="R51" s="427"/>
      <c r="S51" s="425"/>
      <c r="T51" s="425"/>
      <c r="U51" s="425"/>
      <c r="V51" s="425"/>
      <c r="W51" s="425"/>
      <c r="X51" s="425"/>
      <c r="Y51" s="425"/>
      <c r="Z51" s="425"/>
      <c r="AA51" s="425"/>
      <c r="AB51" s="426"/>
    </row>
    <row r="52" spans="2:28" x14ac:dyDescent="0.2">
      <c r="B52" s="424"/>
      <c r="C52" s="425"/>
      <c r="D52" s="425"/>
      <c r="E52" s="425"/>
      <c r="F52" s="425"/>
      <c r="G52" s="425"/>
      <c r="H52" s="425"/>
      <c r="I52" s="425"/>
      <c r="J52" s="428"/>
      <c r="K52" s="425"/>
      <c r="L52" s="425"/>
      <c r="M52" s="425"/>
      <c r="N52" s="425"/>
      <c r="O52" s="425"/>
      <c r="P52" s="425"/>
      <c r="Q52" s="425"/>
      <c r="R52" s="427"/>
      <c r="S52" s="425"/>
      <c r="T52" s="425"/>
      <c r="U52" s="425"/>
      <c r="V52" s="425"/>
      <c r="W52" s="425"/>
      <c r="X52" s="425"/>
      <c r="Y52" s="425"/>
      <c r="Z52" s="425"/>
      <c r="AA52" s="425"/>
      <c r="AB52" s="426"/>
    </row>
    <row r="53" spans="2:28" x14ac:dyDescent="0.2">
      <c r="B53" s="424"/>
      <c r="C53" s="425"/>
      <c r="D53" s="425"/>
      <c r="E53" s="425"/>
      <c r="F53" s="425"/>
      <c r="G53" s="425"/>
      <c r="H53" s="425"/>
      <c r="I53" s="425"/>
      <c r="J53" s="428"/>
      <c r="K53" s="425"/>
      <c r="L53" s="425"/>
      <c r="M53" s="425"/>
      <c r="N53" s="425"/>
      <c r="O53" s="425"/>
      <c r="P53" s="425"/>
      <c r="Q53" s="425"/>
      <c r="R53" s="427"/>
      <c r="S53" s="425"/>
      <c r="T53" s="425"/>
      <c r="U53" s="425"/>
      <c r="V53" s="425"/>
      <c r="W53" s="425"/>
      <c r="X53" s="425"/>
      <c r="Y53" s="425"/>
      <c r="Z53" s="425"/>
      <c r="AA53" s="425"/>
      <c r="AB53" s="426"/>
    </row>
    <row r="54" spans="2:28" x14ac:dyDescent="0.2">
      <c r="B54" s="424"/>
      <c r="C54" s="425"/>
      <c r="D54" s="425"/>
      <c r="E54" s="425"/>
      <c r="F54" s="425"/>
      <c r="G54" s="425"/>
      <c r="H54" s="425"/>
      <c r="I54" s="425"/>
      <c r="J54" s="428"/>
      <c r="K54" s="425"/>
      <c r="L54" s="425"/>
      <c r="M54" s="425"/>
      <c r="N54" s="429"/>
      <c r="O54" s="425"/>
      <c r="P54" s="425"/>
      <c r="Q54" s="425"/>
      <c r="R54" s="427"/>
      <c r="S54" s="425"/>
      <c r="T54" s="425"/>
      <c r="U54" s="425"/>
      <c r="V54" s="425"/>
      <c r="W54" s="425"/>
      <c r="X54" s="425"/>
      <c r="Y54" s="425"/>
      <c r="Z54" s="425"/>
      <c r="AA54" s="425"/>
      <c r="AB54" s="426"/>
    </row>
    <row r="55" spans="2:28" ht="16" customHeight="1" thickBot="1" x14ac:dyDescent="0.25">
      <c r="B55" s="424"/>
      <c r="C55" s="425"/>
      <c r="D55" s="425"/>
      <c r="E55" s="425"/>
      <c r="F55" s="431"/>
      <c r="G55" s="431"/>
      <c r="H55" s="431"/>
      <c r="I55" s="431"/>
      <c r="J55" s="432"/>
      <c r="K55" s="431"/>
      <c r="L55" s="431"/>
      <c r="M55" s="431"/>
      <c r="N55" s="433"/>
      <c r="O55" s="431"/>
      <c r="P55" s="431"/>
      <c r="Q55" s="431"/>
      <c r="R55" s="434"/>
      <c r="S55" s="431"/>
      <c r="T55" s="431"/>
      <c r="U55" s="431"/>
      <c r="V55" s="431"/>
      <c r="W55" s="431"/>
      <c r="X55" s="425"/>
      <c r="Y55" s="425"/>
      <c r="Z55" s="425"/>
      <c r="AA55" s="425"/>
      <c r="AB55" s="426"/>
    </row>
    <row r="56" spans="2:28" x14ac:dyDescent="0.2">
      <c r="B56" s="424"/>
      <c r="C56" s="425"/>
      <c r="D56" s="425"/>
      <c r="E56" s="425"/>
      <c r="F56" s="425"/>
      <c r="G56" s="425"/>
      <c r="H56" s="425"/>
      <c r="I56" s="425"/>
      <c r="J56" s="428"/>
      <c r="K56" s="425"/>
      <c r="L56" s="425"/>
      <c r="M56" s="425"/>
      <c r="N56" s="429"/>
      <c r="O56" s="425"/>
      <c r="P56" s="425"/>
      <c r="Q56" s="425"/>
      <c r="R56" s="427"/>
      <c r="S56" s="435"/>
      <c r="T56" s="425"/>
      <c r="U56" s="425"/>
      <c r="V56" s="425"/>
      <c r="W56" s="425"/>
      <c r="X56" s="425"/>
      <c r="Y56" s="425"/>
      <c r="Z56" s="425"/>
      <c r="AA56" s="425"/>
      <c r="AB56" s="426"/>
    </row>
    <row r="57" spans="2:28" x14ac:dyDescent="0.2">
      <c r="B57" s="424"/>
      <c r="C57" s="425"/>
      <c r="D57" s="425"/>
      <c r="E57" s="425"/>
      <c r="F57" s="425"/>
      <c r="G57" s="425"/>
      <c r="H57" s="425"/>
      <c r="I57" s="425"/>
      <c r="J57" s="428"/>
      <c r="K57" s="425"/>
      <c r="L57" s="425"/>
      <c r="M57" s="425"/>
      <c r="N57" s="429"/>
      <c r="O57" s="425"/>
      <c r="P57" s="425"/>
      <c r="Q57" s="425"/>
      <c r="R57" s="427"/>
      <c r="S57" s="436"/>
      <c r="T57" s="425" t="s">
        <v>3377</v>
      </c>
      <c r="U57" s="425"/>
      <c r="V57" s="425"/>
      <c r="W57" s="425"/>
      <c r="X57" s="425"/>
      <c r="Y57" s="425"/>
      <c r="Z57" s="425"/>
      <c r="AA57" s="425"/>
      <c r="AB57" s="426"/>
    </row>
    <row r="58" spans="2:28" x14ac:dyDescent="0.2">
      <c r="B58" s="424"/>
      <c r="C58" s="425"/>
      <c r="D58" s="425"/>
      <c r="E58" s="425"/>
      <c r="F58" s="425"/>
      <c r="G58" s="437">
        <f>TL!C10</f>
        <v>2020</v>
      </c>
      <c r="H58" s="438"/>
      <c r="I58" s="439"/>
      <c r="J58" s="428"/>
      <c r="K58" s="425"/>
      <c r="L58" s="437" t="str">
        <f>TL!H10</f>
        <v>?</v>
      </c>
      <c r="M58" s="438"/>
      <c r="N58" s="439"/>
      <c r="O58" s="425"/>
      <c r="P58" s="437">
        <f>TL!L10</f>
        <v>2021</v>
      </c>
      <c r="Q58" s="438"/>
      <c r="R58" s="439"/>
      <c r="S58" s="425"/>
      <c r="T58" s="425"/>
      <c r="U58" s="425">
        <f>P58+1</f>
        <v>2022</v>
      </c>
      <c r="V58" s="425"/>
      <c r="W58" s="425"/>
      <c r="X58" s="425"/>
      <c r="Y58" s="425"/>
      <c r="Z58" s="425"/>
      <c r="AA58" s="425"/>
      <c r="AB58" s="426"/>
    </row>
    <row r="59" spans="2:28" x14ac:dyDescent="0.2">
      <c r="B59" s="424"/>
      <c r="C59" s="425"/>
      <c r="D59" s="425"/>
      <c r="E59" s="425"/>
      <c r="F59" s="425"/>
      <c r="G59" s="436" t="s">
        <v>3379</v>
      </c>
      <c r="H59" s="693">
        <f>TL!D11</f>
        <v>754862153</v>
      </c>
      <c r="I59" s="687"/>
      <c r="J59" s="428"/>
      <c r="K59" s="425"/>
      <c r="L59" s="436" t="str">
        <f>TL!H11</f>
        <v>Net Profit</v>
      </c>
      <c r="M59" s="697">
        <f>TL!I11</f>
        <v>0</v>
      </c>
      <c r="N59" s="685"/>
      <c r="O59" s="425"/>
      <c r="P59" s="436" t="s">
        <v>3379</v>
      </c>
      <c r="Q59" s="694">
        <f>TL!M11</f>
        <v>1838106527</v>
      </c>
      <c r="R59" s="685"/>
      <c r="S59" s="425"/>
      <c r="T59" s="425"/>
      <c r="U59" s="425" t="s">
        <v>3379</v>
      </c>
      <c r="V59" s="695">
        <f>TL!R11</f>
        <v>961479281</v>
      </c>
      <c r="W59" s="696"/>
      <c r="X59" s="425"/>
      <c r="Y59" s="425"/>
      <c r="Z59" s="425"/>
      <c r="AA59" s="425"/>
      <c r="AB59" s="426"/>
    </row>
    <row r="60" spans="2:28" x14ac:dyDescent="0.2">
      <c r="B60" s="424"/>
      <c r="C60" s="425"/>
      <c r="D60" s="425"/>
      <c r="E60" s="425"/>
      <c r="F60" s="425"/>
      <c r="G60" s="436" t="s">
        <v>3380</v>
      </c>
      <c r="H60" s="693">
        <f>TL!D12</f>
        <v>17179157089</v>
      </c>
      <c r="I60" s="687"/>
      <c r="J60" s="428"/>
      <c r="K60" s="425"/>
      <c r="L60" s="436" t="str">
        <f>TL!H12</f>
        <v>Ekuitas</v>
      </c>
      <c r="M60" s="697">
        <f>TL!I12</f>
        <v>0</v>
      </c>
      <c r="N60" s="685"/>
      <c r="O60" s="425"/>
      <c r="P60" s="436" t="s">
        <v>3380</v>
      </c>
      <c r="Q60" s="694">
        <f>TL!M12</f>
        <v>13816821754</v>
      </c>
      <c r="R60" s="685"/>
      <c r="S60" s="425"/>
      <c r="T60" s="425"/>
      <c r="U60" s="425" t="s">
        <v>3380</v>
      </c>
      <c r="V60" s="695">
        <f>TL!R12</f>
        <v>14328714899</v>
      </c>
      <c r="W60" s="696"/>
      <c r="X60" s="425"/>
      <c r="Y60" s="425"/>
      <c r="Z60" s="425"/>
      <c r="AA60" s="425"/>
      <c r="AB60" s="426"/>
    </row>
    <row r="61" spans="2:28" x14ac:dyDescent="0.2">
      <c r="B61" s="424"/>
      <c r="C61" s="425"/>
      <c r="D61" s="425"/>
      <c r="E61" s="425"/>
      <c r="F61" s="425"/>
      <c r="G61" s="436" t="s">
        <v>3381</v>
      </c>
      <c r="H61" s="440">
        <f>TL!D13</f>
        <v>7.3834064932800147E-2</v>
      </c>
      <c r="I61" s="429"/>
      <c r="J61" s="428"/>
      <c r="K61" s="425"/>
      <c r="L61" s="436" t="str">
        <f>TL!H13</f>
        <v>DER</v>
      </c>
      <c r="M61" s="440">
        <f>TL!I13</f>
        <v>0</v>
      </c>
      <c r="N61" s="447"/>
      <c r="O61" s="425"/>
      <c r="P61" s="436" t="s">
        <v>3381</v>
      </c>
      <c r="Q61" s="440">
        <f>TL!M13</f>
        <v>0.25890453287235771</v>
      </c>
      <c r="R61" s="429"/>
      <c r="S61" s="425"/>
      <c r="T61" s="425"/>
      <c r="U61" s="425" t="s">
        <v>3381</v>
      </c>
      <c r="V61" s="441">
        <f>TL!R13</f>
        <v>0.12155966116134809</v>
      </c>
      <c r="W61" s="425"/>
      <c r="X61" s="425"/>
      <c r="Y61" s="425"/>
      <c r="Z61" s="425"/>
      <c r="AA61" s="425"/>
      <c r="AB61" s="426"/>
    </row>
    <row r="62" spans="2:28" x14ac:dyDescent="0.2">
      <c r="B62" s="424"/>
      <c r="C62" s="425"/>
      <c r="D62" s="425"/>
      <c r="E62" s="425"/>
      <c r="F62" s="425"/>
      <c r="G62" s="442" t="s">
        <v>3382</v>
      </c>
      <c r="H62" s="443">
        <f>TL!D14</f>
        <v>6.617657819186902E-2</v>
      </c>
      <c r="I62" s="444"/>
      <c r="J62" s="428"/>
      <c r="K62" s="425"/>
      <c r="L62" s="442" t="str">
        <f>TL!H14</f>
        <v>NPM</v>
      </c>
      <c r="M62" s="443">
        <f>TL!I14</f>
        <v>0</v>
      </c>
      <c r="N62" s="448"/>
      <c r="O62" s="425"/>
      <c r="P62" s="442" t="s">
        <v>3382</v>
      </c>
      <c r="Q62" s="443">
        <f>TL!M14</f>
        <v>0.11030459562863498</v>
      </c>
      <c r="R62" s="444"/>
      <c r="S62" s="425"/>
      <c r="T62" s="425"/>
      <c r="U62" s="425" t="s">
        <v>3382</v>
      </c>
      <c r="V62" s="441">
        <f>TL!R14</f>
        <v>6.3804219175203278E-2</v>
      </c>
      <c r="W62" s="425"/>
      <c r="X62" s="425"/>
      <c r="Y62" s="425"/>
      <c r="Z62" s="425"/>
      <c r="AA62" s="425"/>
      <c r="AB62" s="426"/>
    </row>
    <row r="63" spans="2:28" x14ac:dyDescent="0.2">
      <c r="B63" s="424"/>
      <c r="C63" s="425"/>
      <c r="D63" s="425"/>
      <c r="E63" s="425"/>
      <c r="F63" s="425"/>
      <c r="G63" s="425"/>
      <c r="H63" s="425"/>
      <c r="I63" s="425"/>
      <c r="J63" s="425"/>
      <c r="K63" s="425"/>
      <c r="L63" s="425"/>
      <c r="M63" s="425"/>
      <c r="N63" s="425"/>
      <c r="O63" s="425"/>
      <c r="P63" s="425"/>
      <c r="Q63" s="425"/>
      <c r="R63" s="425"/>
      <c r="S63" s="425"/>
      <c r="T63" s="425"/>
      <c r="U63" s="425"/>
      <c r="V63" s="425"/>
      <c r="W63" s="425"/>
      <c r="X63" s="425"/>
      <c r="Y63" s="425"/>
      <c r="Z63" s="425"/>
      <c r="AA63" s="425"/>
      <c r="AB63" s="426"/>
    </row>
    <row r="64" spans="2:28" ht="16" customHeight="1" thickBot="1" x14ac:dyDescent="0.25">
      <c r="B64" s="430"/>
      <c r="C64" s="431"/>
      <c r="D64" s="431"/>
      <c r="E64" s="431"/>
      <c r="F64" s="431"/>
      <c r="G64" s="431"/>
      <c r="H64" s="431"/>
      <c r="I64" s="431"/>
      <c r="J64" s="431"/>
      <c r="K64" s="431"/>
      <c r="L64" s="431"/>
      <c r="M64" s="431"/>
      <c r="N64" s="431"/>
      <c r="O64" s="431"/>
      <c r="P64" s="431"/>
      <c r="Q64" s="431"/>
      <c r="R64" s="431"/>
      <c r="S64" s="431"/>
      <c r="T64" s="431"/>
      <c r="U64" s="431"/>
      <c r="V64" s="431"/>
      <c r="W64" s="431"/>
      <c r="X64" s="431"/>
      <c r="Y64" s="431"/>
      <c r="Z64" s="431"/>
      <c r="AA64" s="431"/>
      <c r="AB64" s="445"/>
    </row>
  </sheetData>
  <mergeCells count="10">
    <mergeCell ref="M2:T2"/>
    <mergeCell ref="H60:I60"/>
    <mergeCell ref="Q59:R59"/>
    <mergeCell ref="U2:AB2"/>
    <mergeCell ref="V59:W59"/>
    <mergeCell ref="Q60:R60"/>
    <mergeCell ref="H59:I59"/>
    <mergeCell ref="M60:N60"/>
    <mergeCell ref="M59:N59"/>
    <mergeCell ref="V60:W60"/>
  </mergeCells>
  <pageMargins left="0.7" right="0.7" top="0.75" bottom="0.75" header="0.3" footer="0.3"/>
  <pageSetup paperSize="9" orientation="portrait" horizontalDpi="0" verticalDpi="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33"/>
  <sheetViews>
    <sheetView workbookViewId="0">
      <selection activeCell="F22" sqref="F22"/>
    </sheetView>
  </sheetViews>
  <sheetFormatPr baseColWidth="10" defaultColWidth="8.83203125" defaultRowHeight="15" x14ac:dyDescent="0.2"/>
  <cols>
    <col min="1" max="1" width="33.6640625" bestFit="1" customWidth="1"/>
    <col min="2" max="2" width="20.5" bestFit="1" customWidth="1"/>
    <col min="3" max="3" width="19.33203125" bestFit="1" customWidth="1"/>
    <col min="4" max="4" width="20.5" bestFit="1" customWidth="1"/>
    <col min="5" max="5" width="20.6640625" bestFit="1" customWidth="1"/>
    <col min="6" max="6" width="18.83203125" style="10" bestFit="1" customWidth="1"/>
    <col min="7" max="8" width="19" style="10" bestFit="1" customWidth="1"/>
    <col min="9" max="10" width="20.5" bestFit="1" customWidth="1"/>
    <col min="11" max="11" width="21.5" bestFit="1" customWidth="1"/>
    <col min="12" max="12" width="19" bestFit="1" customWidth="1"/>
    <col min="13" max="13" width="19.6640625" bestFit="1" customWidth="1"/>
    <col min="14" max="14" width="19" bestFit="1" customWidth="1"/>
    <col min="15" max="15" width="18.6640625" bestFit="1" customWidth="1"/>
    <col min="16" max="16" width="19" bestFit="1" customWidth="1"/>
    <col min="17" max="17" width="18.6640625" bestFit="1" customWidth="1"/>
    <col min="18" max="18" width="17.6640625" bestFit="1" customWidth="1"/>
    <col min="19" max="19" width="19" bestFit="1" customWidth="1"/>
    <col min="20" max="20" width="18.6640625" bestFit="1" customWidth="1"/>
    <col min="21" max="24" width="19" bestFit="1" customWidth="1"/>
  </cols>
  <sheetData>
    <row r="1" spans="1:8" x14ac:dyDescent="0.2">
      <c r="A1" t="s">
        <v>3384</v>
      </c>
      <c r="B1">
        <f>C1-1</f>
        <v>2018</v>
      </c>
      <c r="C1">
        <f>'BALANCE SHEET'!C4</f>
        <v>2019</v>
      </c>
      <c r="D1">
        <f>'BALANCE SHEET'!D4</f>
        <v>2020</v>
      </c>
      <c r="E1">
        <f>'BALANCE SHEET'!E4</f>
        <v>2021</v>
      </c>
      <c r="F1" s="397" t="str">
        <f>'PROY BALANCE SHEET'!D5&amp;"P"</f>
        <v>2022P</v>
      </c>
      <c r="G1" s="397" t="str">
        <f>'PROY BALANCE SHEET'!E5&amp;"P"</f>
        <v>2023P</v>
      </c>
      <c r="H1" s="397" t="str">
        <f>'PROY BALANCE SHEET'!F5&amp;"P"</f>
        <v>2024P</v>
      </c>
    </row>
    <row r="2" spans="1:8" x14ac:dyDescent="0.2">
      <c r="A2" t="s">
        <v>204</v>
      </c>
      <c r="B2" s="10">
        <v>0</v>
      </c>
      <c r="C2" s="10">
        <f>'BALANCE SHEET'!C15</f>
        <v>706318865</v>
      </c>
      <c r="D2" s="10">
        <f>'BALANCE SHEET'!D15</f>
        <v>1417287289</v>
      </c>
      <c r="E2" s="10">
        <f>'BALANCE SHEET'!E15</f>
        <v>1266935637</v>
      </c>
      <c r="F2" s="10">
        <f>'PROY BALANCE SHEET'!D21</f>
        <v>2804259504.4743266</v>
      </c>
      <c r="G2" s="10">
        <f>'PROY BALANCE SHEET'!E21</f>
        <v>7344841132.3585825</v>
      </c>
      <c r="H2" s="10">
        <f>'PROY BALANCE SHEET'!F21</f>
        <v>20971057653.169388</v>
      </c>
    </row>
    <row r="3" spans="1:8" x14ac:dyDescent="0.2">
      <c r="A3" t="s">
        <v>3095</v>
      </c>
      <c r="B3" s="10">
        <v>0</v>
      </c>
      <c r="C3" s="10">
        <f>'BALANCE SHEET'!C24</f>
        <v>17964211763</v>
      </c>
      <c r="D3" s="10">
        <f>'BALANCE SHEET'!D24</f>
        <v>16993087735</v>
      </c>
      <c r="E3" s="10">
        <f>'BALANCE SHEET'!E24</f>
        <v>16011357394</v>
      </c>
      <c r="F3" s="10">
        <f>'PROY BALANCE SHEET'!D31</f>
        <v>15147876561.006126</v>
      </c>
      <c r="G3" s="10">
        <f>'PROY BALANCE SHEET'!E31</f>
        <v>14388089190.090195</v>
      </c>
      <c r="H3" s="10">
        <f>'PROY BALANCE SHEET'!F31</f>
        <v>13719241530.971836</v>
      </c>
    </row>
    <row r="4" spans="1:8" x14ac:dyDescent="0.2">
      <c r="A4" t="s">
        <v>3083</v>
      </c>
      <c r="B4" s="10">
        <v>0</v>
      </c>
      <c r="C4" s="10">
        <f>'BALANCE SHEET'!C26</f>
        <v>18670530628</v>
      </c>
      <c r="D4" s="10">
        <f>'BALANCE SHEET'!D26</f>
        <v>18410375024</v>
      </c>
      <c r="E4" s="10">
        <f>'BALANCE SHEET'!E26</f>
        <v>17278293031</v>
      </c>
      <c r="F4" s="10">
        <f>'PROY BALANCE SHEET'!D33</f>
        <v>17952136065.480453</v>
      </c>
      <c r="G4" s="10">
        <f>'PROY BALANCE SHEET'!E33</f>
        <v>21732930322.448776</v>
      </c>
      <c r="H4" s="10">
        <f>'PROY BALANCE SHEET'!F33</f>
        <v>34690299184.14122</v>
      </c>
    </row>
    <row r="5" spans="1:8" x14ac:dyDescent="0.2">
      <c r="A5" t="s">
        <v>208</v>
      </c>
      <c r="B5" s="10">
        <v>0</v>
      </c>
      <c r="C5" s="10">
        <f>'BALANCE SHEET'!C34</f>
        <v>1846235691</v>
      </c>
      <c r="D5" s="10">
        <f>'BALANCE SHEET'!D34</f>
        <v>1268407000</v>
      </c>
      <c r="E5" s="10">
        <f>'BALANCE SHEET'!E34</f>
        <v>3577237782</v>
      </c>
      <c r="F5" s="10">
        <f>'PROY BALANCE SHEET'!D45</f>
        <v>5805092264.6401262</v>
      </c>
      <c r="G5" s="10">
        <f>'PROY BALANCE SHEET'!E45</f>
        <v>9724232125.9685478</v>
      </c>
      <c r="H5" s="10">
        <f>'PROY BALANCE SHEET'!F45</f>
        <v>16799258741.305199</v>
      </c>
    </row>
    <row r="6" spans="1:8" x14ac:dyDescent="0.2">
      <c r="A6" t="s">
        <v>3101</v>
      </c>
      <c r="B6" s="10">
        <v>0</v>
      </c>
      <c r="C6" s="10">
        <f>'BALANCE SHEET'!C39</f>
        <v>0</v>
      </c>
      <c r="D6" s="10">
        <f>'BALANCE SHEET'!D39</f>
        <v>0</v>
      </c>
      <c r="E6" s="10">
        <f>'BALANCE SHEET'!E39</f>
        <v>0</v>
      </c>
      <c r="F6" s="10">
        <f>'PROY BALANCE SHEET'!D52</f>
        <v>0</v>
      </c>
      <c r="G6" s="10">
        <f>'PROY BALANCE SHEET'!E52</f>
        <v>0</v>
      </c>
      <c r="H6" s="10">
        <f>'PROY BALANCE SHEET'!F52</f>
        <v>0</v>
      </c>
    </row>
    <row r="7" spans="1:8" x14ac:dyDescent="0.2">
      <c r="A7" t="s">
        <v>3104</v>
      </c>
      <c r="B7" s="10">
        <v>0</v>
      </c>
      <c r="C7" s="10">
        <f>'BALANCE SHEET'!C40</f>
        <v>1846235691</v>
      </c>
      <c r="D7" s="10">
        <f>'BALANCE SHEET'!D40</f>
        <v>1268407000</v>
      </c>
      <c r="E7" s="10">
        <f>'BALANCE SHEET'!E40</f>
        <v>3577237782</v>
      </c>
      <c r="F7" s="10">
        <f>'PROY BALANCE SHEET'!D45+'PROY BALANCE SHEET'!D52</f>
        <v>5805092264.6401262</v>
      </c>
      <c r="G7" s="10">
        <f>'PROY BALANCE SHEET'!E45+'PROY BALANCE SHEET'!E52</f>
        <v>9724232125.9685478</v>
      </c>
      <c r="H7" s="10">
        <f>'PROY BALANCE SHEET'!F45+'PROY BALANCE SHEET'!F52</f>
        <v>16799258741.305199</v>
      </c>
    </row>
    <row r="8" spans="1:8" x14ac:dyDescent="0.2">
      <c r="A8" t="s">
        <v>3105</v>
      </c>
      <c r="B8" s="10">
        <v>0</v>
      </c>
      <c r="C8" s="10">
        <f>'BALANCE SHEET'!C48</f>
        <v>16645436325</v>
      </c>
      <c r="D8" s="10">
        <f>'BALANCE SHEET'!D48</f>
        <v>17179157089</v>
      </c>
      <c r="E8" s="10">
        <f>'BALANCE SHEET'!E48</f>
        <v>13816821754</v>
      </c>
      <c r="F8" s="10">
        <f>'PROY BALANCE SHEET'!D60</f>
        <v>15724851098.468904</v>
      </c>
      <c r="G8" s="10">
        <f>'PROY BALANCE SHEET'!E60</f>
        <v>18299019461.37748</v>
      </c>
      <c r="H8" s="10">
        <f>'PROY BALANCE SHEET'!F60</f>
        <v>21662561538.232849</v>
      </c>
    </row>
    <row r="9" spans="1:8" x14ac:dyDescent="0.2">
      <c r="A9" t="s">
        <v>3111</v>
      </c>
      <c r="B9" s="10">
        <v>0</v>
      </c>
      <c r="C9" s="10">
        <f>'BALANCE SHEET'!C50</f>
        <v>18491672016</v>
      </c>
      <c r="D9" s="10">
        <f>'BALANCE SHEET'!D50</f>
        <v>18447564089</v>
      </c>
      <c r="E9" s="10">
        <f>'BALANCE SHEET'!E50</f>
        <v>17394059536</v>
      </c>
      <c r="F9" s="10">
        <f>'PROY BALANCE SHEET'!D62</f>
        <v>21529943363.109032</v>
      </c>
      <c r="G9" s="10">
        <f>'PROY BALANCE SHEET'!E62</f>
        <v>28023251587.346027</v>
      </c>
      <c r="H9" s="10">
        <f>'PROY BALANCE SHEET'!F62</f>
        <v>38461820279.538048</v>
      </c>
    </row>
    <row r="10" spans="1:8" x14ac:dyDescent="0.2">
      <c r="A10" t="s">
        <v>3385</v>
      </c>
      <c r="B10" s="10">
        <v>0</v>
      </c>
      <c r="C10" s="10">
        <f>'INCOME STATEMENT'!C6</f>
        <v>9335637236</v>
      </c>
      <c r="D10" s="10">
        <f>'INCOME STATEMENT'!D6</f>
        <v>11406787320</v>
      </c>
      <c r="E10" s="10">
        <f>'INCOME STATEMENT'!E6</f>
        <v>16663916100</v>
      </c>
      <c r="F10" s="10">
        <f>'PROY LR'!D8</f>
        <v>20456242491.420769</v>
      </c>
      <c r="G10" s="10">
        <f>'PROY LR'!E8</f>
        <v>25111615682.451054</v>
      </c>
      <c r="H10" s="10">
        <f>'PROY LR'!F8</f>
        <v>30826445396.684601</v>
      </c>
    </row>
    <row r="11" spans="1:8" x14ac:dyDescent="0.2">
      <c r="A11" t="s">
        <v>3386</v>
      </c>
      <c r="B11" s="10">
        <v>0</v>
      </c>
      <c r="C11" s="10">
        <f>'INCOME STATEMENT'!C7</f>
        <v>-6880608086</v>
      </c>
      <c r="D11" s="10">
        <f>'INCOME STATEMENT'!D7</f>
        <v>-7565752910</v>
      </c>
      <c r="E11" s="10">
        <f>'INCOME STATEMENT'!E7</f>
        <v>-10779658214</v>
      </c>
      <c r="F11" s="10">
        <f>'PROY LR'!D10</f>
        <v>-13959203284.290001</v>
      </c>
      <c r="G11" s="10">
        <f>'PROY LR'!E10</f>
        <v>-17135998864.665001</v>
      </c>
      <c r="H11" s="10">
        <f>'PROY LR'!F10</f>
        <v>-21035760502.196999</v>
      </c>
    </row>
    <row r="12" spans="1:8" x14ac:dyDescent="0.2">
      <c r="A12" t="s">
        <v>3116</v>
      </c>
      <c r="B12" s="10">
        <v>0</v>
      </c>
      <c r="C12" s="10">
        <f>'INCOME STATEMENT'!C8</f>
        <v>2455029150</v>
      </c>
      <c r="D12" s="10">
        <f>'INCOME STATEMENT'!D8</f>
        <v>3841034410</v>
      </c>
      <c r="E12" s="10">
        <f>'INCOME STATEMENT'!E8</f>
        <v>5884257886</v>
      </c>
      <c r="F12" s="10">
        <f>'PROY LR'!D11</f>
        <v>6497039207.1307678</v>
      </c>
      <c r="G12" s="10">
        <f>'PROY LR'!E11</f>
        <v>7975616817.7860527</v>
      </c>
      <c r="H12" s="10">
        <f>'PROY LR'!F11</f>
        <v>9790684894.4876022</v>
      </c>
    </row>
    <row r="13" spans="1:8" x14ac:dyDescent="0.2">
      <c r="A13" t="s">
        <v>3120</v>
      </c>
      <c r="B13" s="10">
        <v>0</v>
      </c>
      <c r="C13" s="10">
        <f>'INCOME STATEMENT'!C15</f>
        <v>-1420583785</v>
      </c>
      <c r="D13" s="10">
        <f>'INCOME STATEMENT'!D15</f>
        <v>-1809878908</v>
      </c>
      <c r="E13" s="10">
        <f>'INCOME STATEMENT'!E15</f>
        <v>-2641095104</v>
      </c>
      <c r="F13" s="10">
        <f>'PROY LR'!D17</f>
        <v>-3200219217.7813277</v>
      </c>
      <c r="G13" s="10">
        <f>'PROY LR'!E17</f>
        <v>-3928515959.3812246</v>
      </c>
      <c r="H13" s="10">
        <f>'PROY LR'!F17</f>
        <v>-4822556391.5626554</v>
      </c>
    </row>
    <row r="14" spans="1:8" x14ac:dyDescent="0.2">
      <c r="A14" t="s">
        <v>1</v>
      </c>
      <c r="B14" s="10">
        <v>0</v>
      </c>
      <c r="C14" s="10">
        <f>'INCOME STATEMENT'!C18</f>
        <v>1034445365</v>
      </c>
      <c r="D14" s="10">
        <f>'INCOME STATEMENT'!D18</f>
        <v>2031155502</v>
      </c>
      <c r="E14" s="10">
        <f>'INCOME STATEMENT'!E18</f>
        <v>3243162782</v>
      </c>
      <c r="F14" s="10">
        <f>'PROY LR'!D19</f>
        <v>3296819989.3494401</v>
      </c>
      <c r="G14" s="10">
        <f>'PROY LR'!E19</f>
        <v>4047100858.4048281</v>
      </c>
      <c r="H14" s="10">
        <f>'PROY LR'!F19</f>
        <v>4968128502.9249468</v>
      </c>
    </row>
    <row r="15" spans="1:8" x14ac:dyDescent="0.2">
      <c r="A15" t="s">
        <v>3387</v>
      </c>
      <c r="B15" s="10">
        <v>0</v>
      </c>
      <c r="C15" s="10">
        <f>'INCOME STATEMENT'!C21</f>
        <v>-353481575</v>
      </c>
      <c r="D15" s="10">
        <f>'INCOME STATEMENT'!D21</f>
        <v>-1120799028</v>
      </c>
      <c r="E15" s="10">
        <f>'INCOME STATEMENT'!E21</f>
        <v>-981730341</v>
      </c>
      <c r="F15" s="10">
        <f>'PROY LR'!D22</f>
        <v>-863480832.99387372</v>
      </c>
      <c r="G15" s="10">
        <f>'PROY LR'!E22</f>
        <v>-759787370.91593099</v>
      </c>
      <c r="H15" s="10">
        <f>'PROY LR'!F22</f>
        <v>-668847659.11835861</v>
      </c>
    </row>
    <row r="16" spans="1:8" x14ac:dyDescent="0.2">
      <c r="A16" t="s">
        <v>3124</v>
      </c>
      <c r="B16" s="10">
        <v>0</v>
      </c>
      <c r="C16" s="10">
        <f>'INCOME STATEMENT'!C22</f>
        <v>680963790</v>
      </c>
      <c r="D16" s="10">
        <f>'INCOME STATEMENT'!D22</f>
        <v>910356474</v>
      </c>
      <c r="E16" s="10">
        <f>'INCOME STATEMENT'!E22</f>
        <v>2261432441</v>
      </c>
      <c r="F16" s="10">
        <f>'PROY LR'!D25</f>
        <v>2433339156.3555665</v>
      </c>
      <c r="G16" s="10">
        <f>'PROY LR'!E25</f>
        <v>3287313487.4888973</v>
      </c>
      <c r="H16" s="10">
        <f>'PROY LR'!F25</f>
        <v>4299280843.8065882</v>
      </c>
    </row>
    <row r="17" spans="1:24" x14ac:dyDescent="0.2">
      <c r="A17" t="s">
        <v>3129</v>
      </c>
      <c r="B17" s="10">
        <v>0</v>
      </c>
      <c r="C17" s="10">
        <f>'INCOME STATEMENT'!C28</f>
        <v>65115255</v>
      </c>
      <c r="D17" s="10">
        <f>'INCOME STATEMENT'!D28</f>
        <v>10442805</v>
      </c>
      <c r="E17" s="10">
        <f>'INCOME STATEMENT'!E28</f>
        <v>13015308</v>
      </c>
      <c r="F17" s="10">
        <f>'PROY LR'!D33</f>
        <v>13065185.005794454</v>
      </c>
      <c r="G17" s="10">
        <f>'PROY LR'!E33</f>
        <v>13115235.580967451</v>
      </c>
      <c r="H17" s="10">
        <f>'PROY LR'!F33</f>
        <v>13165460.339887254</v>
      </c>
    </row>
    <row r="18" spans="1:24" x14ac:dyDescent="0.2">
      <c r="A18" t="s">
        <v>3221</v>
      </c>
      <c r="B18" s="10">
        <v>0</v>
      </c>
      <c r="C18" s="10">
        <f>'INCOME STATEMENT'!C30</f>
        <v>0</v>
      </c>
      <c r="D18" s="10">
        <f>'INCOME STATEMENT'!D30</f>
        <v>0</v>
      </c>
      <c r="E18" s="10">
        <f>'INCOME STATEMENT'!E30</f>
        <v>-212875</v>
      </c>
      <c r="F18" s="10">
        <f>'PROY LR'!D34</f>
        <v>-212874.09353508998</v>
      </c>
      <c r="G18" s="10">
        <f>'PROY LR'!E34</f>
        <v>-212873.18707403986</v>
      </c>
      <c r="H18" s="10">
        <f>'PROY LR'!F34</f>
        <v>-212872.28061684963</v>
      </c>
    </row>
    <row r="19" spans="1:24" x14ac:dyDescent="0.2">
      <c r="A19" t="s">
        <v>3131</v>
      </c>
      <c r="B19" s="10">
        <v>0</v>
      </c>
      <c r="C19" s="10">
        <f>'INCOME STATEMENT'!C32</f>
        <v>746079045</v>
      </c>
      <c r="D19" s="10">
        <f>'INCOME STATEMENT'!D32</f>
        <v>920799279</v>
      </c>
      <c r="E19" s="10">
        <f>'INCOME STATEMENT'!E32</f>
        <v>2274234874</v>
      </c>
      <c r="F19" s="10">
        <f>'PROY LR'!D36</f>
        <v>2446191467.2678261</v>
      </c>
      <c r="G19" s="10">
        <f>'PROY LR'!E36</f>
        <v>3300215849.8827906</v>
      </c>
      <c r="H19" s="10">
        <f>'PROY LR'!F36</f>
        <v>4312233431.865859</v>
      </c>
    </row>
    <row r="20" spans="1:24" x14ac:dyDescent="0.2">
      <c r="A20" t="s">
        <v>2</v>
      </c>
      <c r="B20" s="10">
        <v>0</v>
      </c>
      <c r="C20" s="10">
        <f>'INCOME STATEMENT'!C33</f>
        <v>-305333971</v>
      </c>
      <c r="D20" s="10">
        <f>'INCOME STATEMENT'!D33</f>
        <v>-165937126</v>
      </c>
      <c r="E20" s="10">
        <f>'INCOME STATEMENT'!E33</f>
        <v>-436128347</v>
      </c>
      <c r="F20" s="10">
        <f>'PROY LR'!D37</f>
        <v>-538162122.7989217</v>
      </c>
      <c r="G20" s="10">
        <f>'PROY LR'!E37</f>
        <v>-726047486.97421396</v>
      </c>
      <c r="H20" s="10">
        <f>'PROY LR'!F37</f>
        <v>-948691355.01048899</v>
      </c>
    </row>
    <row r="21" spans="1:24" x14ac:dyDescent="0.2">
      <c r="A21" t="s">
        <v>3132</v>
      </c>
      <c r="B21" s="10">
        <v>0</v>
      </c>
      <c r="C21" s="10">
        <f>'INCOME STATEMENT'!C35</f>
        <v>440745074</v>
      </c>
      <c r="D21" s="10">
        <f>'INCOME STATEMENT'!D35</f>
        <v>754862153</v>
      </c>
      <c r="E21" s="10">
        <f>'INCOME STATEMENT'!E35</f>
        <v>1838106527</v>
      </c>
      <c r="F21" s="10">
        <f>'PROY LR'!D39</f>
        <v>1908029344.4689045</v>
      </c>
      <c r="G21" s="10">
        <f>'PROY LR'!E39</f>
        <v>2574168362.9085765</v>
      </c>
      <c r="H21" s="10">
        <f>'PROY LR'!F39</f>
        <v>3363542076.85537</v>
      </c>
    </row>
    <row r="22" spans="1:24" x14ac:dyDescent="0.2">
      <c r="A22" t="s">
        <v>3215</v>
      </c>
      <c r="C22" s="10">
        <f>'FIXED ASSET'!C63</f>
        <v>7817274315</v>
      </c>
      <c r="D22" s="10">
        <f>'FIXED ASSET'!D63</f>
        <v>7817274315</v>
      </c>
      <c r="E22" s="10">
        <f>'FIXED ASSET'!E63</f>
        <v>7817274315</v>
      </c>
      <c r="F22" s="10">
        <f>'PROY FIXED ASSETS'!D63</f>
        <v>7817274315</v>
      </c>
      <c r="G22" s="10">
        <f>'PROY FIXED ASSETS'!E63</f>
        <v>7817274315</v>
      </c>
      <c r="H22" s="10">
        <f>'PROY FIXED ASSETS'!F63</f>
        <v>7817274315</v>
      </c>
    </row>
    <row r="23" spans="1:24" x14ac:dyDescent="0.2">
      <c r="A23" t="s">
        <v>3216</v>
      </c>
      <c r="C23" s="10">
        <f>'FIXED ASSET'!C64</f>
        <v>408626524</v>
      </c>
      <c r="D23" s="10">
        <f>'FIXED ASSET'!D64</f>
        <v>376792768</v>
      </c>
      <c r="E23" s="10">
        <f>'FIXED ASSET'!E64</f>
        <v>340568087</v>
      </c>
      <c r="F23" s="10">
        <f>'PROY FIXED ASSETS'!D64</f>
        <v>305448494.30369914</v>
      </c>
      <c r="G23" s="10">
        <f>'PROY FIXED ASSETS'!E64</f>
        <v>271400277.53254056</v>
      </c>
      <c r="H23" s="10">
        <f>'PROY FIXED ASSETS'!F64</f>
        <v>238390752.75471163</v>
      </c>
    </row>
    <row r="24" spans="1:24" x14ac:dyDescent="0.2">
      <c r="A24" t="s">
        <v>3388</v>
      </c>
      <c r="C24" s="10">
        <f>SUM('FIXED ASSET'!C65:C68)</f>
        <v>9738310924</v>
      </c>
      <c r="D24" s="10">
        <f>SUM('FIXED ASSET'!D65:D68)</f>
        <v>8799020652</v>
      </c>
      <c r="E24" s="10">
        <f>SUM('FIXED ASSET'!E65:E68)</f>
        <v>7853514992</v>
      </c>
      <c r="F24" s="10">
        <f>SUM('PROY FIXED ASSETS'!D65:D68)</f>
        <v>7025153751.7024269</v>
      </c>
      <c r="G24" s="10">
        <f>SUM('PROY FIXED ASSETS'!E65:E68)</f>
        <v>6299414597.5576553</v>
      </c>
      <c r="H24" s="10">
        <f>SUM('PROY FIXED ASSETS'!F65:F68)</f>
        <v>5663576463.2171259</v>
      </c>
    </row>
    <row r="27" spans="1:24" x14ac:dyDescent="0.2">
      <c r="B27" s="37"/>
      <c r="C27" s="37"/>
      <c r="D27" s="37"/>
      <c r="E27" s="37"/>
      <c r="F27" s="37"/>
      <c r="G27" s="37"/>
      <c r="H27" s="37"/>
      <c r="I27" s="37"/>
      <c r="J27" s="37"/>
      <c r="K27" s="37"/>
      <c r="L27" s="37"/>
      <c r="M27" s="37"/>
      <c r="N27" s="37"/>
      <c r="O27" s="37"/>
      <c r="P27" s="37"/>
      <c r="Q27" s="37"/>
      <c r="R27" s="37"/>
      <c r="S27" s="37"/>
      <c r="T27" s="37"/>
      <c r="U27" s="37"/>
      <c r="V27" s="37"/>
      <c r="W27" s="37"/>
      <c r="X27" s="37"/>
    </row>
    <row r="28" spans="1:24" x14ac:dyDescent="0.2">
      <c r="B28" s="37"/>
      <c r="C28" s="37"/>
      <c r="D28" s="37"/>
      <c r="E28" s="37"/>
      <c r="F28" s="37"/>
      <c r="G28" s="37"/>
      <c r="H28" s="37"/>
      <c r="I28" s="37"/>
      <c r="J28" s="37"/>
      <c r="K28" s="37"/>
      <c r="L28" s="37"/>
      <c r="M28" s="37"/>
      <c r="N28" s="37"/>
      <c r="O28" s="37"/>
      <c r="P28" s="37"/>
      <c r="Q28" s="37"/>
      <c r="R28" s="37"/>
      <c r="S28" s="37"/>
      <c r="T28" s="37"/>
      <c r="U28" s="37"/>
      <c r="V28" s="37"/>
      <c r="W28" s="37"/>
      <c r="X28" s="37"/>
    </row>
    <row r="29" spans="1:24" x14ac:dyDescent="0.2">
      <c r="B29" s="37"/>
      <c r="C29" s="37"/>
      <c r="D29" s="37"/>
      <c r="E29" s="37"/>
      <c r="F29" s="37"/>
      <c r="G29" s="37"/>
      <c r="H29" s="37"/>
      <c r="I29" s="37"/>
      <c r="J29" s="37"/>
      <c r="K29" s="37"/>
      <c r="L29" s="37"/>
      <c r="M29" s="37"/>
      <c r="N29" s="37"/>
      <c r="O29" s="37"/>
      <c r="P29" s="37"/>
      <c r="Q29" s="37"/>
      <c r="R29" s="37"/>
      <c r="S29" s="37"/>
      <c r="T29" s="37"/>
      <c r="U29" s="37"/>
      <c r="V29" s="37"/>
      <c r="W29" s="37"/>
      <c r="X29" s="37"/>
    </row>
    <row r="30" spans="1:24" x14ac:dyDescent="0.2">
      <c r="B30" s="37"/>
      <c r="C30" s="37"/>
      <c r="D30" s="37"/>
      <c r="E30" s="37"/>
      <c r="F30" s="37"/>
      <c r="G30" s="37"/>
      <c r="H30" s="37"/>
      <c r="I30" s="37"/>
      <c r="J30" s="37"/>
      <c r="K30" s="37"/>
      <c r="L30" s="37"/>
      <c r="M30" s="37"/>
      <c r="N30" s="37"/>
      <c r="O30" s="37"/>
      <c r="P30" s="37"/>
      <c r="Q30" s="37"/>
      <c r="R30" s="37"/>
      <c r="S30" s="37"/>
      <c r="T30" s="37"/>
      <c r="U30" s="37"/>
      <c r="V30" s="37"/>
      <c r="W30" s="37"/>
      <c r="X30" s="37"/>
    </row>
    <row r="31" spans="1:24" x14ac:dyDescent="0.2">
      <c r="B31" s="37"/>
      <c r="C31" s="37"/>
      <c r="D31" s="37"/>
      <c r="E31" s="37"/>
      <c r="F31" s="37"/>
      <c r="G31" s="37"/>
      <c r="H31" s="37"/>
      <c r="I31" s="37"/>
      <c r="J31" s="37"/>
      <c r="K31" s="37"/>
      <c r="L31" s="37"/>
      <c r="M31" s="37"/>
      <c r="N31" s="37"/>
      <c r="O31" s="37"/>
      <c r="P31" s="37"/>
      <c r="Q31" s="37"/>
      <c r="R31" s="37"/>
      <c r="S31" s="37"/>
      <c r="T31" s="37"/>
      <c r="U31" s="37"/>
      <c r="V31" s="37"/>
      <c r="W31" s="37"/>
      <c r="X31" s="37"/>
    </row>
    <row r="32" spans="1:24" x14ac:dyDescent="0.2">
      <c r="B32" s="37"/>
      <c r="C32" s="37"/>
      <c r="D32" s="37"/>
      <c r="E32" s="37"/>
      <c r="F32" s="37"/>
      <c r="G32" s="37"/>
      <c r="H32" s="37"/>
      <c r="I32" s="37"/>
      <c r="J32" s="37"/>
      <c r="K32" s="37"/>
      <c r="L32" s="37"/>
      <c r="M32" s="37"/>
      <c r="N32" s="37"/>
      <c r="O32" s="37"/>
      <c r="P32" s="37"/>
      <c r="Q32" s="37"/>
      <c r="R32" s="37"/>
      <c r="S32" s="37"/>
      <c r="T32" s="37"/>
      <c r="U32" s="37"/>
      <c r="V32" s="37"/>
      <c r="W32" s="37"/>
      <c r="X32" s="37"/>
    </row>
    <row r="33" spans="2:24" x14ac:dyDescent="0.2">
      <c r="B33" s="37"/>
      <c r="C33" s="37"/>
      <c r="D33" s="37"/>
      <c r="E33" s="37"/>
      <c r="F33" s="37"/>
      <c r="G33" s="37"/>
      <c r="H33" s="37"/>
      <c r="I33" s="37"/>
      <c r="J33" s="37"/>
      <c r="K33" s="37"/>
      <c r="L33" s="37"/>
      <c r="M33" s="37"/>
      <c r="N33" s="37"/>
      <c r="O33" s="37"/>
      <c r="P33" s="37"/>
      <c r="Q33" s="37"/>
      <c r="R33" s="37"/>
      <c r="S33" s="37"/>
      <c r="T33" s="37"/>
      <c r="U33" s="37"/>
      <c r="V33" s="37"/>
      <c r="W33" s="37"/>
      <c r="X33" s="37"/>
    </row>
  </sheetData>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dimension ref="A1:K9"/>
  <sheetViews>
    <sheetView workbookViewId="0">
      <selection activeCell="B7" sqref="B7"/>
    </sheetView>
  </sheetViews>
  <sheetFormatPr baseColWidth="10" defaultColWidth="8.83203125" defaultRowHeight="15" x14ac:dyDescent="0.2"/>
  <cols>
    <col min="1" max="1" width="51.1640625" customWidth="1"/>
    <col min="2" max="4" width="20.5" customWidth="1"/>
    <col min="5" max="11" width="10.5" hidden="1" customWidth="1"/>
  </cols>
  <sheetData>
    <row r="1" spans="1:11" x14ac:dyDescent="0.2">
      <c r="A1" t="str">
        <f>HOME!B4</f>
        <v>Makmur Jaya Sejati Raya</v>
      </c>
    </row>
    <row r="2" spans="1:11" x14ac:dyDescent="0.2">
      <c r="A2" t="s">
        <v>3389</v>
      </c>
    </row>
    <row r="3" spans="1:11" x14ac:dyDescent="0.2">
      <c r="A3" t="str">
        <f>'BALANCE SHEET'!A3</f>
        <v>(IDR)</v>
      </c>
    </row>
    <row r="4" spans="1:11" x14ac:dyDescent="0.2">
      <c r="E4" s="698" t="s">
        <v>853</v>
      </c>
      <c r="F4" s="651"/>
      <c r="G4" s="651"/>
      <c r="H4" s="651"/>
      <c r="I4" s="651"/>
      <c r="J4" s="651"/>
      <c r="K4" s="651"/>
    </row>
    <row r="5" spans="1:11" x14ac:dyDescent="0.2">
      <c r="A5" s="6"/>
      <c r="B5" s="8">
        <f>FCF!C5</f>
        <v>2019</v>
      </c>
      <c r="C5" s="8">
        <f t="shared" ref="C5:K5" si="0">B5+1</f>
        <v>2020</v>
      </c>
      <c r="D5" s="8">
        <f t="shared" si="0"/>
        <v>2021</v>
      </c>
      <c r="E5" s="8">
        <f t="shared" si="0"/>
        <v>2022</v>
      </c>
      <c r="F5" s="8">
        <f t="shared" si="0"/>
        <v>2023</v>
      </c>
      <c r="G5" s="8">
        <f t="shared" si="0"/>
        <v>2024</v>
      </c>
      <c r="H5" s="8">
        <f t="shared" si="0"/>
        <v>2025</v>
      </c>
      <c r="I5" s="8">
        <f t="shared" si="0"/>
        <v>2026</v>
      </c>
      <c r="J5" s="8">
        <f t="shared" si="0"/>
        <v>2027</v>
      </c>
      <c r="K5" s="8">
        <f t="shared" si="0"/>
        <v>2028</v>
      </c>
    </row>
    <row r="6" spans="1:11" x14ac:dyDescent="0.2">
      <c r="B6" s="102"/>
      <c r="C6" s="102"/>
      <c r="D6" s="102"/>
      <c r="E6" s="106"/>
      <c r="F6" s="106"/>
      <c r="G6" s="106"/>
      <c r="H6" s="106"/>
      <c r="I6" s="106"/>
      <c r="J6" s="106"/>
      <c r="K6" s="106"/>
    </row>
    <row r="7" spans="1:11" x14ac:dyDescent="0.2">
      <c r="A7" s="2" t="s">
        <v>3223</v>
      </c>
      <c r="B7" s="103">
        <f>FCF!C20</f>
        <v>-7792345993.8000002</v>
      </c>
      <c r="C7" s="103">
        <f>FCF!D20</f>
        <v>525642682.72000003</v>
      </c>
      <c r="D7" s="103">
        <f>FCF!E20</f>
        <v>5110630781.9799995</v>
      </c>
      <c r="E7" s="29">
        <f>DCF!D20</f>
        <v>1214018767.8007605</v>
      </c>
      <c r="F7" s="29">
        <f>DCF!E20</f>
        <v>2426690444.6457605</v>
      </c>
      <c r="G7" s="29">
        <f>DCF!F20</f>
        <v>2978949719.2252045</v>
      </c>
      <c r="H7" s="29">
        <f>DCF!G20</f>
        <v>3656890580.8533583</v>
      </c>
      <c r="I7" s="29">
        <f>DCF!H20</f>
        <v>4489115285.843812</v>
      </c>
      <c r="J7" s="29">
        <f>DCF!I20</f>
        <v>0</v>
      </c>
      <c r="K7" s="29">
        <f>DCF!J20</f>
        <v>0</v>
      </c>
    </row>
    <row r="8" spans="1:11" x14ac:dyDescent="0.2">
      <c r="A8" s="20" t="s">
        <v>3390</v>
      </c>
      <c r="B8" s="105">
        <f>'INCOME STATEMENT'!C30</f>
        <v>0</v>
      </c>
      <c r="C8" s="105">
        <f>'INCOME STATEMENT'!D30</f>
        <v>0</v>
      </c>
      <c r="D8" s="105">
        <f>'INCOME STATEMENT'!E30</f>
        <v>-212875</v>
      </c>
      <c r="E8" s="107">
        <f>'PROY LR'!D34</f>
        <v>-212874.09353508998</v>
      </c>
      <c r="F8" s="107">
        <f>'PROY LR'!E34</f>
        <v>-212873.18707403986</v>
      </c>
      <c r="G8" s="107">
        <f>'PROY LR'!F34</f>
        <v>-212872.28061684963</v>
      </c>
      <c r="H8" s="107">
        <f>'PROY LR'!G34</f>
        <v>0</v>
      </c>
      <c r="I8" s="107">
        <f>'PROY LR'!H34</f>
        <v>0</v>
      </c>
      <c r="J8" s="107">
        <f>'PROY LR'!I34</f>
        <v>0</v>
      </c>
      <c r="K8" s="107">
        <f>'PROY LR'!J34</f>
        <v>0</v>
      </c>
    </row>
    <row r="9" spans="1:11" x14ac:dyDescent="0.2">
      <c r="A9" s="20" t="s">
        <v>3391</v>
      </c>
      <c r="B9" s="105">
        <f t="shared" ref="B9:K9" si="1">B7+B8</f>
        <v>-7792345993.8000002</v>
      </c>
      <c r="C9" s="105">
        <f t="shared" si="1"/>
        <v>525642682.72000003</v>
      </c>
      <c r="D9" s="105">
        <f t="shared" si="1"/>
        <v>5110417906.9799995</v>
      </c>
      <c r="E9" s="108">
        <f t="shared" si="1"/>
        <v>1213805893.7072253</v>
      </c>
      <c r="F9" s="108">
        <f t="shared" si="1"/>
        <v>2426477571.4586864</v>
      </c>
      <c r="G9" s="108">
        <f t="shared" si="1"/>
        <v>2978736846.9445877</v>
      </c>
      <c r="H9" s="108">
        <f t="shared" si="1"/>
        <v>3656890580.8533583</v>
      </c>
      <c r="I9" s="108">
        <f t="shared" si="1"/>
        <v>4489115285.843812</v>
      </c>
      <c r="J9" s="108">
        <f t="shared" si="1"/>
        <v>0</v>
      </c>
      <c r="K9" s="108">
        <f t="shared" si="1"/>
        <v>0</v>
      </c>
    </row>
  </sheetData>
  <mergeCells count="1">
    <mergeCell ref="E4:K4"/>
  </mergeCells>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J69"/>
  <sheetViews>
    <sheetView showGridLines="0" zoomScaleNormal="100" workbookViewId="0">
      <selection activeCell="C11" sqref="C11"/>
    </sheetView>
  </sheetViews>
  <sheetFormatPr baseColWidth="10" defaultColWidth="8.83203125" defaultRowHeight="15" x14ac:dyDescent="0.2"/>
  <cols>
    <col min="1" max="1" width="12.5" customWidth="1"/>
    <col min="2" max="2" width="65.1640625" customWidth="1"/>
    <col min="3" max="4" width="16.33203125" bestFit="1" customWidth="1"/>
    <col min="5" max="5" width="18.33203125" customWidth="1"/>
    <col min="6" max="7" width="16.33203125" bestFit="1" customWidth="1"/>
    <col min="8" max="8" width="19.6640625" customWidth="1"/>
    <col min="9" max="9" width="16.33203125" bestFit="1" customWidth="1"/>
  </cols>
  <sheetData>
    <row r="1" spans="1:7" x14ac:dyDescent="0.2">
      <c r="A1" t="str">
        <f>'INCOME STATEMENT'!A1</f>
        <v>Makmur Jaya Sejati Raya</v>
      </c>
    </row>
    <row r="2" spans="1:7" x14ac:dyDescent="0.2">
      <c r="A2" t="s">
        <v>3056</v>
      </c>
    </row>
    <row r="3" spans="1:7" x14ac:dyDescent="0.2">
      <c r="A3" t="str">
        <f>'[3]BALANCE SHEET'!A3</f>
        <v>(IDR)</v>
      </c>
    </row>
    <row r="5" spans="1:7" x14ac:dyDescent="0.2">
      <c r="A5" s="8"/>
      <c r="B5" s="8"/>
      <c r="C5" s="8">
        <f>'FIXED ASSET'!E5</f>
        <v>2021</v>
      </c>
      <c r="D5" s="8">
        <f>C5+1</f>
        <v>2022</v>
      </c>
      <c r="E5" s="8">
        <f>D5+1</f>
        <v>2023</v>
      </c>
      <c r="F5" s="8">
        <f>E5+1</f>
        <v>2024</v>
      </c>
    </row>
    <row r="6" spans="1:7" x14ac:dyDescent="0.2">
      <c r="A6" s="2" t="s">
        <v>3057</v>
      </c>
      <c r="C6" s="10"/>
      <c r="D6" s="10"/>
      <c r="E6" s="10"/>
      <c r="F6" s="10"/>
    </row>
    <row r="7" spans="1:7" x14ac:dyDescent="0.2">
      <c r="A7" s="2" t="s">
        <v>3058</v>
      </c>
      <c r="C7" s="10"/>
      <c r="D7" s="10"/>
      <c r="E7" s="10"/>
      <c r="F7" s="10"/>
    </row>
    <row r="8" spans="1:7" x14ac:dyDescent="0.2">
      <c r="B8" t="s">
        <v>3059</v>
      </c>
      <c r="C8" s="10">
        <f>'FIXED ASSET'!E8</f>
        <v>7817274315</v>
      </c>
      <c r="D8" s="333">
        <f t="shared" ref="D8:F13" si="0">C26</f>
        <v>7817274315</v>
      </c>
      <c r="E8" s="333">
        <f t="shared" si="0"/>
        <v>7817274315</v>
      </c>
      <c r="F8" s="333">
        <f t="shared" si="0"/>
        <v>7817274315</v>
      </c>
      <c r="G8" s="338"/>
    </row>
    <row r="9" spans="1:7" x14ac:dyDescent="0.2">
      <c r="B9" t="s">
        <v>3061</v>
      </c>
      <c r="C9" s="10">
        <f>'FIXED ASSET'!E9</f>
        <v>653687951</v>
      </c>
      <c r="D9" s="333">
        <f t="shared" si="0"/>
        <v>653687951</v>
      </c>
      <c r="E9" s="333">
        <f t="shared" si="0"/>
        <v>653687951</v>
      </c>
      <c r="F9" s="333">
        <f t="shared" si="0"/>
        <v>653687951</v>
      </c>
    </row>
    <row r="10" spans="1:7" x14ac:dyDescent="0.2">
      <c r="B10" t="s">
        <v>3062</v>
      </c>
      <c r="C10" s="10">
        <f>'FIXED ASSET'!E10</f>
        <v>176449500</v>
      </c>
      <c r="D10" s="333">
        <f t="shared" si="0"/>
        <v>176449500</v>
      </c>
      <c r="E10" s="333">
        <f t="shared" si="0"/>
        <v>176449500</v>
      </c>
      <c r="F10" s="333">
        <f t="shared" si="0"/>
        <v>176449500</v>
      </c>
    </row>
    <row r="11" spans="1:7" x14ac:dyDescent="0.2">
      <c r="B11" t="s">
        <v>3063</v>
      </c>
      <c r="C11" s="10">
        <f>'FIXED ASSET'!E11</f>
        <v>2207972728</v>
      </c>
      <c r="D11" s="333">
        <f t="shared" si="0"/>
        <v>2207972728</v>
      </c>
      <c r="E11" s="333">
        <f t="shared" si="0"/>
        <v>2207972728</v>
      </c>
      <c r="F11" s="333">
        <f t="shared" si="0"/>
        <v>2207972728</v>
      </c>
    </row>
    <row r="12" spans="1:7" x14ac:dyDescent="0.2">
      <c r="B12" t="s">
        <v>3064</v>
      </c>
      <c r="C12" s="10">
        <f>'FIXED ASSET'!E12</f>
        <v>10145509610</v>
      </c>
      <c r="D12" s="333">
        <f t="shared" si="0"/>
        <v>10145509610</v>
      </c>
      <c r="E12" s="333">
        <f t="shared" si="0"/>
        <v>10145509610</v>
      </c>
      <c r="F12" s="333">
        <f t="shared" si="0"/>
        <v>10145509610</v>
      </c>
    </row>
    <row r="13" spans="1:7" x14ac:dyDescent="0.2">
      <c r="A13" s="3"/>
      <c r="B13" s="3" t="s">
        <v>3065</v>
      </c>
      <c r="C13" s="14">
        <f>'FIXED ASSET'!E13</f>
        <v>0</v>
      </c>
      <c r="D13" s="334">
        <f t="shared" si="0"/>
        <v>0</v>
      </c>
      <c r="E13" s="334">
        <f t="shared" si="0"/>
        <v>0</v>
      </c>
      <c r="F13" s="334">
        <f t="shared" si="0"/>
        <v>0</v>
      </c>
    </row>
    <row r="14" spans="1:7" x14ac:dyDescent="0.2">
      <c r="A14" s="2" t="s">
        <v>3066</v>
      </c>
      <c r="C14" s="337">
        <f>SUM(C8:C13)</f>
        <v>21000894104</v>
      </c>
      <c r="D14" s="337">
        <f>SUM(D8:D13)</f>
        <v>21000894104</v>
      </c>
      <c r="E14" s="337">
        <f>SUM(E8:E13)</f>
        <v>21000894104</v>
      </c>
      <c r="F14" s="337">
        <f>SUM(F8:F13)</f>
        <v>21000894104</v>
      </c>
    </row>
    <row r="15" spans="1:7" x14ac:dyDescent="0.2">
      <c r="C15" s="10"/>
      <c r="D15" s="10"/>
      <c r="E15" s="10"/>
      <c r="F15" s="10"/>
    </row>
    <row r="16" spans="1:7" x14ac:dyDescent="0.2">
      <c r="A16" s="2" t="s">
        <v>3067</v>
      </c>
      <c r="C16" s="10"/>
      <c r="D16" s="10"/>
      <c r="E16" s="10"/>
      <c r="F16" s="10"/>
    </row>
    <row r="17" spans="1:6" x14ac:dyDescent="0.2">
      <c r="B17" t="s">
        <v>3059</v>
      </c>
      <c r="C17" s="10">
        <f>'FIXED ASSET'!E17</f>
        <v>0</v>
      </c>
      <c r="D17" s="10">
        <f>C17*(1+'FIXED ASSET'!$I17)</f>
        <v>0</v>
      </c>
      <c r="E17" s="10">
        <f>D17*(1+'FIXED ASSET'!$I17)</f>
        <v>0</v>
      </c>
      <c r="F17" s="10">
        <f>E17*(1+'FIXED ASSET'!$I17)</f>
        <v>0</v>
      </c>
    </row>
    <row r="18" spans="1:6" x14ac:dyDescent="0.2">
      <c r="B18" t="s">
        <v>3061</v>
      </c>
      <c r="C18" s="10">
        <f>'FIXED ASSET'!E18</f>
        <v>0</v>
      </c>
      <c r="D18" s="10">
        <f>C18*(1+'FIXED ASSET'!$I18)</f>
        <v>0</v>
      </c>
      <c r="E18" s="10">
        <f>D18*(1+'FIXED ASSET'!$I18)</f>
        <v>0</v>
      </c>
      <c r="F18" s="10">
        <f>E18*(1+'FIXED ASSET'!$I18)</f>
        <v>0</v>
      </c>
    </row>
    <row r="19" spans="1:6" x14ac:dyDescent="0.2">
      <c r="B19" t="s">
        <v>3062</v>
      </c>
      <c r="C19" s="10">
        <f>'FIXED ASSET'!E19</f>
        <v>0</v>
      </c>
      <c r="D19" s="10">
        <f>C19*(1+'FIXED ASSET'!$I19)</f>
        <v>0</v>
      </c>
      <c r="E19" s="10">
        <f>D19*(1+'FIXED ASSET'!$I19)</f>
        <v>0</v>
      </c>
      <c r="F19" s="10">
        <f>E19*(1+'FIXED ASSET'!$I19)</f>
        <v>0</v>
      </c>
    </row>
    <row r="20" spans="1:6" x14ac:dyDescent="0.2">
      <c r="B20" t="s">
        <v>3063</v>
      </c>
      <c r="C20" s="10">
        <f>'FIXED ASSET'!E20</f>
        <v>0</v>
      </c>
      <c r="D20" s="10">
        <f>C20*(1+'FIXED ASSET'!$I20)</f>
        <v>0</v>
      </c>
      <c r="E20" s="10">
        <f>D20*(1+'FIXED ASSET'!$I20)</f>
        <v>0</v>
      </c>
      <c r="F20" s="10">
        <f>E20*(1+'FIXED ASSET'!$I20)</f>
        <v>0</v>
      </c>
    </row>
    <row r="21" spans="1:6" x14ac:dyDescent="0.2">
      <c r="B21" t="s">
        <v>3064</v>
      </c>
      <c r="C21" s="10">
        <f>'FIXED ASSET'!E21</f>
        <v>0</v>
      </c>
      <c r="D21" s="10">
        <f>C21*(1+'FIXED ASSET'!$I21)</f>
        <v>0</v>
      </c>
      <c r="E21" s="10">
        <f>D21*(1+'FIXED ASSET'!$I21)</f>
        <v>0</v>
      </c>
      <c r="F21" s="10">
        <f>E21*(1+'FIXED ASSET'!$I21)</f>
        <v>0</v>
      </c>
    </row>
    <row r="22" spans="1:6" x14ac:dyDescent="0.2">
      <c r="A22" s="3"/>
      <c r="B22" s="3" t="s">
        <v>3065</v>
      </c>
      <c r="C22" s="10">
        <f>'FIXED ASSET'!E22</f>
        <v>0</v>
      </c>
      <c r="D22" s="14"/>
      <c r="E22" s="14"/>
      <c r="F22" s="14"/>
    </row>
    <row r="23" spans="1:6" x14ac:dyDescent="0.2">
      <c r="A23" s="2" t="s">
        <v>3066</v>
      </c>
      <c r="C23" s="131">
        <f>SUM(C17:C22)</f>
        <v>0</v>
      </c>
      <c r="D23" s="131">
        <f>SUM(D17:D22)</f>
        <v>0</v>
      </c>
      <c r="E23" s="131">
        <f>SUM(E17:E22)</f>
        <v>0</v>
      </c>
      <c r="F23" s="131">
        <f>SUM(F17:F22)</f>
        <v>0</v>
      </c>
    </row>
    <row r="24" spans="1:6" x14ac:dyDescent="0.2">
      <c r="C24" s="10"/>
      <c r="D24" s="10"/>
      <c r="E24" s="10"/>
      <c r="F24" s="10"/>
    </row>
    <row r="25" spans="1:6" x14ac:dyDescent="0.2">
      <c r="A25" s="2" t="s">
        <v>3069</v>
      </c>
      <c r="C25" s="10"/>
      <c r="D25" s="10"/>
      <c r="E25" s="10"/>
      <c r="F25" s="10"/>
    </row>
    <row r="26" spans="1:6" x14ac:dyDescent="0.2">
      <c r="B26" t="s">
        <v>3059</v>
      </c>
      <c r="C26" s="333">
        <f t="shared" ref="C26:F32" si="1">+C8+C17</f>
        <v>7817274315</v>
      </c>
      <c r="D26" s="333">
        <f t="shared" si="1"/>
        <v>7817274315</v>
      </c>
      <c r="E26" s="333">
        <f t="shared" si="1"/>
        <v>7817274315</v>
      </c>
      <c r="F26" s="333">
        <f t="shared" si="1"/>
        <v>7817274315</v>
      </c>
    </row>
    <row r="27" spans="1:6" x14ac:dyDescent="0.2">
      <c r="B27" t="s">
        <v>3061</v>
      </c>
      <c r="C27" s="333">
        <f t="shared" si="1"/>
        <v>653687951</v>
      </c>
      <c r="D27" s="333">
        <f t="shared" si="1"/>
        <v>653687951</v>
      </c>
      <c r="E27" s="333">
        <f t="shared" si="1"/>
        <v>653687951</v>
      </c>
      <c r="F27" s="333">
        <f t="shared" si="1"/>
        <v>653687951</v>
      </c>
    </row>
    <row r="28" spans="1:6" x14ac:dyDescent="0.2">
      <c r="B28" t="s">
        <v>3062</v>
      </c>
      <c r="C28" s="333">
        <f t="shared" si="1"/>
        <v>176449500</v>
      </c>
      <c r="D28" s="333">
        <f t="shared" si="1"/>
        <v>176449500</v>
      </c>
      <c r="E28" s="333">
        <f t="shared" si="1"/>
        <v>176449500</v>
      </c>
      <c r="F28" s="333">
        <f t="shared" si="1"/>
        <v>176449500</v>
      </c>
    </row>
    <row r="29" spans="1:6" x14ac:dyDescent="0.2">
      <c r="B29" t="s">
        <v>3063</v>
      </c>
      <c r="C29" s="333">
        <f t="shared" si="1"/>
        <v>2207972728</v>
      </c>
      <c r="D29" s="333">
        <f t="shared" si="1"/>
        <v>2207972728</v>
      </c>
      <c r="E29" s="333">
        <f t="shared" si="1"/>
        <v>2207972728</v>
      </c>
      <c r="F29" s="333">
        <f t="shared" si="1"/>
        <v>2207972728</v>
      </c>
    </row>
    <row r="30" spans="1:6" x14ac:dyDescent="0.2">
      <c r="B30" t="s">
        <v>3064</v>
      </c>
      <c r="C30" s="333">
        <f t="shared" si="1"/>
        <v>10145509610</v>
      </c>
      <c r="D30" s="333">
        <f t="shared" si="1"/>
        <v>10145509610</v>
      </c>
      <c r="E30" s="333">
        <f t="shared" si="1"/>
        <v>10145509610</v>
      </c>
      <c r="F30" s="333">
        <f t="shared" si="1"/>
        <v>10145509610</v>
      </c>
    </row>
    <row r="31" spans="1:6" x14ac:dyDescent="0.2">
      <c r="A31" s="3"/>
      <c r="B31" s="3" t="s">
        <v>3065</v>
      </c>
      <c r="C31" s="334">
        <f t="shared" si="1"/>
        <v>0</v>
      </c>
      <c r="D31" s="334">
        <f t="shared" si="1"/>
        <v>0</v>
      </c>
      <c r="E31" s="334">
        <f t="shared" si="1"/>
        <v>0</v>
      </c>
      <c r="F31" s="334">
        <f t="shared" si="1"/>
        <v>0</v>
      </c>
    </row>
    <row r="32" spans="1:6" x14ac:dyDescent="0.2">
      <c r="A32" s="2" t="s">
        <v>3066</v>
      </c>
      <c r="C32" s="337">
        <f t="shared" si="1"/>
        <v>21000894104</v>
      </c>
      <c r="D32" s="337">
        <f t="shared" si="1"/>
        <v>21000894104</v>
      </c>
      <c r="E32" s="337">
        <f t="shared" si="1"/>
        <v>21000894104</v>
      </c>
      <c r="F32" s="337">
        <f t="shared" si="1"/>
        <v>21000894104</v>
      </c>
    </row>
    <row r="33" spans="1:10" x14ac:dyDescent="0.2">
      <c r="C33" s="10"/>
      <c r="D33" s="10"/>
      <c r="E33" s="10"/>
      <c r="F33" s="10"/>
    </row>
    <row r="34" spans="1:10" x14ac:dyDescent="0.2">
      <c r="A34" s="2" t="s">
        <v>3070</v>
      </c>
    </row>
    <row r="35" spans="1:10" x14ac:dyDescent="0.2">
      <c r="A35" s="2" t="s">
        <v>3058</v>
      </c>
      <c r="C35" s="10"/>
      <c r="D35" s="10"/>
      <c r="E35" s="10"/>
      <c r="F35" s="10"/>
    </row>
    <row r="36" spans="1:10" x14ac:dyDescent="0.2">
      <c r="B36" t="s">
        <v>3059</v>
      </c>
      <c r="C36" s="10">
        <f>'FIXED ASSET'!E36</f>
        <v>0</v>
      </c>
      <c r="D36" s="333">
        <f t="shared" ref="D36:F41" si="2">C54</f>
        <v>0</v>
      </c>
      <c r="E36" s="333">
        <f t="shared" si="2"/>
        <v>0</v>
      </c>
      <c r="F36" s="333">
        <f t="shared" si="2"/>
        <v>0</v>
      </c>
    </row>
    <row r="37" spans="1:10" x14ac:dyDescent="0.2">
      <c r="B37" t="s">
        <v>3061</v>
      </c>
      <c r="C37" s="10">
        <f>'FIXED ASSET'!E37</f>
        <v>276895183</v>
      </c>
      <c r="D37" s="333">
        <f t="shared" si="2"/>
        <v>313119864</v>
      </c>
      <c r="E37" s="333">
        <f t="shared" si="2"/>
        <v>348239456.69630086</v>
      </c>
      <c r="F37" s="333">
        <f t="shared" si="2"/>
        <v>382287673.46745944</v>
      </c>
    </row>
    <row r="38" spans="1:10" x14ac:dyDescent="0.2">
      <c r="B38" t="s">
        <v>3062</v>
      </c>
      <c r="C38" s="10">
        <f>'FIXED ASSET'!E38</f>
        <v>165897295</v>
      </c>
      <c r="D38" s="333">
        <f t="shared" si="2"/>
        <v>176449498</v>
      </c>
      <c r="E38" s="333">
        <f t="shared" si="2"/>
        <v>185928675.36117125</v>
      </c>
      <c r="F38" s="333">
        <f t="shared" si="2"/>
        <v>194443940.22525144</v>
      </c>
    </row>
    <row r="39" spans="1:10" x14ac:dyDescent="0.2">
      <c r="B39" t="s">
        <v>3063</v>
      </c>
      <c r="C39" s="10">
        <f>'FIXED ASSET'!E39</f>
        <v>1826348345</v>
      </c>
      <c r="D39" s="333">
        <f t="shared" si="2"/>
        <v>1984688912</v>
      </c>
      <c r="E39" s="333">
        <f t="shared" si="2"/>
        <v>2124034701.8739016</v>
      </c>
      <c r="F39" s="333">
        <f t="shared" si="2"/>
        <v>2246664357.2014685</v>
      </c>
    </row>
    <row r="40" spans="1:10" x14ac:dyDescent="0.2">
      <c r="B40" t="s">
        <v>3064</v>
      </c>
      <c r="C40" s="10">
        <f>'FIXED ASSET'!E40</f>
        <v>1738665546</v>
      </c>
      <c r="D40" s="333">
        <f t="shared" si="2"/>
        <v>2515278436</v>
      </c>
      <c r="E40" s="333">
        <f t="shared" si="2"/>
        <v>3194814709.0625</v>
      </c>
      <c r="F40" s="333">
        <f t="shared" si="2"/>
        <v>3789408943.015625</v>
      </c>
    </row>
    <row r="41" spans="1:10" x14ac:dyDescent="0.2">
      <c r="A41" s="3"/>
      <c r="B41" s="3" t="s">
        <v>3065</v>
      </c>
      <c r="C41" s="14">
        <f>'FIXED ASSET'!E41</f>
        <v>0</v>
      </c>
      <c r="D41" s="334">
        <f t="shared" si="2"/>
        <v>0</v>
      </c>
      <c r="E41" s="334">
        <f t="shared" si="2"/>
        <v>0</v>
      </c>
      <c r="F41" s="334">
        <f t="shared" si="2"/>
        <v>0</v>
      </c>
    </row>
    <row r="42" spans="1:10" x14ac:dyDescent="0.2">
      <c r="A42" s="2" t="s">
        <v>3066</v>
      </c>
      <c r="C42" s="337">
        <f>SUM(C36:C41)</f>
        <v>4007806369</v>
      </c>
      <c r="D42" s="337">
        <f>SUM(D36:D41)</f>
        <v>4989536710</v>
      </c>
      <c r="E42" s="337">
        <f>SUM(E36:E41)</f>
        <v>5853017542.9938736</v>
      </c>
      <c r="F42" s="337">
        <f>SUM(F36:F41)</f>
        <v>6612804913.9098043</v>
      </c>
    </row>
    <row r="43" spans="1:10" x14ac:dyDescent="0.2">
      <c r="C43" s="10"/>
      <c r="D43" s="10"/>
      <c r="E43" s="10"/>
      <c r="F43" s="10"/>
    </row>
    <row r="44" spans="1:10" x14ac:dyDescent="0.2">
      <c r="A44" s="2" t="s">
        <v>3067</v>
      </c>
      <c r="C44" s="10"/>
      <c r="D44" s="10"/>
      <c r="E44" s="10"/>
      <c r="F44" s="10"/>
    </row>
    <row r="45" spans="1:10" x14ac:dyDescent="0.2">
      <c r="B45" t="s">
        <v>3059</v>
      </c>
      <c r="C45" s="10">
        <f>'FIXED ASSET'!E45</f>
        <v>0</v>
      </c>
      <c r="D45" s="10">
        <f>C45*(1+'FIXED ASSET'!$I45)</f>
        <v>0</v>
      </c>
      <c r="E45" s="10">
        <f>D45*(1+'FIXED ASSET'!$I45)</f>
        <v>0</v>
      </c>
      <c r="F45" s="10">
        <f>E45*(1+'FIXED ASSET'!$I45)</f>
        <v>0</v>
      </c>
    </row>
    <row r="46" spans="1:10" x14ac:dyDescent="0.2">
      <c r="B46" t="s">
        <v>3061</v>
      </c>
      <c r="C46" s="10">
        <f>'FIXED ASSET'!E46</f>
        <v>36224681</v>
      </c>
      <c r="D46" s="10">
        <f>C46*(1+'FIXED ASSET'!$I46)</f>
        <v>35119592.696300872</v>
      </c>
      <c r="E46" s="10">
        <f>D46*(1+'FIXED ASSET'!$I46)</f>
        <v>34048216.771158576</v>
      </c>
      <c r="F46" s="10">
        <f>E46*(1+'FIXED ASSET'!$I46)</f>
        <v>33009524.77782895</v>
      </c>
      <c r="G46" s="10"/>
      <c r="H46" s="10"/>
      <c r="I46" s="10"/>
      <c r="J46" s="10"/>
    </row>
    <row r="47" spans="1:10" x14ac:dyDescent="0.2">
      <c r="B47" t="s">
        <v>3062</v>
      </c>
      <c r="C47" s="10">
        <f>'FIXED ASSET'!E47</f>
        <v>10552203</v>
      </c>
      <c r="D47" s="10">
        <f>C47*(1+'FIXED ASSET'!$I47)</f>
        <v>9479177.3611712474</v>
      </c>
      <c r="E47" s="10">
        <f>D47*(1+'FIXED ASSET'!$I47)</f>
        <v>8515264.8640801813</v>
      </c>
      <c r="F47" s="10">
        <f>E47*(1+'FIXED ASSET'!$I47)</f>
        <v>7649370.0816754382</v>
      </c>
    </row>
    <row r="48" spans="1:10" x14ac:dyDescent="0.2">
      <c r="B48" t="s">
        <v>3063</v>
      </c>
      <c r="C48" s="10">
        <f>'FIXED ASSET'!E48</f>
        <v>158340567</v>
      </c>
      <c r="D48" s="10">
        <f>C48*(1+'FIXED ASSET'!$I48)</f>
        <v>139345789.87390161</v>
      </c>
      <c r="E48" s="10">
        <f>D48*(1+'FIXED ASSET'!$I48)</f>
        <v>122629655.32756707</v>
      </c>
      <c r="F48" s="10">
        <f>E48*(1+'FIXED ASSET'!$I48)</f>
        <v>107918813.90436186</v>
      </c>
    </row>
    <row r="49" spans="1:10" x14ac:dyDescent="0.2">
      <c r="B49" t="s">
        <v>3064</v>
      </c>
      <c r="C49" s="10">
        <f>'FIXED ASSET'!E49</f>
        <v>776612890</v>
      </c>
      <c r="D49" s="10">
        <f>C49*(1+'FIXED ASSET'!$H49)</f>
        <v>679536273.0625</v>
      </c>
      <c r="E49" s="10">
        <f>D49*(1+'FIXED ASSET'!$H49)</f>
        <v>594594233.95312512</v>
      </c>
      <c r="F49" s="10">
        <f>E49*(1+'FIXED ASSET'!$H49)</f>
        <v>520269950.35449243</v>
      </c>
    </row>
    <row r="50" spans="1:10" x14ac:dyDescent="0.2">
      <c r="A50" s="3"/>
      <c r="B50" s="3" t="s">
        <v>3065</v>
      </c>
      <c r="C50" s="14">
        <f>'FIXED ASSET'!E50</f>
        <v>0</v>
      </c>
      <c r="D50" s="10">
        <f>C50*(1+'FIXED ASSET'!$I50)</f>
        <v>0</v>
      </c>
      <c r="E50" s="10">
        <f>D50*(1+'FIXED ASSET'!$I50)</f>
        <v>0</v>
      </c>
      <c r="F50" s="10">
        <f>E50*(1+'FIXED ASSET'!$I50)</f>
        <v>0</v>
      </c>
    </row>
    <row r="51" spans="1:10" x14ac:dyDescent="0.2">
      <c r="A51" s="2" t="s">
        <v>3066</v>
      </c>
      <c r="C51" s="129">
        <f>SUM(C45:C50)</f>
        <v>981730341</v>
      </c>
      <c r="D51" s="129">
        <f>SUM(D45:D50)</f>
        <v>863480832.99387372</v>
      </c>
      <c r="E51" s="129">
        <f>SUM(E45:E50)</f>
        <v>759787370.91593099</v>
      </c>
      <c r="F51" s="129">
        <f>SUM(F45:F50)</f>
        <v>668847659.11835861</v>
      </c>
    </row>
    <row r="52" spans="1:10" x14ac:dyDescent="0.2">
      <c r="C52" s="9">
        <f>'FIXED ASSET'!E52</f>
        <v>-0.12407994968389641</v>
      </c>
      <c r="D52" s="9">
        <f>(D51-C51)/C51</f>
        <v>-0.12045009007837752</v>
      </c>
      <c r="E52" s="9">
        <f>(E51-D51)/D51</f>
        <v>-0.12008774035946485</v>
      </c>
      <c r="F52" s="9">
        <f>(F51-E51)/E51</f>
        <v>-0.11969100208647016</v>
      </c>
      <c r="G52" s="12"/>
      <c r="H52" s="12"/>
      <c r="I52" s="12"/>
      <c r="J52" s="12"/>
    </row>
    <row r="53" spans="1:10" x14ac:dyDescent="0.2">
      <c r="A53" s="2" t="s">
        <v>3069</v>
      </c>
      <c r="C53" s="10"/>
      <c r="D53" s="10"/>
      <c r="E53" s="10"/>
      <c r="F53" s="10"/>
      <c r="G53" s="9"/>
      <c r="H53" s="9"/>
      <c r="I53" s="9"/>
      <c r="J53" s="9"/>
    </row>
    <row r="54" spans="1:10" x14ac:dyDescent="0.2">
      <c r="B54" t="s">
        <v>3059</v>
      </c>
      <c r="C54" s="333">
        <f t="shared" ref="C54:F60" si="3">+C36+C45</f>
        <v>0</v>
      </c>
      <c r="D54" s="333">
        <f t="shared" si="3"/>
        <v>0</v>
      </c>
      <c r="E54" s="333">
        <f t="shared" si="3"/>
        <v>0</v>
      </c>
      <c r="F54" s="333">
        <f t="shared" si="3"/>
        <v>0</v>
      </c>
    </row>
    <row r="55" spans="1:10" x14ac:dyDescent="0.2">
      <c r="B55" t="s">
        <v>3061</v>
      </c>
      <c r="C55" s="333">
        <f t="shared" si="3"/>
        <v>313119864</v>
      </c>
      <c r="D55" s="333">
        <f t="shared" si="3"/>
        <v>348239456.69630086</v>
      </c>
      <c r="E55" s="333">
        <f t="shared" si="3"/>
        <v>382287673.46745944</v>
      </c>
      <c r="F55" s="333">
        <f t="shared" si="3"/>
        <v>415297198.24528837</v>
      </c>
    </row>
    <row r="56" spans="1:10" x14ac:dyDescent="0.2">
      <c r="B56" t="s">
        <v>3062</v>
      </c>
      <c r="C56" s="333">
        <f t="shared" si="3"/>
        <v>176449498</v>
      </c>
      <c r="D56" s="333">
        <f t="shared" si="3"/>
        <v>185928675.36117125</v>
      </c>
      <c r="E56" s="333">
        <f t="shared" si="3"/>
        <v>194443940.22525144</v>
      </c>
      <c r="F56" s="333">
        <f t="shared" si="3"/>
        <v>202093310.30692688</v>
      </c>
    </row>
    <row r="57" spans="1:10" x14ac:dyDescent="0.2">
      <c r="B57" t="s">
        <v>3063</v>
      </c>
      <c r="C57" s="333">
        <f t="shared" si="3"/>
        <v>1984688912</v>
      </c>
      <c r="D57" s="333">
        <f t="shared" si="3"/>
        <v>2124034701.8739016</v>
      </c>
      <c r="E57" s="333">
        <f t="shared" si="3"/>
        <v>2246664357.2014685</v>
      </c>
      <c r="F57" s="333">
        <f t="shared" si="3"/>
        <v>2354583171.1058302</v>
      </c>
    </row>
    <row r="58" spans="1:10" x14ac:dyDescent="0.2">
      <c r="B58" t="s">
        <v>3064</v>
      </c>
      <c r="C58" s="333">
        <f t="shared" si="3"/>
        <v>2515278436</v>
      </c>
      <c r="D58" s="333">
        <f t="shared" si="3"/>
        <v>3194814709.0625</v>
      </c>
      <c r="E58" s="333">
        <f t="shared" si="3"/>
        <v>3789408943.015625</v>
      </c>
      <c r="F58" s="333">
        <f t="shared" si="3"/>
        <v>4309678893.3701172</v>
      </c>
    </row>
    <row r="59" spans="1:10" x14ac:dyDescent="0.2">
      <c r="A59" s="3"/>
      <c r="B59" s="3" t="s">
        <v>3065</v>
      </c>
      <c r="C59" s="334">
        <f t="shared" si="3"/>
        <v>0</v>
      </c>
      <c r="D59" s="334">
        <f t="shared" si="3"/>
        <v>0</v>
      </c>
      <c r="E59" s="334">
        <f t="shared" si="3"/>
        <v>0</v>
      </c>
      <c r="F59" s="334">
        <f t="shared" si="3"/>
        <v>0</v>
      </c>
    </row>
    <row r="60" spans="1:10" x14ac:dyDescent="0.2">
      <c r="A60" s="2" t="s">
        <v>3066</v>
      </c>
      <c r="C60" s="337">
        <f t="shared" si="3"/>
        <v>4989536710</v>
      </c>
      <c r="D60" s="337">
        <f t="shared" si="3"/>
        <v>5853017542.9938736</v>
      </c>
      <c r="E60" s="337">
        <f t="shared" si="3"/>
        <v>6612804913.9098043</v>
      </c>
      <c r="F60" s="337">
        <f t="shared" si="3"/>
        <v>7281652573.028163</v>
      </c>
    </row>
    <row r="62" spans="1:10" x14ac:dyDescent="0.2">
      <c r="A62" s="2" t="s">
        <v>3071</v>
      </c>
    </row>
    <row r="63" spans="1:10" x14ac:dyDescent="0.2">
      <c r="B63" t="s">
        <v>3059</v>
      </c>
      <c r="C63" s="335">
        <f t="shared" ref="C63:F68" si="4">+C26-C54</f>
        <v>7817274315</v>
      </c>
      <c r="D63" s="335">
        <f t="shared" si="4"/>
        <v>7817274315</v>
      </c>
      <c r="E63" s="335">
        <f t="shared" si="4"/>
        <v>7817274315</v>
      </c>
      <c r="F63" s="335">
        <f t="shared" si="4"/>
        <v>7817274315</v>
      </c>
      <c r="G63" s="12"/>
      <c r="H63" s="12"/>
    </row>
    <row r="64" spans="1:10" x14ac:dyDescent="0.2">
      <c r="B64" t="s">
        <v>3061</v>
      </c>
      <c r="C64" s="335">
        <f t="shared" si="4"/>
        <v>340568087</v>
      </c>
      <c r="D64" s="335">
        <f t="shared" si="4"/>
        <v>305448494.30369914</v>
      </c>
      <c r="E64" s="335">
        <f t="shared" si="4"/>
        <v>271400277.53254056</v>
      </c>
      <c r="F64" s="335">
        <f t="shared" si="4"/>
        <v>238390752.75471163</v>
      </c>
      <c r="G64" s="12"/>
      <c r="H64" s="10"/>
    </row>
    <row r="65" spans="1:9" x14ac:dyDescent="0.2">
      <c r="B65" t="s">
        <v>3062</v>
      </c>
      <c r="C65" s="335">
        <f t="shared" si="4"/>
        <v>2</v>
      </c>
      <c r="D65" s="335">
        <f t="shared" si="4"/>
        <v>-9479175.3611712456</v>
      </c>
      <c r="E65" s="335">
        <f t="shared" si="4"/>
        <v>-17994440.225251436</v>
      </c>
      <c r="F65" s="335">
        <f t="shared" si="4"/>
        <v>-25643810.306926876</v>
      </c>
      <c r="H65" s="10"/>
    </row>
    <row r="66" spans="1:9" x14ac:dyDescent="0.2">
      <c r="B66" t="s">
        <v>3063</v>
      </c>
      <c r="C66" s="335">
        <f t="shared" si="4"/>
        <v>223283816</v>
      </c>
      <c r="D66" s="335">
        <f t="shared" si="4"/>
        <v>83938026.126098394</v>
      </c>
      <c r="E66" s="335">
        <f t="shared" si="4"/>
        <v>-38691629.201468468</v>
      </c>
      <c r="F66" s="335">
        <f t="shared" si="4"/>
        <v>-146610443.10583019</v>
      </c>
      <c r="H66" s="12"/>
    </row>
    <row r="67" spans="1:9" x14ac:dyDescent="0.2">
      <c r="B67" t="s">
        <v>3064</v>
      </c>
      <c r="C67" s="335">
        <f t="shared" si="4"/>
        <v>7630231174</v>
      </c>
      <c r="D67" s="335">
        <f t="shared" si="4"/>
        <v>6950694900.9375</v>
      </c>
      <c r="E67" s="335">
        <f t="shared" si="4"/>
        <v>6356100666.984375</v>
      </c>
      <c r="F67" s="335">
        <f t="shared" si="4"/>
        <v>5835830716.6298828</v>
      </c>
      <c r="H67" s="12"/>
      <c r="I67" s="12"/>
    </row>
    <row r="68" spans="1:9" x14ac:dyDescent="0.2">
      <c r="A68" s="3"/>
      <c r="B68" s="3" t="s">
        <v>3065</v>
      </c>
      <c r="C68" s="336">
        <f t="shared" si="4"/>
        <v>0</v>
      </c>
      <c r="D68" s="336">
        <f t="shared" si="4"/>
        <v>0</v>
      </c>
      <c r="E68" s="336">
        <f t="shared" si="4"/>
        <v>0</v>
      </c>
      <c r="F68" s="336">
        <f t="shared" si="4"/>
        <v>0</v>
      </c>
      <c r="I68" s="12"/>
    </row>
    <row r="69" spans="1:9" x14ac:dyDescent="0.2">
      <c r="A69" s="2" t="s">
        <v>3066</v>
      </c>
      <c r="C69" s="337">
        <f>SUM(C63:C68)</f>
        <v>16011357394</v>
      </c>
      <c r="D69" s="337">
        <f>SUM(D63:D68)</f>
        <v>15147876561.006126</v>
      </c>
      <c r="E69" s="337">
        <f>SUM(E63:E68)</f>
        <v>14388089190.090195</v>
      </c>
      <c r="F69" s="337">
        <f>SUM(F63:F68)</f>
        <v>13719241530.971836</v>
      </c>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6">
    <tabColor rgb="FFFFC000"/>
  </sheetPr>
  <dimension ref="A1:M40"/>
  <sheetViews>
    <sheetView showGridLines="0" topLeftCell="A6" zoomScale="115" zoomScaleNormal="115" workbookViewId="0">
      <selection activeCell="A32" sqref="A32"/>
    </sheetView>
  </sheetViews>
  <sheetFormatPr baseColWidth="10" defaultColWidth="8.83203125" defaultRowHeight="15" x14ac:dyDescent="0.2"/>
  <cols>
    <col min="1" max="1" width="19.1640625" customWidth="1"/>
    <col min="2" max="2" width="31.1640625" customWidth="1"/>
    <col min="3" max="3" width="21.1640625" customWidth="1"/>
    <col min="4" max="7" width="20.5" customWidth="1"/>
    <col min="8" max="9" width="15.5" customWidth="1"/>
    <col min="10" max="10" width="16" bestFit="1" customWidth="1"/>
    <col min="11" max="11" width="13.83203125" customWidth="1"/>
  </cols>
  <sheetData>
    <row r="1" spans="1:13" x14ac:dyDescent="0.2">
      <c r="B1" s="2"/>
      <c r="C1" s="2"/>
      <c r="D1" s="2"/>
      <c r="E1" s="2" t="s">
        <v>3392</v>
      </c>
      <c r="G1" s="2"/>
      <c r="H1" s="2"/>
      <c r="I1" s="2"/>
      <c r="J1" s="2"/>
    </row>
    <row r="2" spans="1:13" x14ac:dyDescent="0.2">
      <c r="A2" t="str">
        <f>HOME!B4</f>
        <v>Makmur Jaya Sejati Raya</v>
      </c>
    </row>
    <row r="3" spans="1:13" x14ac:dyDescent="0.2">
      <c r="A3" t="s">
        <v>3112</v>
      </c>
    </row>
    <row r="4" spans="1:13" x14ac:dyDescent="0.2">
      <c r="A4" t="str">
        <f>'BALANCE SHEET'!A3</f>
        <v>(IDR)</v>
      </c>
      <c r="D4">
        <v>5</v>
      </c>
      <c r="E4">
        <v>6</v>
      </c>
      <c r="F4">
        <v>7</v>
      </c>
    </row>
    <row r="6" spans="1:13" x14ac:dyDescent="0.2">
      <c r="A6" s="62"/>
      <c r="B6" s="62"/>
      <c r="C6" s="70">
        <f>'PROY BALANCE SHEET'!C5</f>
        <v>2021</v>
      </c>
      <c r="D6" s="70">
        <f>'PROY BALANCE SHEET'!D5</f>
        <v>2022</v>
      </c>
      <c r="E6" s="70">
        <f>'PROY BALANCE SHEET'!E5</f>
        <v>2023</v>
      </c>
      <c r="F6" s="70">
        <f>'PROY BALANCE SHEET'!F5</f>
        <v>2024</v>
      </c>
      <c r="G6" s="70"/>
      <c r="H6" s="70"/>
      <c r="I6" s="70"/>
      <c r="J6" s="70"/>
    </row>
    <row r="7" spans="1:13" x14ac:dyDescent="0.2">
      <c r="C7" s="118"/>
      <c r="L7" s="73"/>
      <c r="M7" t="s">
        <v>3393</v>
      </c>
    </row>
    <row r="8" spans="1:13" x14ac:dyDescent="0.2">
      <c r="A8" t="s">
        <v>3385</v>
      </c>
      <c r="C8" s="494">
        <f>'INCOME STATEMENT'!E6</f>
        <v>16663916100</v>
      </c>
      <c r="D8" s="99">
        <f>C8*(1+$C$9)</f>
        <v>20456242491.420769</v>
      </c>
      <c r="E8" s="99">
        <f>D8*(1+$C$9)</f>
        <v>25111615682.451054</v>
      </c>
      <c r="F8" s="99">
        <f>E8*(1+$C$9)</f>
        <v>30826445396.684601</v>
      </c>
      <c r="G8" s="10"/>
      <c r="H8" s="10"/>
      <c r="I8" s="10"/>
      <c r="J8" s="10"/>
      <c r="K8" t="s">
        <v>3394</v>
      </c>
    </row>
    <row r="9" spans="1:13" x14ac:dyDescent="0.2">
      <c r="A9" s="81" t="s">
        <v>3395</v>
      </c>
      <c r="C9" s="495">
        <f>'INCOME STATEMENT'!J6</f>
        <v>0.22757714145120844</v>
      </c>
      <c r="D9" s="504">
        <f>(D8-C8)/C8</f>
        <v>0.22757714145120839</v>
      </c>
      <c r="E9" s="504">
        <f>(E8-D8)/D8</f>
        <v>0.22757714145120844</v>
      </c>
      <c r="F9" s="504">
        <f>(F8-E8)/E8</f>
        <v>0.22757714145120841</v>
      </c>
      <c r="G9" s="34"/>
      <c r="H9" s="34"/>
      <c r="I9" s="34"/>
      <c r="J9" s="34"/>
      <c r="K9" s="84"/>
      <c r="L9" s="84"/>
    </row>
    <row r="10" spans="1:13" x14ac:dyDescent="0.2">
      <c r="A10" t="s">
        <v>3396</v>
      </c>
      <c r="C10" s="496">
        <f>'INCOME STATEMENT'!E7</f>
        <v>-10779658214</v>
      </c>
      <c r="D10" s="99">
        <f>ROUNDUP('KEY DRIVERS'!D20*D8,3)</f>
        <v>-13959203284.290001</v>
      </c>
      <c r="E10" s="99">
        <f>ROUNDUP('KEY DRIVERS'!E20*E8,3)</f>
        <v>-17135998864.665001</v>
      </c>
      <c r="F10" s="99">
        <f>ROUNDUP('KEY DRIVERS'!F20*F8,3)</f>
        <v>-21035760502.196999</v>
      </c>
      <c r="G10" s="10"/>
      <c r="H10" s="10"/>
      <c r="I10" s="10"/>
      <c r="J10" s="10"/>
    </row>
    <row r="11" spans="1:13" ht="16" customHeight="1" thickBot="1" x14ac:dyDescent="0.25">
      <c r="A11" s="25" t="s">
        <v>3116</v>
      </c>
      <c r="B11" s="25"/>
      <c r="C11" s="497">
        <f>'INCOME STATEMENT'!E8</f>
        <v>5884257886</v>
      </c>
      <c r="D11" s="505">
        <f>+D8+D10</f>
        <v>6497039207.1307678</v>
      </c>
      <c r="E11" s="505">
        <f>+E8+E10</f>
        <v>7975616817.7860527</v>
      </c>
      <c r="F11" s="505">
        <f>+F8+F10</f>
        <v>9790684894.4876022</v>
      </c>
      <c r="G11" s="69"/>
      <c r="H11" s="69"/>
      <c r="I11" s="69"/>
      <c r="J11" s="69"/>
    </row>
    <row r="12" spans="1:13" x14ac:dyDescent="0.2">
      <c r="B12" s="1" t="s">
        <v>3117</v>
      </c>
      <c r="C12" s="122">
        <f>'INCOME STATEMENT'!E9</f>
        <v>0.35311374893444164</v>
      </c>
      <c r="D12" s="506">
        <f>+D11/D8</f>
        <v>0.3176066772700602</v>
      </c>
      <c r="E12" s="506">
        <f>+E11/E8</f>
        <v>0.31760667727006175</v>
      </c>
      <c r="F12" s="506">
        <f>+F11/F8</f>
        <v>0.31760667727004926</v>
      </c>
      <c r="G12" s="74"/>
      <c r="H12" s="74"/>
      <c r="I12" s="74"/>
      <c r="J12" s="74"/>
    </row>
    <row r="13" spans="1:13" x14ac:dyDescent="0.2">
      <c r="C13" s="118"/>
      <c r="E13" s="1"/>
      <c r="F13" s="1"/>
    </row>
    <row r="14" spans="1:13" x14ac:dyDescent="0.2">
      <c r="A14" t="s">
        <v>3118</v>
      </c>
      <c r="C14" s="118"/>
      <c r="E14" s="1"/>
      <c r="F14" s="1"/>
    </row>
    <row r="15" spans="1:13" x14ac:dyDescent="0.2">
      <c r="B15" t="s">
        <v>3089</v>
      </c>
      <c r="C15" s="496">
        <f>'INCOME STATEMENT'!E12</f>
        <v>0</v>
      </c>
      <c r="D15" s="75">
        <f>D8*'KEY DRIVERS'!D23</f>
        <v>0</v>
      </c>
      <c r="E15" s="508">
        <f>E8*'KEY DRIVERS'!E23</f>
        <v>0</v>
      </c>
      <c r="F15" s="508">
        <f>F8*'KEY DRIVERS'!F23</f>
        <v>0</v>
      </c>
      <c r="G15" s="75"/>
      <c r="H15" s="75"/>
      <c r="I15" s="75"/>
      <c r="J15" s="75"/>
    </row>
    <row r="16" spans="1:13" x14ac:dyDescent="0.2">
      <c r="A16" s="3"/>
      <c r="B16" s="3" t="s">
        <v>3397</v>
      </c>
      <c r="C16" s="498">
        <f>'INCOME STATEMENT'!E13</f>
        <v>-2641095104</v>
      </c>
      <c r="D16" s="507">
        <f>D8*'KEY DRIVERS'!D24</f>
        <v>-3200219217.7813277</v>
      </c>
      <c r="E16" s="507">
        <f>E8*'KEY DRIVERS'!E24</f>
        <v>-3928515959.3812246</v>
      </c>
      <c r="F16" s="507">
        <f>F8*'KEY DRIVERS'!F24</f>
        <v>-4822556391.5626554</v>
      </c>
      <c r="G16" s="76"/>
      <c r="H16" s="76"/>
      <c r="I16" s="76"/>
      <c r="J16" s="76"/>
    </row>
    <row r="17" spans="1:10" x14ac:dyDescent="0.2">
      <c r="A17" t="s">
        <v>3398</v>
      </c>
      <c r="C17" s="499">
        <f>SUM(C15:C16)</f>
        <v>-2641095104</v>
      </c>
      <c r="D17" s="508">
        <f>SUM(D15:D16)</f>
        <v>-3200219217.7813277</v>
      </c>
      <c r="E17" s="508">
        <f>SUM(E15:E16)</f>
        <v>-3928515959.3812246</v>
      </c>
      <c r="F17" s="508">
        <f>SUM(F15:F16)</f>
        <v>-4822556391.5626554</v>
      </c>
      <c r="G17" s="75"/>
      <c r="H17" s="75"/>
      <c r="I17" s="75"/>
      <c r="J17" s="75"/>
    </row>
    <row r="18" spans="1:10" x14ac:dyDescent="0.2">
      <c r="A18" s="3"/>
      <c r="B18" s="3"/>
      <c r="C18" s="123"/>
      <c r="D18" s="3"/>
      <c r="E18" s="77"/>
      <c r="F18" s="77"/>
      <c r="G18" s="3"/>
      <c r="H18" s="3"/>
      <c r="I18" s="3"/>
      <c r="J18" s="3"/>
    </row>
    <row r="19" spans="1:10" x14ac:dyDescent="0.2">
      <c r="A19" s="2" t="s">
        <v>1</v>
      </c>
      <c r="C19" s="499">
        <f>C11+C17</f>
        <v>3243162782</v>
      </c>
      <c r="D19" s="509">
        <f>D11+D17</f>
        <v>3296819989.3494401</v>
      </c>
      <c r="E19" s="509">
        <f>E11+E17</f>
        <v>4047100858.4048281</v>
      </c>
      <c r="F19" s="509">
        <f>F11+F17</f>
        <v>4968128502.9249468</v>
      </c>
      <c r="G19" s="12"/>
      <c r="H19" s="12"/>
      <c r="I19" s="12"/>
      <c r="J19" s="12"/>
    </row>
    <row r="20" spans="1:10" x14ac:dyDescent="0.2">
      <c r="C20" s="495">
        <f>C19/C8</f>
        <v>0.1946218861483586</v>
      </c>
      <c r="D20" s="510">
        <f>D19/D8</f>
        <v>0.16116449493264012</v>
      </c>
      <c r="E20" s="510">
        <f>E19/E8</f>
        <v>0.16116449493264168</v>
      </c>
      <c r="F20" s="510">
        <f>F19/F8</f>
        <v>0.16116449493262922</v>
      </c>
      <c r="G20" s="74"/>
      <c r="H20" s="74"/>
      <c r="I20" s="74"/>
      <c r="J20" s="74"/>
    </row>
    <row r="21" spans="1:10" x14ac:dyDescent="0.2">
      <c r="C21" s="118"/>
      <c r="E21" s="1"/>
      <c r="F21" s="1"/>
    </row>
    <row r="22" spans="1:10" x14ac:dyDescent="0.2">
      <c r="A22" t="s">
        <v>3123</v>
      </c>
      <c r="C22" s="496">
        <f>'FIXED ASSET'!E51*-1</f>
        <v>-981730341</v>
      </c>
      <c r="D22" s="509">
        <f>'PROY FIXED ASSETS'!D51*-1</f>
        <v>-863480832.99387372</v>
      </c>
      <c r="E22" s="509">
        <f>'PROY FIXED ASSETS'!E51*-1</f>
        <v>-759787370.91593099</v>
      </c>
      <c r="F22" s="509">
        <f>'PROY FIXED ASSETS'!F51*-1</f>
        <v>-668847659.11835861</v>
      </c>
      <c r="G22" s="12"/>
      <c r="H22" s="12"/>
      <c r="I22" s="12"/>
      <c r="J22" s="12"/>
    </row>
    <row r="23" spans="1:10" x14ac:dyDescent="0.2">
      <c r="A23" s="1" t="s">
        <v>3399</v>
      </c>
      <c r="C23" s="145"/>
      <c r="D23" s="378"/>
      <c r="E23" s="512"/>
      <c r="F23" s="512"/>
      <c r="G23" s="146"/>
      <c r="H23" s="9"/>
      <c r="I23" s="9"/>
      <c r="J23" s="9"/>
    </row>
    <row r="24" spans="1:10" x14ac:dyDescent="0.2">
      <c r="C24" s="115"/>
      <c r="D24" s="12"/>
      <c r="E24" s="509"/>
      <c r="F24" s="509"/>
      <c r="G24" s="12"/>
      <c r="H24" s="12"/>
      <c r="I24" s="12"/>
      <c r="J24" s="12"/>
    </row>
    <row r="25" spans="1:10" x14ac:dyDescent="0.2">
      <c r="A25" s="2" t="s">
        <v>3124</v>
      </c>
      <c r="C25" s="496">
        <f>'INCOME STATEMENT'!E22</f>
        <v>2261432441</v>
      </c>
      <c r="D25" s="509">
        <f>D19+D22</f>
        <v>2433339156.3555665</v>
      </c>
      <c r="E25" s="509">
        <f>E19+E22</f>
        <v>3287313487.4888973</v>
      </c>
      <c r="F25" s="509">
        <f>F19+F22</f>
        <v>4299280843.8065882</v>
      </c>
      <c r="G25" s="12"/>
      <c r="H25" s="12"/>
      <c r="I25" s="12"/>
      <c r="J25" s="12"/>
    </row>
    <row r="26" spans="1:10" x14ac:dyDescent="0.2">
      <c r="A26" s="1" t="s">
        <v>3154</v>
      </c>
      <c r="C26" s="500">
        <f>'INCOME STATEMENT'!C23</f>
        <v>7.294240047953808E-2</v>
      </c>
      <c r="D26" s="506">
        <f>D25/D8</f>
        <v>0.11895337852863716</v>
      </c>
      <c r="E26" s="506">
        <f>E25/E8</f>
        <v>0.13090808369555434</v>
      </c>
      <c r="F26" s="506">
        <f>F25/F8</f>
        <v>0.1394672914272814</v>
      </c>
      <c r="G26" s="74"/>
      <c r="H26" s="74"/>
      <c r="I26" s="74"/>
      <c r="J26" s="74"/>
    </row>
    <row r="27" spans="1:10" x14ac:dyDescent="0.2">
      <c r="C27" s="118"/>
      <c r="E27" s="1"/>
      <c r="F27" s="1"/>
    </row>
    <row r="28" spans="1:10" x14ac:dyDescent="0.2">
      <c r="A28" t="s">
        <v>3400</v>
      </c>
      <c r="C28" s="118"/>
      <c r="E28" s="1"/>
      <c r="F28" s="1"/>
    </row>
    <row r="29" spans="1:10" x14ac:dyDescent="0.2">
      <c r="A29" t="s">
        <v>16</v>
      </c>
      <c r="C29" s="501">
        <f>'INCOME STATEMENT'!E26</f>
        <v>13957341</v>
      </c>
      <c r="D29" s="487">
        <f>C29*(1+'INCOME STATEMENT'!$J26)</f>
        <v>14006615.234779395</v>
      </c>
      <c r="E29" s="487">
        <f>D29*(1+'INCOME STATEMENT'!$J26)</f>
        <v>14056063.424627531</v>
      </c>
      <c r="F29" s="487">
        <f>E29*(1+'INCOME STATEMENT'!$J26)</f>
        <v>14105686.183665887</v>
      </c>
      <c r="G29" s="33"/>
      <c r="H29" s="33"/>
      <c r="I29" s="33"/>
      <c r="J29" s="33"/>
    </row>
    <row r="30" spans="1:10" s="1" customFormat="1" x14ac:dyDescent="0.2">
      <c r="A30" s="1" t="s">
        <v>3401</v>
      </c>
      <c r="C30" s="147">
        <f>('INCOME STATEMENT'!E26-'INCOME STATEMENT'!D26)/'INCOME STATEMENT'!D26</f>
        <v>0.18243139807723407</v>
      </c>
      <c r="D30" s="146">
        <f>(D29-C29)/C29</f>
        <v>3.5303454131696836E-3</v>
      </c>
      <c r="E30" s="148">
        <f>(E29-D29)/D29</f>
        <v>3.5303454131696914E-3</v>
      </c>
      <c r="F30" s="148">
        <f>(F29-E29)/E29</f>
        <v>3.5303454131696299E-3</v>
      </c>
      <c r="G30" s="146"/>
      <c r="H30" s="9"/>
      <c r="I30" s="9"/>
      <c r="J30" s="9"/>
    </row>
    <row r="31" spans="1:10" x14ac:dyDescent="0.2">
      <c r="A31" t="s">
        <v>15</v>
      </c>
      <c r="C31" s="496">
        <f>'INCOME STATEMENT'!E27</f>
        <v>-942033</v>
      </c>
      <c r="D31" s="487">
        <f>C31*(1+'INCOME STATEMENT'!$J27)</f>
        <v>-941430.2289849401</v>
      </c>
      <c r="E31" s="487">
        <f>D31*(1+'INCOME STATEMENT'!$J27)</f>
        <v>-940827.84366008057</v>
      </c>
      <c r="F31" s="487">
        <f>E31*(1+'INCOME STATEMENT'!$J27)</f>
        <v>-940225.84377863305</v>
      </c>
      <c r="G31" s="33"/>
      <c r="H31" s="33"/>
      <c r="I31" s="33"/>
      <c r="J31" s="33"/>
    </row>
    <row r="32" spans="1:10" x14ac:dyDescent="0.2">
      <c r="A32" s="77" t="s">
        <v>3402</v>
      </c>
      <c r="B32" s="3"/>
      <c r="C32" s="502">
        <f>('INCOME STATEMENT'!E27-'INCOME STATEMENT'!D27)/'INCOME STATEMENT'!D27</f>
        <v>-0.30790271010514808</v>
      </c>
      <c r="D32" s="376">
        <f>(D31-C31)/C31</f>
        <v>-6.3986188919061375E-4</v>
      </c>
      <c r="E32" s="513">
        <f>(E31-D31)/D31</f>
        <v>-6.3986188919068823E-4</v>
      </c>
      <c r="F32" s="513">
        <f>(F31-E31)/E31</f>
        <v>-6.3986188919067241E-4</v>
      </c>
      <c r="G32" s="377"/>
      <c r="H32" s="136"/>
      <c r="I32" s="136"/>
      <c r="J32" s="136"/>
    </row>
    <row r="33" spans="1:10" x14ac:dyDescent="0.2">
      <c r="A33" t="s">
        <v>3400</v>
      </c>
      <c r="C33" s="499">
        <f>C29+C31</f>
        <v>13015308</v>
      </c>
      <c r="D33" s="509">
        <f>D29+D31</f>
        <v>13065185.005794454</v>
      </c>
      <c r="E33" s="509">
        <f>E29+E31</f>
        <v>13115235.580967451</v>
      </c>
      <c r="F33" s="509">
        <f>F29+F31</f>
        <v>13165460.339887254</v>
      </c>
      <c r="G33" s="12"/>
      <c r="H33" s="12"/>
      <c r="I33" s="12"/>
      <c r="J33" s="12"/>
    </row>
    <row r="34" spans="1:10" x14ac:dyDescent="0.2">
      <c r="A34" s="1" t="s">
        <v>3221</v>
      </c>
      <c r="C34" s="496">
        <f>'INCOME STATEMENT'!E30</f>
        <v>-212875</v>
      </c>
      <c r="D34" s="487">
        <f>C34*(1+'INCOME STATEMENT'!$J30)</f>
        <v>-212874.09353508998</v>
      </c>
      <c r="E34" s="487">
        <f>D34*(1+'INCOME STATEMENT'!$J30)</f>
        <v>-212873.18707403986</v>
      </c>
      <c r="F34" s="487">
        <f>E34*(1+'INCOME STATEMENT'!$J30)</f>
        <v>-212872.28061684963</v>
      </c>
      <c r="G34" s="33"/>
      <c r="H34" s="33"/>
      <c r="I34" s="33"/>
      <c r="J34" s="33"/>
    </row>
    <row r="35" spans="1:10" x14ac:dyDescent="0.2">
      <c r="C35" s="118"/>
      <c r="E35" s="1"/>
      <c r="F35" s="1"/>
    </row>
    <row r="36" spans="1:10" ht="16" customHeight="1" thickBot="1" x14ac:dyDescent="0.25">
      <c r="A36" s="78" t="s">
        <v>3131</v>
      </c>
      <c r="B36" s="79"/>
      <c r="C36" s="503">
        <f>C25+C33+C34</f>
        <v>2274234874</v>
      </c>
      <c r="D36" s="511">
        <f>D25+D33+D34</f>
        <v>2446191467.2678261</v>
      </c>
      <c r="E36" s="511">
        <f>E25+E33+E34</f>
        <v>3300215849.8827906</v>
      </c>
      <c r="F36" s="511">
        <f>F25+F33+F34</f>
        <v>4312233431.865859</v>
      </c>
      <c r="G36" s="80"/>
      <c r="H36" s="80"/>
      <c r="I36" s="80"/>
      <c r="J36" s="80"/>
    </row>
    <row r="37" spans="1:10" ht="16" customHeight="1" thickTop="1" x14ac:dyDescent="0.2">
      <c r="A37" t="s">
        <v>2</v>
      </c>
      <c r="B37" s="564">
        <f>STAT_ASSUMPTIONS!B5</f>
        <v>0.22</v>
      </c>
      <c r="C37" s="496">
        <f>'INCOME STATEMENT'!E33</f>
        <v>-436128347</v>
      </c>
      <c r="D37" s="565">
        <f>$B$37*D36*-1</f>
        <v>-538162122.7989217</v>
      </c>
      <c r="E37" s="565">
        <f>$B$37*E36*-1</f>
        <v>-726047486.97421396</v>
      </c>
      <c r="F37" s="565">
        <f>$B$37*F36*-1</f>
        <v>-948691355.01048899</v>
      </c>
      <c r="G37" s="12"/>
      <c r="H37" s="12"/>
      <c r="I37" s="12"/>
      <c r="J37" s="12"/>
    </row>
    <row r="38" spans="1:10" x14ac:dyDescent="0.2">
      <c r="C38" s="118"/>
      <c r="E38" s="1"/>
      <c r="F38" s="1"/>
    </row>
    <row r="39" spans="1:10" ht="16" customHeight="1" thickBot="1" x14ac:dyDescent="0.25">
      <c r="A39" s="78" t="s">
        <v>3132</v>
      </c>
      <c r="B39" s="78" t="s">
        <v>93</v>
      </c>
      <c r="C39" s="503">
        <f>C36+C37</f>
        <v>1838106527</v>
      </c>
      <c r="D39" s="566">
        <f>D36+D37</f>
        <v>1908029344.4689045</v>
      </c>
      <c r="E39" s="566">
        <f>E36+E37</f>
        <v>2574168362.9085765</v>
      </c>
      <c r="F39" s="566">
        <f>F36+F37</f>
        <v>3363542076.85537</v>
      </c>
      <c r="G39" s="80"/>
      <c r="H39" s="80"/>
      <c r="I39" s="80"/>
      <c r="J39" s="80"/>
    </row>
    <row r="40" spans="1:10" ht="16" customHeight="1" thickTop="1" x14ac:dyDescent="0.2">
      <c r="A40" s="1" t="s">
        <v>3403</v>
      </c>
      <c r="C40" s="122">
        <f>C39/C8</f>
        <v>0.11030459562863498</v>
      </c>
      <c r="D40" s="71">
        <f>D39/D8</f>
        <v>9.3273696049952531E-2</v>
      </c>
      <c r="E40" s="71">
        <f>E39/E8</f>
        <v>0.10250906972535036</v>
      </c>
      <c r="F40" s="71">
        <f>F39/F8</f>
        <v>0.10911222599856163</v>
      </c>
      <c r="G40" s="9"/>
      <c r="H40" s="9"/>
      <c r="I40" s="9"/>
      <c r="J40" s="9"/>
    </row>
  </sheetData>
  <hyperlinks>
    <hyperlink ref="C8" location="'INCOME STATEMENT'!F6" display="'INCOME STATEMENT'!F6" xr:uid="{00000000-0004-0000-1500-000000000000}"/>
  </hyperlink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8">
    <tabColor rgb="FFFFC000"/>
  </sheetPr>
  <dimension ref="A1:Z80"/>
  <sheetViews>
    <sheetView showGridLines="0" zoomScale="85" zoomScaleNormal="85" workbookViewId="0">
      <selection activeCell="K5" sqref="K5"/>
    </sheetView>
  </sheetViews>
  <sheetFormatPr baseColWidth="10" defaultColWidth="8.83203125" defaultRowHeight="15" x14ac:dyDescent="0.2"/>
  <cols>
    <col min="1" max="1" width="16.5" customWidth="1"/>
    <col min="2" max="2" width="34.33203125" customWidth="1"/>
    <col min="3" max="3" width="18.33203125" style="1" customWidth="1"/>
    <col min="4" max="5" width="18" bestFit="1" customWidth="1"/>
    <col min="6" max="6" width="21.5" customWidth="1"/>
    <col min="7" max="7" width="18" bestFit="1" customWidth="1"/>
    <col min="8" max="10" width="16.5" customWidth="1"/>
    <col min="11" max="11" width="17.5" bestFit="1" customWidth="1"/>
    <col min="20" max="20" width="19" bestFit="1" customWidth="1"/>
    <col min="21" max="21" width="26.6640625" customWidth="1"/>
    <col min="22" max="23" width="19.6640625" bestFit="1" customWidth="1"/>
    <col min="24" max="26" width="19" bestFit="1" customWidth="1"/>
  </cols>
  <sheetData>
    <row r="1" spans="1:26" x14ac:dyDescent="0.2">
      <c r="A1" s="2" t="s">
        <v>3404</v>
      </c>
      <c r="B1" s="2"/>
      <c r="C1" s="101"/>
      <c r="D1" s="2"/>
      <c r="E1" s="2"/>
      <c r="F1" s="2"/>
      <c r="G1" s="2"/>
      <c r="H1" s="2"/>
      <c r="I1" s="2"/>
      <c r="J1" s="2"/>
    </row>
    <row r="2" spans="1:26" x14ac:dyDescent="0.2">
      <c r="A2" t="str">
        <f>HOME!B4</f>
        <v>Makmur Jaya Sejati Raya</v>
      </c>
    </row>
    <row r="3" spans="1:26" x14ac:dyDescent="0.2">
      <c r="A3" t="s">
        <v>3076</v>
      </c>
    </row>
    <row r="4" spans="1:26" x14ac:dyDescent="0.2">
      <c r="A4" t="str">
        <f>'BALANCE SHEET'!A3</f>
        <v>(IDR)</v>
      </c>
    </row>
    <row r="5" spans="1:26" x14ac:dyDescent="0.2">
      <c r="A5" s="8"/>
      <c r="B5" s="8"/>
      <c r="C5" s="514">
        <f>'BALANCE SHEET'!E4</f>
        <v>2021</v>
      </c>
      <c r="D5" s="8">
        <f>C5+1</f>
        <v>2022</v>
      </c>
      <c r="E5" s="8">
        <f>D5+1</f>
        <v>2023</v>
      </c>
      <c r="F5" s="8">
        <f>E5+1</f>
        <v>2024</v>
      </c>
      <c r="G5" s="8"/>
      <c r="H5" s="8"/>
      <c r="I5" s="8"/>
      <c r="J5" s="8"/>
      <c r="K5" t="s">
        <v>3405</v>
      </c>
    </row>
    <row r="6" spans="1:26" x14ac:dyDescent="0.2">
      <c r="A6" s="2" t="s">
        <v>3083</v>
      </c>
      <c r="C6" s="496"/>
      <c r="D6" s="10"/>
      <c r="E6" s="10"/>
    </row>
    <row r="7" spans="1:26" x14ac:dyDescent="0.2">
      <c r="C7" s="496"/>
      <c r="D7" s="10"/>
      <c r="E7" s="10"/>
    </row>
    <row r="8" spans="1:26" x14ac:dyDescent="0.2">
      <c r="A8" s="2" t="s">
        <v>204</v>
      </c>
      <c r="C8" s="496"/>
      <c r="D8" s="10"/>
      <c r="E8" s="10"/>
    </row>
    <row r="9" spans="1:26" x14ac:dyDescent="0.2">
      <c r="B9" t="s">
        <v>3406</v>
      </c>
      <c r="C9" s="496">
        <f>'BALANCE SHEET'!E8</f>
        <v>717848795</v>
      </c>
      <c r="D9" s="10">
        <f>C9*(1+C10)</f>
        <v>2180739308.8988132</v>
      </c>
      <c r="E9" s="10">
        <f>D9*(1+D10)</f>
        <v>6624826797.0923796</v>
      </c>
      <c r="F9" s="10">
        <f>E9*(1+E10)</f>
        <v>20125436319.866741</v>
      </c>
      <c r="G9" s="10"/>
      <c r="H9" s="10"/>
      <c r="I9" s="10"/>
      <c r="J9" s="10"/>
    </row>
    <row r="10" spans="1:26" x14ac:dyDescent="0.2">
      <c r="B10" s="82" t="s">
        <v>3407</v>
      </c>
      <c r="C10" s="122">
        <f>'BALANCE SHEET'!P8</f>
        <v>2.0378811305224986</v>
      </c>
      <c r="D10" s="71">
        <f>(D9-C9)/C9</f>
        <v>2.0378811305224986</v>
      </c>
      <c r="E10" s="71">
        <f>(E9-D9)/D9</f>
        <v>2.0378811305224986</v>
      </c>
      <c r="F10" s="71">
        <f>(F9-E9)/E9</f>
        <v>2.0378811305224982</v>
      </c>
      <c r="G10" s="71"/>
      <c r="H10" s="71"/>
      <c r="I10" s="71"/>
      <c r="J10" s="71"/>
      <c r="K10" s="95">
        <f>AVERAGE(D10:J10)</f>
        <v>2.0378811305224986</v>
      </c>
    </row>
    <row r="11" spans="1:26" x14ac:dyDescent="0.2">
      <c r="B11" t="s">
        <v>3408</v>
      </c>
      <c r="C11" s="496">
        <f>'BALANCE SHEET'!E9</f>
        <v>337031731</v>
      </c>
      <c r="D11" s="10">
        <f>C11*(1+C12)</f>
        <v>350375968.10926455</v>
      </c>
      <c r="E11" s="10">
        <f>D11*(1+D12)</f>
        <v>364248549.13291341</v>
      </c>
      <c r="F11" s="10">
        <f>E11*(1+E12)</f>
        <v>378670393.0106793</v>
      </c>
      <c r="G11" s="10"/>
      <c r="H11" s="10"/>
      <c r="I11" s="10"/>
      <c r="J11" s="10"/>
      <c r="K11" s="1"/>
      <c r="S11" s="375"/>
      <c r="T11" s="10"/>
      <c r="U11" s="10"/>
      <c r="V11" s="10"/>
      <c r="W11" s="10"/>
      <c r="X11" s="10"/>
      <c r="Y11" s="10"/>
      <c r="Z11" s="10"/>
    </row>
    <row r="12" spans="1:26" x14ac:dyDescent="0.2">
      <c r="B12" s="82" t="s">
        <v>3409</v>
      </c>
      <c r="C12" s="147">
        <f>'BALANCE SHEET'!P9</f>
        <v>3.9593414749617528E-2</v>
      </c>
      <c r="D12" s="148">
        <f>(D11-C11)/C11</f>
        <v>3.9593414749617604E-2</v>
      </c>
      <c r="E12" s="148">
        <f>(E11-D11)/D11</f>
        <v>3.959341474961748E-2</v>
      </c>
      <c r="F12" s="148">
        <f>(F11-E11)/E11</f>
        <v>3.959341474961757E-2</v>
      </c>
      <c r="G12" s="148"/>
      <c r="H12" s="71"/>
      <c r="I12" s="71"/>
      <c r="J12" s="71"/>
      <c r="K12" s="95">
        <f>AVERAGE(D12:J12)</f>
        <v>3.9593414749617549E-2</v>
      </c>
      <c r="S12" s="375"/>
      <c r="T12" s="10"/>
      <c r="U12" s="10"/>
      <c r="V12" s="10"/>
      <c r="W12" s="10"/>
      <c r="X12" s="10"/>
      <c r="Y12" s="10"/>
      <c r="Z12" s="10"/>
    </row>
    <row r="13" spans="1:26" x14ac:dyDescent="0.2">
      <c r="B13" t="s">
        <v>3410</v>
      </c>
      <c r="C13" s="496">
        <f>'BALANCE SHEET'!E10</f>
        <v>191055111</v>
      </c>
      <c r="D13" s="10">
        <f>C13*(1+C14)</f>
        <v>254721746.84609428</v>
      </c>
      <c r="E13" s="10">
        <f>D13*(1+D14)</f>
        <v>339604462.69519448</v>
      </c>
      <c r="F13" s="10">
        <f>E13*(1+E14)</f>
        <v>452773241.82365996</v>
      </c>
      <c r="G13" s="10"/>
      <c r="H13" s="10"/>
      <c r="I13" s="10"/>
      <c r="J13" s="10"/>
      <c r="K13" s="1"/>
      <c r="S13" s="375"/>
      <c r="T13" s="10"/>
      <c r="U13" s="10"/>
      <c r="V13" s="10"/>
      <c r="W13" s="10"/>
      <c r="X13" s="10"/>
      <c r="Y13" s="10"/>
      <c r="Z13" s="10"/>
    </row>
    <row r="14" spans="1:26" x14ac:dyDescent="0.2">
      <c r="B14" s="82" t="s">
        <v>3411</v>
      </c>
      <c r="C14" s="122">
        <f>'BALANCE SHEET'!P10</f>
        <v>0.33323702000358574</v>
      </c>
      <c r="D14" s="71">
        <f>C14</f>
        <v>0.33323702000358574</v>
      </c>
      <c r="E14" s="71">
        <f>C14</f>
        <v>0.33323702000358574</v>
      </c>
      <c r="F14" s="71">
        <f>C14</f>
        <v>0.33323702000358574</v>
      </c>
      <c r="G14" s="71"/>
      <c r="H14" s="71"/>
      <c r="I14" s="71"/>
      <c r="J14" s="71"/>
      <c r="K14" s="95">
        <f>AVERAGE(D14:J14)</f>
        <v>0.33323702000358574</v>
      </c>
      <c r="T14" s="37"/>
      <c r="U14" s="37"/>
      <c r="V14" s="37"/>
      <c r="W14" s="37"/>
      <c r="X14" s="37"/>
      <c r="Y14" s="37"/>
      <c r="Z14" s="37"/>
    </row>
    <row r="15" spans="1:26" x14ac:dyDescent="0.2">
      <c r="B15" t="s">
        <v>3412</v>
      </c>
      <c r="C15" s="496">
        <f>'BALANCE SHEET'!E11</f>
        <v>21000000</v>
      </c>
      <c r="D15" s="10">
        <f>C15*(1+C16)</f>
        <v>18422480.62015504</v>
      </c>
      <c r="E15" s="10">
        <f>D15*(1+D16)</f>
        <v>16161323.438094668</v>
      </c>
      <c r="F15" s="10">
        <f>E15*(1+E16)</f>
        <v>14177698.468302688</v>
      </c>
      <c r="G15" s="10"/>
      <c r="H15" s="10"/>
      <c r="I15" s="10"/>
      <c r="J15" s="10"/>
      <c r="K15" s="1"/>
    </row>
    <row r="16" spans="1:26" x14ac:dyDescent="0.2">
      <c r="B16" s="82" t="s">
        <v>3413</v>
      </c>
      <c r="C16" s="122">
        <f>'BALANCE SHEET'!P11</f>
        <v>-0.1227390180878553</v>
      </c>
      <c r="D16" s="71">
        <f>(D15-C15)/C15</f>
        <v>-0.12273901808785523</v>
      </c>
      <c r="E16" s="71">
        <f>(E15-D15)/D15</f>
        <v>-0.12273901808785524</v>
      </c>
      <c r="F16" s="71">
        <f>(F15-E15)/E15</f>
        <v>-0.12273901808785526</v>
      </c>
      <c r="G16" s="71"/>
      <c r="H16" s="71"/>
      <c r="I16" s="71"/>
      <c r="J16" s="71"/>
      <c r="K16" s="95">
        <f>AVERAGE(D16:J16)</f>
        <v>-0.12273901808785524</v>
      </c>
    </row>
    <row r="17" spans="1:11" x14ac:dyDescent="0.2">
      <c r="B17" t="s">
        <v>3088</v>
      </c>
      <c r="C17" s="496">
        <f>'BALANCE SHEET'!E12</f>
        <v>0</v>
      </c>
      <c r="D17" s="10">
        <f>C17*(1+C18)</f>
        <v>0</v>
      </c>
      <c r="E17" s="397">
        <v>0</v>
      </c>
      <c r="F17" s="10">
        <v>0</v>
      </c>
      <c r="G17" s="10"/>
      <c r="H17" s="10"/>
      <c r="I17" s="10"/>
      <c r="J17" s="10"/>
      <c r="K17" s="1"/>
    </row>
    <row r="18" spans="1:11" x14ac:dyDescent="0.2">
      <c r="B18" s="82" t="s">
        <v>3414</v>
      </c>
      <c r="C18" s="122">
        <f>'BALANCE SHEET'!P12</f>
        <v>0</v>
      </c>
      <c r="D18" s="71">
        <f>IFERROR((D17-C17)/C17,0)</f>
        <v>0</v>
      </c>
      <c r="E18" s="71">
        <f>IFERROR((E17-D17)/D17,0)</f>
        <v>0</v>
      </c>
      <c r="F18" s="71">
        <f>IFERROR((F17-E17)/E17,0)</f>
        <v>0</v>
      </c>
      <c r="G18" s="148"/>
      <c r="H18" s="71"/>
      <c r="I18" s="71"/>
      <c r="J18" s="71"/>
      <c r="K18" s="95">
        <f>AVERAGE(D18:J18)</f>
        <v>0</v>
      </c>
    </row>
    <row r="19" spans="1:11" x14ac:dyDescent="0.2">
      <c r="B19" t="s">
        <v>3089</v>
      </c>
      <c r="C19" s="496">
        <f>'BALANCE SHEET'!E13</f>
        <v>0</v>
      </c>
      <c r="D19" s="10">
        <f>C19*(1+C20)</f>
        <v>0</v>
      </c>
      <c r="E19" s="10">
        <f>D19*(1+D20)</f>
        <v>0</v>
      </c>
      <c r="F19" s="10">
        <f>E19*(1+E20)</f>
        <v>0</v>
      </c>
      <c r="G19" s="10"/>
      <c r="H19" s="10"/>
      <c r="I19" s="10"/>
      <c r="J19" s="10"/>
      <c r="K19" s="1"/>
    </row>
    <row r="20" spans="1:11" x14ac:dyDescent="0.2">
      <c r="B20" s="82" t="s">
        <v>3415</v>
      </c>
      <c r="C20" s="71">
        <f>'BALANCE SHEET'!P13</f>
        <v>0</v>
      </c>
      <c r="D20" s="71">
        <f>IFERROR((D19-C19)/C19,0)</f>
        <v>0</v>
      </c>
      <c r="E20" s="71">
        <f>IFERROR((E19-D19)/D19,0)</f>
        <v>0</v>
      </c>
      <c r="F20" s="71">
        <f>IFERROR((F19-E19)/E19,0)</f>
        <v>0</v>
      </c>
      <c r="G20" s="71"/>
      <c r="H20" s="71"/>
      <c r="I20" s="71"/>
      <c r="J20" s="71"/>
      <c r="K20" s="95">
        <f>AVERAGE(D20:J20)</f>
        <v>0</v>
      </c>
    </row>
    <row r="21" spans="1:11" x14ac:dyDescent="0.2">
      <c r="A21" s="20" t="s">
        <v>204</v>
      </c>
      <c r="B21" s="3"/>
      <c r="C21" s="515">
        <f>C9+C11+C13+C15+C17+C19</f>
        <v>1266935637</v>
      </c>
      <c r="D21" s="371">
        <f>D9+D11+D13+D15+D17+D19</f>
        <v>2804259504.4743266</v>
      </c>
      <c r="E21" s="371">
        <f>E9+E11+E13+E15+E17+E19</f>
        <v>7344841132.3585825</v>
      </c>
      <c r="F21" s="371">
        <f>F9+F11+F13+F15+F17+F19</f>
        <v>20971057653.169388</v>
      </c>
      <c r="G21" s="371"/>
      <c r="H21" s="14"/>
      <c r="I21" s="14"/>
      <c r="J21" s="14"/>
    </row>
    <row r="22" spans="1:11" x14ac:dyDescent="0.2">
      <c r="C22" s="496"/>
      <c r="D22" s="10"/>
      <c r="E22" s="10"/>
    </row>
    <row r="23" spans="1:11" x14ac:dyDescent="0.2">
      <c r="A23" s="2" t="s">
        <v>3090</v>
      </c>
      <c r="C23" s="496"/>
      <c r="D23" s="10"/>
      <c r="E23" s="10"/>
    </row>
    <row r="24" spans="1:11" x14ac:dyDescent="0.2">
      <c r="A24" t="s">
        <v>3091</v>
      </c>
      <c r="C24" s="496"/>
      <c r="D24" s="10"/>
      <c r="E24" s="10"/>
    </row>
    <row r="25" spans="1:11" x14ac:dyDescent="0.2">
      <c r="B25" t="s">
        <v>3058</v>
      </c>
      <c r="C25" s="496">
        <f>'BALANCE SHEET'!E19</f>
        <v>21000894104</v>
      </c>
      <c r="D25" s="10">
        <f>'PROY FIXED ASSETS'!D32</f>
        <v>21000894104</v>
      </c>
      <c r="E25" s="10">
        <f>'PROY FIXED ASSETS'!E32</f>
        <v>21000894104</v>
      </c>
      <c r="F25" s="10">
        <f>'PROY FIXED ASSETS'!F32</f>
        <v>21000894104</v>
      </c>
      <c r="G25" s="10"/>
      <c r="H25" s="10"/>
      <c r="I25" s="10"/>
      <c r="J25" s="10"/>
    </row>
    <row r="26" spans="1:11" x14ac:dyDescent="0.2">
      <c r="B26" t="s">
        <v>3092</v>
      </c>
      <c r="C26" s="496">
        <f>'BALANCE SHEET'!E20</f>
        <v>-4989536710</v>
      </c>
      <c r="D26" s="132">
        <f>'PROY FIXED ASSETS'!D60*-1</f>
        <v>-5853017542.9938736</v>
      </c>
      <c r="E26" s="132">
        <f>'PROY FIXED ASSETS'!E60*-1</f>
        <v>-6612804913.9098043</v>
      </c>
      <c r="F26" s="132">
        <f>'PROY FIXED ASSETS'!F60*-1</f>
        <v>-7281652573.028163</v>
      </c>
      <c r="G26" s="132"/>
      <c r="H26" s="132"/>
      <c r="I26" s="132"/>
      <c r="J26" s="132"/>
    </row>
    <row r="27" spans="1:11" x14ac:dyDescent="0.2">
      <c r="B27" s="82" t="s">
        <v>3416</v>
      </c>
      <c r="C27" s="147">
        <f>('BALANCE SHEET'!E20-'BALANCE SHEET'!D20)/'BALANCE SHEET'!D20</f>
        <v>0.24495453388007729</v>
      </c>
      <c r="D27" s="148">
        <f>(D26-C26)/C26</f>
        <v>0.17305831847339462</v>
      </c>
      <c r="E27" s="148">
        <f>(E26-D26)/D26</f>
        <v>0.12981122392592256</v>
      </c>
      <c r="F27" s="148">
        <f>(F26-E26)/E26</f>
        <v>0.101144320424675</v>
      </c>
      <c r="G27" s="148"/>
      <c r="H27" s="83"/>
      <c r="I27" s="83"/>
      <c r="J27" s="83"/>
      <c r="K27" s="95">
        <f>AVERAGE(D27:J27)</f>
        <v>0.1346712876079974</v>
      </c>
    </row>
    <row r="28" spans="1:11" x14ac:dyDescent="0.2">
      <c r="B28" t="s">
        <v>3093</v>
      </c>
      <c r="C28" s="496">
        <f>'BALANCE SHEET'!E21</f>
        <v>16011357394</v>
      </c>
      <c r="D28" s="10">
        <f>+D25+D26</f>
        <v>15147876561.006126</v>
      </c>
      <c r="E28" s="10">
        <f>+E25+E26</f>
        <v>14388089190.090195</v>
      </c>
      <c r="F28" s="10">
        <f>+F25+F26</f>
        <v>13719241530.971836</v>
      </c>
      <c r="G28" s="148"/>
      <c r="H28" s="83"/>
      <c r="I28" s="83"/>
      <c r="J28" s="83"/>
      <c r="K28" s="95"/>
    </row>
    <row r="29" spans="1:11" x14ac:dyDescent="0.2">
      <c r="A29" t="s">
        <v>3417</v>
      </c>
      <c r="C29" s="496">
        <f>'BALANCE SHEET'!E22</f>
        <v>0</v>
      </c>
      <c r="D29" s="10">
        <f>C29</f>
        <v>0</v>
      </c>
      <c r="E29" s="10">
        <f>D29</f>
        <v>0</v>
      </c>
      <c r="F29" s="10">
        <f>E29</f>
        <v>0</v>
      </c>
      <c r="G29" s="10"/>
    </row>
    <row r="30" spans="1:11" x14ac:dyDescent="0.2">
      <c r="A30" t="s">
        <v>3094</v>
      </c>
      <c r="C30" s="496">
        <f>'BALANCE SHEET'!E23</f>
        <v>0</v>
      </c>
      <c r="D30" s="10">
        <f>C30*(1+'BALANCE SHEET'!$P$23)</f>
        <v>0</v>
      </c>
      <c r="E30" s="10">
        <f>D30*(1+'BALANCE SHEET'!$P$23)</f>
        <v>0</v>
      </c>
      <c r="F30" s="10">
        <f>E30*(1+'BALANCE SHEET'!$P$23)</f>
        <v>0</v>
      </c>
      <c r="G30" s="10"/>
    </row>
    <row r="31" spans="1:11" ht="16" customHeight="1" thickBot="1" x14ac:dyDescent="0.25">
      <c r="A31" s="21" t="s">
        <v>3095</v>
      </c>
      <c r="B31" s="22"/>
      <c r="C31" s="516">
        <f>C25+C26+C29</f>
        <v>16011357394</v>
      </c>
      <c r="D31" s="23">
        <f>D28+D29+D30</f>
        <v>15147876561.006126</v>
      </c>
      <c r="E31" s="23">
        <f>E28+E29+E30</f>
        <v>14388089190.090195</v>
      </c>
      <c r="F31" s="23">
        <f>F28+F29+F30</f>
        <v>13719241530.971836</v>
      </c>
      <c r="G31" s="23"/>
      <c r="H31" s="23"/>
      <c r="I31" s="23"/>
      <c r="J31" s="23"/>
    </row>
    <row r="32" spans="1:11" ht="16" customHeight="1" thickTop="1" x14ac:dyDescent="0.2">
      <c r="C32" s="496"/>
      <c r="D32" s="10"/>
      <c r="E32" s="10"/>
      <c r="F32" s="10"/>
    </row>
    <row r="33" spans="1:10" x14ac:dyDescent="0.2">
      <c r="A33" s="20" t="s">
        <v>3083</v>
      </c>
      <c r="B33" s="3"/>
      <c r="C33" s="515">
        <f>+C21+C31</f>
        <v>17278293031</v>
      </c>
      <c r="D33" s="371">
        <f>+D21+D31</f>
        <v>17952136065.480453</v>
      </c>
      <c r="E33" s="371">
        <f>+E21+E31</f>
        <v>21732930322.448776</v>
      </c>
      <c r="F33" s="371">
        <f>+F21+F31</f>
        <v>34690299184.14122</v>
      </c>
      <c r="G33" s="371"/>
      <c r="H33" s="24"/>
      <c r="I33" s="24"/>
      <c r="J33" s="24"/>
    </row>
    <row r="34" spans="1:10" x14ac:dyDescent="0.2">
      <c r="C34" s="496"/>
      <c r="D34" s="10"/>
      <c r="E34" s="10"/>
      <c r="F34" s="10"/>
    </row>
    <row r="35" spans="1:10" x14ac:dyDescent="0.2">
      <c r="A35" s="2" t="s">
        <v>3096</v>
      </c>
      <c r="C35" s="496"/>
      <c r="D35" s="10"/>
      <c r="E35" s="10"/>
      <c r="F35" s="10"/>
    </row>
    <row r="36" spans="1:10" x14ac:dyDescent="0.2">
      <c r="A36" s="2" t="s">
        <v>208</v>
      </c>
      <c r="C36" s="496"/>
      <c r="D36" s="10"/>
      <c r="E36" s="10"/>
      <c r="F36" s="10"/>
    </row>
    <row r="37" spans="1:10" x14ac:dyDescent="0.2">
      <c r="B37" t="s">
        <v>3097</v>
      </c>
      <c r="C37" s="496">
        <f>'BALANCE SHEET'!E30</f>
        <v>0</v>
      </c>
      <c r="D37" s="10">
        <f>C37*(1+C38)</f>
        <v>0</v>
      </c>
      <c r="E37" s="10">
        <f>D37*(1+D38)</f>
        <v>0</v>
      </c>
      <c r="F37" s="10">
        <f>E37*(1+E38)</f>
        <v>0</v>
      </c>
      <c r="G37" s="10"/>
      <c r="H37" s="10"/>
      <c r="I37" s="10"/>
      <c r="J37" s="10"/>
    </row>
    <row r="38" spans="1:10" x14ac:dyDescent="0.2">
      <c r="C38" s="122">
        <f>'BALANCE SHEET'!P30</f>
        <v>0</v>
      </c>
      <c r="D38" s="71">
        <f>IFERROR((D37-C37)/C37,0)</f>
        <v>0</v>
      </c>
      <c r="E38" s="71">
        <f>IFERROR((E37-D37)/D37,0)</f>
        <v>0</v>
      </c>
      <c r="F38" s="71">
        <f>IFERROR((F37-E37)/E37,0)</f>
        <v>0</v>
      </c>
      <c r="G38" s="10"/>
      <c r="H38" s="10"/>
      <c r="I38" s="10"/>
      <c r="J38" s="10"/>
    </row>
    <row r="39" spans="1:10" x14ac:dyDescent="0.2">
      <c r="B39" t="s">
        <v>3418</v>
      </c>
      <c r="C39" s="496">
        <f>'BALANCE SHEET'!E31</f>
        <v>1823364600</v>
      </c>
      <c r="D39" s="10">
        <f>C39*(1+C40)</f>
        <v>2467009248.7207375</v>
      </c>
      <c r="E39" s="10">
        <f>D39*(1+D40)</f>
        <v>3337859380.0020347</v>
      </c>
      <c r="F39" s="10">
        <f>E39*(1+E40)</f>
        <v>4516118148.5010109</v>
      </c>
      <c r="G39" s="10"/>
      <c r="H39" s="10"/>
      <c r="I39" s="10"/>
      <c r="J39" s="10"/>
    </row>
    <row r="40" spans="1:10" x14ac:dyDescent="0.2">
      <c r="C40" s="122">
        <f>'BALANCE SHEET'!P31</f>
        <v>0.35299832448251828</v>
      </c>
      <c r="D40" s="71">
        <f>(D39-C39)/C39</f>
        <v>0.35299832448251844</v>
      </c>
      <c r="E40" s="71">
        <f>(E39-D39)/D39</f>
        <v>0.35299832448251856</v>
      </c>
      <c r="F40" s="71">
        <f>(F39-E39)/E39</f>
        <v>0.3529983244825185</v>
      </c>
      <c r="G40" s="10"/>
      <c r="H40" s="10"/>
      <c r="I40" s="10"/>
      <c r="J40" s="10"/>
    </row>
    <row r="41" spans="1:10" x14ac:dyDescent="0.2">
      <c r="B41" t="s">
        <v>3419</v>
      </c>
      <c r="C41" s="496">
        <f>'BALANCE SHEET'!E32</f>
        <v>678518254</v>
      </c>
      <c r="D41" s="10">
        <f>C41*(1+C42)</f>
        <v>1408782852.9927344</v>
      </c>
      <c r="E41" s="10">
        <f>D41*(1+D42)</f>
        <v>2925004766.1744242</v>
      </c>
      <c r="F41" s="10">
        <f>E41*(1+E42)</f>
        <v>6073081358.1156092</v>
      </c>
      <c r="G41" s="10"/>
      <c r="H41" s="10"/>
      <c r="I41" s="10"/>
      <c r="J41" s="10"/>
    </row>
    <row r="42" spans="1:10" x14ac:dyDescent="0.2">
      <c r="C42" s="122">
        <f>'BALANCE SHEET'!P32</f>
        <v>1.0762637477881833</v>
      </c>
      <c r="D42" s="71">
        <f>(D41-C41)/C41</f>
        <v>1.0762637477881831</v>
      </c>
      <c r="E42" s="71">
        <f>(E41-D41)/D41</f>
        <v>1.0762637477881833</v>
      </c>
      <c r="F42" s="71">
        <f>(F41-E41)/E41</f>
        <v>1.0762637477881836</v>
      </c>
      <c r="G42" s="10"/>
      <c r="H42" s="10"/>
      <c r="I42" s="10"/>
      <c r="J42" s="10"/>
    </row>
    <row r="43" spans="1:10" x14ac:dyDescent="0.2">
      <c r="B43" t="s">
        <v>3089</v>
      </c>
      <c r="C43" s="496">
        <f>'BALANCE SHEET'!E33</f>
        <v>1075354928</v>
      </c>
      <c r="D43" s="10">
        <f>C43*(1+C44)</f>
        <v>1929300161.4973924</v>
      </c>
      <c r="E43" s="10">
        <f>D43*(1+D44)</f>
        <v>3461367978.3628283</v>
      </c>
      <c r="F43" s="10">
        <f>E43*(1+E44)</f>
        <v>6210059233.2593164</v>
      </c>
      <c r="G43" s="10"/>
      <c r="H43" s="10"/>
      <c r="I43" s="10"/>
      <c r="J43" s="10"/>
    </row>
    <row r="44" spans="1:10" x14ac:dyDescent="0.2">
      <c r="C44" s="122">
        <f>'BALANCE SHEET'!P33</f>
        <v>0.79410547277223487</v>
      </c>
      <c r="D44" s="71">
        <f>(D43-C43)/C43</f>
        <v>0.79410547277223476</v>
      </c>
      <c r="E44" s="71">
        <f>(E43-D43)/D43</f>
        <v>0.79410547277223487</v>
      </c>
      <c r="F44" s="71">
        <f>(F43-E43)/E43</f>
        <v>0.79410547277223476</v>
      </c>
      <c r="G44" s="10"/>
      <c r="H44" s="10"/>
      <c r="I44" s="10"/>
      <c r="J44" s="10"/>
    </row>
    <row r="45" spans="1:10" x14ac:dyDescent="0.2">
      <c r="A45" s="15" t="s">
        <v>208</v>
      </c>
      <c r="B45" s="16"/>
      <c r="C45" s="517">
        <f>SUM(C37:C43)</f>
        <v>3577237783.4292622</v>
      </c>
      <c r="D45" s="17">
        <f>SUM(D37:D43)</f>
        <v>5805092264.6401262</v>
      </c>
      <c r="E45" s="17">
        <f>SUM(E37:E43)</f>
        <v>9724232125.9685478</v>
      </c>
      <c r="F45" s="17">
        <f>SUM(F37:F43)</f>
        <v>16799258741.305199</v>
      </c>
      <c r="G45" s="19"/>
      <c r="H45" s="19"/>
      <c r="I45" s="19"/>
      <c r="J45" s="19"/>
    </row>
    <row r="46" spans="1:10" x14ac:dyDescent="0.2">
      <c r="C46" s="496"/>
      <c r="D46" s="10"/>
      <c r="E46" s="10"/>
      <c r="F46" s="10"/>
    </row>
    <row r="47" spans="1:10" x14ac:dyDescent="0.2">
      <c r="A47" s="2" t="s">
        <v>3101</v>
      </c>
      <c r="C47" s="496"/>
      <c r="D47" s="10"/>
      <c r="E47" s="10"/>
      <c r="F47" s="10"/>
    </row>
    <row r="48" spans="1:10" x14ac:dyDescent="0.2">
      <c r="B48" t="s">
        <v>3102</v>
      </c>
      <c r="C48" s="496">
        <f>'BALANCE SHEET'!E37</f>
        <v>0</v>
      </c>
      <c r="D48" s="10">
        <f>IFERROR(C48*(1+C49),0)</f>
        <v>0</v>
      </c>
      <c r="E48" s="10">
        <f>IFERROR(D48*(1+D49),0)</f>
        <v>0</v>
      </c>
      <c r="F48" s="10">
        <f>IFERROR(E48*(1+E49),0)</f>
        <v>0</v>
      </c>
      <c r="G48" s="10"/>
      <c r="H48" s="10"/>
      <c r="I48" s="10"/>
      <c r="J48" s="10"/>
    </row>
    <row r="49" spans="1:11" x14ac:dyDescent="0.2">
      <c r="C49" s="122">
        <f>'BALANCE SHEET'!P37</f>
        <v>0</v>
      </c>
      <c r="D49" s="71">
        <f>IFERROR((D48-C48)/C48,0)</f>
        <v>0</v>
      </c>
      <c r="E49" s="71">
        <f>IFERROR((E48-D48)/D48,0)</f>
        <v>0</v>
      </c>
      <c r="F49" s="71">
        <f>IFERROR((F48-E48)/E48,0)</f>
        <v>0</v>
      </c>
      <c r="G49" s="10"/>
      <c r="H49" s="10"/>
      <c r="I49" s="10"/>
      <c r="J49" s="10"/>
    </row>
    <row r="50" spans="1:11" x14ac:dyDescent="0.2">
      <c r="B50" t="s">
        <v>3420</v>
      </c>
      <c r="C50" s="496">
        <f>'BALANCE SHEET'!E38</f>
        <v>0</v>
      </c>
      <c r="D50" s="10">
        <f>C50*(1+C51)</f>
        <v>0</v>
      </c>
      <c r="E50" s="10">
        <f>D50*(1+D51)</f>
        <v>0</v>
      </c>
      <c r="F50" s="10">
        <f>E50*(1+E51)</f>
        <v>0</v>
      </c>
      <c r="G50" s="10"/>
      <c r="H50" s="10"/>
      <c r="I50" s="10"/>
      <c r="J50" s="10"/>
    </row>
    <row r="51" spans="1:11" x14ac:dyDescent="0.2">
      <c r="C51" s="122">
        <f>'BALANCE SHEET'!P38</f>
        <v>0</v>
      </c>
      <c r="D51" s="71">
        <f>IFERROR((D50-C50)/C50,0)</f>
        <v>0</v>
      </c>
      <c r="E51" s="71">
        <f>IFERROR((E50-D50)/D50,0)</f>
        <v>0</v>
      </c>
      <c r="F51" s="71">
        <f>IFERROR((F50-E50)/E50,0)</f>
        <v>0</v>
      </c>
      <c r="G51" s="10"/>
      <c r="H51" s="10"/>
      <c r="I51" s="10"/>
      <c r="J51" s="10"/>
    </row>
    <row r="52" spans="1:11" ht="16" customHeight="1" thickBot="1" x14ac:dyDescent="0.25">
      <c r="A52" s="21" t="s">
        <v>3101</v>
      </c>
      <c r="B52" s="22"/>
      <c r="C52" s="516">
        <f>C48+C50</f>
        <v>0</v>
      </c>
      <c r="D52" s="23">
        <f>+D48+D50</f>
        <v>0</v>
      </c>
      <c r="E52" s="23">
        <f>+E48+E50</f>
        <v>0</v>
      </c>
      <c r="F52" s="23">
        <f>+F48+F50</f>
        <v>0</v>
      </c>
      <c r="G52" s="23"/>
      <c r="H52" s="23"/>
      <c r="I52" s="23"/>
      <c r="J52" s="23"/>
    </row>
    <row r="53" spans="1:11" ht="16" customHeight="1" thickTop="1" x14ac:dyDescent="0.2">
      <c r="A53" s="2"/>
      <c r="C53" s="496"/>
      <c r="D53" s="10"/>
      <c r="E53" s="10"/>
      <c r="F53" s="10"/>
    </row>
    <row r="54" spans="1:11" x14ac:dyDescent="0.2">
      <c r="A54" s="2" t="s">
        <v>3105</v>
      </c>
      <c r="C54" s="496"/>
      <c r="D54" s="10"/>
      <c r="E54" s="10"/>
      <c r="F54" s="10"/>
    </row>
    <row r="55" spans="1:11" x14ac:dyDescent="0.2">
      <c r="A55" t="s">
        <v>3421</v>
      </c>
      <c r="C55" s="496">
        <f>'BALANCE SHEET'!E42</f>
        <v>5280000000</v>
      </c>
      <c r="D55" s="10">
        <f>C55</f>
        <v>5280000000</v>
      </c>
      <c r="E55" s="10">
        <f>D55</f>
        <v>5280000000</v>
      </c>
      <c r="F55" s="10">
        <f>E55</f>
        <v>5280000000</v>
      </c>
      <c r="G55" s="10"/>
      <c r="H55" s="10"/>
      <c r="I55" s="10"/>
      <c r="J55" s="10"/>
    </row>
    <row r="56" spans="1:11" x14ac:dyDescent="0.2">
      <c r="A56" t="s">
        <v>3108</v>
      </c>
      <c r="C56" s="496"/>
      <c r="D56" s="10"/>
      <c r="E56" s="10"/>
      <c r="F56" s="10"/>
    </row>
    <row r="57" spans="1:11" x14ac:dyDescent="0.2">
      <c r="B57" t="s">
        <v>3422</v>
      </c>
      <c r="C57" s="496">
        <f>'BALANCE SHEET'!E45</f>
        <v>6698715227</v>
      </c>
      <c r="D57" s="10">
        <f>C57</f>
        <v>6698715227</v>
      </c>
      <c r="E57" s="10">
        <f>D57</f>
        <v>6698715227</v>
      </c>
      <c r="F57" s="10">
        <f>E57</f>
        <v>6698715227</v>
      </c>
      <c r="G57" s="10"/>
      <c r="H57" s="10"/>
      <c r="I57" s="10"/>
      <c r="J57" s="10"/>
    </row>
    <row r="58" spans="1:11" x14ac:dyDescent="0.2">
      <c r="B58" t="s">
        <v>3423</v>
      </c>
      <c r="C58" s="496">
        <f>'BALANCE SHEET'!E46</f>
        <v>1838106527</v>
      </c>
      <c r="D58" s="10">
        <f>C58+'PROY LR'!D39</f>
        <v>3746135871.4689045</v>
      </c>
      <c r="E58" s="10">
        <f>D58+'PROY LR'!E39</f>
        <v>6320304234.3774815</v>
      </c>
      <c r="F58" s="10">
        <f>E58+'PROY LR'!F39</f>
        <v>9683846311.232851</v>
      </c>
      <c r="G58" s="10"/>
      <c r="H58" s="10"/>
      <c r="I58" s="10"/>
      <c r="J58" s="10"/>
    </row>
    <row r="59" spans="1:11" x14ac:dyDescent="0.2">
      <c r="A59" t="s">
        <v>3110</v>
      </c>
      <c r="C59" s="496">
        <f>'BALANCE SHEET'!E47</f>
        <v>8536821754</v>
      </c>
      <c r="D59" s="10">
        <f>D57+D58</f>
        <v>10444851098.468904</v>
      </c>
      <c r="E59" s="10">
        <f>E57+E58</f>
        <v>13019019461.377481</v>
      </c>
      <c r="F59" s="10">
        <f>F57+F58</f>
        <v>16382561538.232851</v>
      </c>
      <c r="G59" s="10"/>
      <c r="H59" s="10"/>
      <c r="I59" s="10"/>
      <c r="J59" s="10"/>
    </row>
    <row r="60" spans="1:11" x14ac:dyDescent="0.2">
      <c r="A60" s="20" t="s">
        <v>3105</v>
      </c>
      <c r="B60" s="3"/>
      <c r="C60" s="518">
        <f>C55+C59</f>
        <v>13816821754</v>
      </c>
      <c r="D60" s="24">
        <f>D55+D59</f>
        <v>15724851098.468904</v>
      </c>
      <c r="E60" s="24">
        <f>E55+E59</f>
        <v>18299019461.37748</v>
      </c>
      <c r="F60" s="24">
        <f>F55+F59</f>
        <v>21662561538.232849</v>
      </c>
      <c r="G60" s="24"/>
      <c r="H60" s="24"/>
      <c r="I60" s="24"/>
      <c r="J60" s="24"/>
    </row>
    <row r="61" spans="1:11" x14ac:dyDescent="0.2">
      <c r="A61" s="2"/>
      <c r="C61" s="141"/>
      <c r="D61" s="11"/>
      <c r="E61" s="11"/>
      <c r="F61" s="11"/>
    </row>
    <row r="62" spans="1:11" ht="16" customHeight="1" thickBot="1" x14ac:dyDescent="0.25">
      <c r="A62" s="25" t="s">
        <v>3111</v>
      </c>
      <c r="B62" s="26"/>
      <c r="C62" s="519">
        <f>C45+C52+C60</f>
        <v>17394059537.42926</v>
      </c>
      <c r="D62" s="27">
        <f>D45+D52+D60</f>
        <v>21529943363.109032</v>
      </c>
      <c r="E62" s="27">
        <f>E45+E52+E60</f>
        <v>28023251587.346027</v>
      </c>
      <c r="F62" s="27">
        <f>F45+F52+F60</f>
        <v>38461820279.538048</v>
      </c>
      <c r="G62" s="27"/>
      <c r="H62" s="27"/>
      <c r="I62" s="27"/>
      <c r="J62" s="27"/>
    </row>
    <row r="63" spans="1:11" x14ac:dyDescent="0.2">
      <c r="A63" s="2" t="s">
        <v>3424</v>
      </c>
      <c r="C63" s="99"/>
      <c r="D63" s="372">
        <f>D33-D62</f>
        <v>-3577807297.6285782</v>
      </c>
      <c r="E63" s="372">
        <f>E33-E62</f>
        <v>-6290321264.8972511</v>
      </c>
      <c r="F63" s="372">
        <f>F33-F62</f>
        <v>-3771521095.3968277</v>
      </c>
      <c r="G63" s="372"/>
      <c r="H63" s="9"/>
      <c r="I63" s="9"/>
      <c r="J63" s="9"/>
      <c r="K63" s="95">
        <f>AVERAGE(D63:J63)</f>
        <v>-4546549885.9742193</v>
      </c>
    </row>
    <row r="64" spans="1:11" x14ac:dyDescent="0.2">
      <c r="A64" s="471" t="s">
        <v>3425</v>
      </c>
      <c r="C64" s="99"/>
      <c r="D64" s="454"/>
      <c r="E64" s="454"/>
      <c r="F64" s="454"/>
      <c r="G64" s="455"/>
    </row>
    <row r="65" spans="3:6" x14ac:dyDescent="0.2">
      <c r="C65" s="99"/>
      <c r="D65" s="10">
        <v>1</v>
      </c>
      <c r="E65" s="10">
        <v>2</v>
      </c>
      <c r="F65">
        <v>3</v>
      </c>
    </row>
    <row r="66" spans="3:6" x14ac:dyDescent="0.2">
      <c r="C66" s="99"/>
      <c r="D66" s="10"/>
      <c r="E66" s="10"/>
      <c r="F66" s="10"/>
    </row>
    <row r="67" spans="3:6" x14ac:dyDescent="0.2">
      <c r="C67" s="99"/>
      <c r="D67" s="10"/>
      <c r="E67" s="10"/>
    </row>
    <row r="68" spans="3:6" x14ac:dyDescent="0.2">
      <c r="C68" s="99"/>
      <c r="D68" s="10"/>
      <c r="E68" s="10"/>
    </row>
    <row r="69" spans="3:6" x14ac:dyDescent="0.2">
      <c r="C69" s="99"/>
      <c r="D69" s="10"/>
      <c r="E69" s="10"/>
    </row>
    <row r="70" spans="3:6" x14ac:dyDescent="0.2">
      <c r="C70" s="99"/>
      <c r="D70" s="10"/>
      <c r="E70" s="10"/>
    </row>
    <row r="71" spans="3:6" x14ac:dyDescent="0.2">
      <c r="C71" s="99"/>
      <c r="D71" s="10"/>
      <c r="E71" s="10"/>
    </row>
    <row r="72" spans="3:6" x14ac:dyDescent="0.2">
      <c r="C72" s="99"/>
      <c r="D72" s="10"/>
      <c r="E72" s="10"/>
    </row>
    <row r="73" spans="3:6" x14ac:dyDescent="0.2">
      <c r="C73" s="99"/>
      <c r="D73" s="10"/>
      <c r="E73" s="10"/>
    </row>
    <row r="74" spans="3:6" x14ac:dyDescent="0.2">
      <c r="C74" s="99"/>
      <c r="D74" s="10"/>
      <c r="E74" s="10"/>
    </row>
    <row r="75" spans="3:6" x14ac:dyDescent="0.2">
      <c r="C75" s="99"/>
      <c r="D75" s="10"/>
      <c r="E75" s="10"/>
    </row>
    <row r="76" spans="3:6" x14ac:dyDescent="0.2">
      <c r="C76" s="99"/>
      <c r="D76" s="10"/>
      <c r="E76" s="10"/>
    </row>
    <row r="77" spans="3:6" x14ac:dyDescent="0.2">
      <c r="C77" s="99"/>
      <c r="D77" s="10"/>
      <c r="E77" s="10"/>
    </row>
    <row r="78" spans="3:6" x14ac:dyDescent="0.2">
      <c r="C78" s="99"/>
      <c r="D78" s="10"/>
      <c r="E78" s="10"/>
    </row>
    <row r="79" spans="3:6" x14ac:dyDescent="0.2">
      <c r="C79" s="99"/>
      <c r="D79" s="10"/>
      <c r="E79" s="10"/>
    </row>
    <row r="80" spans="3:6" x14ac:dyDescent="0.2">
      <c r="C80" s="99"/>
      <c r="D80" s="10"/>
      <c r="E80" s="10"/>
    </row>
  </sheetData>
  <conditionalFormatting sqref="D62">
    <cfRule type="cellIs" dxfId="8" priority="3" operator="notEqual">
      <formula>$D$33</formula>
    </cfRule>
  </conditionalFormatting>
  <conditionalFormatting sqref="E62">
    <cfRule type="cellIs" dxfId="7" priority="2" operator="notEqual">
      <formula>$E$33</formula>
    </cfRule>
  </conditionalFormatting>
  <conditionalFormatting sqref="F62">
    <cfRule type="cellIs" dxfId="6" priority="1" operator="notEqual">
      <formula>$F$33</formula>
    </cfRule>
  </conditionalFormatting>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0">
    <tabColor rgb="FFFFC000"/>
  </sheetPr>
  <dimension ref="A1:M51"/>
  <sheetViews>
    <sheetView showGridLines="0" zoomScale="80" zoomScaleNormal="80" workbookViewId="0">
      <selection activeCell="F17" sqref="F17"/>
    </sheetView>
  </sheetViews>
  <sheetFormatPr baseColWidth="10" defaultColWidth="8.83203125" defaultRowHeight="15" x14ac:dyDescent="0.2"/>
  <cols>
    <col min="1" max="1" width="25.6640625" customWidth="1"/>
    <col min="2" max="2" width="21.33203125" customWidth="1"/>
    <col min="3" max="5" width="17.5" customWidth="1"/>
    <col min="6" max="6" width="19" customWidth="1"/>
    <col min="7" max="11" width="17.5" customWidth="1"/>
  </cols>
  <sheetData>
    <row r="1" spans="1:13" x14ac:dyDescent="0.2">
      <c r="A1" t="str">
        <f>HOME!B4</f>
        <v>Makmur Jaya Sejati Raya</v>
      </c>
    </row>
    <row r="2" spans="1:13" x14ac:dyDescent="0.2">
      <c r="A2" t="s">
        <v>0</v>
      </c>
    </row>
    <row r="3" spans="1:13" x14ac:dyDescent="0.2">
      <c r="A3" t="str">
        <f>'BALANCE SHEET'!A3</f>
        <v>(IDR)</v>
      </c>
    </row>
    <row r="4" spans="1:13" x14ac:dyDescent="0.2">
      <c r="A4" s="8"/>
      <c r="B4" s="8"/>
      <c r="C4" s="8">
        <f>'CASH FLOW STATEMENT'!E4</f>
        <v>2021</v>
      </c>
      <c r="D4" s="8">
        <f>C4+1</f>
        <v>2022</v>
      </c>
      <c r="E4" s="8">
        <f>D4+1</f>
        <v>2023</v>
      </c>
      <c r="F4" s="8">
        <f>E4+1</f>
        <v>2024</v>
      </c>
      <c r="G4" s="8">
        <f>F4+1</f>
        <v>2025</v>
      </c>
      <c r="H4" s="8"/>
      <c r="I4" s="8"/>
      <c r="J4" s="8"/>
    </row>
    <row r="5" spans="1:13" x14ac:dyDescent="0.2">
      <c r="A5" t="s">
        <v>1</v>
      </c>
      <c r="C5" s="115">
        <f>'INCOME STATEMENT'!E18</f>
        <v>3243162782</v>
      </c>
      <c r="D5" s="10">
        <f>'PROY LR'!D19</f>
        <v>3296819989.3494401</v>
      </c>
      <c r="E5" s="10">
        <f>'PROY LR'!E19</f>
        <v>4047100858.4048281</v>
      </c>
      <c r="F5" s="10">
        <f>'PROY LR'!F19</f>
        <v>4968128502.9249468</v>
      </c>
      <c r="G5" s="10"/>
      <c r="H5" s="10"/>
      <c r="I5" s="10"/>
      <c r="J5" s="10"/>
    </row>
    <row r="6" spans="1:13" x14ac:dyDescent="0.2">
      <c r="A6" t="s">
        <v>2</v>
      </c>
      <c r="C6" s="115">
        <f>'INCOME STATEMENT'!E33</f>
        <v>-436128347</v>
      </c>
      <c r="D6" s="10">
        <f>'PROY LR'!D37</f>
        <v>-538162122.7989217</v>
      </c>
      <c r="E6" s="10">
        <f>'PROY LR'!E37</f>
        <v>-726047486.97421396</v>
      </c>
      <c r="F6" s="10">
        <f>'PROY LR'!F37</f>
        <v>-948691355.01048899</v>
      </c>
      <c r="G6" s="10"/>
      <c r="H6" s="10"/>
      <c r="I6" s="10"/>
      <c r="J6" s="10"/>
    </row>
    <row r="7" spans="1:13" x14ac:dyDescent="0.2">
      <c r="A7" t="s">
        <v>3</v>
      </c>
      <c r="C7" s="115"/>
      <c r="D7" s="10"/>
      <c r="E7" s="10"/>
    </row>
    <row r="8" spans="1:13" x14ac:dyDescent="0.2">
      <c r="B8" s="455" t="s">
        <v>4</v>
      </c>
      <c r="C8" s="567">
        <f>'CASH FLOW STATEMENT'!E8</f>
        <v>484323209</v>
      </c>
      <c r="D8" s="332">
        <f>(('PROY BALANCE SHEET'!D13+'PROY BALANCE SHEET'!D17)-('PROY BALANCE SHEET'!C13+'PROY BALANCE SHEET'!C17))*-1</f>
        <v>-63666635.84609428</v>
      </c>
      <c r="E8" s="332">
        <f>(('PROY BALANCE SHEET'!E13+'PROY BALANCE SHEET'!E17)-('PROY BALANCE SHEET'!D13+'PROY BALANCE SHEET'!D17))*-1</f>
        <v>-84882715.849100202</v>
      </c>
      <c r="F8" s="332">
        <f>(('PROY BALANCE SHEET'!F13+'PROY BALANCE SHEET'!F17)-('PROY BALANCE SHEET'!E13+'PROY BALANCE SHEET'!E17))*-1</f>
        <v>-113168779.12846547</v>
      </c>
      <c r="G8" s="10"/>
      <c r="H8" s="10"/>
      <c r="I8" s="10"/>
      <c r="J8" s="10"/>
    </row>
    <row r="9" spans="1:13" x14ac:dyDescent="0.2">
      <c r="B9" s="455" t="s">
        <v>5</v>
      </c>
      <c r="C9" s="567">
        <f>'CASH FLOW STATEMENT'!E9</f>
        <v>1880659928</v>
      </c>
      <c r="D9" s="332">
        <f>('PROY BALANCE SHEET'!D39+'PROY BALANCE SHEET'!D43)-('PROY BALANCE SHEET'!C39+'PROY BALANCE SHEET'!C43)</f>
        <v>1497589882.2181301</v>
      </c>
      <c r="E9" s="332">
        <f>('PROY BALANCE SHEET'!E39+'PROY BALANCE SHEET'!E43)-('PROY BALANCE SHEET'!D39+'PROY BALANCE SHEET'!D43)</f>
        <v>2402917948.1467323</v>
      </c>
      <c r="F9" s="332">
        <f>('PROY BALANCE SHEET'!F39+'PROY BALANCE SHEET'!F43)-('PROY BALANCE SHEET'!E39+'PROY BALANCE SHEET'!E43)</f>
        <v>3926950023.3954639</v>
      </c>
      <c r="G9" s="10"/>
      <c r="H9" s="10"/>
      <c r="I9" s="10"/>
      <c r="J9" s="10"/>
    </row>
    <row r="10" spans="1:13" x14ac:dyDescent="0.2">
      <c r="A10" s="101" t="s">
        <v>6</v>
      </c>
      <c r="B10" s="101"/>
      <c r="C10" s="568">
        <f>+C8+C9</f>
        <v>2364983137</v>
      </c>
      <c r="D10" s="569">
        <f>+D8+D9</f>
        <v>1433923246.3720357</v>
      </c>
      <c r="E10" s="569">
        <f>+E8+E9</f>
        <v>2318035232.2976322</v>
      </c>
      <c r="F10" s="569">
        <f>+F8+F9</f>
        <v>3813781244.2669983</v>
      </c>
      <c r="G10" s="142"/>
      <c r="H10" s="142"/>
      <c r="I10" s="142"/>
      <c r="J10" s="142"/>
      <c r="L10" s="140"/>
      <c r="M10" s="133" t="s">
        <v>7</v>
      </c>
    </row>
    <row r="11" spans="1:13" x14ac:dyDescent="0.2">
      <c r="A11" s="20" t="s">
        <v>8</v>
      </c>
      <c r="B11" s="20"/>
      <c r="C11" s="570">
        <f>SUM(C5:C9)</f>
        <v>5172017572</v>
      </c>
      <c r="D11" s="571">
        <f>SUM(D5:D9)</f>
        <v>4192581112.9225545</v>
      </c>
      <c r="E11" s="571">
        <f>SUM(E5:E9)</f>
        <v>5639088603.7282467</v>
      </c>
      <c r="F11" s="571">
        <f>SUM(F5:F9)</f>
        <v>7833218392.1814556</v>
      </c>
      <c r="G11" s="24"/>
      <c r="H11" s="24"/>
      <c r="I11" s="24"/>
      <c r="J11" s="24"/>
    </row>
    <row r="12" spans="1:13" x14ac:dyDescent="0.2">
      <c r="C12" s="115"/>
      <c r="D12" s="10"/>
      <c r="E12" s="10"/>
    </row>
    <row r="13" spans="1:13" x14ac:dyDescent="0.2">
      <c r="A13" s="3" t="s">
        <v>9</v>
      </c>
      <c r="B13" s="3"/>
      <c r="C13" s="117">
        <f>'INCOME STATEMENT'!E30</f>
        <v>-212875</v>
      </c>
      <c r="D13" s="14">
        <f>'PROY LR'!D34</f>
        <v>-212874.09353508998</v>
      </c>
      <c r="E13" s="14">
        <f>'PROY LR'!E34</f>
        <v>-212873.18707403986</v>
      </c>
      <c r="F13" s="14">
        <f>'PROY LR'!F34</f>
        <v>-212872.28061684963</v>
      </c>
      <c r="G13" s="14"/>
      <c r="H13" s="14"/>
      <c r="I13" s="14"/>
      <c r="J13" s="14"/>
    </row>
    <row r="14" spans="1:13" x14ac:dyDescent="0.2">
      <c r="C14" s="115"/>
      <c r="D14" s="10"/>
      <c r="E14" s="10"/>
    </row>
    <row r="15" spans="1:13" x14ac:dyDescent="0.2">
      <c r="C15" s="115"/>
      <c r="D15" s="10"/>
      <c r="E15" s="10"/>
    </row>
    <row r="16" spans="1:13" x14ac:dyDescent="0.2">
      <c r="B16" s="2"/>
      <c r="C16" s="118"/>
    </row>
    <row r="17" spans="1:10" x14ac:dyDescent="0.2">
      <c r="A17" s="20" t="s">
        <v>10</v>
      </c>
      <c r="B17" s="20"/>
      <c r="C17" s="116">
        <f>'FIXED ASSET'!E23*-1</f>
        <v>0</v>
      </c>
      <c r="D17" s="24">
        <f>'PROY FIXED ASSETS'!D23*-1</f>
        <v>0</v>
      </c>
      <c r="E17" s="24">
        <f>'PROY FIXED ASSETS'!E23*-1</f>
        <v>0</v>
      </c>
      <c r="F17" s="24">
        <f>'PROY FIXED ASSETS'!F23*-1</f>
        <v>0</v>
      </c>
      <c r="G17" s="24"/>
      <c r="H17" s="24"/>
      <c r="I17" s="24"/>
      <c r="J17" s="24"/>
    </row>
    <row r="18" spans="1:10" x14ac:dyDescent="0.2">
      <c r="C18" s="115"/>
      <c r="D18" s="10"/>
      <c r="E18" s="10"/>
    </row>
    <row r="19" spans="1:10" x14ac:dyDescent="0.2">
      <c r="A19" s="20" t="s">
        <v>11</v>
      </c>
      <c r="B19" s="3"/>
      <c r="C19" s="116">
        <f>C11+C13+C17</f>
        <v>5171804697</v>
      </c>
      <c r="D19" s="24">
        <f>D11+D13+D17</f>
        <v>4192368238.8290195</v>
      </c>
      <c r="E19" s="24">
        <f>E11+E13+E17</f>
        <v>5638875730.541173</v>
      </c>
      <c r="F19" s="24">
        <f>F11+F13+F17</f>
        <v>7833005519.9008389</v>
      </c>
      <c r="G19" s="24"/>
      <c r="H19" s="24"/>
      <c r="I19" s="24"/>
      <c r="J19" s="24"/>
    </row>
    <row r="20" spans="1:10" x14ac:dyDescent="0.2">
      <c r="C20" s="115"/>
      <c r="D20" s="10"/>
      <c r="E20" s="10"/>
    </row>
    <row r="21" spans="1:10" x14ac:dyDescent="0.2">
      <c r="A21" t="s">
        <v>12</v>
      </c>
      <c r="C21" s="115"/>
      <c r="D21" s="10"/>
      <c r="E21" s="10"/>
    </row>
    <row r="22" spans="1:10" x14ac:dyDescent="0.2">
      <c r="B22" t="s">
        <v>13</v>
      </c>
      <c r="C22" s="567">
        <f>'CASH FLOW STATEMENT'!E22</f>
        <v>-3150000000</v>
      </c>
      <c r="D22" s="33">
        <v>0</v>
      </c>
      <c r="E22" s="33">
        <v>0</v>
      </c>
      <c r="F22" s="33">
        <v>0</v>
      </c>
      <c r="G22" s="33"/>
      <c r="H22" s="33"/>
      <c r="I22" s="33"/>
      <c r="J22" s="33"/>
    </row>
    <row r="23" spans="1:10" x14ac:dyDescent="0.2">
      <c r="B23" t="s">
        <v>14</v>
      </c>
      <c r="C23" s="115">
        <f>'CASH FLOW STATEMENT'!E23</f>
        <v>0</v>
      </c>
      <c r="D23" s="33">
        <v>0</v>
      </c>
      <c r="E23" s="33">
        <v>0</v>
      </c>
      <c r="F23" s="33">
        <v>0</v>
      </c>
      <c r="G23" s="33"/>
      <c r="H23" s="33"/>
      <c r="I23" s="33"/>
      <c r="J23" s="33"/>
    </row>
    <row r="24" spans="1:10" x14ac:dyDescent="0.2">
      <c r="B24" t="s">
        <v>15</v>
      </c>
      <c r="C24" s="115">
        <f>'INCOME STATEMENT'!E27</f>
        <v>-942033</v>
      </c>
      <c r="D24" s="10">
        <f>'PROY LR'!D31</f>
        <v>-941430.2289849401</v>
      </c>
      <c r="E24" s="10">
        <f>'PROY LR'!E31</f>
        <v>-940827.84366008057</v>
      </c>
      <c r="F24" s="10">
        <f>'PROY LR'!F31</f>
        <v>-940225.84377863305</v>
      </c>
      <c r="G24" s="10"/>
      <c r="H24" s="10"/>
      <c r="I24" s="10"/>
      <c r="J24" s="10"/>
    </row>
    <row r="25" spans="1:10" x14ac:dyDescent="0.2">
      <c r="B25" t="s">
        <v>16</v>
      </c>
      <c r="C25" s="115">
        <f>'INCOME STATEMENT'!E26</f>
        <v>13957341</v>
      </c>
      <c r="D25" s="10">
        <f>'PROY LR'!D29</f>
        <v>14006615.234779395</v>
      </c>
      <c r="E25" s="10">
        <f>'PROY LR'!E29</f>
        <v>14056063.424627531</v>
      </c>
      <c r="F25" s="10">
        <f>'PROY LR'!F29</f>
        <v>14105686.183665887</v>
      </c>
      <c r="G25" s="10"/>
      <c r="H25" s="10"/>
      <c r="I25" s="10"/>
      <c r="J25" s="10"/>
    </row>
    <row r="26" spans="1:10" x14ac:dyDescent="0.2">
      <c r="B26" t="s">
        <v>17</v>
      </c>
      <c r="C26" s="115">
        <f>'ACC PAYABLES'!E20</f>
        <v>0</v>
      </c>
      <c r="D26" s="10">
        <f>'PROY ACC PAYABLES'!D21</f>
        <v>0</v>
      </c>
      <c r="E26" s="10">
        <f>'PROY ACC PAYABLES'!E21</f>
        <v>0</v>
      </c>
      <c r="F26" s="10">
        <f>'PROY ACC PAYABLES'!F21</f>
        <v>0</v>
      </c>
      <c r="G26" s="10"/>
      <c r="H26" s="10"/>
      <c r="I26" s="10"/>
      <c r="J26" s="10"/>
    </row>
    <row r="27" spans="1:10" x14ac:dyDescent="0.2">
      <c r="C27" s="115"/>
      <c r="D27" s="10"/>
      <c r="E27" s="10"/>
    </row>
    <row r="28" spans="1:10" x14ac:dyDescent="0.2">
      <c r="A28" s="20" t="s">
        <v>18</v>
      </c>
      <c r="B28" s="3"/>
      <c r="C28" s="570">
        <f>SUM(C22:C26)</f>
        <v>-3136984692</v>
      </c>
      <c r="D28" s="571">
        <f>SUM(D22:D26)</f>
        <v>13065185.005794454</v>
      </c>
      <c r="E28" s="571">
        <f>SUM(E22:E26)</f>
        <v>13115235.580967451</v>
      </c>
      <c r="F28" s="571">
        <f>SUM(F22:F26)</f>
        <v>13165460.339887254</v>
      </c>
      <c r="G28" s="24"/>
      <c r="H28" s="24"/>
      <c r="I28" s="24"/>
      <c r="J28" s="24"/>
    </row>
    <row r="29" spans="1:10" x14ac:dyDescent="0.2">
      <c r="C29" s="115"/>
      <c r="D29" s="10"/>
      <c r="E29" s="10"/>
    </row>
    <row r="30" spans="1:10" ht="16" customHeight="1" thickBot="1" x14ac:dyDescent="0.25">
      <c r="A30" s="21" t="s">
        <v>19</v>
      </c>
      <c r="B30" s="21"/>
      <c r="C30" s="572">
        <f>+C11+C13+C17+C28</f>
        <v>2034820005</v>
      </c>
      <c r="D30" s="573">
        <f>+D11+D13+D17+D28</f>
        <v>4205433423.8348141</v>
      </c>
      <c r="E30" s="573">
        <f>+E11+E13+E17+E28</f>
        <v>5651990966.1221409</v>
      </c>
      <c r="F30" s="573">
        <f>+F11+F13+F17+F28</f>
        <v>7846170980.2407265</v>
      </c>
      <c r="G30" s="23"/>
      <c r="H30" s="23"/>
      <c r="I30" s="23"/>
      <c r="J30" s="23"/>
    </row>
    <row r="31" spans="1:10" ht="16" customHeight="1" thickTop="1" x14ac:dyDescent="0.2">
      <c r="C31" s="115"/>
      <c r="D31" s="10"/>
      <c r="E31" s="10"/>
    </row>
    <row r="32" spans="1:10" x14ac:dyDescent="0.2">
      <c r="A32" t="s">
        <v>20</v>
      </c>
      <c r="C32" s="115">
        <f>'CASH FLOW STATEMENT'!D33</f>
        <v>723908969</v>
      </c>
      <c r="D32" s="10">
        <f>C33</f>
        <v>1054880526</v>
      </c>
      <c r="E32" s="10">
        <f>D33</f>
        <v>2531115277.0080776</v>
      </c>
      <c r="F32" s="10">
        <f>E33</f>
        <v>6989075346.2252932</v>
      </c>
      <c r="G32" s="10"/>
      <c r="H32" s="10"/>
      <c r="I32" s="10"/>
      <c r="J32" s="10"/>
    </row>
    <row r="33" spans="1:10" x14ac:dyDescent="0.2">
      <c r="A33" s="20" t="s">
        <v>21</v>
      </c>
      <c r="B33" s="3"/>
      <c r="C33" s="116">
        <f>'BALANCE SHEET'!E8+'BALANCE SHEET'!E9</f>
        <v>1054880526</v>
      </c>
      <c r="D33" s="24">
        <f>'PROY BALANCE SHEET'!D9+'PROY BALANCE SHEET'!D11</f>
        <v>2531115277.0080776</v>
      </c>
      <c r="E33" s="24">
        <f>'PROY BALANCE SHEET'!E9+'PROY BALANCE SHEET'!E11</f>
        <v>6989075346.2252932</v>
      </c>
      <c r="F33" s="24">
        <f>'PROY BALANCE SHEET'!F9+'PROY BALANCE SHEET'!F11</f>
        <v>20504106712.877422</v>
      </c>
      <c r="G33" s="24"/>
      <c r="H33" s="24"/>
      <c r="I33" s="24"/>
      <c r="J33" s="24"/>
    </row>
    <row r="34" spans="1:10" x14ac:dyDescent="0.2">
      <c r="C34" s="115"/>
      <c r="D34" s="10"/>
      <c r="E34" s="10"/>
    </row>
    <row r="35" spans="1:10" x14ac:dyDescent="0.2">
      <c r="A35" t="s">
        <v>22</v>
      </c>
      <c r="C35" s="115">
        <f>'BALANCE SHEET'!E9</f>
        <v>337031731</v>
      </c>
      <c r="D35" s="10">
        <f>'PROY BALANCE SHEET'!D11</f>
        <v>350375968.10926455</v>
      </c>
      <c r="E35" s="10">
        <f>'PROY BALANCE SHEET'!E11</f>
        <v>364248549.13291341</v>
      </c>
      <c r="F35" s="10">
        <f>'PROY BALANCE SHEET'!F11</f>
        <v>378670393.0106793</v>
      </c>
      <c r="G35" s="10"/>
      <c r="H35" s="10"/>
      <c r="I35" s="10"/>
      <c r="J35" s="10"/>
    </row>
    <row r="36" spans="1:10" ht="16" customHeight="1" thickBot="1" x14ac:dyDescent="0.25">
      <c r="A36" s="26" t="s">
        <v>23</v>
      </c>
      <c r="B36" s="26"/>
      <c r="C36" s="119">
        <f>'BALANCE SHEET'!E8</f>
        <v>717848795</v>
      </c>
      <c r="D36" s="30">
        <f>'PROY BALANCE SHEET'!D9</f>
        <v>2180739308.8988132</v>
      </c>
      <c r="E36" s="30">
        <f>'PROY BALANCE SHEET'!E9</f>
        <v>6624826797.0923796</v>
      </c>
      <c r="F36" s="30">
        <f>'PROY BALANCE SHEET'!F9</f>
        <v>20125436319.866741</v>
      </c>
      <c r="G36" s="30"/>
      <c r="H36" s="30"/>
      <c r="I36" s="30"/>
      <c r="J36" s="30"/>
    </row>
    <row r="37" spans="1:10" x14ac:dyDescent="0.2">
      <c r="C37" s="10"/>
      <c r="D37" s="10"/>
      <c r="E37" s="10"/>
    </row>
    <row r="38" spans="1:10" x14ac:dyDescent="0.2">
      <c r="C38" s="10"/>
      <c r="D38" s="10"/>
      <c r="E38" s="10"/>
    </row>
    <row r="39" spans="1:10" x14ac:dyDescent="0.2">
      <c r="C39" s="10"/>
      <c r="D39" s="10"/>
      <c r="E39" s="10"/>
    </row>
    <row r="40" spans="1:10" x14ac:dyDescent="0.2">
      <c r="C40" s="10"/>
      <c r="D40" s="10"/>
      <c r="E40" s="10"/>
    </row>
    <row r="41" spans="1:10" x14ac:dyDescent="0.2">
      <c r="C41" s="10"/>
      <c r="D41" s="10"/>
      <c r="E41" s="10"/>
    </row>
    <row r="42" spans="1:10" x14ac:dyDescent="0.2">
      <c r="C42" s="10"/>
      <c r="D42" s="10"/>
      <c r="E42" s="10"/>
    </row>
    <row r="43" spans="1:10" x14ac:dyDescent="0.2">
      <c r="C43" s="10"/>
      <c r="D43" s="10"/>
      <c r="E43" s="10"/>
    </row>
    <row r="44" spans="1:10" x14ac:dyDescent="0.2">
      <c r="C44" s="10"/>
      <c r="D44" s="10"/>
      <c r="E44" s="10"/>
    </row>
    <row r="45" spans="1:10" x14ac:dyDescent="0.2">
      <c r="C45" s="10"/>
      <c r="D45" s="10"/>
      <c r="E45" s="10"/>
    </row>
    <row r="46" spans="1:10" x14ac:dyDescent="0.2">
      <c r="C46" s="10"/>
      <c r="D46" s="10"/>
      <c r="E46" s="10"/>
    </row>
    <row r="47" spans="1:10" x14ac:dyDescent="0.2">
      <c r="C47" s="10"/>
      <c r="D47" s="10"/>
      <c r="E47" s="10"/>
    </row>
    <row r="48" spans="1:10" x14ac:dyDescent="0.2">
      <c r="C48" s="10"/>
      <c r="D48" s="10"/>
      <c r="E48" s="10"/>
    </row>
    <row r="49" spans="3:5" x14ac:dyDescent="0.2">
      <c r="C49" s="10"/>
      <c r="D49" s="10"/>
      <c r="E49" s="10"/>
    </row>
    <row r="50" spans="3:5" x14ac:dyDescent="0.2">
      <c r="C50" s="10"/>
      <c r="D50" s="10"/>
      <c r="E50" s="10"/>
    </row>
    <row r="51" spans="3:5" x14ac:dyDescent="0.2">
      <c r="C51" s="10"/>
      <c r="D51" s="10"/>
      <c r="E51" s="10"/>
    </row>
  </sheetData>
  <hyperlinks>
    <hyperlink ref="M10" location="DCF!D14:J14" display="DCF, changes working capital" xr:uid="{00000000-0004-0000-1700-000000000000}"/>
  </hyperlinks>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9">
    <tabColor rgb="FFFFC000"/>
  </sheetPr>
  <dimension ref="A1:J27"/>
  <sheetViews>
    <sheetView workbookViewId="0">
      <selection activeCell="F17" sqref="F17"/>
    </sheetView>
  </sheetViews>
  <sheetFormatPr baseColWidth="10" defaultColWidth="8.83203125" defaultRowHeight="15" x14ac:dyDescent="0.2"/>
  <cols>
    <col min="1" max="1" width="16.33203125" customWidth="1"/>
    <col min="2" max="2" width="26.6640625" customWidth="1"/>
    <col min="3" max="5" width="16.6640625" customWidth="1"/>
    <col min="6" max="10" width="17.6640625" customWidth="1"/>
  </cols>
  <sheetData>
    <row r="1" spans="1:10" x14ac:dyDescent="0.2">
      <c r="A1" s="652" t="s">
        <v>3426</v>
      </c>
      <c r="B1" s="651"/>
      <c r="C1" s="651"/>
      <c r="D1" s="651"/>
      <c r="E1" s="651"/>
      <c r="F1" s="651"/>
      <c r="G1" s="651"/>
      <c r="H1" s="651"/>
      <c r="I1" s="651"/>
      <c r="J1" s="651"/>
    </row>
    <row r="2" spans="1:10" x14ac:dyDescent="0.2">
      <c r="A2" t="str">
        <f>HOME!B4</f>
        <v>Makmur Jaya Sejati Raya</v>
      </c>
    </row>
    <row r="3" spans="1:10" x14ac:dyDescent="0.2">
      <c r="A3" t="s">
        <v>3134</v>
      </c>
    </row>
    <row r="4" spans="1:10" x14ac:dyDescent="0.2">
      <c r="A4" t="str">
        <f>'BALANCE SHEET'!A3</f>
        <v>(IDR)</v>
      </c>
    </row>
    <row r="6" spans="1:10" x14ac:dyDescent="0.2">
      <c r="A6" s="8"/>
      <c r="B6" s="8"/>
      <c r="C6" s="8">
        <f>'ACC PAYABLES'!E5</f>
        <v>2021</v>
      </c>
      <c r="D6" s="8">
        <f t="shared" ref="D6:J6" si="0">C6+1</f>
        <v>2022</v>
      </c>
      <c r="E6" s="8">
        <f t="shared" si="0"/>
        <v>2023</v>
      </c>
      <c r="F6" s="8">
        <f t="shared" si="0"/>
        <v>2024</v>
      </c>
      <c r="G6" s="8">
        <f t="shared" si="0"/>
        <v>2025</v>
      </c>
      <c r="H6" s="8">
        <f t="shared" si="0"/>
        <v>2026</v>
      </c>
      <c r="I6" s="8">
        <f t="shared" si="0"/>
        <v>2027</v>
      </c>
      <c r="J6" s="8">
        <f t="shared" si="0"/>
        <v>2028</v>
      </c>
    </row>
    <row r="7" spans="1:10" x14ac:dyDescent="0.2">
      <c r="A7" s="2"/>
      <c r="C7" s="118"/>
    </row>
    <row r="8" spans="1:10" x14ac:dyDescent="0.2">
      <c r="A8" s="2" t="s">
        <v>3427</v>
      </c>
      <c r="C8" s="115">
        <v>8</v>
      </c>
      <c r="D8" s="10"/>
      <c r="E8" s="10"/>
      <c r="F8" s="10"/>
      <c r="G8" s="10"/>
    </row>
    <row r="9" spans="1:10" x14ac:dyDescent="0.2">
      <c r="A9" s="2" t="s">
        <v>3136</v>
      </c>
      <c r="C9" s="121">
        <f>'ACC PAYABLES'!E8</f>
        <v>0.13</v>
      </c>
      <c r="D9" s="9">
        <v>0.13</v>
      </c>
      <c r="E9" s="9">
        <v>0.13</v>
      </c>
      <c r="F9" s="9">
        <v>0.13</v>
      </c>
      <c r="G9" s="9">
        <v>0.13</v>
      </c>
      <c r="H9" s="9">
        <v>0.13</v>
      </c>
      <c r="I9" s="9">
        <v>0</v>
      </c>
      <c r="J9" s="9">
        <v>0</v>
      </c>
    </row>
    <row r="10" spans="1:10" x14ac:dyDescent="0.2">
      <c r="A10" t="s">
        <v>3058</v>
      </c>
      <c r="C10" s="115">
        <f>'ACC PAYABLES'!E9</f>
        <v>0</v>
      </c>
      <c r="D10" s="10">
        <f t="shared" ref="D10:J10" si="1">C13</f>
        <v>0</v>
      </c>
      <c r="E10" s="10">
        <f t="shared" si="1"/>
        <v>0</v>
      </c>
      <c r="F10" s="10">
        <f t="shared" si="1"/>
        <v>0</v>
      </c>
      <c r="G10" s="10">
        <f t="shared" si="1"/>
        <v>0</v>
      </c>
      <c r="H10" s="10">
        <f t="shared" si="1"/>
        <v>0</v>
      </c>
      <c r="I10" s="10">
        <f t="shared" si="1"/>
        <v>0</v>
      </c>
      <c r="J10" s="10">
        <f t="shared" si="1"/>
        <v>0</v>
      </c>
    </row>
    <row r="11" spans="1:10" x14ac:dyDescent="0.2">
      <c r="B11" t="s">
        <v>3137</v>
      </c>
      <c r="C11" s="115">
        <f>'ACC PAYABLES'!E10</f>
        <v>0</v>
      </c>
      <c r="D11" s="10">
        <v>0</v>
      </c>
      <c r="E11" s="10">
        <v>0</v>
      </c>
      <c r="F11" s="10">
        <v>0</v>
      </c>
      <c r="G11" s="10">
        <v>0</v>
      </c>
      <c r="H11" s="10">
        <v>0</v>
      </c>
      <c r="I11" s="10">
        <v>0</v>
      </c>
      <c r="J11" s="10">
        <v>0</v>
      </c>
    </row>
    <row r="12" spans="1:10" x14ac:dyDescent="0.2">
      <c r="A12" s="3"/>
      <c r="B12" s="3" t="s">
        <v>3138</v>
      </c>
      <c r="C12" s="117">
        <f>'ACC PAYABLES'!E11</f>
        <v>0</v>
      </c>
      <c r="D12" s="14">
        <v>0</v>
      </c>
      <c r="E12" s="14">
        <v>0</v>
      </c>
      <c r="F12" s="14">
        <v>0</v>
      </c>
      <c r="G12" s="14">
        <v>0</v>
      </c>
      <c r="H12" s="14">
        <v>0</v>
      </c>
      <c r="I12" s="14">
        <v>0</v>
      </c>
      <c r="J12" s="14">
        <v>0</v>
      </c>
    </row>
    <row r="13" spans="1:10" x14ac:dyDescent="0.2">
      <c r="A13" s="2" t="s">
        <v>3069</v>
      </c>
      <c r="C13" s="120">
        <f t="shared" ref="C13:J13" si="2">SUM(C10:C12)</f>
        <v>0</v>
      </c>
      <c r="D13" s="11">
        <f t="shared" si="2"/>
        <v>0</v>
      </c>
      <c r="E13" s="11">
        <f t="shared" si="2"/>
        <v>0</v>
      </c>
      <c r="F13" s="11">
        <f t="shared" si="2"/>
        <v>0</v>
      </c>
      <c r="G13" s="11">
        <f t="shared" si="2"/>
        <v>0</v>
      </c>
      <c r="H13" s="11">
        <f t="shared" si="2"/>
        <v>0</v>
      </c>
      <c r="I13" s="11">
        <f t="shared" si="2"/>
        <v>0</v>
      </c>
      <c r="J13" s="11">
        <f t="shared" si="2"/>
        <v>0</v>
      </c>
    </row>
    <row r="14" spans="1:10" x14ac:dyDescent="0.2">
      <c r="C14" s="115"/>
      <c r="D14" s="10"/>
      <c r="E14" s="10"/>
      <c r="F14" s="10"/>
      <c r="G14" s="10"/>
    </row>
    <row r="15" spans="1:10" x14ac:dyDescent="0.2">
      <c r="A15" t="s">
        <v>3139</v>
      </c>
      <c r="B15" s="4" t="s">
        <v>3428</v>
      </c>
      <c r="C15" s="115">
        <f>'ACC PAYABLES'!E14</f>
        <v>0</v>
      </c>
      <c r="D15" s="10">
        <f t="shared" ref="D15:J15" si="3">D13*(RIGHT($B$15,3))*-1</f>
        <v>0</v>
      </c>
      <c r="E15" s="10">
        <f t="shared" si="3"/>
        <v>0</v>
      </c>
      <c r="F15" s="10">
        <f t="shared" si="3"/>
        <v>0</v>
      </c>
      <c r="G15" s="10">
        <f t="shared" si="3"/>
        <v>0</v>
      </c>
      <c r="H15" s="10">
        <f t="shared" si="3"/>
        <v>0</v>
      </c>
      <c r="I15" s="10">
        <f t="shared" si="3"/>
        <v>0</v>
      </c>
      <c r="J15" s="10">
        <f t="shared" si="3"/>
        <v>0</v>
      </c>
    </row>
    <row r="16" spans="1:10" x14ac:dyDescent="0.2">
      <c r="C16" s="115"/>
      <c r="D16" s="10"/>
      <c r="E16" s="10"/>
      <c r="F16" s="10"/>
      <c r="G16" s="10"/>
    </row>
    <row r="17" spans="1:10" x14ac:dyDescent="0.2">
      <c r="A17" s="2" t="s">
        <v>3429</v>
      </c>
      <c r="C17" s="115">
        <v>8</v>
      </c>
      <c r="D17" s="10"/>
      <c r="E17" s="10"/>
      <c r="F17" s="10"/>
      <c r="G17" s="10"/>
    </row>
    <row r="18" spans="1:10" x14ac:dyDescent="0.2">
      <c r="A18" s="2" t="s">
        <v>3136</v>
      </c>
      <c r="C18" s="121">
        <f>'ACC PAYABLES'!E17</f>
        <v>0.13</v>
      </c>
      <c r="D18" s="9">
        <v>0.13</v>
      </c>
      <c r="E18" s="9">
        <v>0.13</v>
      </c>
      <c r="F18" s="9">
        <v>0.13</v>
      </c>
      <c r="G18" s="9">
        <v>0.13</v>
      </c>
      <c r="H18" s="9">
        <v>0.13</v>
      </c>
      <c r="I18" s="9">
        <v>0</v>
      </c>
      <c r="J18" s="9">
        <v>0</v>
      </c>
    </row>
    <row r="19" spans="1:10" x14ac:dyDescent="0.2">
      <c r="A19" t="s">
        <v>3058</v>
      </c>
      <c r="C19" s="115">
        <f>'ACC PAYABLES'!E18</f>
        <v>0</v>
      </c>
      <c r="D19" s="10">
        <f t="shared" ref="D19:J19" si="4">C22</f>
        <v>0</v>
      </c>
      <c r="E19" s="10">
        <f t="shared" si="4"/>
        <v>0</v>
      </c>
      <c r="F19" s="10">
        <f t="shared" si="4"/>
        <v>0</v>
      </c>
      <c r="G19" s="10">
        <f t="shared" si="4"/>
        <v>0</v>
      </c>
      <c r="H19" s="10">
        <f t="shared" si="4"/>
        <v>0</v>
      </c>
      <c r="I19" s="10">
        <f t="shared" si="4"/>
        <v>0</v>
      </c>
      <c r="J19" s="10">
        <f t="shared" si="4"/>
        <v>0</v>
      </c>
    </row>
    <row r="20" spans="1:10" x14ac:dyDescent="0.2">
      <c r="B20" t="s">
        <v>3137</v>
      </c>
      <c r="C20" s="115">
        <f>'ACC PAYABLES'!E19</f>
        <v>0</v>
      </c>
      <c r="D20" s="10">
        <v>0</v>
      </c>
      <c r="E20" s="10">
        <v>0</v>
      </c>
      <c r="F20" s="10">
        <v>0</v>
      </c>
      <c r="G20" s="10">
        <v>0</v>
      </c>
      <c r="H20" s="10">
        <v>0</v>
      </c>
      <c r="I20" s="10">
        <v>0</v>
      </c>
      <c r="J20" s="10">
        <v>0</v>
      </c>
    </row>
    <row r="21" spans="1:10" x14ac:dyDescent="0.2">
      <c r="A21" s="3"/>
      <c r="B21" s="3" t="s">
        <v>3138</v>
      </c>
      <c r="C21" s="117">
        <f>'ACC PAYABLES'!E20</f>
        <v>0</v>
      </c>
      <c r="D21" s="97">
        <v>0</v>
      </c>
      <c r="E21" s="97">
        <v>0</v>
      </c>
      <c r="F21" s="97">
        <v>0</v>
      </c>
      <c r="G21" s="97">
        <v>0</v>
      </c>
      <c r="H21" s="97">
        <v>0</v>
      </c>
      <c r="I21" s="97">
        <v>0</v>
      </c>
      <c r="J21" s="97">
        <v>0</v>
      </c>
    </row>
    <row r="22" spans="1:10" x14ac:dyDescent="0.2">
      <c r="A22" s="2" t="s">
        <v>3069</v>
      </c>
      <c r="C22" s="120">
        <f t="shared" ref="C22:J22" si="5">SUM(C19:C21)</f>
        <v>0</v>
      </c>
      <c r="D22" s="11">
        <f t="shared" si="5"/>
        <v>0</v>
      </c>
      <c r="E22" s="11">
        <f t="shared" si="5"/>
        <v>0</v>
      </c>
      <c r="F22" s="11">
        <f t="shared" si="5"/>
        <v>0</v>
      </c>
      <c r="G22" s="11">
        <f t="shared" si="5"/>
        <v>0</v>
      </c>
      <c r="H22" s="11">
        <f t="shared" si="5"/>
        <v>0</v>
      </c>
      <c r="I22" s="11">
        <f t="shared" si="5"/>
        <v>0</v>
      </c>
      <c r="J22" s="11">
        <f t="shared" si="5"/>
        <v>0</v>
      </c>
    </row>
    <row r="23" spans="1:10" x14ac:dyDescent="0.2">
      <c r="B23" s="4"/>
      <c r="C23" s="115"/>
      <c r="D23" s="10"/>
      <c r="E23" s="10"/>
      <c r="F23" s="10"/>
      <c r="G23" s="10"/>
    </row>
    <row r="24" spans="1:10" x14ac:dyDescent="0.2">
      <c r="A24" s="20" t="s">
        <v>3139</v>
      </c>
      <c r="B24" s="3"/>
      <c r="C24" s="116">
        <f>'ACC PAYABLES'!E23</f>
        <v>0</v>
      </c>
      <c r="D24" s="98">
        <v>0</v>
      </c>
      <c r="E24" s="98">
        <v>0</v>
      </c>
      <c r="F24" s="98">
        <v>0</v>
      </c>
      <c r="G24" s="98">
        <v>0</v>
      </c>
      <c r="H24" s="98">
        <v>0</v>
      </c>
      <c r="I24" s="98">
        <v>0</v>
      </c>
      <c r="J24" s="98">
        <v>0</v>
      </c>
    </row>
    <row r="25" spans="1:10" x14ac:dyDescent="0.2">
      <c r="C25" s="10"/>
      <c r="D25" s="9"/>
      <c r="E25" s="9"/>
      <c r="F25" s="9"/>
      <c r="G25" s="9"/>
      <c r="H25" s="9"/>
      <c r="I25" s="9"/>
      <c r="J25" s="9"/>
    </row>
    <row r="26" spans="1:10" x14ac:dyDescent="0.2">
      <c r="C26" s="10"/>
      <c r="D26" s="10"/>
      <c r="E26" s="10"/>
      <c r="F26" s="10"/>
      <c r="G26" s="10"/>
    </row>
    <row r="27" spans="1:10" x14ac:dyDescent="0.2">
      <c r="C27" s="10"/>
      <c r="D27" s="10"/>
      <c r="E27" s="10"/>
      <c r="F27" s="10"/>
      <c r="G27" s="10"/>
    </row>
  </sheetData>
  <mergeCells count="1">
    <mergeCell ref="A1:J1"/>
  </mergeCells>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1">
    <tabColor rgb="FFFFC000"/>
  </sheetPr>
  <dimension ref="A1:M19"/>
  <sheetViews>
    <sheetView showGridLines="0" workbookViewId="0">
      <selection activeCell="D17" sqref="D17"/>
    </sheetView>
  </sheetViews>
  <sheetFormatPr baseColWidth="10" defaultColWidth="8.83203125" defaultRowHeight="15" x14ac:dyDescent="0.2"/>
  <cols>
    <col min="1" max="1" width="21.83203125" customWidth="1"/>
    <col min="2" max="2" width="25" customWidth="1"/>
    <col min="3" max="6" width="16.33203125" bestFit="1" customWidth="1"/>
    <col min="7" max="7" width="15.33203125" bestFit="1" customWidth="1"/>
    <col min="8" max="10" width="8.5" bestFit="1" customWidth="1"/>
  </cols>
  <sheetData>
    <row r="1" spans="1:10" x14ac:dyDescent="0.2">
      <c r="A1" t="str">
        <f>HOME!B4</f>
        <v>Makmur Jaya Sejati Raya</v>
      </c>
    </row>
    <row r="2" spans="1:10" x14ac:dyDescent="0.2">
      <c r="A2" t="s">
        <v>93</v>
      </c>
    </row>
    <row r="3" spans="1:10" x14ac:dyDescent="0.2">
      <c r="A3" t="str">
        <f>'BALANCE SHEET'!A3</f>
        <v>(IDR)</v>
      </c>
    </row>
    <row r="5" spans="1:10" x14ac:dyDescent="0.2">
      <c r="A5" s="6"/>
      <c r="B5" s="6"/>
      <c r="C5" s="7">
        <f>'ACC PAYABLES'!E5</f>
        <v>2021</v>
      </c>
      <c r="D5" s="7">
        <f>C5</f>
        <v>2021</v>
      </c>
      <c r="E5" s="7">
        <f>D5+1</f>
        <v>2022</v>
      </c>
      <c r="F5" s="7">
        <f>E5+1</f>
        <v>2023</v>
      </c>
      <c r="G5" s="7"/>
      <c r="H5" s="7"/>
      <c r="I5" s="7"/>
      <c r="J5" s="7"/>
    </row>
    <row r="7" spans="1:10" x14ac:dyDescent="0.2">
      <c r="A7" t="s">
        <v>3131</v>
      </c>
      <c r="C7" s="10">
        <f>'INCOME STATEMENT'!E32</f>
        <v>2274234874</v>
      </c>
      <c r="D7" s="10">
        <f>'PROY LR'!D36</f>
        <v>2446191467.2678261</v>
      </c>
      <c r="E7" s="10">
        <f>'PROY LR'!E36</f>
        <v>3300215849.8827906</v>
      </c>
      <c r="F7" s="10">
        <f>'PROY LR'!F36</f>
        <v>4312233431.865859</v>
      </c>
      <c r="G7" s="10"/>
      <c r="H7" s="10"/>
      <c r="I7" s="10"/>
      <c r="J7" s="10"/>
    </row>
    <row r="8" spans="1:10" x14ac:dyDescent="0.2">
      <c r="A8" t="s">
        <v>3219</v>
      </c>
      <c r="C8" s="10">
        <f>'INCOME STATEMENT'!E27*-1</f>
        <v>942033</v>
      </c>
      <c r="D8" s="10">
        <f>'PROY LR'!D31*-1</f>
        <v>941430.2289849401</v>
      </c>
      <c r="E8" s="10">
        <f>'PROY LR'!E31*-1</f>
        <v>940827.84366008057</v>
      </c>
      <c r="F8" s="10">
        <f>'PROY LR'!F31*-1</f>
        <v>940225.84377863305</v>
      </c>
      <c r="G8" s="10"/>
      <c r="H8" s="10"/>
      <c r="I8" s="10"/>
      <c r="J8" s="10"/>
    </row>
    <row r="9" spans="1:10" x14ac:dyDescent="0.2">
      <c r="A9" t="s">
        <v>3220</v>
      </c>
      <c r="C9" s="10">
        <f>'INCOME STATEMENT'!E26*-1</f>
        <v>-13957341</v>
      </c>
      <c r="D9" s="10">
        <f>'PROY LR'!D29*-1</f>
        <v>-14006615.234779395</v>
      </c>
      <c r="E9" s="10">
        <f>'PROY LR'!E29*-1</f>
        <v>-14056063.424627531</v>
      </c>
      <c r="F9" s="10">
        <f>'PROY LR'!F29*-1</f>
        <v>-14105686.183665887</v>
      </c>
      <c r="G9" s="10"/>
      <c r="H9" s="10"/>
      <c r="I9" s="10"/>
      <c r="J9" s="10"/>
    </row>
    <row r="10" spans="1:10" x14ac:dyDescent="0.2">
      <c r="A10" s="3" t="s">
        <v>3221</v>
      </c>
      <c r="B10" s="3"/>
      <c r="C10" s="14">
        <f>'INCOME STATEMENT'!E30*-1</f>
        <v>212875</v>
      </c>
      <c r="D10" s="14">
        <f>'PROY LR'!D34*-1</f>
        <v>212874.09353508998</v>
      </c>
      <c r="E10" s="14">
        <f>'PROY LR'!E34*-1</f>
        <v>212873.18707403986</v>
      </c>
      <c r="F10" s="14">
        <f>'PROY LR'!F34*-1</f>
        <v>212872.28061684963</v>
      </c>
      <c r="G10" s="14"/>
      <c r="H10" s="14"/>
      <c r="I10" s="14"/>
      <c r="J10" s="14"/>
    </row>
    <row r="11" spans="1:10" x14ac:dyDescent="0.2">
      <c r="A11" s="2" t="s">
        <v>3124</v>
      </c>
      <c r="C11" s="11">
        <f>SUM(C7:C10)</f>
        <v>2261432441</v>
      </c>
      <c r="D11" s="11">
        <f>SUM(D7:D10)</f>
        <v>2433339156.3555665</v>
      </c>
      <c r="E11" s="11">
        <f>SUM(E7:E10)</f>
        <v>3287313487.4888973</v>
      </c>
      <c r="F11" s="11">
        <f>SUM(F7:F10)</f>
        <v>4299280843.8065882</v>
      </c>
      <c r="G11" s="11"/>
      <c r="H11" s="11"/>
      <c r="I11" s="11"/>
      <c r="J11" s="11"/>
    </row>
    <row r="12" spans="1:10" x14ac:dyDescent="0.2">
      <c r="C12" s="10"/>
    </row>
    <row r="13" spans="1:10" x14ac:dyDescent="0.2">
      <c r="A13" s="455" t="s">
        <v>96</v>
      </c>
      <c r="C13" s="332">
        <f>C11*STAT_ASSUMPTIONS!$B$5</f>
        <v>497515137.01999998</v>
      </c>
      <c r="D13" s="332">
        <f>D11*STAT_ASSUMPTIONS!$B$5</f>
        <v>535334614.39822465</v>
      </c>
      <c r="E13" s="332">
        <f>E11*STAT_ASSUMPTIONS!$B$5</f>
        <v>723208967.2475574</v>
      </c>
      <c r="F13" s="332">
        <f>F11*STAT_ASSUMPTIONS!$B$5</f>
        <v>945841785.63744938</v>
      </c>
      <c r="G13" s="10"/>
      <c r="H13" s="10"/>
      <c r="I13" s="10"/>
      <c r="J13" s="10"/>
    </row>
    <row r="14" spans="1:10" x14ac:dyDescent="0.2">
      <c r="A14" s="455" t="s">
        <v>101</v>
      </c>
      <c r="C14" s="332">
        <f>0</f>
        <v>0</v>
      </c>
      <c r="D14" s="332">
        <f>0</f>
        <v>0</v>
      </c>
      <c r="E14" s="332">
        <f>0</f>
        <v>0</v>
      </c>
      <c r="F14" s="332">
        <f>0</f>
        <v>0</v>
      </c>
      <c r="G14" s="10"/>
      <c r="H14" s="10"/>
      <c r="I14" s="10"/>
      <c r="J14" s="10"/>
    </row>
    <row r="15" spans="1:10" x14ac:dyDescent="0.2">
      <c r="A15" s="455" t="s">
        <v>106</v>
      </c>
      <c r="C15" s="332">
        <f>0</f>
        <v>0</v>
      </c>
      <c r="D15" s="332">
        <f>0</f>
        <v>0</v>
      </c>
      <c r="E15" s="332">
        <f>0</f>
        <v>0</v>
      </c>
      <c r="F15" s="332">
        <f>0</f>
        <v>0</v>
      </c>
      <c r="G15" s="10"/>
      <c r="H15" s="10"/>
      <c r="I15" s="10"/>
      <c r="J15" s="10"/>
    </row>
    <row r="16" spans="1:10" x14ac:dyDescent="0.2">
      <c r="A16" s="554" t="s">
        <v>110</v>
      </c>
      <c r="B16" s="3"/>
      <c r="C16" s="555">
        <f>0</f>
        <v>0</v>
      </c>
      <c r="D16" s="555">
        <f>0</f>
        <v>0</v>
      </c>
      <c r="E16" s="555">
        <f>0</f>
        <v>0</v>
      </c>
      <c r="F16" s="555">
        <f>0</f>
        <v>0</v>
      </c>
      <c r="G16" s="14"/>
      <c r="H16" s="14"/>
      <c r="I16" s="14"/>
      <c r="J16" s="14"/>
    </row>
    <row r="17" spans="1:13" x14ac:dyDescent="0.2">
      <c r="A17" s="2" t="s">
        <v>3222</v>
      </c>
      <c r="C17" s="574">
        <f>SUM(C13:C16)</f>
        <v>497515137.01999998</v>
      </c>
      <c r="D17" s="574">
        <f>SUM(D13:D16)</f>
        <v>535334614.39822465</v>
      </c>
      <c r="E17" s="574">
        <f>SUM(E13:E16)</f>
        <v>723208967.2475574</v>
      </c>
      <c r="F17" s="574">
        <f>SUM(F13:F16)</f>
        <v>945841785.63744938</v>
      </c>
      <c r="G17" s="11"/>
      <c r="H17" s="11"/>
      <c r="I17" s="11"/>
      <c r="J17" s="11"/>
    </row>
    <row r="18" spans="1:13" x14ac:dyDescent="0.2">
      <c r="C18" s="10"/>
    </row>
    <row r="19" spans="1:13" ht="16" customHeight="1" thickBot="1" x14ac:dyDescent="0.25">
      <c r="A19" s="25" t="s">
        <v>93</v>
      </c>
      <c r="B19" s="26"/>
      <c r="C19" s="575">
        <f>C11-C17</f>
        <v>1763917303.98</v>
      </c>
      <c r="D19" s="576">
        <f>D11-D17</f>
        <v>1898004541.9573419</v>
      </c>
      <c r="E19" s="576">
        <f>E11-E17</f>
        <v>2564104520.2413397</v>
      </c>
      <c r="F19" s="576">
        <f>F11-F17</f>
        <v>3353439058.1691389</v>
      </c>
      <c r="G19" s="138"/>
      <c r="H19" s="138"/>
      <c r="I19" s="138"/>
      <c r="J19" s="138"/>
      <c r="L19" s="139"/>
      <c r="M19" s="133" t="s">
        <v>3430</v>
      </c>
    </row>
  </sheetData>
  <hyperlinks>
    <hyperlink ref="M19" location="DCF!D7:J7" display="DCF, Noplat" xr:uid="{00000000-0004-0000-1900-000000000000}"/>
  </hyperlinks>
  <pageMargins left="0.7" right="0.7" top="0.75" bottom="0.75"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tabColor rgb="FFC00000"/>
  </sheetPr>
  <dimension ref="A1:I30"/>
  <sheetViews>
    <sheetView zoomScale="115" zoomScaleNormal="115" workbookViewId="0">
      <selection activeCell="H20" sqref="H20"/>
    </sheetView>
  </sheetViews>
  <sheetFormatPr baseColWidth="10" defaultColWidth="8.83203125" defaultRowHeight="15" x14ac:dyDescent="0.2"/>
  <cols>
    <col min="1" max="1" width="26.5" bestFit="1" customWidth="1"/>
    <col min="2" max="2" width="18.83203125" customWidth="1"/>
    <col min="3" max="3" width="16.5" customWidth="1"/>
    <col min="4" max="4" width="18.5" customWidth="1"/>
    <col min="5" max="5" width="12.5" customWidth="1"/>
    <col min="8" max="8" width="14.33203125" bestFit="1" customWidth="1"/>
  </cols>
  <sheetData>
    <row r="1" spans="1:9" x14ac:dyDescent="0.2">
      <c r="A1" t="str">
        <f>HOME!B4</f>
        <v>Makmur Jaya Sejati Raya</v>
      </c>
    </row>
    <row r="2" spans="1:9" x14ac:dyDescent="0.2">
      <c r="A2" t="s">
        <v>3431</v>
      </c>
    </row>
    <row r="4" spans="1:9" x14ac:dyDescent="0.2">
      <c r="A4" t="s">
        <v>3432</v>
      </c>
      <c r="B4" s="45">
        <v>7.6200000000000004E-2</v>
      </c>
    </row>
    <row r="5" spans="1:9" x14ac:dyDescent="0.2">
      <c r="A5" t="s">
        <v>3433</v>
      </c>
      <c r="B5" s="45">
        <v>2.2599999999999999E-2</v>
      </c>
    </row>
    <row r="6" spans="1:9" x14ac:dyDescent="0.2">
      <c r="A6" t="s">
        <v>3434</v>
      </c>
      <c r="B6" s="45">
        <v>2.7E-2</v>
      </c>
    </row>
    <row r="7" spans="1:9" x14ac:dyDescent="0.2">
      <c r="B7" s="84"/>
    </row>
    <row r="10" spans="1:9" x14ac:dyDescent="0.2">
      <c r="A10" s="8" t="s">
        <v>3435</v>
      </c>
      <c r="B10" s="8" t="s">
        <v>3436</v>
      </c>
      <c r="C10" s="8" t="s">
        <v>3437</v>
      </c>
      <c r="D10" s="8" t="s">
        <v>3438</v>
      </c>
      <c r="E10" s="8" t="s">
        <v>3439</v>
      </c>
      <c r="H10" t="s">
        <v>3440</v>
      </c>
      <c r="I10" t="s">
        <v>3441</v>
      </c>
    </row>
    <row r="11" spans="1:9" x14ac:dyDescent="0.2">
      <c r="A11" t="s">
        <v>3442</v>
      </c>
      <c r="B11">
        <v>1.2</v>
      </c>
      <c r="C11" s="10">
        <v>1000000000</v>
      </c>
      <c r="D11" s="12">
        <v>800000000</v>
      </c>
      <c r="E11" s="40">
        <f>B11/(1+((1-'INCOME STATEMENT'!$B$33)*(D11/C11)))</f>
        <v>0.66666666666666663</v>
      </c>
    </row>
    <row r="12" spans="1:9" x14ac:dyDescent="0.2">
      <c r="A12" t="s">
        <v>3443</v>
      </c>
      <c r="B12">
        <v>0.7</v>
      </c>
      <c r="C12" s="10">
        <v>1000000000</v>
      </c>
      <c r="D12" s="12">
        <v>850000000</v>
      </c>
      <c r="E12" s="40">
        <f>B12/(1+((1-'INCOME STATEMENT'!$B$33)*(D12/C12)))</f>
        <v>0.37837837837837834</v>
      </c>
    </row>
    <row r="13" spans="1:9" x14ac:dyDescent="0.2">
      <c r="A13" s="3" t="s">
        <v>3444</v>
      </c>
      <c r="B13" s="3">
        <v>0.6</v>
      </c>
      <c r="C13" s="14">
        <v>1000000000</v>
      </c>
      <c r="D13" s="28">
        <v>2700000000</v>
      </c>
      <c r="E13" s="40">
        <f>B13/(1+((1-'INCOME STATEMENT'!$B$33)*(D13/C13)))</f>
        <v>0.16216216216216214</v>
      </c>
    </row>
    <row r="14" spans="1:9" x14ac:dyDescent="0.2">
      <c r="A14" s="20" t="s">
        <v>3345</v>
      </c>
      <c r="B14" s="41">
        <f>AVERAGE(B11:B13)</f>
        <v>0.83333333333333337</v>
      </c>
      <c r="C14" s="28">
        <f>SUM(C11:C13)</f>
        <v>3000000000</v>
      </c>
      <c r="D14" s="28">
        <f>SUM(D11:D13)</f>
        <v>4350000000</v>
      </c>
      <c r="E14" s="41">
        <f>AVERAGE(E11:E13)</f>
        <v>0.40240240240240238</v>
      </c>
    </row>
    <row r="15" spans="1:9" x14ac:dyDescent="0.2">
      <c r="A15" s="701" t="s">
        <v>3445</v>
      </c>
      <c r="B15" s="702"/>
      <c r="C15" s="702"/>
      <c r="D15" s="702"/>
      <c r="E15" s="42">
        <f>E14*(1+((1-'INCOME STATEMENT'!B33)*(D14/C14)))</f>
        <v>0.98588588588588588</v>
      </c>
    </row>
    <row r="17" spans="1:6" x14ac:dyDescent="0.2">
      <c r="A17" s="8" t="s">
        <v>3446</v>
      </c>
      <c r="B17" s="8" t="s">
        <v>3447</v>
      </c>
      <c r="C17" s="8" t="s">
        <v>3448</v>
      </c>
      <c r="D17" s="8" t="s">
        <v>3449</v>
      </c>
      <c r="E17" s="8" t="s">
        <v>3450</v>
      </c>
    </row>
    <row r="18" spans="1:6" x14ac:dyDescent="0.2">
      <c r="A18" s="31"/>
      <c r="B18" s="31"/>
      <c r="C18" s="31"/>
      <c r="D18" s="31"/>
    </row>
    <row r="19" spans="1:6" x14ac:dyDescent="0.2">
      <c r="A19" t="s">
        <v>3451</v>
      </c>
      <c r="B19" s="43">
        <f>'BALANCE SHEET'!C34+'BALANCE SHEET'!C39</f>
        <v>1846235691</v>
      </c>
      <c r="C19" s="44">
        <f>D14/(D14+C14)</f>
        <v>0.59183673469387754</v>
      </c>
      <c r="D19" s="44">
        <f>B30*(1-'INCOME STATEMENT'!B33)</f>
        <v>0.13</v>
      </c>
      <c r="E19" s="34">
        <f>C19*D19</f>
        <v>7.6938775510204088E-2</v>
      </c>
    </row>
    <row r="20" spans="1:6" x14ac:dyDescent="0.2">
      <c r="A20" t="s">
        <v>3380</v>
      </c>
      <c r="B20" s="43">
        <f>'BALANCE SHEET'!C48</f>
        <v>16645436325</v>
      </c>
      <c r="C20" s="44">
        <f>1-C19</f>
        <v>0.40816326530612246</v>
      </c>
      <c r="D20" s="44">
        <f>B6+(E15*B4)-B5</f>
        <v>7.9524504504504503E-2</v>
      </c>
      <c r="E20" s="34">
        <f>C20*D20</f>
        <v>3.2458981430410004E-2</v>
      </c>
    </row>
    <row r="22" spans="1:6" ht="16" customHeight="1" thickBot="1" x14ac:dyDescent="0.25">
      <c r="A22" s="699" t="s">
        <v>3452</v>
      </c>
      <c r="B22" s="700"/>
      <c r="C22" s="700"/>
      <c r="D22" s="700"/>
      <c r="E22" s="143">
        <v>0.1031</v>
      </c>
      <c r="F22" t="s">
        <v>3453</v>
      </c>
    </row>
    <row r="26" spans="1:6" x14ac:dyDescent="0.2">
      <c r="A26" t="s">
        <v>3454</v>
      </c>
    </row>
    <row r="27" spans="1:6" x14ac:dyDescent="0.2">
      <c r="A27" t="s">
        <v>3455</v>
      </c>
      <c r="B27" s="4">
        <v>0.12</v>
      </c>
    </row>
    <row r="28" spans="1:6" x14ac:dyDescent="0.2">
      <c r="A28" t="s">
        <v>3456</v>
      </c>
      <c r="B28" s="4">
        <v>0.13</v>
      </c>
    </row>
    <row r="29" spans="1:6" x14ac:dyDescent="0.2">
      <c r="A29" t="s">
        <v>3457</v>
      </c>
      <c r="B29" s="4">
        <v>0.14000000000000001</v>
      </c>
    </row>
    <row r="30" spans="1:6" x14ac:dyDescent="0.2">
      <c r="A30" s="2" t="s">
        <v>3458</v>
      </c>
      <c r="B30" s="137">
        <f>+AVERAGE(B27:B29)</f>
        <v>0.13</v>
      </c>
    </row>
  </sheetData>
  <mergeCells count="2">
    <mergeCell ref="A22:D22"/>
    <mergeCell ref="A15:D15"/>
  </mergeCells>
  <conditionalFormatting sqref="A4:A5">
    <cfRule type="expression" dxfId="5" priority="3">
      <formula>#REF!="Country"</formula>
    </cfRule>
  </conditionalFormatting>
  <hyperlinks>
    <hyperlink ref="E22" location="DCF!B23" display="DCF!B23" xr:uid="{00000000-0004-0000-1A00-000000000000}"/>
  </hyperlinks>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5">
    <tabColor rgb="FFFF0000"/>
  </sheetPr>
  <dimension ref="A2:Q69"/>
  <sheetViews>
    <sheetView showGridLines="0" topLeftCell="A47" zoomScaleNormal="100" workbookViewId="0">
      <selection activeCell="G6" sqref="G6:J6"/>
    </sheetView>
  </sheetViews>
  <sheetFormatPr baseColWidth="10" defaultColWidth="8.83203125" defaultRowHeight="15" x14ac:dyDescent="0.2"/>
  <cols>
    <col min="1" max="1" width="17.6640625" style="46" customWidth="1"/>
    <col min="2" max="2" width="17.83203125" style="46" hidden="1" customWidth="1"/>
    <col min="3" max="5" width="17.83203125" style="46" customWidth="1"/>
    <col min="6" max="6" width="8.83203125" style="46" customWidth="1"/>
    <col min="7" max="7" width="18" style="46" customWidth="1"/>
    <col min="8" max="10" width="14.5" style="46" customWidth="1"/>
    <col min="11" max="13" width="8.83203125" style="46" customWidth="1"/>
    <col min="14" max="14" width="21.6640625" style="46" customWidth="1"/>
    <col min="15" max="15" width="18.5" style="46" customWidth="1"/>
    <col min="16" max="16" width="24.1640625" style="46" bestFit="1" customWidth="1"/>
    <col min="17" max="17" width="24.33203125" style="46" bestFit="1" customWidth="1"/>
    <col min="18" max="18" width="8.83203125" style="46" customWidth="1"/>
    <col min="19" max="16384" width="8.83203125" style="46"/>
  </cols>
  <sheetData>
    <row r="2" spans="1:16" ht="19" customHeight="1" x14ac:dyDescent="0.25">
      <c r="A2" s="705" t="s">
        <v>3459</v>
      </c>
      <c r="B2" s="704"/>
      <c r="C2" s="704"/>
      <c r="D2" s="704"/>
      <c r="E2" s="704"/>
      <c r="F2" s="704"/>
      <c r="G2" s="704"/>
      <c r="H2" s="704"/>
      <c r="I2" s="704"/>
      <c r="J2" s="704"/>
    </row>
    <row r="3" spans="1:16" ht="2.25" customHeight="1" x14ac:dyDescent="0.2"/>
    <row r="4" spans="1:16" ht="16" customHeight="1" x14ac:dyDescent="0.2">
      <c r="A4" s="703" t="str">
        <f>HOME!B4</f>
        <v>Makmur Jaya Sejati Raya</v>
      </c>
      <c r="B4" s="704"/>
      <c r="C4" s="704"/>
      <c r="D4" s="704"/>
      <c r="E4" s="704"/>
      <c r="F4" s="704"/>
      <c r="G4" s="704"/>
      <c r="H4" s="704"/>
      <c r="I4" s="704"/>
      <c r="J4" s="704"/>
    </row>
    <row r="5" spans="1:16" ht="8.25" customHeight="1" x14ac:dyDescent="0.2"/>
    <row r="6" spans="1:16" x14ac:dyDescent="0.2">
      <c r="A6" s="706" t="str">
        <f>"DATA PENJUALAN "&amp;HOME!B4</f>
        <v>DATA PENJUALAN Makmur Jaya Sejati Raya</v>
      </c>
      <c r="B6" s="707"/>
      <c r="C6" s="707"/>
      <c r="D6" s="707"/>
      <c r="E6" s="708"/>
      <c r="G6" s="709" t="str">
        <f>"GROWTH SALES AND NET INCOME "&amp;HOME!B4</f>
        <v>GROWTH SALES AND NET INCOME Makmur Jaya Sejati Raya</v>
      </c>
      <c r="H6" s="707"/>
      <c r="I6" s="707"/>
      <c r="J6" s="708"/>
    </row>
    <row r="7" spans="1:16" x14ac:dyDescent="0.2">
      <c r="A7" s="47" t="s">
        <v>3460</v>
      </c>
      <c r="B7" s="604">
        <f>0</f>
        <v>0</v>
      </c>
      <c r="C7" s="47">
        <f>'INCOME STATEMENT'!C5</f>
        <v>2019</v>
      </c>
      <c r="D7" s="47">
        <f>'INCOME STATEMENT'!D5</f>
        <v>2020</v>
      </c>
      <c r="E7" s="47">
        <f>'INCOME STATEMENT'!E5</f>
        <v>2021</v>
      </c>
      <c r="G7" s="48" t="s">
        <v>3460</v>
      </c>
      <c r="H7" s="48">
        <f>C7</f>
        <v>2019</v>
      </c>
      <c r="I7" s="48">
        <f>D7</f>
        <v>2020</v>
      </c>
      <c r="J7" s="48">
        <f>E7</f>
        <v>2021</v>
      </c>
    </row>
    <row r="8" spans="1:16" x14ac:dyDescent="0.2">
      <c r="A8" s="49" t="s">
        <v>3461</v>
      </c>
      <c r="B8" s="605">
        <f>0</f>
        <v>0</v>
      </c>
      <c r="C8" s="126">
        <f>'INCOME STATEMENT'!C6</f>
        <v>9335637236</v>
      </c>
      <c r="D8" s="126">
        <f>'INCOME STATEMENT'!D6</f>
        <v>11406787320</v>
      </c>
      <c r="E8" s="126">
        <f>'INCOME STATEMENT'!E6</f>
        <v>16663916100</v>
      </c>
      <c r="G8" s="51" t="s">
        <v>3461</v>
      </c>
      <c r="H8" s="52">
        <f t="shared" ref="H8:J9" si="0">IF(B8=0,0,(C8-B8)/B8)</f>
        <v>0</v>
      </c>
      <c r="I8" s="52">
        <f t="shared" si="0"/>
        <v>0.22185417359762544</v>
      </c>
      <c r="J8" s="52">
        <f t="shared" si="0"/>
        <v>0.46087725075599989</v>
      </c>
    </row>
    <row r="9" spans="1:16" x14ac:dyDescent="0.2">
      <c r="A9" s="49" t="s">
        <v>3462</v>
      </c>
      <c r="B9" s="605">
        <f>0</f>
        <v>0</v>
      </c>
      <c r="C9" s="126">
        <f>'INCOME STATEMENT'!C35</f>
        <v>440745074</v>
      </c>
      <c r="D9" s="126">
        <f>'INCOME STATEMENT'!D35</f>
        <v>754862153</v>
      </c>
      <c r="E9" s="126">
        <f>'INCOME STATEMENT'!E35</f>
        <v>1838106527</v>
      </c>
      <c r="G9" s="51" t="s">
        <v>3462</v>
      </c>
      <c r="H9" s="52">
        <f t="shared" si="0"/>
        <v>0</v>
      </c>
      <c r="I9" s="52">
        <f t="shared" si="0"/>
        <v>0.71269560916295116</v>
      </c>
      <c r="J9" s="52">
        <f t="shared" si="0"/>
        <v>1.4350227650107132</v>
      </c>
    </row>
    <row r="11" spans="1:16" x14ac:dyDescent="0.2">
      <c r="L11" s="46" t="s">
        <v>3463</v>
      </c>
    </row>
    <row r="12" spans="1:16" x14ac:dyDescent="0.2">
      <c r="L12" s="61" t="s">
        <v>3464</v>
      </c>
      <c r="M12" s="61" t="s">
        <v>3465</v>
      </c>
      <c r="N12" s="164" t="s">
        <v>3466</v>
      </c>
      <c r="O12" s="164" t="s">
        <v>3467</v>
      </c>
      <c r="P12" s="164" t="s">
        <v>3468</v>
      </c>
    </row>
    <row r="13" spans="1:16" x14ac:dyDescent="0.2">
      <c r="L13" s="46">
        <f>B8</f>
        <v>0</v>
      </c>
      <c r="M13" s="46">
        <v>1</v>
      </c>
      <c r="N13" s="165">
        <v>-3000000</v>
      </c>
      <c r="O13" s="165">
        <v>70000000</v>
      </c>
      <c r="P13" s="166">
        <f t="shared" ref="P13:P20" si="1">(N13*M13)+O13</f>
        <v>67000000</v>
      </c>
    </row>
    <row r="14" spans="1:16" x14ac:dyDescent="0.2">
      <c r="L14" s="46">
        <f t="shared" ref="L14:L20" si="2">+L13+1</f>
        <v>1</v>
      </c>
      <c r="M14" s="46">
        <v>2</v>
      </c>
      <c r="N14" s="165">
        <v>-3000000</v>
      </c>
      <c r="O14" s="165">
        <v>70000000</v>
      </c>
      <c r="P14" s="166">
        <f t="shared" si="1"/>
        <v>64000000</v>
      </c>
    </row>
    <row r="15" spans="1:16" x14ac:dyDescent="0.2">
      <c r="L15" s="46">
        <f t="shared" si="2"/>
        <v>2</v>
      </c>
      <c r="M15" s="46">
        <v>3</v>
      </c>
      <c r="N15" s="165">
        <v>-3000000</v>
      </c>
      <c r="O15" s="165">
        <v>70000000</v>
      </c>
      <c r="P15" s="166">
        <f t="shared" si="1"/>
        <v>61000000</v>
      </c>
    </row>
    <row r="16" spans="1:16" x14ac:dyDescent="0.2">
      <c r="L16" s="46">
        <f t="shared" si="2"/>
        <v>3</v>
      </c>
      <c r="M16" s="46">
        <v>4</v>
      </c>
      <c r="N16" s="165">
        <v>-3000000</v>
      </c>
      <c r="O16" s="165">
        <v>70000000</v>
      </c>
      <c r="P16" s="166">
        <f t="shared" si="1"/>
        <v>58000000</v>
      </c>
    </row>
    <row r="17" spans="11:17" x14ac:dyDescent="0.2">
      <c r="L17" s="46">
        <f t="shared" si="2"/>
        <v>4</v>
      </c>
      <c r="M17" s="46">
        <v>5</v>
      </c>
      <c r="N17" s="165">
        <v>-3000000</v>
      </c>
      <c r="O17" s="165">
        <v>70000000</v>
      </c>
      <c r="P17" s="166">
        <f t="shared" si="1"/>
        <v>55000000</v>
      </c>
    </row>
    <row r="18" spans="11:17" x14ac:dyDescent="0.2">
      <c r="L18" s="46">
        <f t="shared" si="2"/>
        <v>5</v>
      </c>
      <c r="M18" s="46">
        <v>6</v>
      </c>
      <c r="N18" s="165">
        <v>-3000000</v>
      </c>
      <c r="O18" s="165">
        <v>70000000</v>
      </c>
      <c r="P18" s="166">
        <f t="shared" si="1"/>
        <v>52000000</v>
      </c>
    </row>
    <row r="19" spans="11:17" x14ac:dyDescent="0.2">
      <c r="L19" s="46">
        <f t="shared" si="2"/>
        <v>6</v>
      </c>
      <c r="M19" s="46">
        <v>7</v>
      </c>
      <c r="N19" s="165">
        <v>-3000000</v>
      </c>
      <c r="O19" s="165">
        <v>70000000</v>
      </c>
      <c r="P19" s="166">
        <f t="shared" si="1"/>
        <v>49000000</v>
      </c>
    </row>
    <row r="20" spans="11:17" x14ac:dyDescent="0.2">
      <c r="L20" s="46">
        <f t="shared" si="2"/>
        <v>7</v>
      </c>
      <c r="M20" s="46">
        <v>8</v>
      </c>
      <c r="N20" s="165">
        <v>-3000000</v>
      </c>
      <c r="O20" s="165">
        <v>70000000</v>
      </c>
      <c r="P20" s="166">
        <f t="shared" si="1"/>
        <v>46000000</v>
      </c>
      <c r="Q20" s="56"/>
    </row>
    <row r="21" spans="11:17" x14ac:dyDescent="0.2">
      <c r="L21" s="124" t="s">
        <v>3469</v>
      </c>
      <c r="M21" s="125"/>
      <c r="N21" s="125"/>
      <c r="O21" s="54"/>
      <c r="P21" s="56"/>
    </row>
    <row r="22" spans="11:17" x14ac:dyDescent="0.2">
      <c r="O22" s="60"/>
      <c r="P22" s="54"/>
      <c r="Q22" s="55"/>
    </row>
    <row r="23" spans="11:17" x14ac:dyDescent="0.2">
      <c r="O23" s="53"/>
      <c r="P23" s="54"/>
      <c r="Q23" s="55"/>
    </row>
    <row r="24" spans="11:17" x14ac:dyDescent="0.2">
      <c r="O24" s="53"/>
      <c r="P24" s="54"/>
      <c r="Q24" s="55"/>
    </row>
    <row r="25" spans="11:17" x14ac:dyDescent="0.2">
      <c r="O25" s="53"/>
      <c r="P25" s="54"/>
      <c r="Q25" s="55"/>
    </row>
    <row r="26" spans="11:17" x14ac:dyDescent="0.2">
      <c r="O26" s="53"/>
      <c r="P26" s="54"/>
      <c r="Q26" s="55"/>
    </row>
    <row r="27" spans="11:17" x14ac:dyDescent="0.2">
      <c r="O27" s="53"/>
      <c r="P27" s="54"/>
      <c r="Q27" s="55"/>
    </row>
    <row r="28" spans="11:17" x14ac:dyDescent="0.2">
      <c r="O28" s="53"/>
      <c r="P28" s="54"/>
      <c r="Q28" s="55"/>
    </row>
    <row r="29" spans="11:17" x14ac:dyDescent="0.2">
      <c r="O29" s="53"/>
      <c r="P29" s="54"/>
      <c r="Q29" s="55"/>
    </row>
    <row r="30" spans="11:17" x14ac:dyDescent="0.2">
      <c r="K30" s="59"/>
      <c r="O30" s="53"/>
      <c r="P30" s="54"/>
      <c r="Q30" s="55"/>
    </row>
    <row r="31" spans="11:17" x14ac:dyDescent="0.2">
      <c r="O31" s="53"/>
      <c r="P31" s="54"/>
      <c r="Q31" s="55"/>
    </row>
    <row r="32" spans="11:17" x14ac:dyDescent="0.2">
      <c r="O32" s="53"/>
    </row>
    <row r="36" spans="1:10" ht="16" customHeight="1" x14ac:dyDescent="0.2">
      <c r="A36" s="703" t="s">
        <v>3470</v>
      </c>
      <c r="B36" s="704"/>
      <c r="C36" s="704"/>
      <c r="D36" s="704"/>
      <c r="E36" s="704"/>
      <c r="F36" s="704"/>
      <c r="G36" s="704"/>
      <c r="H36" s="704"/>
      <c r="I36" s="704"/>
      <c r="J36" s="704"/>
    </row>
    <row r="38" spans="1:10" x14ac:dyDescent="0.2">
      <c r="A38" s="706" t="str">
        <f>"DATA PENJUALAN/PENDAPATAN INDUSTRI"</f>
        <v>DATA PENJUALAN/PENDAPATAN INDUSTRI</v>
      </c>
      <c r="B38" s="707"/>
      <c r="C38" s="707"/>
      <c r="D38" s="707"/>
      <c r="E38" s="708"/>
      <c r="G38" s="709" t="str">
        <f>"GROWTH INDUSTRI "</f>
        <v xml:space="preserve">GROWTH INDUSTRI </v>
      </c>
      <c r="H38" s="707"/>
      <c r="I38" s="707"/>
      <c r="J38" s="708"/>
    </row>
    <row r="39" spans="1:10" x14ac:dyDescent="0.2">
      <c r="A39" s="47" t="s">
        <v>3460</v>
      </c>
      <c r="B39" s="47">
        <f>B7</f>
        <v>0</v>
      </c>
      <c r="C39" s="47">
        <f>C7</f>
        <v>2019</v>
      </c>
      <c r="D39" s="47">
        <f>D7</f>
        <v>2020</v>
      </c>
      <c r="E39" s="47">
        <f>E7</f>
        <v>2021</v>
      </c>
      <c r="G39" s="48" t="s">
        <v>3460</v>
      </c>
      <c r="H39" s="48">
        <f>C39</f>
        <v>2019</v>
      </c>
      <c r="I39" s="48">
        <f>D39</f>
        <v>2020</v>
      </c>
      <c r="J39" s="48">
        <f>E39</f>
        <v>2021</v>
      </c>
    </row>
    <row r="40" spans="1:10" x14ac:dyDescent="0.2">
      <c r="A40" s="49" t="s">
        <v>3461</v>
      </c>
      <c r="B40" s="57"/>
      <c r="C40" s="57"/>
      <c r="D40" s="57"/>
      <c r="E40" s="57"/>
      <c r="G40" s="51" t="s">
        <v>3461</v>
      </c>
      <c r="H40" s="58">
        <f t="shared" ref="H40:J41" si="3">IF(B40=0,0,(C40-B40)/B40)</f>
        <v>0</v>
      </c>
      <c r="I40" s="58">
        <f t="shared" si="3"/>
        <v>0</v>
      </c>
      <c r="J40" s="58">
        <f t="shared" si="3"/>
        <v>0</v>
      </c>
    </row>
    <row r="41" spans="1:10" x14ac:dyDescent="0.2">
      <c r="A41" s="49" t="s">
        <v>3471</v>
      </c>
      <c r="B41" s="57"/>
      <c r="C41" s="57"/>
      <c r="D41" s="57"/>
      <c r="E41" s="57"/>
      <c r="G41" s="51" t="s">
        <v>3471</v>
      </c>
      <c r="H41" s="58">
        <f t="shared" si="3"/>
        <v>0</v>
      </c>
      <c r="I41" s="58">
        <f t="shared" si="3"/>
        <v>0</v>
      </c>
      <c r="J41" s="58">
        <f t="shared" si="3"/>
        <v>0</v>
      </c>
    </row>
    <row r="58" spans="1:10" ht="19" customHeight="1" x14ac:dyDescent="0.25">
      <c r="A58" s="705" t="str">
        <f>A2</f>
        <v>GROWTH</v>
      </c>
      <c r="B58" s="704"/>
      <c r="C58" s="704"/>
      <c r="D58" s="704"/>
      <c r="E58" s="704"/>
      <c r="F58" s="704"/>
      <c r="G58" s="704"/>
      <c r="H58" s="704"/>
      <c r="I58" s="704"/>
      <c r="J58" s="704"/>
    </row>
    <row r="60" spans="1:10" ht="16" customHeight="1" x14ac:dyDescent="0.2">
      <c r="A60" s="703" t="str">
        <f>"PERBANDINGAN GROWTH INDUSTRI DENGAN "&amp;A4</f>
        <v>PERBANDINGAN GROWTH INDUSTRI DENGAN Makmur Jaya Sejati Raya</v>
      </c>
      <c r="B60" s="704"/>
      <c r="C60" s="704"/>
      <c r="D60" s="704"/>
      <c r="E60" s="704"/>
      <c r="F60" s="704"/>
      <c r="G60" s="704"/>
      <c r="H60" s="704"/>
      <c r="I60" s="704"/>
      <c r="J60" s="704"/>
    </row>
    <row r="62" spans="1:10" x14ac:dyDescent="0.2">
      <c r="A62" s="706" t="s">
        <v>3472</v>
      </c>
      <c r="B62" s="707"/>
      <c r="C62" s="707"/>
      <c r="D62" s="707"/>
      <c r="E62" s="708"/>
      <c r="G62" s="709" t="s">
        <v>3473</v>
      </c>
      <c r="H62" s="707"/>
      <c r="I62" s="707"/>
      <c r="J62" s="708"/>
    </row>
    <row r="63" spans="1:10" x14ac:dyDescent="0.2">
      <c r="A63" s="47" t="s">
        <v>3460</v>
      </c>
      <c r="B63" s="47">
        <f>B39</f>
        <v>0</v>
      </c>
      <c r="C63" s="47">
        <f>C39</f>
        <v>2019</v>
      </c>
      <c r="D63" s="47">
        <f>D39</f>
        <v>2020</v>
      </c>
      <c r="E63" s="47">
        <f>E39</f>
        <v>2021</v>
      </c>
      <c r="G63" s="48" t="s">
        <v>3460</v>
      </c>
      <c r="H63" s="48">
        <f>C63</f>
        <v>2019</v>
      </c>
      <c r="I63" s="48">
        <f>D63</f>
        <v>2020</v>
      </c>
      <c r="J63" s="48">
        <f>E63</f>
        <v>2021</v>
      </c>
    </row>
    <row r="64" spans="1:10" x14ac:dyDescent="0.2">
      <c r="A64" s="49" t="s">
        <v>3461</v>
      </c>
      <c r="B64" s="50">
        <f t="shared" ref="B64:E65" si="4">B8</f>
        <v>0</v>
      </c>
      <c r="C64" s="50">
        <f t="shared" si="4"/>
        <v>9335637236</v>
      </c>
      <c r="D64" s="50">
        <f t="shared" si="4"/>
        <v>11406787320</v>
      </c>
      <c r="E64" s="50">
        <f t="shared" si="4"/>
        <v>16663916100</v>
      </c>
      <c r="G64" s="51" t="s">
        <v>3461</v>
      </c>
      <c r="H64" s="52">
        <f t="shared" ref="H64:J65" si="5">IF(B64=0,0,(C64-B64)/B64)</f>
        <v>0</v>
      </c>
      <c r="I64" s="52">
        <f t="shared" si="5"/>
        <v>0.22185417359762544</v>
      </c>
      <c r="J64" s="52">
        <f t="shared" si="5"/>
        <v>0.46087725075599989</v>
      </c>
    </row>
    <row r="65" spans="1:10" x14ac:dyDescent="0.2">
      <c r="A65" s="49" t="s">
        <v>3471</v>
      </c>
      <c r="B65" s="50">
        <f t="shared" si="4"/>
        <v>0</v>
      </c>
      <c r="C65" s="50">
        <f t="shared" si="4"/>
        <v>440745074</v>
      </c>
      <c r="D65" s="50">
        <f t="shared" si="4"/>
        <v>754862153</v>
      </c>
      <c r="E65" s="50">
        <f t="shared" si="4"/>
        <v>1838106527</v>
      </c>
      <c r="G65" s="51" t="s">
        <v>3471</v>
      </c>
      <c r="H65" s="52">
        <f t="shared" si="5"/>
        <v>0</v>
      </c>
      <c r="I65" s="52">
        <f t="shared" si="5"/>
        <v>0.71269560916295116</v>
      </c>
      <c r="J65" s="52">
        <f t="shared" si="5"/>
        <v>1.4350227650107132</v>
      </c>
    </row>
    <row r="66" spans="1:10" x14ac:dyDescent="0.2">
      <c r="A66" s="706" t="str">
        <f>"DATA PENJUALAN/PENDAPATAN INDUSTRI"</f>
        <v>DATA PENJUALAN/PENDAPATAN INDUSTRI</v>
      </c>
      <c r="B66" s="707"/>
      <c r="C66" s="707"/>
      <c r="D66" s="707"/>
      <c r="E66" s="708"/>
      <c r="G66" s="709" t="str">
        <f>"GROWTH INDUSTRI "</f>
        <v xml:space="preserve">GROWTH INDUSTRI </v>
      </c>
      <c r="H66" s="707"/>
      <c r="I66" s="707"/>
      <c r="J66" s="708"/>
    </row>
    <row r="67" spans="1:10" x14ac:dyDescent="0.2">
      <c r="A67" s="47" t="s">
        <v>3460</v>
      </c>
      <c r="B67" s="47">
        <f>B63</f>
        <v>0</v>
      </c>
      <c r="C67" s="47">
        <f>C63</f>
        <v>2019</v>
      </c>
      <c r="D67" s="47">
        <f>D63</f>
        <v>2020</v>
      </c>
      <c r="E67" s="47">
        <f>E63</f>
        <v>2021</v>
      </c>
      <c r="G67" s="48" t="s">
        <v>3460</v>
      </c>
      <c r="H67" s="48">
        <f>C67</f>
        <v>2019</v>
      </c>
      <c r="I67" s="48">
        <f>D67</f>
        <v>2020</v>
      </c>
      <c r="J67" s="48">
        <f>E67</f>
        <v>2021</v>
      </c>
    </row>
    <row r="68" spans="1:10" x14ac:dyDescent="0.2">
      <c r="A68" s="49" t="s">
        <v>3461</v>
      </c>
      <c r="B68" s="50">
        <f t="shared" ref="B68:E69" si="6">B40</f>
        <v>0</v>
      </c>
      <c r="C68" s="50">
        <f t="shared" si="6"/>
        <v>0</v>
      </c>
      <c r="D68" s="50">
        <f t="shared" si="6"/>
        <v>0</v>
      </c>
      <c r="E68" s="50">
        <f t="shared" si="6"/>
        <v>0</v>
      </c>
      <c r="G68" s="51" t="s">
        <v>3461</v>
      </c>
      <c r="H68" s="52">
        <f t="shared" ref="H68:J69" si="7">IF(B68=0,0,(C68-B68)/B68)</f>
        <v>0</v>
      </c>
      <c r="I68" s="52">
        <f t="shared" si="7"/>
        <v>0</v>
      </c>
      <c r="J68" s="52">
        <f t="shared" si="7"/>
        <v>0</v>
      </c>
    </row>
    <row r="69" spans="1:10" x14ac:dyDescent="0.2">
      <c r="A69" s="49" t="s">
        <v>3471</v>
      </c>
      <c r="B69" s="50">
        <f t="shared" si="6"/>
        <v>0</v>
      </c>
      <c r="C69" s="50">
        <f t="shared" si="6"/>
        <v>0</v>
      </c>
      <c r="D69" s="50">
        <f t="shared" si="6"/>
        <v>0</v>
      </c>
      <c r="E69" s="50">
        <f t="shared" si="6"/>
        <v>0</v>
      </c>
      <c r="G69" s="51" t="s">
        <v>3471</v>
      </c>
      <c r="H69" s="52">
        <f t="shared" si="7"/>
        <v>0</v>
      </c>
      <c r="I69" s="52">
        <f t="shared" si="7"/>
        <v>0</v>
      </c>
      <c r="J69" s="52">
        <f t="shared" si="7"/>
        <v>0</v>
      </c>
    </row>
  </sheetData>
  <mergeCells count="13">
    <mergeCell ref="A4:J4"/>
    <mergeCell ref="A2:J2"/>
    <mergeCell ref="A6:E6"/>
    <mergeCell ref="A60:J60"/>
    <mergeCell ref="A66:E66"/>
    <mergeCell ref="G66:J66"/>
    <mergeCell ref="G62:J62"/>
    <mergeCell ref="G6:J6"/>
    <mergeCell ref="A62:E62"/>
    <mergeCell ref="A36:J36"/>
    <mergeCell ref="A38:E38"/>
    <mergeCell ref="A58:J58"/>
    <mergeCell ref="G38:J38"/>
  </mergeCells>
  <pageMargins left="1.2" right="0.7" top="0.5" bottom="0.5" header="0.3" footer="0.3"/>
  <pageSetup paperSize="9" scale="80" orientation="landscape"/>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9" tint="-0.249977111117893"/>
  </sheetPr>
  <dimension ref="A1:C3"/>
  <sheetViews>
    <sheetView workbookViewId="0">
      <selection activeCell="D1" sqref="D1"/>
    </sheetView>
  </sheetViews>
  <sheetFormatPr baseColWidth="10" defaultColWidth="8.83203125" defaultRowHeight="15" x14ac:dyDescent="0.2"/>
  <cols>
    <col min="1" max="1" width="26.6640625" customWidth="1"/>
    <col min="2" max="2" width="33.5" customWidth="1"/>
    <col min="3" max="3" width="19.6640625" customWidth="1"/>
  </cols>
  <sheetData>
    <row r="1" spans="1:3" x14ac:dyDescent="0.2">
      <c r="C1" t="s">
        <v>3474</v>
      </c>
    </row>
    <row r="2" spans="1:3" x14ac:dyDescent="0.2">
      <c r="A2" t="s">
        <v>3475</v>
      </c>
      <c r="B2" t="s">
        <v>3476</v>
      </c>
    </row>
    <row r="3" spans="1:3" x14ac:dyDescent="0.2">
      <c r="B3" t="s">
        <v>3477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tabColor theme="9" tint="-0.249977111117893"/>
  </sheetPr>
  <dimension ref="B1:N41"/>
  <sheetViews>
    <sheetView showGridLines="0" workbookViewId="0">
      <selection activeCell="B4" sqref="B4"/>
    </sheetView>
  </sheetViews>
  <sheetFormatPr baseColWidth="10" defaultColWidth="8.83203125" defaultRowHeight="15" x14ac:dyDescent="0.2"/>
  <cols>
    <col min="2" max="2" width="32.83203125" customWidth="1"/>
    <col min="3" max="3" width="21" customWidth="1"/>
    <col min="4" max="4" width="17.5" customWidth="1"/>
    <col min="5" max="5" width="19.1640625" customWidth="1"/>
    <col min="6" max="6" width="20.6640625" customWidth="1"/>
    <col min="7" max="7" width="18.33203125" customWidth="1"/>
    <col min="8" max="8" width="16.83203125" customWidth="1"/>
    <col min="9" max="9" width="18" bestFit="1" customWidth="1"/>
    <col min="10" max="10" width="17" bestFit="1" customWidth="1"/>
    <col min="11" max="14" width="11.33203125" customWidth="1"/>
  </cols>
  <sheetData>
    <row r="1" spans="2:13" ht="16" customHeight="1" thickBot="1" x14ac:dyDescent="0.25">
      <c r="B1" s="101" t="s">
        <v>3478</v>
      </c>
    </row>
    <row r="2" spans="2:13" x14ac:dyDescent="0.2">
      <c r="B2" s="715" t="s">
        <v>3479</v>
      </c>
      <c r="C2" s="717" t="s">
        <v>3480</v>
      </c>
      <c r="D2" s="711"/>
      <c r="E2" s="711"/>
      <c r="F2" s="712"/>
      <c r="G2" s="710" t="s">
        <v>3481</v>
      </c>
      <c r="H2" s="711"/>
      <c r="I2" s="711"/>
      <c r="J2" s="712"/>
      <c r="K2" s="710" t="s">
        <v>3482</v>
      </c>
      <c r="L2" s="711"/>
      <c r="M2" s="712"/>
    </row>
    <row r="3" spans="2:13" x14ac:dyDescent="0.2">
      <c r="B3" s="716"/>
      <c r="C3" s="606" t="str">
        <f>'PASAR KESEBANDINGAN'!L39</f>
        <v>CHEM</v>
      </c>
      <c r="D3" s="606" t="str">
        <f>'PASAR KESEBANDINGAN'!M39</f>
        <v>CLPI</v>
      </c>
      <c r="E3" s="606" t="str">
        <f>'PASAR KESEBANDINGAN'!N39</f>
        <v>CTBN</v>
      </c>
      <c r="F3" s="222" t="s">
        <v>3483</v>
      </c>
      <c r="G3" s="223" t="str">
        <f>C3</f>
        <v>CHEM</v>
      </c>
      <c r="H3" s="221" t="str">
        <f>D3</f>
        <v>CLPI</v>
      </c>
      <c r="I3" s="221" t="str">
        <f>E3</f>
        <v>CTBN</v>
      </c>
      <c r="J3" s="222" t="s">
        <v>3483</v>
      </c>
      <c r="K3" s="223" t="str">
        <f>G3</f>
        <v>CHEM</v>
      </c>
      <c r="L3" s="221" t="str">
        <f>H3</f>
        <v>CLPI</v>
      </c>
      <c r="M3" s="222" t="str">
        <f>I3</f>
        <v>CTBN</v>
      </c>
    </row>
    <row r="4" spans="2:13" x14ac:dyDescent="0.2">
      <c r="B4" s="173" t="s">
        <v>3484</v>
      </c>
      <c r="C4" s="174">
        <v>430754674</v>
      </c>
      <c r="D4" s="174">
        <v>25247152</v>
      </c>
      <c r="E4" s="174">
        <v>53564289.147679716</v>
      </c>
      <c r="F4" s="175">
        <f>'INCOME STATEMENT'!E6</f>
        <v>16663916100</v>
      </c>
      <c r="G4" s="180"/>
      <c r="H4" s="171"/>
      <c r="I4" s="171"/>
      <c r="J4" s="172"/>
      <c r="K4" s="173"/>
      <c r="L4" s="171"/>
      <c r="M4" s="172"/>
    </row>
    <row r="5" spans="2:13" x14ac:dyDescent="0.2">
      <c r="B5" s="173" t="s">
        <v>3485</v>
      </c>
      <c r="C5" s="174">
        <v>64890712</v>
      </c>
      <c r="D5" s="174">
        <v>2946925</v>
      </c>
      <c r="E5" s="174">
        <v>16382725.8296564</v>
      </c>
      <c r="F5" s="175">
        <f>'INCOME STATEMENT'!E8</f>
        <v>5884257886</v>
      </c>
      <c r="G5" s="181">
        <f t="shared" ref="G5:J7" si="0">C5/C$4</f>
        <v>0.15064424350274142</v>
      </c>
      <c r="H5" s="182">
        <f t="shared" si="0"/>
        <v>0.11672306642745289</v>
      </c>
      <c r="I5" s="182">
        <f t="shared" si="0"/>
        <v>0.30585164277058391</v>
      </c>
      <c r="J5" s="183">
        <f t="shared" si="0"/>
        <v>0.35311374893444164</v>
      </c>
      <c r="K5" s="173"/>
      <c r="L5" s="171"/>
      <c r="M5" s="172"/>
    </row>
    <row r="6" spans="2:13" x14ac:dyDescent="0.2">
      <c r="B6" s="173" t="s">
        <v>3486</v>
      </c>
      <c r="C6" s="174">
        <v>17145071</v>
      </c>
      <c r="D6" s="174">
        <v>-8691889</v>
      </c>
      <c r="E6" s="174">
        <v>9922149.2485102061</v>
      </c>
      <c r="F6" s="175">
        <f>'INCOME STATEMENT'!E18</f>
        <v>3243162782</v>
      </c>
      <c r="G6" s="181">
        <f t="shared" si="0"/>
        <v>3.9802402701264714E-2</v>
      </c>
      <c r="H6" s="182">
        <f t="shared" si="0"/>
        <v>-0.344272058884107</v>
      </c>
      <c r="I6" s="182">
        <f t="shared" si="0"/>
        <v>0.18523813918549895</v>
      </c>
      <c r="J6" s="183">
        <f t="shared" si="0"/>
        <v>0.1946218861483586</v>
      </c>
      <c r="K6" s="233">
        <v>1</v>
      </c>
      <c r="L6" s="234">
        <v>0</v>
      </c>
      <c r="M6" s="235">
        <v>0</v>
      </c>
    </row>
    <row r="7" spans="2:13" x14ac:dyDescent="0.2">
      <c r="B7" s="173" t="s">
        <v>3462</v>
      </c>
      <c r="C7" s="174">
        <v>11537048</v>
      </c>
      <c r="D7" s="174">
        <v>-10798748</v>
      </c>
      <c r="E7" s="174">
        <v>3274641.6417205529</v>
      </c>
      <c r="F7" s="175">
        <f>'INCOME STATEMENT'!E35</f>
        <v>1838106527</v>
      </c>
      <c r="G7" s="181">
        <f t="shared" si="0"/>
        <v>2.678333793308996E-2</v>
      </c>
      <c r="H7" s="182">
        <f t="shared" si="0"/>
        <v>-0.42772143170841609</v>
      </c>
      <c r="I7" s="182">
        <f t="shared" si="0"/>
        <v>6.1134791366169061E-2</v>
      </c>
      <c r="J7" s="183">
        <f t="shared" si="0"/>
        <v>0.11030459562863498</v>
      </c>
      <c r="K7" s="233">
        <v>0</v>
      </c>
      <c r="L7" s="234">
        <v>0</v>
      </c>
      <c r="M7" s="235">
        <v>1</v>
      </c>
    </row>
    <row r="8" spans="2:13" x14ac:dyDescent="0.2">
      <c r="B8" s="173"/>
      <c r="C8" s="174"/>
      <c r="D8" s="174"/>
      <c r="E8" s="174">
        <v>0</v>
      </c>
      <c r="F8" s="175"/>
      <c r="G8" s="180"/>
      <c r="H8" s="171"/>
      <c r="I8" s="171"/>
      <c r="J8" s="172"/>
      <c r="K8" s="233"/>
      <c r="L8" s="234"/>
      <c r="M8" s="235"/>
    </row>
    <row r="9" spans="2:13" x14ac:dyDescent="0.2">
      <c r="B9" s="173" t="s">
        <v>3487</v>
      </c>
      <c r="C9" s="174">
        <v>213098529</v>
      </c>
      <c r="D9" s="174">
        <v>10349688</v>
      </c>
      <c r="E9" s="174">
        <v>10893780.2667998</v>
      </c>
      <c r="F9" s="175">
        <f>'BALANCE SHEET'!E15</f>
        <v>1266935637</v>
      </c>
      <c r="G9" s="181">
        <f t="shared" ref="G9:J10" si="1">C9/C$11</f>
        <v>0.36192764558532614</v>
      </c>
      <c r="H9" s="182">
        <f t="shared" si="1"/>
        <v>0.13084109975575592</v>
      </c>
      <c r="I9" s="182">
        <f t="shared" si="1"/>
        <v>0.10391162243906071</v>
      </c>
      <c r="J9" s="183">
        <f t="shared" si="1"/>
        <v>12.084816688266901</v>
      </c>
      <c r="K9" s="233">
        <v>0</v>
      </c>
      <c r="L9" s="234">
        <v>1</v>
      </c>
      <c r="M9" s="235">
        <v>0</v>
      </c>
    </row>
    <row r="10" spans="2:13" x14ac:dyDescent="0.2">
      <c r="B10" s="173" t="s">
        <v>3488</v>
      </c>
      <c r="C10" s="174">
        <v>375689124</v>
      </c>
      <c r="D10" s="174">
        <v>68751512</v>
      </c>
      <c r="E10" s="174">
        <v>93943195.723912761</v>
      </c>
      <c r="F10" s="175">
        <f>'BALANCE SHEET'!E24</f>
        <v>16011357394</v>
      </c>
      <c r="G10" s="181">
        <f t="shared" si="1"/>
        <v>0.6380723544146738</v>
      </c>
      <c r="H10" s="182">
        <f t="shared" si="1"/>
        <v>0.86915890024424414</v>
      </c>
      <c r="I10" s="182">
        <f t="shared" si="1"/>
        <v>0.89608837756093895</v>
      </c>
      <c r="J10" s="183">
        <f t="shared" si="1"/>
        <v>152.72624226988796</v>
      </c>
      <c r="K10" s="233">
        <v>1</v>
      </c>
      <c r="L10" s="234">
        <v>0</v>
      </c>
      <c r="M10" s="235">
        <v>0</v>
      </c>
    </row>
    <row r="11" spans="2:13" x14ac:dyDescent="0.2">
      <c r="B11" s="173" t="s">
        <v>3489</v>
      </c>
      <c r="C11" s="174">
        <f>+C9+C10</f>
        <v>588787653</v>
      </c>
      <c r="D11" s="174">
        <f>+D9+D10</f>
        <v>79101200</v>
      </c>
      <c r="E11" s="174">
        <v>104836975.9907126</v>
      </c>
      <c r="F11" s="175">
        <v>104836975.9907126</v>
      </c>
      <c r="G11" s="181"/>
      <c r="H11" s="171"/>
      <c r="I11" s="171"/>
      <c r="J11" s="172"/>
      <c r="K11" s="233"/>
      <c r="L11" s="234"/>
      <c r="M11" s="235"/>
    </row>
    <row r="12" spans="2:13" x14ac:dyDescent="0.2">
      <c r="B12" s="173" t="s">
        <v>3490</v>
      </c>
      <c r="C12" s="174">
        <v>188729175</v>
      </c>
      <c r="D12" s="174">
        <v>14443414</v>
      </c>
      <c r="E12" s="174">
        <v>25434442.333523519</v>
      </c>
      <c r="F12" s="175">
        <f>'BALANCE SHEET'!E34</f>
        <v>3577237782</v>
      </c>
      <c r="G12" s="181">
        <f t="shared" ref="G12:J13" si="2">C12/C$14</f>
        <v>0.66734838478018532</v>
      </c>
      <c r="H12" s="182">
        <f t="shared" si="2"/>
        <v>0.29152605894365635</v>
      </c>
      <c r="I12" s="182">
        <f t="shared" si="2"/>
        <v>0.34562809774668513</v>
      </c>
      <c r="J12" s="183">
        <f t="shared" si="2"/>
        <v>48.611008394338533</v>
      </c>
      <c r="K12" s="233">
        <v>0</v>
      </c>
      <c r="L12" s="234">
        <v>1</v>
      </c>
      <c r="M12" s="235">
        <v>0</v>
      </c>
    </row>
    <row r="13" spans="2:13" x14ac:dyDescent="0.2">
      <c r="B13" s="173" t="s">
        <v>3491</v>
      </c>
      <c r="C13" s="174">
        <v>94075398</v>
      </c>
      <c r="D13" s="174">
        <v>35100747</v>
      </c>
      <c r="E13" s="174">
        <v>48154604.677824274</v>
      </c>
      <c r="F13" s="175">
        <f>'BALANCE SHEET'!E39</f>
        <v>0</v>
      </c>
      <c r="G13" s="181">
        <f t="shared" si="2"/>
        <v>0.33265161521981473</v>
      </c>
      <c r="H13" s="182">
        <f t="shared" si="2"/>
        <v>0.70847394105634365</v>
      </c>
      <c r="I13" s="182">
        <f t="shared" si="2"/>
        <v>0.65437190225331499</v>
      </c>
      <c r="J13" s="183">
        <f t="shared" si="2"/>
        <v>0</v>
      </c>
      <c r="K13" s="233">
        <v>1</v>
      </c>
      <c r="L13" s="234">
        <v>0</v>
      </c>
      <c r="M13" s="235">
        <v>0</v>
      </c>
    </row>
    <row r="14" spans="2:13" x14ac:dyDescent="0.2">
      <c r="B14" s="173" t="s">
        <v>3492</v>
      </c>
      <c r="C14" s="174">
        <f>+C12+C13</f>
        <v>282804573</v>
      </c>
      <c r="D14" s="174">
        <f>+D12+D13</f>
        <v>49544161</v>
      </c>
      <c r="E14" s="174">
        <v>73589047.011347786</v>
      </c>
      <c r="F14" s="175">
        <v>73589047.011347786</v>
      </c>
      <c r="G14" s="180"/>
      <c r="H14" s="171"/>
      <c r="I14" s="171"/>
      <c r="J14" s="172"/>
      <c r="K14" s="233"/>
      <c r="L14" s="234"/>
      <c r="M14" s="235"/>
    </row>
    <row r="15" spans="2:13" x14ac:dyDescent="0.2">
      <c r="B15" s="173" t="s">
        <v>3380</v>
      </c>
      <c r="C15" s="174">
        <v>305983080</v>
      </c>
      <c r="D15" s="174">
        <v>29557039</v>
      </c>
      <c r="E15" s="174">
        <v>31247928.979364779</v>
      </c>
      <c r="F15" s="175">
        <f>'BALANCE SHEET'!E48</f>
        <v>13816821754</v>
      </c>
      <c r="G15" s="181">
        <f>C15/C$11</f>
        <v>0.51968324818115708</v>
      </c>
      <c r="H15" s="182">
        <f>D15/D$11</f>
        <v>0.37366106961714868</v>
      </c>
      <c r="I15" s="182">
        <f>E15/E$11</f>
        <v>0.29806209769092351</v>
      </c>
      <c r="J15" s="183">
        <f>F15/F$11</f>
        <v>131.79340231278721</v>
      </c>
      <c r="K15" s="233">
        <v>0</v>
      </c>
      <c r="L15" s="234">
        <v>0</v>
      </c>
      <c r="M15" s="235">
        <v>1</v>
      </c>
    </row>
    <row r="16" spans="2:13" x14ac:dyDescent="0.2">
      <c r="B16" s="173" t="s">
        <v>3493</v>
      </c>
      <c r="C16" s="174">
        <v>78</v>
      </c>
      <c r="D16" s="174">
        <v>196</v>
      </c>
      <c r="E16" s="174">
        <v>357</v>
      </c>
      <c r="F16" s="172"/>
      <c r="G16" s="173"/>
      <c r="H16" s="171"/>
      <c r="I16" s="171"/>
      <c r="J16" s="172"/>
      <c r="K16" s="233"/>
      <c r="L16" s="234"/>
      <c r="M16" s="235"/>
    </row>
    <row r="17" spans="2:14" x14ac:dyDescent="0.2">
      <c r="B17" s="173" t="s">
        <v>3494</v>
      </c>
      <c r="C17" s="174">
        <v>3275120000</v>
      </c>
      <c r="D17" s="174">
        <v>23483317538</v>
      </c>
      <c r="E17" s="174">
        <v>3397500000</v>
      </c>
      <c r="F17" s="172"/>
      <c r="G17" s="173"/>
      <c r="H17" s="171"/>
      <c r="I17" s="171"/>
      <c r="J17" s="172"/>
      <c r="K17" s="233"/>
      <c r="L17" s="234"/>
      <c r="M17" s="235"/>
    </row>
    <row r="18" spans="2:14" x14ac:dyDescent="0.2">
      <c r="B18" s="173" t="s">
        <v>3495</v>
      </c>
      <c r="C18" s="176">
        <f>+C16*C17</f>
        <v>255459360000</v>
      </c>
      <c r="D18" s="176">
        <f>+D16*D17</f>
        <v>4602730237448</v>
      </c>
      <c r="E18" s="176">
        <f>+E16*E17</f>
        <v>1212907500000</v>
      </c>
      <c r="F18" s="172"/>
      <c r="G18" s="173"/>
      <c r="H18" s="171"/>
      <c r="I18" s="171"/>
      <c r="J18" s="172"/>
      <c r="K18" s="233"/>
      <c r="L18" s="234"/>
      <c r="M18" s="235"/>
    </row>
    <row r="19" spans="2:14" x14ac:dyDescent="0.2">
      <c r="B19" s="173" t="s">
        <v>3496</v>
      </c>
      <c r="C19" s="174">
        <f>DCF!C41</f>
        <v>5280000000</v>
      </c>
      <c r="D19" s="174">
        <f>C19</f>
        <v>5280000000</v>
      </c>
      <c r="E19" s="174">
        <f>D19</f>
        <v>5280000000</v>
      </c>
      <c r="F19" s="172"/>
      <c r="G19" s="173"/>
      <c r="H19" s="171"/>
      <c r="I19" s="171"/>
      <c r="J19" s="172"/>
      <c r="K19" s="233"/>
      <c r="L19" s="234"/>
      <c r="M19" s="235"/>
    </row>
    <row r="20" spans="2:14" ht="16" customHeight="1" thickBot="1" x14ac:dyDescent="0.25">
      <c r="B20" s="177" t="s">
        <v>3497</v>
      </c>
      <c r="C20" s="178">
        <f>C18/C19</f>
        <v>48.382454545454543</v>
      </c>
      <c r="D20" s="178">
        <f>D18/D19</f>
        <v>871.72921163787873</v>
      </c>
      <c r="E20" s="178">
        <f>E18/E19</f>
        <v>229.71732954545453</v>
      </c>
      <c r="F20" s="179"/>
      <c r="G20" s="177"/>
      <c r="H20" s="184"/>
      <c r="I20" s="184"/>
      <c r="J20" s="179"/>
      <c r="K20" s="236"/>
      <c r="L20" s="237"/>
      <c r="M20" s="238"/>
    </row>
    <row r="21" spans="2:14" x14ac:dyDescent="0.2">
      <c r="B21" s="271" t="s">
        <v>3498</v>
      </c>
      <c r="K21" s="239">
        <f>SUM(K6:K15)</f>
        <v>3</v>
      </c>
      <c r="L21" s="240">
        <f>SUM(L6:L15)</f>
        <v>2</v>
      </c>
      <c r="M21" s="241">
        <f>SUM(M6:M15)</f>
        <v>2</v>
      </c>
    </row>
    <row r="22" spans="2:14" ht="16" customHeight="1" thickBot="1" x14ac:dyDescent="0.25">
      <c r="K22" s="242">
        <f>K21/SUM($K$21:$M$21)</f>
        <v>0.42857142857142855</v>
      </c>
      <c r="L22" s="243">
        <f>L21/SUM($K$21:$M$21)</f>
        <v>0.2857142857142857</v>
      </c>
      <c r="M22" s="244">
        <f>M21/SUM($K$21:$M$21)</f>
        <v>0.2857142857142857</v>
      </c>
    </row>
    <row r="23" spans="2:14" ht="16" customHeight="1" thickBot="1" x14ac:dyDescent="0.25">
      <c r="B23" s="101" t="s">
        <v>3499</v>
      </c>
      <c r="N23" s="4"/>
    </row>
    <row r="24" spans="2:14" x14ac:dyDescent="0.2">
      <c r="B24" s="218" t="s">
        <v>3500</v>
      </c>
      <c r="C24" s="713" t="s">
        <v>3501</v>
      </c>
      <c r="D24" s="718"/>
      <c r="E24" s="714"/>
      <c r="F24" s="713" t="s">
        <v>3502</v>
      </c>
      <c r="G24" s="714"/>
      <c r="H24" s="219" t="s">
        <v>3503</v>
      </c>
      <c r="I24" s="220" t="s">
        <v>3504</v>
      </c>
    </row>
    <row r="25" spans="2:14" x14ac:dyDescent="0.2">
      <c r="B25" s="187" t="s">
        <v>3505</v>
      </c>
      <c r="C25" s="226">
        <f>K22</f>
        <v>0.42857142857142855</v>
      </c>
      <c r="D25" s="227">
        <f>L22</f>
        <v>0.2857142857142857</v>
      </c>
      <c r="E25" s="228">
        <f>M22</f>
        <v>0.2857142857142857</v>
      </c>
      <c r="F25" s="229"/>
      <c r="G25" s="230"/>
      <c r="H25" s="231"/>
      <c r="I25" s="230"/>
    </row>
    <row r="26" spans="2:14" x14ac:dyDescent="0.2">
      <c r="B26" s="245" t="s">
        <v>3506</v>
      </c>
      <c r="C26" s="173">
        <f>'PASAR KESEBANDINGAN'!L40</f>
        <v>1.7049226209931485</v>
      </c>
      <c r="D26" s="171">
        <f>'PASAR KESEBANDINGAN'!M40</f>
        <v>0.37422902026518473</v>
      </c>
      <c r="E26" s="172">
        <f>'PASAR KESEBANDINGAN'!N40</f>
        <v>0.35850278235329225</v>
      </c>
      <c r="F26" s="192">
        <f>F4</f>
        <v>16663916100</v>
      </c>
      <c r="G26" s="193">
        <f>($C$25*C26*F26)+($D$25*D26*F26)+($E$25*E26*F26)</f>
        <v>15664632157.84827</v>
      </c>
      <c r="H26" s="195">
        <v>0</v>
      </c>
      <c r="I26" s="188">
        <f>G26*H26</f>
        <v>0</v>
      </c>
    </row>
    <row r="27" spans="2:14" x14ac:dyDescent="0.2">
      <c r="B27" s="245" t="s">
        <v>3507</v>
      </c>
      <c r="C27" s="173">
        <f>'PASAR KESEBANDINGAN'!L41</f>
        <v>1.8347107967525971</v>
      </c>
      <c r="D27" s="171">
        <f>'PASAR KESEBANDINGAN'!M41</f>
        <v>0.54297061948773617</v>
      </c>
      <c r="E27" s="172">
        <f>'PASAR KESEBANDINGAN'!N41</f>
        <v>0.72881454617432417</v>
      </c>
      <c r="F27" s="192">
        <f>F15</f>
        <v>13816821754</v>
      </c>
      <c r="G27" s="194">
        <f>($C$25*C27*F27)+($D$25*D27*F27)+($E$25*E27*F27)</f>
        <v>15884810576.182566</v>
      </c>
      <c r="H27" s="195">
        <f>1-H26</f>
        <v>1</v>
      </c>
      <c r="I27" s="188">
        <f>G27*H27</f>
        <v>15884810576.182566</v>
      </c>
    </row>
    <row r="28" spans="2:14" ht="16" customHeight="1" thickBot="1" x14ac:dyDescent="0.25">
      <c r="B28" s="189"/>
      <c r="C28" s="177"/>
      <c r="D28" s="184"/>
      <c r="E28" s="179"/>
      <c r="F28" s="189" t="s">
        <v>3508</v>
      </c>
      <c r="G28" s="191"/>
      <c r="H28" s="196"/>
      <c r="I28" s="190">
        <f>+I26+I27</f>
        <v>15884810576.182566</v>
      </c>
    </row>
    <row r="29" spans="2:14" x14ac:dyDescent="0.2">
      <c r="F29" s="185" t="s">
        <v>3509</v>
      </c>
      <c r="G29" s="186"/>
      <c r="H29" s="201">
        <f>'DLOC(PFC)'!E25</f>
        <v>0.33999999999999997</v>
      </c>
      <c r="I29" s="206">
        <f>I28*H29</f>
        <v>5400835595.902072</v>
      </c>
    </row>
    <row r="30" spans="2:14" x14ac:dyDescent="0.2">
      <c r="F30" s="170" t="s">
        <v>3510</v>
      </c>
      <c r="G30" s="169"/>
      <c r="H30" s="202"/>
      <c r="I30" s="207">
        <f>+I28+I29</f>
        <v>21285646172.084637</v>
      </c>
    </row>
    <row r="31" spans="2:14" x14ac:dyDescent="0.2">
      <c r="F31" s="170" t="s">
        <v>428</v>
      </c>
      <c r="G31" s="169"/>
      <c r="H31" s="203">
        <f>DCF!B34</f>
        <v>0</v>
      </c>
      <c r="I31" s="207">
        <f>I30*H31</f>
        <v>0</v>
      </c>
    </row>
    <row r="32" spans="2:14" x14ac:dyDescent="0.2">
      <c r="F32" s="197" t="s">
        <v>3511</v>
      </c>
      <c r="G32" s="198"/>
      <c r="H32" s="204"/>
      <c r="I32" s="208">
        <f>+I30+I31</f>
        <v>21285646172.084637</v>
      </c>
    </row>
    <row r="33" spans="6:10" x14ac:dyDescent="0.2">
      <c r="F33" s="170" t="s">
        <v>3512</v>
      </c>
      <c r="G33" s="169"/>
      <c r="H33" s="203">
        <v>0.95</v>
      </c>
      <c r="I33" s="207"/>
    </row>
    <row r="34" spans="6:10" ht="16" customHeight="1" thickBot="1" x14ac:dyDescent="0.25">
      <c r="F34" s="199" t="str">
        <f>"MARKET VALUE OF "&amp;TEXT(H33,"0,0%")&amp;" EQUITY"</f>
        <v>MARKET VALUE OF 95% EQUITY</v>
      </c>
      <c r="G34" s="200"/>
      <c r="H34" s="205"/>
      <c r="I34" s="209">
        <f>I32*H33</f>
        <v>20221363863.480404</v>
      </c>
    </row>
    <row r="35" spans="6:10" x14ac:dyDescent="0.2">
      <c r="F35" s="224" t="s">
        <v>3496</v>
      </c>
      <c r="I35" s="10">
        <f>DCF!C41</f>
        <v>5280000000</v>
      </c>
    </row>
    <row r="36" spans="6:10" x14ac:dyDescent="0.2">
      <c r="F36" t="s">
        <v>3513</v>
      </c>
      <c r="I36" s="10">
        <f>I34*I35</f>
        <v>1.0676880119917653E+20</v>
      </c>
    </row>
    <row r="37" spans="6:10" x14ac:dyDescent="0.2">
      <c r="F37" t="s">
        <v>3514</v>
      </c>
      <c r="I37" s="10">
        <f>DCF!C44</f>
        <v>0</v>
      </c>
    </row>
    <row r="38" spans="6:10" x14ac:dyDescent="0.2">
      <c r="F38" t="s">
        <v>3515</v>
      </c>
      <c r="I38" s="10">
        <f>I36-I37</f>
        <v>1.0676880119917653E+20</v>
      </c>
      <c r="J38" s="9" t="e">
        <f>(I38-I37)/I37</f>
        <v>#DIV/0!</v>
      </c>
    </row>
    <row r="39" spans="6:10" x14ac:dyDescent="0.2">
      <c r="F39" t="s">
        <v>3516</v>
      </c>
      <c r="H39" s="4">
        <f>DCF!B47</f>
        <v>0</v>
      </c>
      <c r="I39" s="10">
        <f>I38*H39</f>
        <v>0</v>
      </c>
    </row>
    <row r="40" spans="6:10" x14ac:dyDescent="0.2">
      <c r="I40" s="10"/>
    </row>
    <row r="41" spans="6:10" x14ac:dyDescent="0.2">
      <c r="I41" s="10"/>
    </row>
  </sheetData>
  <mergeCells count="6">
    <mergeCell ref="K2:M2"/>
    <mergeCell ref="F24:G24"/>
    <mergeCell ref="G2:J2"/>
    <mergeCell ref="B2:B3"/>
    <mergeCell ref="C2:F2"/>
    <mergeCell ref="C24:E2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pageSetUpPr fitToPage="1"/>
  </sheetPr>
  <dimension ref="A1:M101"/>
  <sheetViews>
    <sheetView topLeftCell="A48" zoomScaleNormal="100" workbookViewId="0">
      <selection activeCell="A96" sqref="A96"/>
    </sheetView>
  </sheetViews>
  <sheetFormatPr baseColWidth="10" defaultColWidth="8.83203125" defaultRowHeight="15" x14ac:dyDescent="0.2"/>
  <cols>
    <col min="1" max="1" width="13.5" customWidth="1"/>
    <col min="2" max="2" width="26.33203125" customWidth="1"/>
    <col min="3" max="3" width="20.33203125" customWidth="1"/>
    <col min="4" max="4" width="17.1640625" customWidth="1"/>
    <col min="5" max="5" width="22.33203125" customWidth="1"/>
    <col min="6" max="6" width="22.5" customWidth="1"/>
    <col min="7" max="7" width="16.6640625" customWidth="1"/>
  </cols>
  <sheetData>
    <row r="1" spans="1:13" x14ac:dyDescent="0.2">
      <c r="A1" s="185" t="s">
        <v>3517</v>
      </c>
      <c r="B1" s="224"/>
      <c r="C1" s="224"/>
      <c r="D1" s="224"/>
      <c r="E1" s="224"/>
      <c r="F1" s="224"/>
      <c r="G1" s="186"/>
    </row>
    <row r="2" spans="1:13" x14ac:dyDescent="0.2">
      <c r="A2" s="170" t="str">
        <f>"PENILAIAN SAHAM  "&amp;HOME!B4</f>
        <v>PENILAIAN SAHAM  Makmur Jaya Sejati Raya</v>
      </c>
      <c r="G2" s="169"/>
    </row>
    <row r="3" spans="1:13" x14ac:dyDescent="0.2">
      <c r="A3" s="170" t="s">
        <v>3518</v>
      </c>
      <c r="B3" s="291">
        <f>HOME!B20</f>
        <v>44561</v>
      </c>
      <c r="G3" s="169"/>
    </row>
    <row r="4" spans="1:13" x14ac:dyDescent="0.2">
      <c r="A4" s="170"/>
      <c r="G4" s="169"/>
    </row>
    <row r="5" spans="1:13" ht="16" customHeight="1" thickBot="1" x14ac:dyDescent="0.25">
      <c r="A5" s="170"/>
      <c r="G5" s="169"/>
    </row>
    <row r="6" spans="1:13" ht="15.75" customHeight="1" thickBot="1" x14ac:dyDescent="0.25">
      <c r="A6" s="719" t="s">
        <v>3306</v>
      </c>
      <c r="B6" s="724" t="s">
        <v>3519</v>
      </c>
      <c r="C6" s="725"/>
      <c r="D6" s="725"/>
      <c r="E6" s="726"/>
      <c r="F6" s="719" t="s">
        <v>3483</v>
      </c>
      <c r="G6" s="719" t="s">
        <v>3482</v>
      </c>
      <c r="J6" s="652"/>
      <c r="K6" s="651"/>
      <c r="L6" s="651"/>
      <c r="M6" s="651"/>
    </row>
    <row r="7" spans="1:13" ht="17" customHeight="1" thickBot="1" x14ac:dyDescent="0.25">
      <c r="A7" s="720"/>
      <c r="B7" s="277" t="s">
        <v>3520</v>
      </c>
      <c r="C7" s="277" t="s">
        <v>3521</v>
      </c>
      <c r="D7" s="277" t="s">
        <v>3522</v>
      </c>
      <c r="E7" s="277" t="s">
        <v>3481</v>
      </c>
      <c r="F7" s="720"/>
      <c r="G7" s="720"/>
    </row>
    <row r="8" spans="1:13" x14ac:dyDescent="0.2">
      <c r="A8" s="278">
        <v>1</v>
      </c>
      <c r="B8" s="290" t="s">
        <v>2703</v>
      </c>
      <c r="C8" s="280">
        <f>YEAR($B$3)-2</f>
        <v>2019</v>
      </c>
      <c r="D8" s="279" t="s">
        <v>3381</v>
      </c>
      <c r="E8" s="279"/>
      <c r="F8" s="279"/>
      <c r="G8" s="281"/>
    </row>
    <row r="9" spans="1:13" x14ac:dyDescent="0.2">
      <c r="A9" s="282"/>
      <c r="B9" s="262"/>
      <c r="C9" s="262"/>
      <c r="D9" s="262" t="s">
        <v>3523</v>
      </c>
      <c r="E9" s="262"/>
      <c r="F9" s="262"/>
      <c r="G9" s="283"/>
    </row>
    <row r="10" spans="1:13" x14ac:dyDescent="0.2">
      <c r="A10" s="282"/>
      <c r="B10" s="262"/>
      <c r="C10" s="262"/>
      <c r="D10" s="262" t="s">
        <v>3524</v>
      </c>
      <c r="E10" s="262"/>
      <c r="F10" s="262"/>
      <c r="G10" s="283"/>
    </row>
    <row r="11" spans="1:13" x14ac:dyDescent="0.2">
      <c r="A11" s="282"/>
      <c r="B11" s="262"/>
      <c r="C11" s="262"/>
      <c r="D11" s="262" t="s">
        <v>3382</v>
      </c>
      <c r="E11" s="262"/>
      <c r="F11" s="262"/>
      <c r="G11" s="283"/>
    </row>
    <row r="12" spans="1:13" x14ac:dyDescent="0.2">
      <c r="A12" s="282"/>
      <c r="B12" s="262"/>
      <c r="C12" s="262"/>
      <c r="D12" s="262"/>
      <c r="E12" s="262"/>
      <c r="F12" s="262"/>
      <c r="G12" s="283"/>
    </row>
    <row r="13" spans="1:13" x14ac:dyDescent="0.2">
      <c r="A13" s="282"/>
      <c r="B13" s="262"/>
      <c r="C13" s="262"/>
      <c r="D13" s="262"/>
      <c r="E13" s="262"/>
      <c r="F13" s="262"/>
      <c r="G13" s="283"/>
    </row>
    <row r="14" spans="1:13" x14ac:dyDescent="0.2">
      <c r="A14" s="282"/>
      <c r="B14" s="262"/>
      <c r="C14" s="262"/>
      <c r="D14" s="262"/>
      <c r="E14" s="262"/>
      <c r="F14" s="262"/>
      <c r="G14" s="283"/>
    </row>
    <row r="15" spans="1:13" x14ac:dyDescent="0.2">
      <c r="A15" s="282"/>
      <c r="B15" s="262"/>
      <c r="C15" s="284">
        <f>YEAR($B$3)-1</f>
        <v>2020</v>
      </c>
      <c r="D15" s="262" t="s">
        <v>3381</v>
      </c>
      <c r="E15" s="262"/>
      <c r="F15" s="262"/>
      <c r="G15" s="283"/>
    </row>
    <row r="16" spans="1:13" x14ac:dyDescent="0.2">
      <c r="A16" s="282"/>
      <c r="B16" s="262"/>
      <c r="C16" s="262"/>
      <c r="D16" s="262" t="s">
        <v>3523</v>
      </c>
      <c r="E16" s="262"/>
      <c r="F16" s="262"/>
      <c r="G16" s="283"/>
    </row>
    <row r="17" spans="1:7" x14ac:dyDescent="0.2">
      <c r="A17" s="282"/>
      <c r="B17" s="262"/>
      <c r="C17" s="262"/>
      <c r="D17" s="262" t="s">
        <v>3524</v>
      </c>
      <c r="E17" s="262"/>
      <c r="F17" s="262"/>
      <c r="G17" s="283"/>
    </row>
    <row r="18" spans="1:7" x14ac:dyDescent="0.2">
      <c r="A18" s="282"/>
      <c r="B18" s="262"/>
      <c r="C18" s="262"/>
      <c r="D18" s="262" t="s">
        <v>3382</v>
      </c>
      <c r="E18" s="262"/>
      <c r="F18" s="262"/>
      <c r="G18" s="283"/>
    </row>
    <row r="19" spans="1:7" x14ac:dyDescent="0.2">
      <c r="A19" s="282"/>
      <c r="B19" s="262"/>
      <c r="C19" s="262"/>
      <c r="D19" s="262"/>
      <c r="E19" s="262"/>
      <c r="F19" s="262"/>
      <c r="G19" s="283"/>
    </row>
    <row r="20" spans="1:7" x14ac:dyDescent="0.2">
      <c r="A20" s="282"/>
      <c r="B20" s="262"/>
      <c r="C20" s="262"/>
      <c r="D20" s="262"/>
      <c r="E20" s="262"/>
      <c r="F20" s="262"/>
      <c r="G20" s="283"/>
    </row>
    <row r="21" spans="1:7" x14ac:dyDescent="0.2">
      <c r="A21" s="282"/>
      <c r="B21" s="262"/>
      <c r="C21" s="262"/>
      <c r="D21" s="262"/>
      <c r="E21" s="262"/>
      <c r="F21" s="262"/>
      <c r="G21" s="283"/>
    </row>
    <row r="22" spans="1:7" x14ac:dyDescent="0.2">
      <c r="A22" s="282"/>
      <c r="B22" s="262"/>
      <c r="C22" s="284">
        <f>YEAR($B$3)</f>
        <v>2021</v>
      </c>
      <c r="D22" s="262" t="s">
        <v>3381</v>
      </c>
      <c r="E22" s="262"/>
      <c r="F22" s="262"/>
      <c r="G22" s="283"/>
    </row>
    <row r="23" spans="1:7" x14ac:dyDescent="0.2">
      <c r="A23" s="282"/>
      <c r="B23" s="262"/>
      <c r="C23" s="262"/>
      <c r="D23" s="262" t="s">
        <v>3523</v>
      </c>
      <c r="E23" s="262"/>
      <c r="F23" s="262"/>
      <c r="G23" s="283"/>
    </row>
    <row r="24" spans="1:7" x14ac:dyDescent="0.2">
      <c r="A24" s="282"/>
      <c r="B24" s="262"/>
      <c r="C24" s="262"/>
      <c r="D24" s="262" t="s">
        <v>3524</v>
      </c>
      <c r="E24" s="262"/>
      <c r="F24" s="262"/>
      <c r="G24" s="283"/>
    </row>
    <row r="25" spans="1:7" x14ac:dyDescent="0.2">
      <c r="A25" s="282"/>
      <c r="B25" s="262"/>
      <c r="C25" s="262"/>
      <c r="D25" s="262" t="s">
        <v>3382</v>
      </c>
      <c r="E25" s="262"/>
      <c r="F25" s="262"/>
      <c r="G25" s="283"/>
    </row>
    <row r="26" spans="1:7" ht="16" customHeight="1" thickBot="1" x14ac:dyDescent="0.25">
      <c r="A26" s="285"/>
      <c r="B26" s="286"/>
      <c r="C26" s="286"/>
      <c r="D26" s="286"/>
      <c r="E26" s="286"/>
      <c r="F26" s="286"/>
      <c r="G26" s="287"/>
    </row>
    <row r="27" spans="1:7" x14ac:dyDescent="0.2">
      <c r="A27" s="278"/>
      <c r="B27" s="279"/>
      <c r="C27" s="279" t="s">
        <v>3525</v>
      </c>
      <c r="D27" s="279" t="s">
        <v>3381</v>
      </c>
      <c r="E27" s="279">
        <f t="shared" ref="E27:F30" si="0">IFERROR(AVERAGE(E8,E15,E22),0)</f>
        <v>0</v>
      </c>
      <c r="F27" s="279">
        <f t="shared" si="0"/>
        <v>0</v>
      </c>
      <c r="G27" s="281"/>
    </row>
    <row r="28" spans="1:7" x14ac:dyDescent="0.2">
      <c r="A28" s="282"/>
      <c r="B28" s="262"/>
      <c r="C28" s="262"/>
      <c r="D28" s="262" t="s">
        <v>3523</v>
      </c>
      <c r="E28" s="262">
        <f t="shared" si="0"/>
        <v>0</v>
      </c>
      <c r="F28" s="262">
        <f t="shared" si="0"/>
        <v>0</v>
      </c>
      <c r="G28" s="283"/>
    </row>
    <row r="29" spans="1:7" x14ac:dyDescent="0.2">
      <c r="A29" s="282"/>
      <c r="B29" s="262"/>
      <c r="C29" s="262"/>
      <c r="D29" s="262" t="s">
        <v>3524</v>
      </c>
      <c r="E29" s="262">
        <f t="shared" si="0"/>
        <v>0</v>
      </c>
      <c r="F29" s="262">
        <f t="shared" si="0"/>
        <v>0</v>
      </c>
      <c r="G29" s="283"/>
    </row>
    <row r="30" spans="1:7" ht="16" customHeight="1" thickBot="1" x14ac:dyDescent="0.25">
      <c r="A30" s="285"/>
      <c r="B30" s="286"/>
      <c r="C30" s="286"/>
      <c r="D30" s="286" t="s">
        <v>3382</v>
      </c>
      <c r="E30" s="286">
        <f t="shared" si="0"/>
        <v>0</v>
      </c>
      <c r="F30" s="286">
        <f t="shared" si="0"/>
        <v>0</v>
      </c>
      <c r="G30" s="287"/>
    </row>
    <row r="31" spans="1:7" ht="16" customHeight="1" thickBot="1" x14ac:dyDescent="0.25">
      <c r="A31" s="282"/>
      <c r="B31" s="262"/>
      <c r="C31" s="721" t="s">
        <v>3330</v>
      </c>
      <c r="D31" s="722"/>
      <c r="E31" s="722"/>
      <c r="F31" s="723"/>
      <c r="G31" s="283">
        <f>SUM(G27:G30)</f>
        <v>0</v>
      </c>
    </row>
    <row r="32" spans="1:7" x14ac:dyDescent="0.2">
      <c r="A32" s="278"/>
      <c r="B32" s="279"/>
      <c r="C32" s="279" t="s">
        <v>3526</v>
      </c>
      <c r="D32" s="279" t="s">
        <v>3381</v>
      </c>
      <c r="E32" s="279">
        <f t="shared" ref="E32:F35" si="1">IFERROR(AVERAGE(E12,E19,E26),0)</f>
        <v>0</v>
      </c>
      <c r="F32" s="279">
        <f t="shared" si="1"/>
        <v>0</v>
      </c>
      <c r="G32" s="281"/>
    </row>
    <row r="33" spans="1:7" x14ac:dyDescent="0.2">
      <c r="A33" s="282"/>
      <c r="B33" s="262"/>
      <c r="C33" s="262"/>
      <c r="D33" s="262" t="s">
        <v>3523</v>
      </c>
      <c r="E33" s="262">
        <f t="shared" si="1"/>
        <v>0</v>
      </c>
      <c r="F33" s="262">
        <f t="shared" si="1"/>
        <v>0</v>
      </c>
      <c r="G33" s="283"/>
    </row>
    <row r="34" spans="1:7" x14ac:dyDescent="0.2">
      <c r="A34" s="282"/>
      <c r="B34" s="262"/>
      <c r="C34" s="262"/>
      <c r="D34" s="262" t="s">
        <v>3524</v>
      </c>
      <c r="E34" s="262">
        <f t="shared" si="1"/>
        <v>0</v>
      </c>
      <c r="F34" s="262">
        <f t="shared" si="1"/>
        <v>0</v>
      </c>
      <c r="G34" s="283"/>
    </row>
    <row r="35" spans="1:7" ht="16" customHeight="1" thickBot="1" x14ac:dyDescent="0.25">
      <c r="A35" s="285"/>
      <c r="B35" s="286"/>
      <c r="C35" s="286"/>
      <c r="D35" s="286" t="s">
        <v>3382</v>
      </c>
      <c r="E35" s="286">
        <f t="shared" si="1"/>
        <v>0</v>
      </c>
      <c r="F35" s="286">
        <f t="shared" si="1"/>
        <v>0</v>
      </c>
      <c r="G35" s="287"/>
    </row>
    <row r="36" spans="1:7" ht="16" customHeight="1" thickBot="1" x14ac:dyDescent="0.25">
      <c r="A36" s="282"/>
      <c r="B36" s="262"/>
      <c r="C36" s="721" t="s">
        <v>3330</v>
      </c>
      <c r="D36" s="722"/>
      <c r="E36" s="722"/>
      <c r="F36" s="723"/>
      <c r="G36" s="283">
        <f>SUM(G32:G35)</f>
        <v>0</v>
      </c>
    </row>
    <row r="37" spans="1:7" x14ac:dyDescent="0.2">
      <c r="A37" s="278">
        <v>2</v>
      </c>
      <c r="B37" s="290" t="s">
        <v>1177</v>
      </c>
      <c r="C37" s="280">
        <f>YEAR($B$3)-2</f>
        <v>2019</v>
      </c>
      <c r="D37" s="279" t="s">
        <v>3381</v>
      </c>
      <c r="E37" s="279"/>
      <c r="F37" s="279"/>
      <c r="G37" s="281"/>
    </row>
    <row r="38" spans="1:7" x14ac:dyDescent="0.2">
      <c r="A38" s="282"/>
      <c r="B38" s="262"/>
      <c r="C38" s="262"/>
      <c r="D38" s="262" t="s">
        <v>3523</v>
      </c>
      <c r="E38" s="262"/>
      <c r="F38" s="262"/>
      <c r="G38" s="283"/>
    </row>
    <row r="39" spans="1:7" x14ac:dyDescent="0.2">
      <c r="A39" s="282"/>
      <c r="B39" s="262"/>
      <c r="C39" s="262"/>
      <c r="D39" s="262" t="s">
        <v>3524</v>
      </c>
      <c r="E39" s="262"/>
      <c r="F39" s="262"/>
      <c r="G39" s="283"/>
    </row>
    <row r="40" spans="1:7" x14ac:dyDescent="0.2">
      <c r="A40" s="282"/>
      <c r="B40" s="262"/>
      <c r="C40" s="262"/>
      <c r="D40" s="262" t="s">
        <v>3382</v>
      </c>
      <c r="E40" s="262"/>
      <c r="F40" s="262"/>
      <c r="G40" s="283"/>
    </row>
    <row r="41" spans="1:7" x14ac:dyDescent="0.2">
      <c r="A41" s="282"/>
      <c r="B41" s="262"/>
      <c r="C41" s="262"/>
      <c r="D41" s="262"/>
      <c r="E41" s="262"/>
      <c r="F41" s="262"/>
      <c r="G41" s="283"/>
    </row>
    <row r="42" spans="1:7" x14ac:dyDescent="0.2">
      <c r="A42" s="282"/>
      <c r="B42" s="262"/>
      <c r="C42" s="262"/>
      <c r="D42" s="262"/>
      <c r="E42" s="262"/>
      <c r="F42" s="262"/>
      <c r="G42" s="283"/>
    </row>
    <row r="43" spans="1:7" x14ac:dyDescent="0.2">
      <c r="A43" s="282"/>
      <c r="B43" s="262"/>
      <c r="C43" s="262"/>
      <c r="D43" s="262"/>
      <c r="E43" s="262"/>
      <c r="F43" s="262"/>
      <c r="G43" s="283"/>
    </row>
    <row r="44" spans="1:7" x14ac:dyDescent="0.2">
      <c r="A44" s="282"/>
      <c r="B44" s="262"/>
      <c r="C44" s="284">
        <f>YEAR($B$3)-1</f>
        <v>2020</v>
      </c>
      <c r="D44" s="262" t="s">
        <v>3381</v>
      </c>
      <c r="E44" s="262"/>
      <c r="F44" s="262"/>
      <c r="G44" s="283"/>
    </row>
    <row r="45" spans="1:7" x14ac:dyDescent="0.2">
      <c r="A45" s="282"/>
      <c r="B45" s="262"/>
      <c r="C45" s="262"/>
      <c r="D45" s="262" t="s">
        <v>3523</v>
      </c>
      <c r="E45" s="262"/>
      <c r="F45" s="262"/>
      <c r="G45" s="283"/>
    </row>
    <row r="46" spans="1:7" x14ac:dyDescent="0.2">
      <c r="A46" s="282"/>
      <c r="B46" s="262"/>
      <c r="C46" s="262"/>
      <c r="D46" s="262" t="s">
        <v>3524</v>
      </c>
      <c r="E46" s="262"/>
      <c r="F46" s="262"/>
      <c r="G46" s="283"/>
    </row>
    <row r="47" spans="1:7" x14ac:dyDescent="0.2">
      <c r="A47" s="282"/>
      <c r="B47" s="262"/>
      <c r="C47" s="262"/>
      <c r="D47" s="262" t="s">
        <v>3382</v>
      </c>
      <c r="E47" s="262"/>
      <c r="F47" s="262"/>
      <c r="G47" s="283"/>
    </row>
    <row r="48" spans="1:7" x14ac:dyDescent="0.2">
      <c r="A48" s="282"/>
      <c r="B48" s="262"/>
      <c r="C48" s="262"/>
      <c r="D48" s="262"/>
      <c r="E48" s="262"/>
      <c r="F48" s="262"/>
      <c r="G48" s="283"/>
    </row>
    <row r="49" spans="1:7" x14ac:dyDescent="0.2">
      <c r="A49" s="282"/>
      <c r="B49" s="262"/>
      <c r="C49" s="262"/>
      <c r="D49" s="262"/>
      <c r="E49" s="262"/>
      <c r="F49" s="262"/>
      <c r="G49" s="283"/>
    </row>
    <row r="50" spans="1:7" x14ac:dyDescent="0.2">
      <c r="A50" s="282"/>
      <c r="B50" s="262"/>
      <c r="C50" s="262"/>
      <c r="D50" s="262"/>
      <c r="E50" s="262"/>
      <c r="F50" s="262"/>
      <c r="G50" s="283"/>
    </row>
    <row r="51" spans="1:7" x14ac:dyDescent="0.2">
      <c r="A51" s="282"/>
      <c r="B51" s="262"/>
      <c r="C51" s="284">
        <f>YEAR($B$3)</f>
        <v>2021</v>
      </c>
      <c r="D51" s="262" t="s">
        <v>3381</v>
      </c>
      <c r="E51" s="262"/>
      <c r="F51" s="262"/>
      <c r="G51" s="283"/>
    </row>
    <row r="52" spans="1:7" x14ac:dyDescent="0.2">
      <c r="A52" s="282"/>
      <c r="B52" s="262"/>
      <c r="C52" s="262"/>
      <c r="D52" s="262" t="s">
        <v>3523</v>
      </c>
      <c r="E52" s="262"/>
      <c r="F52" s="262"/>
      <c r="G52" s="283"/>
    </row>
    <row r="53" spans="1:7" x14ac:dyDescent="0.2">
      <c r="A53" s="282"/>
      <c r="B53" s="262"/>
      <c r="C53" s="262"/>
      <c r="D53" s="262" t="s">
        <v>3524</v>
      </c>
      <c r="E53" s="262"/>
      <c r="F53" s="262"/>
      <c r="G53" s="283"/>
    </row>
    <row r="54" spans="1:7" x14ac:dyDescent="0.2">
      <c r="A54" s="282"/>
      <c r="B54" s="262"/>
      <c r="C54" s="262"/>
      <c r="D54" s="262" t="s">
        <v>3382</v>
      </c>
      <c r="E54" s="262"/>
      <c r="F54" s="262"/>
      <c r="G54" s="283"/>
    </row>
    <row r="55" spans="1:7" ht="16" customHeight="1" thickBot="1" x14ac:dyDescent="0.25">
      <c r="A55" s="285"/>
      <c r="B55" s="286"/>
      <c r="C55" s="286"/>
      <c r="D55" s="286"/>
      <c r="E55" s="286"/>
      <c r="F55" s="286"/>
      <c r="G55" s="287"/>
    </row>
    <row r="56" spans="1:7" x14ac:dyDescent="0.2">
      <c r="A56" s="278"/>
      <c r="B56" s="279"/>
      <c r="C56" s="279" t="s">
        <v>3525</v>
      </c>
      <c r="D56" s="279" t="s">
        <v>3381</v>
      </c>
      <c r="E56" s="279">
        <f t="shared" ref="E56:F59" si="2">IFERROR(AVERAGE(E37,E44,E51),0)</f>
        <v>0</v>
      </c>
      <c r="F56" s="279">
        <f t="shared" si="2"/>
        <v>0</v>
      </c>
      <c r="G56" s="281"/>
    </row>
    <row r="57" spans="1:7" x14ac:dyDescent="0.2">
      <c r="A57" s="282"/>
      <c r="B57" s="262"/>
      <c r="C57" s="262"/>
      <c r="D57" s="262" t="s">
        <v>3523</v>
      </c>
      <c r="E57" s="262">
        <f t="shared" si="2"/>
        <v>0</v>
      </c>
      <c r="F57" s="262">
        <f t="shared" si="2"/>
        <v>0</v>
      </c>
      <c r="G57" s="283"/>
    </row>
    <row r="58" spans="1:7" x14ac:dyDescent="0.2">
      <c r="A58" s="282"/>
      <c r="B58" s="262"/>
      <c r="C58" s="262"/>
      <c r="D58" s="262" t="s">
        <v>3524</v>
      </c>
      <c r="E58" s="262">
        <f t="shared" si="2"/>
        <v>0</v>
      </c>
      <c r="F58" s="262">
        <f t="shared" si="2"/>
        <v>0</v>
      </c>
      <c r="G58" s="283"/>
    </row>
    <row r="59" spans="1:7" ht="16" customHeight="1" thickBot="1" x14ac:dyDescent="0.25">
      <c r="A59" s="285"/>
      <c r="B59" s="286"/>
      <c r="C59" s="286"/>
      <c r="D59" s="286" t="s">
        <v>3382</v>
      </c>
      <c r="E59" s="286">
        <f t="shared" si="2"/>
        <v>0</v>
      </c>
      <c r="F59" s="286">
        <f t="shared" si="2"/>
        <v>0</v>
      </c>
      <c r="G59" s="287"/>
    </row>
    <row r="60" spans="1:7" ht="16" customHeight="1" thickBot="1" x14ac:dyDescent="0.25">
      <c r="A60" s="282"/>
      <c r="B60" s="262"/>
      <c r="C60" s="721" t="s">
        <v>3330</v>
      </c>
      <c r="D60" s="722"/>
      <c r="E60" s="722"/>
      <c r="F60" s="723"/>
      <c r="G60" s="283">
        <f>SUM(G56:G59)</f>
        <v>0</v>
      </c>
    </row>
    <row r="61" spans="1:7" x14ac:dyDescent="0.2">
      <c r="A61" s="278"/>
      <c r="B61" s="279"/>
      <c r="C61" s="279" t="s">
        <v>3526</v>
      </c>
      <c r="D61" s="279" t="s">
        <v>3381</v>
      </c>
      <c r="E61" s="279">
        <f t="shared" ref="E61:F64" si="3">IFERROR(AVERAGE(E41,E48,E55),0)</f>
        <v>0</v>
      </c>
      <c r="F61" s="279">
        <f t="shared" si="3"/>
        <v>0</v>
      </c>
      <c r="G61" s="281"/>
    </row>
    <row r="62" spans="1:7" x14ac:dyDescent="0.2">
      <c r="A62" s="282"/>
      <c r="B62" s="262"/>
      <c r="C62" s="262"/>
      <c r="D62" s="262" t="s">
        <v>3523</v>
      </c>
      <c r="E62" s="262">
        <f t="shared" si="3"/>
        <v>0</v>
      </c>
      <c r="F62" s="262">
        <f t="shared" si="3"/>
        <v>0</v>
      </c>
      <c r="G62" s="283"/>
    </row>
    <row r="63" spans="1:7" x14ac:dyDescent="0.2">
      <c r="A63" s="282"/>
      <c r="B63" s="262"/>
      <c r="C63" s="262"/>
      <c r="D63" s="262" t="s">
        <v>3524</v>
      </c>
      <c r="E63" s="262">
        <f t="shared" si="3"/>
        <v>0</v>
      </c>
      <c r="F63" s="262">
        <f t="shared" si="3"/>
        <v>0</v>
      </c>
      <c r="G63" s="283"/>
    </row>
    <row r="64" spans="1:7" ht="16" customHeight="1" thickBot="1" x14ac:dyDescent="0.25">
      <c r="A64" s="285"/>
      <c r="B64" s="286"/>
      <c r="C64" s="286"/>
      <c r="D64" s="286" t="s">
        <v>3382</v>
      </c>
      <c r="E64" s="286">
        <f t="shared" si="3"/>
        <v>0</v>
      </c>
      <c r="F64" s="286">
        <f t="shared" si="3"/>
        <v>0</v>
      </c>
      <c r="G64" s="287"/>
    </row>
    <row r="65" spans="1:7" ht="16" customHeight="1" thickBot="1" x14ac:dyDescent="0.25">
      <c r="A65" s="282"/>
      <c r="B65" s="262"/>
      <c r="C65" s="721" t="s">
        <v>3330</v>
      </c>
      <c r="D65" s="722"/>
      <c r="E65" s="722"/>
      <c r="F65" s="723"/>
      <c r="G65" s="283">
        <f>SUM(G61:G64)</f>
        <v>0</v>
      </c>
    </row>
    <row r="66" spans="1:7" x14ac:dyDescent="0.2">
      <c r="A66" s="278">
        <v>3</v>
      </c>
      <c r="B66" s="290" t="s">
        <v>2473</v>
      </c>
      <c r="C66" s="280">
        <f>YEAR($B$3)-2</f>
        <v>2019</v>
      </c>
      <c r="D66" s="279" t="s">
        <v>3381</v>
      </c>
      <c r="E66" s="279"/>
      <c r="F66" s="279"/>
      <c r="G66" s="281"/>
    </row>
    <row r="67" spans="1:7" x14ac:dyDescent="0.2">
      <c r="A67" s="282"/>
      <c r="B67" s="262"/>
      <c r="C67" s="262"/>
      <c r="D67" s="262" t="s">
        <v>3523</v>
      </c>
      <c r="E67" s="262"/>
      <c r="F67" s="262"/>
      <c r="G67" s="283"/>
    </row>
    <row r="68" spans="1:7" x14ac:dyDescent="0.2">
      <c r="A68" s="282"/>
      <c r="B68" s="262"/>
      <c r="C68" s="262"/>
      <c r="D68" s="262" t="s">
        <v>3524</v>
      </c>
      <c r="E68" s="262"/>
      <c r="F68" s="262"/>
      <c r="G68" s="283"/>
    </row>
    <row r="69" spans="1:7" x14ac:dyDescent="0.2">
      <c r="A69" s="282"/>
      <c r="B69" s="262"/>
      <c r="C69" s="262"/>
      <c r="D69" s="262" t="s">
        <v>3382</v>
      </c>
      <c r="E69" s="262"/>
      <c r="F69" s="262"/>
      <c r="G69" s="283"/>
    </row>
    <row r="70" spans="1:7" x14ac:dyDescent="0.2">
      <c r="A70" s="282"/>
      <c r="B70" s="262"/>
      <c r="C70" s="262"/>
      <c r="D70" s="262"/>
      <c r="E70" s="262"/>
      <c r="F70" s="262"/>
      <c r="G70" s="283"/>
    </row>
    <row r="71" spans="1:7" x14ac:dyDescent="0.2">
      <c r="A71" s="282"/>
      <c r="B71" s="262"/>
      <c r="C71" s="262"/>
      <c r="D71" s="262"/>
      <c r="E71" s="262"/>
      <c r="F71" s="262"/>
      <c r="G71" s="283"/>
    </row>
    <row r="72" spans="1:7" x14ac:dyDescent="0.2">
      <c r="A72" s="282"/>
      <c r="B72" s="262"/>
      <c r="C72" s="262"/>
      <c r="D72" s="262"/>
      <c r="E72" s="262"/>
      <c r="F72" s="262"/>
      <c r="G72" s="283"/>
    </row>
    <row r="73" spans="1:7" x14ac:dyDescent="0.2">
      <c r="A73" s="282"/>
      <c r="B73" s="262"/>
      <c r="C73" s="284">
        <f>YEAR($B$3)-1</f>
        <v>2020</v>
      </c>
      <c r="D73" s="262" t="s">
        <v>3381</v>
      </c>
      <c r="E73" s="262"/>
      <c r="F73" s="262"/>
      <c r="G73" s="283"/>
    </row>
    <row r="74" spans="1:7" x14ac:dyDescent="0.2">
      <c r="A74" s="282"/>
      <c r="B74" s="262"/>
      <c r="C74" s="262"/>
      <c r="D74" s="262" t="s">
        <v>3523</v>
      </c>
      <c r="E74" s="262"/>
      <c r="F74" s="262"/>
      <c r="G74" s="283"/>
    </row>
    <row r="75" spans="1:7" x14ac:dyDescent="0.2">
      <c r="A75" s="282"/>
      <c r="B75" s="262"/>
      <c r="C75" s="262"/>
      <c r="D75" s="262" t="s">
        <v>3524</v>
      </c>
      <c r="E75" s="262"/>
      <c r="F75" s="262"/>
      <c r="G75" s="283"/>
    </row>
    <row r="76" spans="1:7" x14ac:dyDescent="0.2">
      <c r="A76" s="282"/>
      <c r="B76" s="262"/>
      <c r="C76" s="262"/>
      <c r="D76" s="262" t="s">
        <v>3382</v>
      </c>
      <c r="E76" s="262"/>
      <c r="F76" s="262"/>
      <c r="G76" s="283"/>
    </row>
    <row r="77" spans="1:7" x14ac:dyDescent="0.2">
      <c r="A77" s="282"/>
      <c r="B77" s="262"/>
      <c r="C77" s="262"/>
      <c r="D77" s="262"/>
      <c r="E77" s="262"/>
      <c r="F77" s="262"/>
      <c r="G77" s="283"/>
    </row>
    <row r="78" spans="1:7" x14ac:dyDescent="0.2">
      <c r="A78" s="282"/>
      <c r="B78" s="262"/>
      <c r="C78" s="262"/>
      <c r="D78" s="262"/>
      <c r="E78" s="262"/>
      <c r="F78" s="262"/>
      <c r="G78" s="283"/>
    </row>
    <row r="79" spans="1:7" x14ac:dyDescent="0.2">
      <c r="A79" s="282"/>
      <c r="B79" s="262"/>
      <c r="C79" s="262"/>
      <c r="D79" s="262"/>
      <c r="E79" s="262"/>
      <c r="F79" s="262"/>
      <c r="G79" s="283"/>
    </row>
    <row r="80" spans="1:7" x14ac:dyDescent="0.2">
      <c r="A80" s="282"/>
      <c r="B80" s="262"/>
      <c r="C80" s="284">
        <f>YEAR($B$3)</f>
        <v>2021</v>
      </c>
      <c r="D80" s="262" t="s">
        <v>3381</v>
      </c>
      <c r="E80" s="262"/>
      <c r="F80" s="262"/>
      <c r="G80" s="283"/>
    </row>
    <row r="81" spans="1:7" x14ac:dyDescent="0.2">
      <c r="A81" s="282"/>
      <c r="B81" s="262"/>
      <c r="C81" s="262"/>
      <c r="D81" s="262" t="s">
        <v>3523</v>
      </c>
      <c r="E81" s="262"/>
      <c r="F81" s="262"/>
      <c r="G81" s="283"/>
    </row>
    <row r="82" spans="1:7" x14ac:dyDescent="0.2">
      <c r="A82" s="282"/>
      <c r="B82" s="262"/>
      <c r="C82" s="262"/>
      <c r="D82" s="262" t="s">
        <v>3524</v>
      </c>
      <c r="E82" s="262"/>
      <c r="F82" s="262"/>
      <c r="G82" s="283"/>
    </row>
    <row r="83" spans="1:7" x14ac:dyDescent="0.2">
      <c r="A83" s="282"/>
      <c r="B83" s="262"/>
      <c r="C83" s="262"/>
      <c r="D83" s="262" t="s">
        <v>3382</v>
      </c>
      <c r="E83" s="262"/>
      <c r="F83" s="262"/>
      <c r="G83" s="283"/>
    </row>
    <row r="84" spans="1:7" ht="16" customHeight="1" thickBot="1" x14ac:dyDescent="0.25">
      <c r="A84" s="285"/>
      <c r="B84" s="286"/>
      <c r="C84" s="286"/>
      <c r="D84" s="286"/>
      <c r="E84" s="286"/>
      <c r="F84" s="286"/>
      <c r="G84" s="287"/>
    </row>
    <row r="85" spans="1:7" x14ac:dyDescent="0.2">
      <c r="A85" s="278"/>
      <c r="B85" s="279"/>
      <c r="C85" s="279" t="s">
        <v>3525</v>
      </c>
      <c r="D85" s="279" t="s">
        <v>3381</v>
      </c>
      <c r="E85" s="279">
        <f t="shared" ref="E85:F88" si="4">IFERROR(AVERAGE(E66,E73,E80),0)</f>
        <v>0</v>
      </c>
      <c r="F85" s="279">
        <f t="shared" si="4"/>
        <v>0</v>
      </c>
      <c r="G85" s="281"/>
    </row>
    <row r="86" spans="1:7" x14ac:dyDescent="0.2">
      <c r="A86" s="282"/>
      <c r="B86" s="262"/>
      <c r="C86" s="262"/>
      <c r="D86" s="262" t="s">
        <v>3523</v>
      </c>
      <c r="E86" s="262">
        <f t="shared" si="4"/>
        <v>0</v>
      </c>
      <c r="F86" s="262">
        <f t="shared" si="4"/>
        <v>0</v>
      </c>
      <c r="G86" s="283"/>
    </row>
    <row r="87" spans="1:7" x14ac:dyDescent="0.2">
      <c r="A87" s="282"/>
      <c r="B87" s="262"/>
      <c r="C87" s="262"/>
      <c r="D87" s="262" t="s">
        <v>3524</v>
      </c>
      <c r="E87" s="262">
        <f t="shared" si="4"/>
        <v>0</v>
      </c>
      <c r="F87" s="262">
        <f t="shared" si="4"/>
        <v>0</v>
      </c>
      <c r="G87" s="283"/>
    </row>
    <row r="88" spans="1:7" ht="16" customHeight="1" thickBot="1" x14ac:dyDescent="0.25">
      <c r="A88" s="285"/>
      <c r="B88" s="286"/>
      <c r="C88" s="286"/>
      <c r="D88" s="286" t="s">
        <v>3382</v>
      </c>
      <c r="E88" s="286">
        <f t="shared" si="4"/>
        <v>0</v>
      </c>
      <c r="F88" s="286">
        <f t="shared" si="4"/>
        <v>0</v>
      </c>
      <c r="G88" s="287"/>
    </row>
    <row r="89" spans="1:7" ht="16" customHeight="1" thickBot="1" x14ac:dyDescent="0.25">
      <c r="A89" s="282"/>
      <c r="B89" s="262"/>
      <c r="C89" s="721" t="s">
        <v>3330</v>
      </c>
      <c r="D89" s="722"/>
      <c r="E89" s="722"/>
      <c r="F89" s="723"/>
      <c r="G89" s="283">
        <f>SUM(G85:G88)</f>
        <v>0</v>
      </c>
    </row>
    <row r="90" spans="1:7" x14ac:dyDescent="0.2">
      <c r="A90" s="278"/>
      <c r="B90" s="279"/>
      <c r="C90" s="279" t="s">
        <v>3526</v>
      </c>
      <c r="D90" s="279" t="s">
        <v>3381</v>
      </c>
      <c r="E90" s="279">
        <f t="shared" ref="E90:F93" si="5">IFERROR(AVERAGE(E70,E77,E84),0)</f>
        <v>0</v>
      </c>
      <c r="F90" s="279">
        <f t="shared" si="5"/>
        <v>0</v>
      </c>
      <c r="G90" s="281"/>
    </row>
    <row r="91" spans="1:7" x14ac:dyDescent="0.2">
      <c r="A91" s="282"/>
      <c r="B91" s="262"/>
      <c r="C91" s="262"/>
      <c r="D91" s="262" t="s">
        <v>3523</v>
      </c>
      <c r="E91" s="262">
        <f t="shared" si="5"/>
        <v>0</v>
      </c>
      <c r="F91" s="262">
        <f t="shared" si="5"/>
        <v>0</v>
      </c>
      <c r="G91" s="283"/>
    </row>
    <row r="92" spans="1:7" x14ac:dyDescent="0.2">
      <c r="A92" s="282"/>
      <c r="B92" s="262"/>
      <c r="C92" s="262"/>
      <c r="D92" s="262" t="s">
        <v>3524</v>
      </c>
      <c r="E92" s="262">
        <f t="shared" si="5"/>
        <v>0</v>
      </c>
      <c r="F92" s="262">
        <f t="shared" si="5"/>
        <v>0</v>
      </c>
      <c r="G92" s="283"/>
    </row>
    <row r="93" spans="1:7" ht="16" customHeight="1" thickBot="1" x14ac:dyDescent="0.25">
      <c r="A93" s="285"/>
      <c r="B93" s="286"/>
      <c r="C93" s="286"/>
      <c r="D93" s="286" t="s">
        <v>3382</v>
      </c>
      <c r="E93" s="286">
        <f t="shared" si="5"/>
        <v>0</v>
      </c>
      <c r="F93" s="286">
        <f t="shared" si="5"/>
        <v>0</v>
      </c>
      <c r="G93" s="287"/>
    </row>
    <row r="94" spans="1:7" ht="16" customHeight="1" thickBot="1" x14ac:dyDescent="0.25">
      <c r="A94" s="288"/>
      <c r="B94" s="289"/>
      <c r="C94" s="721" t="s">
        <v>3330</v>
      </c>
      <c r="D94" s="722"/>
      <c r="E94" s="722"/>
      <c r="F94" s="723"/>
      <c r="G94" s="287">
        <f>SUM(G90:G93)</f>
        <v>0</v>
      </c>
    </row>
    <row r="96" spans="1:7" x14ac:dyDescent="0.2">
      <c r="A96" s="2" t="s">
        <v>3527</v>
      </c>
    </row>
    <row r="98" spans="1:6" x14ac:dyDescent="0.2">
      <c r="A98" t="s">
        <v>3306</v>
      </c>
      <c r="B98" t="s">
        <v>3520</v>
      </c>
      <c r="C98" t="s">
        <v>3528</v>
      </c>
      <c r="D98" t="s">
        <v>3529</v>
      </c>
      <c r="E98" t="s">
        <v>3530</v>
      </c>
      <c r="F98" t="s">
        <v>3531</v>
      </c>
    </row>
    <row r="99" spans="1:6" x14ac:dyDescent="0.2">
      <c r="B99" t="str">
        <f>B8</f>
        <v>SMDR</v>
      </c>
      <c r="C99">
        <f>G31</f>
        <v>0</v>
      </c>
      <c r="D99">
        <f>G36</f>
        <v>0</v>
      </c>
      <c r="E99">
        <f>IFERROR(C99/SUM($C$99:$C$101),0)</f>
        <v>0</v>
      </c>
      <c r="F99">
        <f>IFERROR(D99/SUM($D$99:$D$101),0)</f>
        <v>0</v>
      </c>
    </row>
    <row r="100" spans="1:6" x14ac:dyDescent="0.2">
      <c r="B100" t="str">
        <f>B37</f>
        <v>BLTA</v>
      </c>
      <c r="C100">
        <f>G60</f>
        <v>0</v>
      </c>
      <c r="D100">
        <f>G65</f>
        <v>0</v>
      </c>
      <c r="E100">
        <f>IFERROR(C100/SUM($C$99:$C$101),0)</f>
        <v>0</v>
      </c>
      <c r="F100">
        <f>IFERROR(D100/SUM($D$99:$D$101),0)</f>
        <v>0</v>
      </c>
    </row>
    <row r="101" spans="1:6" x14ac:dyDescent="0.2">
      <c r="B101" t="str">
        <f>B66</f>
        <v>PORT</v>
      </c>
      <c r="C101">
        <f>G89</f>
        <v>0</v>
      </c>
      <c r="D101">
        <f>G94</f>
        <v>0</v>
      </c>
      <c r="E101">
        <f>IFERROR(C101/SUM($C$99:$C$101),0)</f>
        <v>0</v>
      </c>
      <c r="F101">
        <f>IFERROR(D101/SUM($D$99:$D$101),0)</f>
        <v>0</v>
      </c>
    </row>
  </sheetData>
  <mergeCells count="11">
    <mergeCell ref="G6:G7"/>
    <mergeCell ref="J6:M6"/>
    <mergeCell ref="C94:F94"/>
    <mergeCell ref="C65:F65"/>
    <mergeCell ref="A6:A7"/>
    <mergeCell ref="F6:F7"/>
    <mergeCell ref="C60:F60"/>
    <mergeCell ref="C36:F36"/>
    <mergeCell ref="C89:F89"/>
    <mergeCell ref="C31:F31"/>
    <mergeCell ref="B6:E6"/>
  </mergeCells>
  <printOptions horizontalCentered="1"/>
  <pageMargins left="0.25" right="0.25" top="0.75" bottom="0.75" header="0.3" footer="0.3"/>
  <pageSetup paperSize="9" scale="71" fitToHeight="0" orientation="portrait"/>
  <rowBreaks count="1" manualBreakCount="1">
    <brk id="65" max="6"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1">
    <tabColor theme="5" tint="-0.249977111117893"/>
  </sheetPr>
  <dimension ref="A1:J75"/>
  <sheetViews>
    <sheetView showGridLines="0" topLeftCell="A30" zoomScale="86" zoomScaleNormal="90" workbookViewId="0">
      <selection activeCell="D21" sqref="D21"/>
    </sheetView>
  </sheetViews>
  <sheetFormatPr baseColWidth="10" defaultColWidth="8.83203125" defaultRowHeight="15" x14ac:dyDescent="0.2"/>
  <cols>
    <col min="1" max="1" width="17.6640625" customWidth="1"/>
    <col min="2" max="2" width="38.33203125" customWidth="1"/>
    <col min="3" max="3" width="19" bestFit="1" customWidth="1"/>
    <col min="4" max="4" width="23.5" bestFit="1" customWidth="1"/>
    <col min="5" max="5" width="23" bestFit="1" customWidth="1"/>
    <col min="6" max="6" width="17" bestFit="1" customWidth="1"/>
    <col min="7" max="7" width="23.5" customWidth="1"/>
    <col min="8" max="8" width="20.1640625" bestFit="1" customWidth="1"/>
    <col min="9" max="9" width="22" bestFit="1" customWidth="1"/>
    <col min="10" max="10" width="24.1640625" bestFit="1" customWidth="1"/>
  </cols>
  <sheetData>
    <row r="1" spans="1:5" x14ac:dyDescent="0.2">
      <c r="A1" t="str">
        <f>'BALANCE SHEET'!A1</f>
        <v>Makmur Jaya Sejati Raya</v>
      </c>
    </row>
    <row r="2" spans="1:5" x14ac:dyDescent="0.2">
      <c r="A2" t="s">
        <v>3532</v>
      </c>
    </row>
    <row r="3" spans="1:5" x14ac:dyDescent="0.2">
      <c r="A3" t="str">
        <f>'BALANCE SHEET'!A3</f>
        <v>(IDR)</v>
      </c>
    </row>
    <row r="5" spans="1:5" x14ac:dyDescent="0.2">
      <c r="A5" s="8"/>
      <c r="B5" s="8"/>
      <c r="C5" s="8">
        <f>'BALANCE SHEET'!E4</f>
        <v>2021</v>
      </c>
      <c r="D5" s="8" t="s">
        <v>3533</v>
      </c>
      <c r="E5" s="8" t="str">
        <f>C5&amp;"*)"</f>
        <v>2021*)</v>
      </c>
    </row>
    <row r="6" spans="1:5" x14ac:dyDescent="0.2">
      <c r="A6" s="2" t="s">
        <v>3083</v>
      </c>
      <c r="C6" s="10"/>
    </row>
    <row r="7" spans="1:5" x14ac:dyDescent="0.2">
      <c r="C7" s="10"/>
    </row>
    <row r="8" spans="1:5" x14ac:dyDescent="0.2">
      <c r="A8" s="2" t="s">
        <v>204</v>
      </c>
      <c r="C8" s="10"/>
    </row>
    <row r="9" spans="1:5" x14ac:dyDescent="0.2">
      <c r="B9" t="s">
        <v>3406</v>
      </c>
      <c r="C9" s="10">
        <f>'BALANCE SHEET'!E8</f>
        <v>717848795</v>
      </c>
      <c r="D9" s="10">
        <v>0</v>
      </c>
      <c r="E9" s="12">
        <f t="shared" ref="E9:E14" si="0">C9+D9</f>
        <v>717848795</v>
      </c>
    </row>
    <row r="10" spans="1:5" x14ac:dyDescent="0.2">
      <c r="B10" t="s">
        <v>3534</v>
      </c>
      <c r="C10" s="10">
        <f>'BALANCE SHEET'!E9</f>
        <v>337031731</v>
      </c>
      <c r="D10" s="10">
        <v>0</v>
      </c>
      <c r="E10" s="12">
        <f t="shared" si="0"/>
        <v>337031731</v>
      </c>
    </row>
    <row r="11" spans="1:5" x14ac:dyDescent="0.2">
      <c r="B11" t="s">
        <v>3410</v>
      </c>
      <c r="C11" s="10">
        <f>'BALANCE SHEET'!E10</f>
        <v>191055111</v>
      </c>
      <c r="D11" s="10">
        <v>0</v>
      </c>
      <c r="E11" s="12">
        <f t="shared" si="0"/>
        <v>191055111</v>
      </c>
    </row>
    <row r="12" spans="1:5" x14ac:dyDescent="0.2">
      <c r="B12" t="s">
        <v>3412</v>
      </c>
      <c r="C12" s="10">
        <f>'BALANCE SHEET'!E11</f>
        <v>21000000</v>
      </c>
      <c r="D12" s="10">
        <v>0</v>
      </c>
      <c r="E12" s="12">
        <f t="shared" si="0"/>
        <v>21000000</v>
      </c>
    </row>
    <row r="13" spans="1:5" x14ac:dyDescent="0.2">
      <c r="B13" t="s">
        <v>3088</v>
      </c>
      <c r="C13" s="10">
        <f>'BALANCE SHEET'!E12</f>
        <v>0</v>
      </c>
      <c r="D13" s="10">
        <v>0</v>
      </c>
      <c r="E13" s="12">
        <f t="shared" si="0"/>
        <v>0</v>
      </c>
    </row>
    <row r="14" spans="1:5" x14ac:dyDescent="0.2">
      <c r="B14" t="s">
        <v>3089</v>
      </c>
      <c r="C14" s="10">
        <f>'BALANCE SHEET'!E13</f>
        <v>0</v>
      </c>
      <c r="D14" s="10">
        <v>0</v>
      </c>
      <c r="E14" s="12">
        <f t="shared" si="0"/>
        <v>0</v>
      </c>
    </row>
    <row r="15" spans="1:5" x14ac:dyDescent="0.2">
      <c r="C15" s="10"/>
      <c r="D15" s="10"/>
    </row>
    <row r="16" spans="1:5" x14ac:dyDescent="0.2">
      <c r="A16" s="20" t="s">
        <v>204</v>
      </c>
      <c r="B16" s="3"/>
      <c r="C16" s="24">
        <f>SUM(C9:C14)</f>
        <v>1266935637</v>
      </c>
      <c r="D16" s="24"/>
      <c r="E16" s="24">
        <f>SUM(E9:E14)</f>
        <v>1266935637</v>
      </c>
    </row>
    <row r="17" spans="1:7" x14ac:dyDescent="0.2">
      <c r="C17" s="10"/>
      <c r="D17" s="10"/>
    </row>
    <row r="18" spans="1:7" x14ac:dyDescent="0.2">
      <c r="A18" s="2" t="s">
        <v>3090</v>
      </c>
      <c r="C18" s="10"/>
      <c r="D18" s="10"/>
    </row>
    <row r="19" spans="1:7" x14ac:dyDescent="0.2">
      <c r="A19" t="s">
        <v>3091</v>
      </c>
      <c r="B19" t="s">
        <v>3058</v>
      </c>
      <c r="C19" s="10">
        <f>'BALANCE SHEET'!E19</f>
        <v>21000894104</v>
      </c>
      <c r="D19" s="10">
        <v>0</v>
      </c>
      <c r="E19" s="12">
        <f>C19+D19</f>
        <v>21000894104</v>
      </c>
    </row>
    <row r="20" spans="1:7" x14ac:dyDescent="0.2">
      <c r="B20" t="s">
        <v>3093</v>
      </c>
      <c r="C20" s="10">
        <f>'BALANCE SHEET'!E21</f>
        <v>16011357394</v>
      </c>
      <c r="D20" s="10">
        <v>0</v>
      </c>
      <c r="E20" s="12">
        <f>C20+D20</f>
        <v>16011357394</v>
      </c>
      <c r="G20" s="12"/>
    </row>
    <row r="21" spans="1:7" x14ac:dyDescent="0.2">
      <c r="A21" t="s">
        <v>3090</v>
      </c>
      <c r="C21" s="10">
        <f>'BALANCE SHEET'!E22</f>
        <v>0</v>
      </c>
      <c r="D21" s="10">
        <v>0</v>
      </c>
      <c r="E21" s="12">
        <f>C21+D21</f>
        <v>0</v>
      </c>
      <c r="G21" s="12"/>
    </row>
    <row r="22" spans="1:7" x14ac:dyDescent="0.2">
      <c r="A22" t="s">
        <v>3095</v>
      </c>
      <c r="C22" s="327">
        <f>'BALANCE SHEET'!E24</f>
        <v>16011357394</v>
      </c>
      <c r="D22" s="10">
        <v>0</v>
      </c>
      <c r="E22" s="12">
        <f>SUM(E20:E21)</f>
        <v>16011357394</v>
      </c>
      <c r="G22" s="12"/>
    </row>
    <row r="23" spans="1:7" x14ac:dyDescent="0.2">
      <c r="A23" t="s">
        <v>3535</v>
      </c>
      <c r="C23" s="327">
        <f>'BALANCE SHEET'!E23</f>
        <v>0</v>
      </c>
      <c r="D23" s="10">
        <v>0</v>
      </c>
      <c r="E23" s="12">
        <f>C23</f>
        <v>0</v>
      </c>
      <c r="G23" s="12"/>
    </row>
    <row r="24" spans="1:7" x14ac:dyDescent="0.2">
      <c r="A24" s="20" t="s">
        <v>3083</v>
      </c>
      <c r="B24" s="3"/>
      <c r="C24" s="24">
        <f>+C16+C22</f>
        <v>17278293031</v>
      </c>
      <c r="D24" s="24"/>
      <c r="E24" s="24">
        <f>+E16+E22+E23</f>
        <v>17278293031</v>
      </c>
    </row>
    <row r="25" spans="1:7" x14ac:dyDescent="0.2">
      <c r="C25" s="10"/>
      <c r="D25" s="10"/>
    </row>
    <row r="26" spans="1:7" x14ac:dyDescent="0.2">
      <c r="A26" s="2" t="s">
        <v>3096</v>
      </c>
      <c r="C26" s="10"/>
      <c r="D26" s="10"/>
    </row>
    <row r="27" spans="1:7" x14ac:dyDescent="0.2">
      <c r="A27" s="2" t="s">
        <v>208</v>
      </c>
      <c r="C27" s="10"/>
      <c r="D27" s="10"/>
    </row>
    <row r="28" spans="1:7" x14ac:dyDescent="0.2">
      <c r="B28" t="s">
        <v>3097</v>
      </c>
      <c r="C28" s="10">
        <f>'BALANCE SHEET'!E30</f>
        <v>0</v>
      </c>
      <c r="D28" s="10">
        <v>0</v>
      </c>
      <c r="E28" s="12">
        <f>+C28+D28</f>
        <v>0</v>
      </c>
    </row>
    <row r="29" spans="1:7" x14ac:dyDescent="0.2">
      <c r="B29" t="s">
        <v>3418</v>
      </c>
      <c r="C29" s="10">
        <f>'BALANCE SHEET'!E31</f>
        <v>1823364600</v>
      </c>
      <c r="D29" s="10">
        <v>0</v>
      </c>
      <c r="E29" s="12">
        <f>+C29+D29</f>
        <v>1823364600</v>
      </c>
    </row>
    <row r="30" spans="1:7" x14ac:dyDescent="0.2">
      <c r="B30" t="s">
        <v>3419</v>
      </c>
      <c r="C30" s="10">
        <f>'BALANCE SHEET'!E32</f>
        <v>678518254</v>
      </c>
      <c r="D30" s="10">
        <v>0</v>
      </c>
      <c r="E30" s="12">
        <f>+C30+D30</f>
        <v>678518254</v>
      </c>
    </row>
    <row r="31" spans="1:7" x14ac:dyDescent="0.2">
      <c r="B31" t="s">
        <v>3089</v>
      </c>
      <c r="C31" s="10">
        <f>'BALANCE SHEET'!E33</f>
        <v>1075354928</v>
      </c>
      <c r="D31" s="10">
        <v>0</v>
      </c>
      <c r="E31" s="12">
        <f>+C31+D31</f>
        <v>1075354928</v>
      </c>
    </row>
    <row r="32" spans="1:7" x14ac:dyDescent="0.2">
      <c r="A32" s="15" t="s">
        <v>208</v>
      </c>
      <c r="B32" s="16"/>
      <c r="C32" s="17">
        <f>SUM(C28:C31)</f>
        <v>3577237782</v>
      </c>
      <c r="D32" s="17"/>
      <c r="E32" s="17">
        <f>SUM(E28:E31)</f>
        <v>3577237782</v>
      </c>
    </row>
    <row r="33" spans="1:10" x14ac:dyDescent="0.2">
      <c r="C33" s="10"/>
      <c r="D33" s="10"/>
    </row>
    <row r="34" spans="1:10" x14ac:dyDescent="0.2">
      <c r="A34" s="2" t="s">
        <v>3101</v>
      </c>
      <c r="C34" s="10"/>
      <c r="D34" s="10"/>
    </row>
    <row r="35" spans="1:10" x14ac:dyDescent="0.2">
      <c r="B35" t="s">
        <v>3102</v>
      </c>
      <c r="C35" s="10">
        <f>'BALANCE SHEET'!E37</f>
        <v>0</v>
      </c>
      <c r="D35" s="10">
        <v>0</v>
      </c>
      <c r="E35" s="12">
        <f>+C35+D35</f>
        <v>0</v>
      </c>
    </row>
    <row r="36" spans="1:10" x14ac:dyDescent="0.2">
      <c r="B36" t="s">
        <v>3103</v>
      </c>
      <c r="C36" s="10">
        <f>'BALANCE SHEET'!E38</f>
        <v>0</v>
      </c>
      <c r="D36" s="10">
        <v>0</v>
      </c>
      <c r="E36" s="12">
        <f>+C36+D36</f>
        <v>0</v>
      </c>
    </row>
    <row r="37" spans="1:10" ht="16" customHeight="1" thickBot="1" x14ac:dyDescent="0.25">
      <c r="A37" s="21" t="s">
        <v>3101</v>
      </c>
      <c r="B37" s="22"/>
      <c r="C37" s="23">
        <f>+C35+C36</f>
        <v>0</v>
      </c>
      <c r="D37" s="23"/>
      <c r="E37" s="23">
        <f>+E35+E36</f>
        <v>0</v>
      </c>
    </row>
    <row r="38" spans="1:10" ht="16" customHeight="1" thickTop="1" x14ac:dyDescent="0.2">
      <c r="A38" s="2"/>
      <c r="C38" s="10"/>
      <c r="D38" s="10"/>
    </row>
    <row r="39" spans="1:10" x14ac:dyDescent="0.2">
      <c r="A39" s="2" t="s">
        <v>3105</v>
      </c>
      <c r="C39" s="10"/>
      <c r="D39" s="10"/>
    </row>
    <row r="40" spans="1:10" x14ac:dyDescent="0.2">
      <c r="A40" t="s">
        <v>3421</v>
      </c>
      <c r="C40" s="10">
        <f>'BALANCE SHEET'!E42</f>
        <v>5280000000</v>
      </c>
      <c r="D40" s="10"/>
      <c r="E40" s="12">
        <f>+C40+D40</f>
        <v>5280000000</v>
      </c>
    </row>
    <row r="41" spans="1:10" x14ac:dyDescent="0.2">
      <c r="A41" s="2" t="s">
        <v>3137</v>
      </c>
      <c r="C41" s="10">
        <f>'BALANCE SHEET'!E43</f>
        <v>0</v>
      </c>
      <c r="D41" s="10"/>
      <c r="E41" s="12">
        <f>+C41+D41</f>
        <v>0</v>
      </c>
    </row>
    <row r="42" spans="1:10" x14ac:dyDescent="0.2">
      <c r="A42" t="s">
        <v>3108</v>
      </c>
      <c r="C42" s="10"/>
      <c r="D42" s="10"/>
    </row>
    <row r="43" spans="1:10" x14ac:dyDescent="0.2">
      <c r="B43" t="s">
        <v>3536</v>
      </c>
      <c r="C43" s="10">
        <f>'BALANCE SHEET'!E45</f>
        <v>6698715227</v>
      </c>
      <c r="D43" s="10">
        <v>0</v>
      </c>
      <c r="E43" s="12">
        <f>+C43+D43</f>
        <v>6698715227</v>
      </c>
    </row>
    <row r="44" spans="1:10" x14ac:dyDescent="0.2">
      <c r="B44" t="s">
        <v>3537</v>
      </c>
      <c r="C44" s="10">
        <f>'BALANCE SHEET'!E46</f>
        <v>1838106527</v>
      </c>
      <c r="D44" s="10"/>
      <c r="E44" s="12">
        <f>+C44+D44</f>
        <v>1838106527</v>
      </c>
      <c r="H44" s="10"/>
      <c r="J44" s="330"/>
    </row>
    <row r="45" spans="1:10" x14ac:dyDescent="0.2">
      <c r="A45" t="s">
        <v>3110</v>
      </c>
      <c r="C45" s="10">
        <f>C43+C44</f>
        <v>8536821754</v>
      </c>
      <c r="D45" s="10"/>
      <c r="E45" s="12">
        <f>+C45+D45</f>
        <v>8536821754</v>
      </c>
      <c r="H45" s="10"/>
      <c r="J45" s="330"/>
    </row>
    <row r="46" spans="1:10" x14ac:dyDescent="0.2">
      <c r="A46" t="s">
        <v>3538</v>
      </c>
      <c r="C46" s="10">
        <v>0</v>
      </c>
      <c r="D46" s="10">
        <f>D20+D21</f>
        <v>0</v>
      </c>
      <c r="E46" s="12">
        <f>+C46+D46</f>
        <v>0</v>
      </c>
      <c r="H46" s="10"/>
      <c r="J46" s="330"/>
    </row>
    <row r="47" spans="1:10" x14ac:dyDescent="0.2">
      <c r="A47" s="20" t="s">
        <v>3105</v>
      </c>
      <c r="B47" s="3"/>
      <c r="C47" s="24">
        <f>C40+C45+C41</f>
        <v>13816821754</v>
      </c>
      <c r="D47" s="24"/>
      <c r="E47" s="24">
        <f>E40+E45+E41+E46</f>
        <v>13816821754</v>
      </c>
      <c r="F47" s="12"/>
      <c r="H47" s="10"/>
      <c r="I47" s="12"/>
      <c r="J47" s="331"/>
    </row>
    <row r="48" spans="1:10" x14ac:dyDescent="0.2">
      <c r="A48" s="2"/>
      <c r="C48" s="11"/>
      <c r="D48" s="11"/>
      <c r="H48" s="10"/>
      <c r="J48" s="72"/>
    </row>
    <row r="49" spans="1:10" ht="16" customHeight="1" thickBot="1" x14ac:dyDescent="0.25">
      <c r="A49" s="25" t="s">
        <v>3111</v>
      </c>
      <c r="B49" s="26"/>
      <c r="C49" s="27">
        <f>C32+C37+C47</f>
        <v>17394059536</v>
      </c>
      <c r="D49" s="27"/>
      <c r="E49" s="27">
        <f>E32+E37+E47</f>
        <v>17394059536</v>
      </c>
      <c r="G49" s="2"/>
      <c r="H49" s="11"/>
      <c r="I49" s="72"/>
      <c r="J49" s="332"/>
    </row>
    <row r="50" spans="1:10" x14ac:dyDescent="0.2">
      <c r="H50" s="84"/>
      <c r="J50" s="72"/>
    </row>
    <row r="51" spans="1:10" x14ac:dyDescent="0.2">
      <c r="A51" t="s">
        <v>3539</v>
      </c>
      <c r="E51" s="12">
        <f>+E24-(E29+E30+E31)-E36</f>
        <v>13701055249</v>
      </c>
      <c r="H51" s="10"/>
    </row>
    <row r="52" spans="1:10" x14ac:dyDescent="0.2">
      <c r="A52" t="s">
        <v>3540</v>
      </c>
      <c r="E52" s="12">
        <f>+C28+C35</f>
        <v>0</v>
      </c>
      <c r="H52" s="10"/>
      <c r="I52" s="72"/>
      <c r="J52" s="72"/>
    </row>
    <row r="53" spans="1:10" x14ac:dyDescent="0.2">
      <c r="A53" t="s">
        <v>3541</v>
      </c>
      <c r="E53" s="12">
        <f>E51-E52</f>
        <v>13701055249</v>
      </c>
      <c r="H53" s="34"/>
    </row>
    <row r="54" spans="1:10" x14ac:dyDescent="0.2">
      <c r="A54" t="s">
        <v>428</v>
      </c>
      <c r="D54" s="577">
        <f>0</f>
        <v>0</v>
      </c>
      <c r="E54" s="332">
        <f>E53*D54</f>
        <v>0</v>
      </c>
      <c r="F54" s="2" t="s">
        <v>3542</v>
      </c>
      <c r="G54" s="2"/>
      <c r="H54" s="11"/>
      <c r="I54" s="13"/>
      <c r="J54" s="72"/>
    </row>
    <row r="55" spans="1:10" x14ac:dyDescent="0.2">
      <c r="A55" t="s">
        <v>3543</v>
      </c>
      <c r="E55" s="578">
        <f>E53+E54</f>
        <v>13701055249</v>
      </c>
      <c r="H55" s="10"/>
    </row>
    <row r="56" spans="1:10" x14ac:dyDescent="0.2">
      <c r="A56" t="str">
        <f>HOME!A26</f>
        <v>DISCOUNT LACK OF CONTROL/PREMIUM FOR CONTROL</v>
      </c>
      <c r="D56" s="579">
        <f>0</f>
        <v>0</v>
      </c>
      <c r="E56" s="578">
        <f>E55*D56</f>
        <v>0</v>
      </c>
      <c r="H56" s="10"/>
      <c r="I56" s="12"/>
    </row>
    <row r="57" spans="1:10" x14ac:dyDescent="0.2">
      <c r="A57" t="s">
        <v>3544</v>
      </c>
      <c r="E57" s="578">
        <f>E55+E56</f>
        <v>13701055249</v>
      </c>
      <c r="H57" s="9"/>
    </row>
    <row r="58" spans="1:10" x14ac:dyDescent="0.2">
      <c r="A58" t="s">
        <v>3545</v>
      </c>
      <c r="D58" s="580">
        <f>1</f>
        <v>1</v>
      </c>
      <c r="H58" s="10"/>
      <c r="I58" s="12"/>
    </row>
    <row r="59" spans="1:10" x14ac:dyDescent="0.2">
      <c r="A59" s="581" t="s">
        <v>700</v>
      </c>
      <c r="E59" s="574">
        <f>E57*D58</f>
        <v>13701055249</v>
      </c>
      <c r="H59" s="10"/>
      <c r="I59" s="12"/>
    </row>
    <row r="60" spans="1:10" x14ac:dyDescent="0.2">
      <c r="A60" s="581" t="s">
        <v>465</v>
      </c>
      <c r="D60" s="10"/>
      <c r="E60" s="582">
        <f>E59/HOME!B15</f>
        <v>2.5948968274621214</v>
      </c>
      <c r="H60" s="11"/>
      <c r="I60" s="37"/>
    </row>
    <row r="61" spans="1:10" x14ac:dyDescent="0.2">
      <c r="E61" s="456"/>
      <c r="F61" s="4"/>
      <c r="G61" s="457"/>
    </row>
    <row r="62" spans="1:10" x14ac:dyDescent="0.2">
      <c r="E62" s="456"/>
      <c r="F62" s="4"/>
      <c r="G62" s="457"/>
    </row>
    <row r="63" spans="1:10" x14ac:dyDescent="0.2">
      <c r="E63" s="72"/>
      <c r="F63" s="4"/>
      <c r="G63" s="457"/>
    </row>
    <row r="64" spans="1:10" x14ac:dyDescent="0.2">
      <c r="E64" s="10"/>
      <c r="F64" s="4"/>
      <c r="G64" s="457"/>
    </row>
    <row r="65" spans="1:5" x14ac:dyDescent="0.2">
      <c r="E65" s="10"/>
    </row>
    <row r="66" spans="1:5" x14ac:dyDescent="0.2">
      <c r="E66" s="10"/>
    </row>
    <row r="67" spans="1:5" x14ac:dyDescent="0.2">
      <c r="C67" s="727" t="s">
        <v>428</v>
      </c>
      <c r="D67" s="460" t="s">
        <v>3546</v>
      </c>
      <c r="E67" s="461">
        <f>40%*-1</f>
        <v>-0.4</v>
      </c>
    </row>
    <row r="68" spans="1:5" x14ac:dyDescent="0.2">
      <c r="C68" s="651"/>
      <c r="D68" s="460" t="s">
        <v>3317</v>
      </c>
      <c r="E68" s="461">
        <f>30%*-1</f>
        <v>-0.3</v>
      </c>
    </row>
    <row r="69" spans="1:5" x14ac:dyDescent="0.2">
      <c r="C69" s="651"/>
      <c r="D69" s="460" t="s">
        <v>3547</v>
      </c>
      <c r="E69" s="461">
        <f>20%*-1</f>
        <v>-0.2</v>
      </c>
    </row>
    <row r="70" spans="1:5" x14ac:dyDescent="0.2">
      <c r="C70" s="727" t="s">
        <v>3548</v>
      </c>
      <c r="D70" s="460" t="s">
        <v>3546</v>
      </c>
      <c r="E70" s="461">
        <f>70%*-1</f>
        <v>-0.7</v>
      </c>
    </row>
    <row r="71" spans="1:5" x14ac:dyDescent="0.2">
      <c r="C71" s="651"/>
      <c r="D71" s="460" t="s">
        <v>3317</v>
      </c>
      <c r="E71" s="461">
        <f>50%*-1</f>
        <v>-0.5</v>
      </c>
    </row>
    <row r="72" spans="1:5" x14ac:dyDescent="0.2">
      <c r="C72" s="651"/>
      <c r="D72" s="460" t="s">
        <v>3547</v>
      </c>
      <c r="E72" s="461">
        <f>30%*-1</f>
        <v>-0.3</v>
      </c>
    </row>
    <row r="73" spans="1:5" x14ac:dyDescent="0.2">
      <c r="D73" s="84"/>
      <c r="E73" s="10"/>
    </row>
    <row r="74" spans="1:5" x14ac:dyDescent="0.2">
      <c r="E74" s="329"/>
    </row>
    <row r="75" spans="1:5" x14ac:dyDescent="0.2">
      <c r="A75" s="2" t="s">
        <v>3549</v>
      </c>
    </row>
  </sheetData>
  <mergeCells count="2">
    <mergeCell ref="C70:C72"/>
    <mergeCell ref="C67:C69"/>
  </mergeCell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tabColor theme="5" tint="-0.249977111117893"/>
  </sheetPr>
  <dimension ref="B1:G47"/>
  <sheetViews>
    <sheetView showGridLines="0" workbookViewId="0">
      <selection activeCell="E7" sqref="E7"/>
    </sheetView>
  </sheetViews>
  <sheetFormatPr baseColWidth="10" defaultColWidth="9.1640625" defaultRowHeight="15" x14ac:dyDescent="0.2"/>
  <cols>
    <col min="1" max="1" width="8.5" customWidth="1"/>
    <col min="2" max="2" width="19" customWidth="1"/>
    <col min="3" max="3" width="28.5" bestFit="1" customWidth="1"/>
    <col min="4" max="4" width="18" customWidth="1"/>
    <col min="5" max="5" width="22.1640625" customWidth="1"/>
    <col min="6" max="6" width="25.5" customWidth="1"/>
  </cols>
  <sheetData>
    <row r="1" spans="2:7" x14ac:dyDescent="0.2">
      <c r="B1" s="2" t="s">
        <v>3550</v>
      </c>
    </row>
    <row r="3" spans="2:7" x14ac:dyDescent="0.2">
      <c r="B3" s="2" t="s">
        <v>3551</v>
      </c>
    </row>
    <row r="4" spans="2:7" x14ac:dyDescent="0.2">
      <c r="B4" s="322" t="s">
        <v>3552</v>
      </c>
      <c r="C4" s="322" t="s">
        <v>3553</v>
      </c>
      <c r="D4" s="322" t="s">
        <v>3554</v>
      </c>
      <c r="E4" s="322" t="s">
        <v>3555</v>
      </c>
      <c r="F4" s="322" t="s">
        <v>3556</v>
      </c>
    </row>
    <row r="5" spans="2:7" x14ac:dyDescent="0.2">
      <c r="B5" s="171">
        <v>1</v>
      </c>
      <c r="C5" s="171" t="s">
        <v>3557</v>
      </c>
      <c r="D5" s="174">
        <f>'BALANCE SHEET'!E10</f>
        <v>191055111</v>
      </c>
      <c r="E5" s="325">
        <f>F5/D5</f>
        <v>1.1099159289174945</v>
      </c>
      <c r="F5" s="174">
        <f>'BALANCE SHEET'!E10+'BALANCE SHEET'!E11</f>
        <v>212055111</v>
      </c>
      <c r="G5" t="s">
        <v>3558</v>
      </c>
    </row>
    <row r="6" spans="2:7" x14ac:dyDescent="0.2">
      <c r="B6" s="171">
        <v>2</v>
      </c>
      <c r="C6" s="171" t="s">
        <v>3559</v>
      </c>
      <c r="D6" s="174">
        <f>'BALANCE SHEET'!C12</f>
        <v>0</v>
      </c>
      <c r="E6" s="325">
        <f>IFERROR(F6/D6,0)</f>
        <v>0</v>
      </c>
      <c r="F6" s="174">
        <f>'BALANCE SHEET'!E12</f>
        <v>0</v>
      </c>
      <c r="G6" t="s">
        <v>3560</v>
      </c>
    </row>
    <row r="7" spans="2:7" x14ac:dyDescent="0.2">
      <c r="B7" s="171">
        <v>3</v>
      </c>
      <c r="C7" s="171" t="s">
        <v>3561</v>
      </c>
      <c r="D7" s="174">
        <f>'BALANCE SHEET'!E21</f>
        <v>16011357394</v>
      </c>
      <c r="E7" s="325">
        <v>0.7</v>
      </c>
      <c r="F7" s="174">
        <f>D7*E7</f>
        <v>11207950175.799999</v>
      </c>
    </row>
    <row r="8" spans="2:7" x14ac:dyDescent="0.2">
      <c r="B8" s="171"/>
      <c r="C8" s="323" t="s">
        <v>3554</v>
      </c>
      <c r="D8" s="324">
        <f>SUM(D5:D7)</f>
        <v>16202412505</v>
      </c>
      <c r="E8" s="324"/>
      <c r="F8" s="324">
        <f>SUM(F5:F7)</f>
        <v>11420005286.799999</v>
      </c>
    </row>
    <row r="9" spans="2:7" x14ac:dyDescent="0.2">
      <c r="E9" s="10"/>
    </row>
    <row r="10" spans="2:7" x14ac:dyDescent="0.2">
      <c r="B10" s="2" t="s">
        <v>3562</v>
      </c>
      <c r="E10" s="10"/>
    </row>
    <row r="11" spans="2:7" x14ac:dyDescent="0.2">
      <c r="B11" s="322" t="s">
        <v>3552</v>
      </c>
      <c r="C11" s="322" t="s">
        <v>3563</v>
      </c>
      <c r="D11" s="322" t="s">
        <v>3564</v>
      </c>
      <c r="E11" s="322" t="s">
        <v>3565</v>
      </c>
      <c r="F11" s="322" t="s">
        <v>3566</v>
      </c>
    </row>
    <row r="12" spans="2:7" x14ac:dyDescent="0.2">
      <c r="B12" s="171">
        <v>1</v>
      </c>
      <c r="C12" s="171" t="s">
        <v>3451</v>
      </c>
      <c r="D12" s="325">
        <f>'DISCOUNT RATE'!G7</f>
        <v>6.8639999999999993E-2</v>
      </c>
      <c r="E12" s="182">
        <f>F8/D8</f>
        <v>0.70483363408232147</v>
      </c>
      <c r="F12" s="325">
        <f>E12*D12</f>
        <v>4.8379780643410537E-2</v>
      </c>
    </row>
    <row r="13" spans="2:7" x14ac:dyDescent="0.2">
      <c r="B13" s="171">
        <v>2</v>
      </c>
      <c r="C13" s="171" t="s">
        <v>3380</v>
      </c>
      <c r="D13" s="325">
        <f>'DISCOUNT RATE'!G8</f>
        <v>0.12453700000000001</v>
      </c>
      <c r="E13" s="182">
        <f>1-E12</f>
        <v>0.29516636591767853</v>
      </c>
      <c r="F13" s="325">
        <f>E13*D13</f>
        <v>3.6759133712289935E-2</v>
      </c>
    </row>
    <row r="14" spans="2:7" x14ac:dyDescent="0.2">
      <c r="B14" s="171"/>
      <c r="C14" s="171"/>
      <c r="D14" s="171"/>
      <c r="E14" s="174"/>
      <c r="F14" s="325">
        <f>+F12+F13</f>
        <v>8.5138914355700479E-2</v>
      </c>
    </row>
    <row r="15" spans="2:7" x14ac:dyDescent="0.2">
      <c r="B15" s="2"/>
      <c r="D15" s="10"/>
    </row>
    <row r="16" spans="2:7" x14ac:dyDescent="0.2">
      <c r="D16" s="10"/>
      <c r="F16" s="10">
        <f>EEM!D43</f>
        <v>6026194000</v>
      </c>
    </row>
    <row r="17" spans="2:4" x14ac:dyDescent="0.2">
      <c r="B17" s="2"/>
      <c r="D17" s="10"/>
    </row>
    <row r="18" spans="2:4" x14ac:dyDescent="0.2">
      <c r="D18" s="10"/>
    </row>
    <row r="19" spans="2:4" x14ac:dyDescent="0.2">
      <c r="D19" s="10"/>
    </row>
    <row r="20" spans="2:4" x14ac:dyDescent="0.2">
      <c r="D20" s="10"/>
    </row>
    <row r="21" spans="2:4" x14ac:dyDescent="0.2">
      <c r="D21" s="10"/>
    </row>
    <row r="22" spans="2:4" x14ac:dyDescent="0.2">
      <c r="D22" s="10"/>
    </row>
    <row r="23" spans="2:4" x14ac:dyDescent="0.2">
      <c r="D23" s="10"/>
    </row>
    <row r="24" spans="2:4" x14ac:dyDescent="0.2">
      <c r="B24" s="2"/>
      <c r="D24" s="10"/>
    </row>
    <row r="25" spans="2:4" x14ac:dyDescent="0.2">
      <c r="D25" s="10"/>
    </row>
    <row r="26" spans="2:4" x14ac:dyDescent="0.2">
      <c r="B26" s="2"/>
      <c r="D26" s="10"/>
    </row>
    <row r="27" spans="2:4" x14ac:dyDescent="0.2">
      <c r="B27" s="2"/>
      <c r="D27" s="10"/>
    </row>
    <row r="28" spans="2:4" x14ac:dyDescent="0.2">
      <c r="D28" s="10"/>
    </row>
    <row r="29" spans="2:4" x14ac:dyDescent="0.2">
      <c r="D29" s="10"/>
    </row>
    <row r="30" spans="2:4" x14ac:dyDescent="0.2">
      <c r="D30" s="10"/>
    </row>
    <row r="31" spans="2:4" x14ac:dyDescent="0.2">
      <c r="D31" s="10"/>
    </row>
    <row r="32" spans="2:4" x14ac:dyDescent="0.2">
      <c r="B32" s="2"/>
      <c r="D32" s="10"/>
    </row>
    <row r="33" spans="2:4" x14ac:dyDescent="0.2">
      <c r="D33" s="10"/>
    </row>
    <row r="34" spans="2:4" x14ac:dyDescent="0.2">
      <c r="B34" s="2"/>
      <c r="D34" s="10"/>
    </row>
    <row r="35" spans="2:4" x14ac:dyDescent="0.2">
      <c r="D35" s="10"/>
    </row>
    <row r="36" spans="2:4" x14ac:dyDescent="0.2">
      <c r="D36" s="10"/>
    </row>
    <row r="37" spans="2:4" x14ac:dyDescent="0.2">
      <c r="B37" s="2"/>
      <c r="D37" s="10"/>
    </row>
    <row r="38" spans="2:4" x14ac:dyDescent="0.2">
      <c r="B38" s="2"/>
      <c r="D38" s="10"/>
    </row>
    <row r="39" spans="2:4" x14ac:dyDescent="0.2">
      <c r="B39" s="2"/>
      <c r="D39" s="10"/>
    </row>
    <row r="40" spans="2:4" x14ac:dyDescent="0.2">
      <c r="D40" s="10"/>
    </row>
    <row r="41" spans="2:4" x14ac:dyDescent="0.2">
      <c r="D41" s="10"/>
    </row>
    <row r="42" spans="2:4" x14ac:dyDescent="0.2">
      <c r="D42" s="10"/>
    </row>
    <row r="43" spans="2:4" x14ac:dyDescent="0.2">
      <c r="D43" s="10"/>
    </row>
    <row r="44" spans="2:4" x14ac:dyDescent="0.2">
      <c r="D44" s="10"/>
    </row>
    <row r="45" spans="2:4" x14ac:dyDescent="0.2">
      <c r="B45" s="2"/>
      <c r="D45" s="10"/>
    </row>
    <row r="46" spans="2:4" x14ac:dyDescent="0.2">
      <c r="B46" s="2"/>
      <c r="D46" s="11"/>
    </row>
    <row r="47" spans="2:4" x14ac:dyDescent="0.2">
      <c r="B47" s="2"/>
      <c r="D47" s="10"/>
    </row>
  </sheetData>
  <pageMargins left="0.7" right="0.7" top="0.75" bottom="0.75" header="0.3" footer="0.3"/>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2">
    <tabColor theme="5" tint="-0.249977111117893"/>
  </sheetPr>
  <dimension ref="A1:L12"/>
  <sheetViews>
    <sheetView showGridLines="0" topLeftCell="A6" zoomScale="85" zoomScaleNormal="85" workbookViewId="0">
      <selection activeCell="H10" sqref="H10"/>
    </sheetView>
  </sheetViews>
  <sheetFormatPr baseColWidth="10" defaultColWidth="9.33203125" defaultRowHeight="15" x14ac:dyDescent="0.2"/>
  <cols>
    <col min="1" max="1" width="30.33203125" bestFit="1" customWidth="1"/>
    <col min="3" max="3" width="9.5" customWidth="1"/>
    <col min="5" max="5" width="40.5" bestFit="1" customWidth="1"/>
    <col min="6" max="6" width="16.5" bestFit="1" customWidth="1"/>
    <col min="7" max="7" width="14.6640625" bestFit="1" customWidth="1"/>
    <col min="8" max="8" width="11.5" bestFit="1" customWidth="1"/>
    <col min="11" max="11" width="17.1640625" customWidth="1"/>
  </cols>
  <sheetData>
    <row r="1" spans="1:12" x14ac:dyDescent="0.2">
      <c r="A1" s="246" t="s">
        <v>3567</v>
      </c>
      <c r="B1" s="247"/>
      <c r="C1" s="247"/>
      <c r="D1" s="248"/>
      <c r="E1" s="249" t="s">
        <v>3568</v>
      </c>
      <c r="F1" s="250"/>
      <c r="G1" s="251" t="s">
        <v>3569</v>
      </c>
      <c r="H1" s="252">
        <f>C4/(1+((1-C2)*C8))</f>
        <v>0.93320959031242834</v>
      </c>
    </row>
    <row r="2" spans="1:12" x14ac:dyDescent="0.2">
      <c r="A2" s="253" t="s">
        <v>3570</v>
      </c>
      <c r="B2" s="254"/>
      <c r="C2" s="255">
        <v>0.22</v>
      </c>
      <c r="D2" s="248"/>
      <c r="E2" s="249" t="s">
        <v>3571</v>
      </c>
      <c r="F2" s="250"/>
      <c r="G2" s="251" t="s">
        <v>3569</v>
      </c>
      <c r="H2" s="252">
        <f>H1*(1+((1-C2)*C8))</f>
        <v>1.0900000000000001</v>
      </c>
    </row>
    <row r="3" spans="1:12" x14ac:dyDescent="0.2">
      <c r="A3" s="248" t="s">
        <v>3572</v>
      </c>
      <c r="B3" s="248"/>
      <c r="C3" s="256">
        <v>6.4795000000000005E-2</v>
      </c>
      <c r="D3" s="248"/>
      <c r="E3" s="249" t="s">
        <v>3573</v>
      </c>
      <c r="F3" s="250"/>
      <c r="G3" s="251" t="s">
        <v>3569</v>
      </c>
      <c r="H3" s="257">
        <f>C3+(H2*C5)-C6</f>
        <v>0.12453700000000001</v>
      </c>
    </row>
    <row r="4" spans="1:12" x14ac:dyDescent="0.2">
      <c r="A4" s="251" t="s">
        <v>3574</v>
      </c>
      <c r="B4" s="248"/>
      <c r="C4" s="258">
        <v>1.0900000000000001</v>
      </c>
      <c r="D4" s="248"/>
      <c r="E4" s="259" t="s">
        <v>3575</v>
      </c>
      <c r="F4" s="250"/>
      <c r="G4" s="251" t="s">
        <v>3569</v>
      </c>
      <c r="H4" s="257">
        <f>C7*(1-C2)</f>
        <v>6.8639999999999993E-2</v>
      </c>
    </row>
    <row r="5" spans="1:12" x14ac:dyDescent="0.2">
      <c r="A5" s="251" t="s">
        <v>3576</v>
      </c>
      <c r="B5" s="248"/>
      <c r="C5" s="256">
        <v>7.3800000000000004E-2</v>
      </c>
      <c r="D5" s="248"/>
      <c r="E5" s="260" t="s">
        <v>3446</v>
      </c>
      <c r="F5" s="260" t="s">
        <v>3448</v>
      </c>
      <c r="G5" s="260" t="s">
        <v>3449</v>
      </c>
      <c r="H5" s="260" t="s">
        <v>3577</v>
      </c>
      <c r="K5" s="728" t="s">
        <v>3578</v>
      </c>
      <c r="L5" s="708"/>
    </row>
    <row r="6" spans="1:12" x14ac:dyDescent="0.2">
      <c r="A6" s="251" t="s">
        <v>3579</v>
      </c>
      <c r="B6" s="248"/>
      <c r="C6" s="256">
        <v>2.07E-2</v>
      </c>
      <c r="D6" s="248"/>
      <c r="E6" s="261"/>
      <c r="F6" s="261"/>
      <c r="G6" s="261"/>
      <c r="H6" s="261"/>
      <c r="K6" s="171" t="s">
        <v>3580</v>
      </c>
      <c r="L6" s="171">
        <v>9.41</v>
      </c>
    </row>
    <row r="7" spans="1:12" x14ac:dyDescent="0.2">
      <c r="A7" s="248" t="s">
        <v>3581</v>
      </c>
      <c r="B7" s="248"/>
      <c r="C7" s="256">
        <f>ROUND(L11/100,3)</f>
        <v>8.7999999999999995E-2</v>
      </c>
      <c r="D7" s="248"/>
      <c r="E7" s="262" t="s">
        <v>3582</v>
      </c>
      <c r="F7" s="263">
        <f>C8/(1+C8)</f>
        <v>0.17722560473918053</v>
      </c>
      <c r="G7" s="263">
        <f>H4</f>
        <v>6.8639999999999993E-2</v>
      </c>
      <c r="H7" s="263">
        <f>F7*G7</f>
        <v>1.216476550929735E-2</v>
      </c>
      <c r="K7" s="171" t="s">
        <v>3583</v>
      </c>
      <c r="L7" s="171">
        <v>9.06</v>
      </c>
    </row>
    <row r="8" spans="1:12" x14ac:dyDescent="0.2">
      <c r="A8" s="251" t="s">
        <v>3584</v>
      </c>
      <c r="B8" s="248"/>
      <c r="C8" s="256">
        <v>0.21540000000000001</v>
      </c>
      <c r="D8" s="257"/>
      <c r="E8" s="262" t="s">
        <v>3585</v>
      </c>
      <c r="F8" s="264">
        <f>1-F7</f>
        <v>0.82277439526081952</v>
      </c>
      <c r="G8" s="264">
        <f>H3</f>
        <v>0.12453700000000001</v>
      </c>
      <c r="H8" s="263">
        <f>F8*G8</f>
        <v>0.10246585486259668</v>
      </c>
      <c r="K8" s="171" t="s">
        <v>3586</v>
      </c>
      <c r="L8" s="171">
        <v>8.23</v>
      </c>
    </row>
    <row r="9" spans="1:12" x14ac:dyDescent="0.2">
      <c r="A9" s="248" t="s">
        <v>3587</v>
      </c>
      <c r="B9" s="248"/>
      <c r="C9" s="265">
        <f>H3</f>
        <v>0.12453700000000001</v>
      </c>
      <c r="D9" s="266"/>
      <c r="E9" s="262"/>
      <c r="F9" s="262"/>
      <c r="G9" s="262"/>
      <c r="H9" s="262"/>
      <c r="K9" s="171" t="s">
        <v>3588</v>
      </c>
      <c r="L9" s="171">
        <v>8.51</v>
      </c>
    </row>
    <row r="10" spans="1:12" x14ac:dyDescent="0.2">
      <c r="A10" s="248" t="s">
        <v>3589</v>
      </c>
      <c r="B10" s="248"/>
      <c r="C10" s="265">
        <f>H4</f>
        <v>6.8639999999999993E-2</v>
      </c>
      <c r="D10" s="252"/>
      <c r="E10" s="267" t="s">
        <v>3452</v>
      </c>
      <c r="F10" s="267"/>
      <c r="G10" s="267"/>
      <c r="H10" s="268">
        <f>+H7+H8</f>
        <v>0.11463062037189403</v>
      </c>
      <c r="K10" s="171" t="s">
        <v>3590</v>
      </c>
      <c r="L10" s="171">
        <v>8.81</v>
      </c>
    </row>
    <row r="11" spans="1:12" x14ac:dyDescent="0.2">
      <c r="A11" s="248" t="s">
        <v>3450</v>
      </c>
      <c r="B11" s="248"/>
      <c r="C11" s="265">
        <f>H10</f>
        <v>0.11463062037189403</v>
      </c>
      <c r="D11" s="248"/>
      <c r="E11" s="248"/>
      <c r="F11" s="250"/>
      <c r="G11" s="248"/>
      <c r="H11" s="248"/>
      <c r="K11" s="171" t="s">
        <v>3068</v>
      </c>
      <c r="L11" s="171">
        <f>AVERAGE(L6:L10)</f>
        <v>8.8040000000000003</v>
      </c>
    </row>
    <row r="12" spans="1:12" x14ac:dyDescent="0.2">
      <c r="A12" s="269" t="s">
        <v>3082</v>
      </c>
      <c r="C12" s="257">
        <f>'GROWTH RATE'!B15</f>
        <v>-3.9131152595042983E-2</v>
      </c>
    </row>
  </sheetData>
  <mergeCells count="1">
    <mergeCell ref="K5:L5"/>
  </mergeCells>
  <pageMargins left="0.7" right="0.7" top="0.75" bottom="0.75" header="0.3" footer="0.3"/>
  <pageSetup paperSize="9" orientation="portrait" horizontalDpi="0" verticalDpi="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2">
    <tabColor theme="5" tint="-0.249977111117893"/>
  </sheetPr>
  <dimension ref="B2:F52"/>
  <sheetViews>
    <sheetView showGridLines="0" topLeftCell="A14" zoomScaleNormal="100" workbookViewId="0">
      <selection activeCell="D34" sqref="D34"/>
    </sheetView>
  </sheetViews>
  <sheetFormatPr baseColWidth="10" defaultColWidth="8.83203125" defaultRowHeight="15" x14ac:dyDescent="0.2"/>
  <cols>
    <col min="2" max="2" width="43.33203125" customWidth="1"/>
    <col min="3" max="3" width="12.1640625" customWidth="1"/>
    <col min="4" max="4" width="25.33203125" customWidth="1"/>
    <col min="5" max="5" width="22" customWidth="1"/>
    <col min="6" max="11" width="16.33203125" customWidth="1"/>
  </cols>
  <sheetData>
    <row r="2" spans="2:6" x14ac:dyDescent="0.2">
      <c r="B2" t="str">
        <f>HOME!B4</f>
        <v>Makmur Jaya Sejati Raya</v>
      </c>
    </row>
    <row r="3" spans="2:6" x14ac:dyDescent="0.2">
      <c r="B3" t="s">
        <v>3591</v>
      </c>
    </row>
    <row r="4" spans="2:6" x14ac:dyDescent="0.2">
      <c r="B4" t="str">
        <f>'BALANCE SHEET'!A3</f>
        <v>(IDR)</v>
      </c>
      <c r="C4" t="s">
        <v>3592</v>
      </c>
    </row>
    <row r="5" spans="2:6" x14ac:dyDescent="0.2">
      <c r="B5" t="s">
        <v>3593</v>
      </c>
    </row>
    <row r="7" spans="2:6" x14ac:dyDescent="0.2">
      <c r="B7" t="s">
        <v>3594</v>
      </c>
      <c r="D7" s="332">
        <f>STAT_EEM!B7</f>
        <v>13303692977</v>
      </c>
      <c r="F7" s="330" t="s">
        <v>3595</v>
      </c>
    </row>
    <row r="8" spans="2:6" x14ac:dyDescent="0.2">
      <c r="B8" t="s">
        <v>3596</v>
      </c>
      <c r="C8" s="583">
        <f>STAT_EEM!B15</f>
        <v>8.5138914355700479E-2</v>
      </c>
      <c r="D8" s="327"/>
      <c r="F8" s="330"/>
    </row>
    <row r="9" spans="2:6" x14ac:dyDescent="0.2">
      <c r="B9" t="s">
        <v>3597</v>
      </c>
      <c r="D9" s="332">
        <f>D7*C8</f>
        <v>1132661976.9833369</v>
      </c>
      <c r="F9" s="330" t="s">
        <v>3598</v>
      </c>
    </row>
    <row r="11" spans="2:6" x14ac:dyDescent="0.2">
      <c r="D11" s="163"/>
    </row>
    <row r="12" spans="2:6" x14ac:dyDescent="0.2">
      <c r="B12" s="134" t="s">
        <v>93</v>
      </c>
      <c r="D12" s="332">
        <f>STAT_EEM!B14</f>
        <v>1763917303.98</v>
      </c>
    </row>
    <row r="13" spans="2:6" x14ac:dyDescent="0.2">
      <c r="B13" s="144" t="s">
        <v>3224</v>
      </c>
      <c r="C13" s="3"/>
      <c r="D13" s="555">
        <f>0</f>
        <v>0</v>
      </c>
    </row>
    <row r="14" spans="2:6" x14ac:dyDescent="0.2">
      <c r="B14" s="2" t="s">
        <v>3225</v>
      </c>
      <c r="D14" s="332">
        <f>D12+D13</f>
        <v>1763917303.98</v>
      </c>
    </row>
    <row r="15" spans="2:6" x14ac:dyDescent="0.2">
      <c r="D15" s="327"/>
    </row>
    <row r="16" spans="2:6" x14ac:dyDescent="0.2">
      <c r="B16" s="2" t="s">
        <v>3</v>
      </c>
      <c r="D16" s="327"/>
    </row>
    <row r="17" spans="2:6" x14ac:dyDescent="0.2">
      <c r="B17" t="s">
        <v>487</v>
      </c>
      <c r="D17" s="332">
        <f>0</f>
        <v>0</v>
      </c>
    </row>
    <row r="18" spans="2:6" x14ac:dyDescent="0.2">
      <c r="B18" s="3" t="s">
        <v>491</v>
      </c>
      <c r="C18" s="3"/>
      <c r="D18" s="555">
        <f>0</f>
        <v>0</v>
      </c>
    </row>
    <row r="19" spans="2:6" x14ac:dyDescent="0.2">
      <c r="B19" s="135" t="s">
        <v>3226</v>
      </c>
      <c r="D19" s="332">
        <f>0</f>
        <v>0</v>
      </c>
    </row>
    <row r="20" spans="2:6" x14ac:dyDescent="0.2">
      <c r="D20" s="327"/>
    </row>
    <row r="21" spans="2:6" x14ac:dyDescent="0.2">
      <c r="B21" s="134" t="s">
        <v>3227</v>
      </c>
      <c r="D21" s="332">
        <f>0</f>
        <v>0</v>
      </c>
    </row>
    <row r="22" spans="2:6" x14ac:dyDescent="0.2">
      <c r="B22" s="3"/>
      <c r="C22" s="3"/>
      <c r="D22" s="3"/>
    </row>
    <row r="23" spans="2:6" x14ac:dyDescent="0.2">
      <c r="B23" s="2" t="s">
        <v>3228</v>
      </c>
      <c r="C23" s="2"/>
      <c r="D23" s="332">
        <f>0</f>
        <v>0</v>
      </c>
    </row>
    <row r="24" spans="2:6" x14ac:dyDescent="0.2">
      <c r="D24" s="327"/>
    </row>
    <row r="25" spans="2:6" ht="16" customHeight="1" thickBot="1" x14ac:dyDescent="0.25">
      <c r="B25" s="25" t="s">
        <v>3223</v>
      </c>
      <c r="C25" s="25"/>
      <c r="D25" s="584">
        <f>D14+D23</f>
        <v>1763917303.98</v>
      </c>
      <c r="F25" s="330" t="s">
        <v>3599</v>
      </c>
    </row>
    <row r="26" spans="2:6" x14ac:dyDescent="0.2">
      <c r="D26" s="327"/>
      <c r="F26" s="330"/>
    </row>
    <row r="27" spans="2:6" x14ac:dyDescent="0.2">
      <c r="B27" t="s">
        <v>3600</v>
      </c>
      <c r="D27" s="332">
        <f>D25-D9</f>
        <v>631255326.99666309</v>
      </c>
      <c r="F27" s="330" t="s">
        <v>3601</v>
      </c>
    </row>
    <row r="28" spans="2:6" x14ac:dyDescent="0.2">
      <c r="B28" t="s">
        <v>3602</v>
      </c>
      <c r="C28" s="583">
        <f>STAT_EEM!B18</f>
        <v>0.11463062037189403</v>
      </c>
      <c r="D28" s="327"/>
      <c r="F28" s="330"/>
    </row>
    <row r="29" spans="2:6" x14ac:dyDescent="0.2">
      <c r="B29" t="s">
        <v>3603</v>
      </c>
      <c r="D29" s="574">
        <f>D27/C28</f>
        <v>5506864788.3845778</v>
      </c>
      <c r="F29" s="471" t="s">
        <v>3604</v>
      </c>
    </row>
    <row r="30" spans="2:6" ht="16" customHeight="1" thickBot="1" x14ac:dyDescent="0.25">
      <c r="D30" s="327"/>
    </row>
    <row r="31" spans="2:6" ht="16" customHeight="1" thickBot="1" x14ac:dyDescent="0.25">
      <c r="B31" s="109" t="s">
        <v>3605</v>
      </c>
      <c r="C31" s="110"/>
      <c r="D31" s="585">
        <f>D7+D29</f>
        <v>18810557765.384579</v>
      </c>
    </row>
    <row r="32" spans="2:6" x14ac:dyDescent="0.2">
      <c r="B32" s="1" t="s">
        <v>3540</v>
      </c>
      <c r="D32" s="545">
        <f>-STAT_EEM!B21</f>
        <v>0</v>
      </c>
    </row>
    <row r="33" spans="2:5" ht="16" customHeight="1" thickBot="1" x14ac:dyDescent="0.25">
      <c r="B33" s="101" t="s">
        <v>3606</v>
      </c>
      <c r="D33" s="545">
        <f>STAT_EEM!B11</f>
        <v>1075880526</v>
      </c>
    </row>
    <row r="34" spans="2:5" ht="16" customHeight="1" thickBot="1" x14ac:dyDescent="0.25">
      <c r="B34" s="109" t="s">
        <v>3607</v>
      </c>
      <c r="C34" s="110"/>
      <c r="D34" s="585">
        <f>D31+D32+D33</f>
        <v>19886438291.384579</v>
      </c>
    </row>
    <row r="35" spans="2:5" x14ac:dyDescent="0.2">
      <c r="B35" s="1" t="s">
        <v>428</v>
      </c>
      <c r="C35" s="564">
        <f>0</f>
        <v>0</v>
      </c>
      <c r="D35" s="578">
        <f>D34*C35</f>
        <v>0</v>
      </c>
    </row>
    <row r="36" spans="2:5" x14ac:dyDescent="0.2">
      <c r="B36" s="1" t="s">
        <v>3543</v>
      </c>
      <c r="D36" s="578">
        <f>D34+D35</f>
        <v>19886438291.384579</v>
      </c>
    </row>
    <row r="37" spans="2:5" ht="17" customHeight="1" thickBot="1" x14ac:dyDescent="0.25">
      <c r="B37" s="451" t="str">
        <f>HOME!A26</f>
        <v>DISCOUNT LACK OF CONTROL/PREMIUM FOR CONTROL</v>
      </c>
      <c r="C37" s="586">
        <f>0</f>
        <v>0</v>
      </c>
      <c r="D37" s="578">
        <f>D36*C37</f>
        <v>0</v>
      </c>
    </row>
    <row r="38" spans="2:5" ht="16" customHeight="1" thickBot="1" x14ac:dyDescent="0.25">
      <c r="B38" s="109" t="s">
        <v>3544</v>
      </c>
      <c r="C38" s="110"/>
      <c r="D38" s="587">
        <f>D36+D37</f>
        <v>19886438291.384579</v>
      </c>
    </row>
    <row r="39" spans="2:5" x14ac:dyDescent="0.2">
      <c r="B39" s="149" t="s">
        <v>3545</v>
      </c>
      <c r="C39" s="328">
        <f>HOME!B17</f>
        <v>0.30303030303030304</v>
      </c>
      <c r="D39" s="224"/>
    </row>
    <row r="40" spans="2:5" ht="16" customHeight="1" thickBot="1" x14ac:dyDescent="0.25">
      <c r="B40" s="25" t="str">
        <f>"Market Value of "&amp;TEXT(C39,"0.00%")&amp;" Equity"</f>
        <v>Market Value of 30.30% Equity</v>
      </c>
      <c r="C40" s="270"/>
      <c r="D40" s="588">
        <f>D38*C39</f>
        <v>6026193421.631691</v>
      </c>
    </row>
    <row r="41" spans="2:5" hidden="1" x14ac:dyDescent="0.2">
      <c r="B41" s="2">
        <f>AAM!B62</f>
        <v>0</v>
      </c>
      <c r="D41" s="11">
        <v>1</v>
      </c>
      <c r="E41" s="2" t="s">
        <v>3608</v>
      </c>
    </row>
    <row r="42" spans="2:5" x14ac:dyDescent="0.2">
      <c r="B42" s="2" t="s">
        <v>3609</v>
      </c>
      <c r="C42" s="2"/>
      <c r="D42" s="574">
        <f>D40*D41</f>
        <v>6026193421.631691</v>
      </c>
      <c r="E42" s="471" t="s">
        <v>3610</v>
      </c>
    </row>
    <row r="43" spans="2:5" x14ac:dyDescent="0.2">
      <c r="B43" s="2" t="s">
        <v>3611</v>
      </c>
      <c r="C43" s="2"/>
      <c r="D43" s="574">
        <f>ROUNDUP(D42,-3)</f>
        <v>6026194000</v>
      </c>
      <c r="E43" s="471" t="s">
        <v>3610</v>
      </c>
    </row>
    <row r="44" spans="2:5" x14ac:dyDescent="0.2">
      <c r="B44" s="2" t="s">
        <v>3494</v>
      </c>
      <c r="C44" s="2"/>
      <c r="D44" s="574">
        <f>HOME!B15</f>
        <v>5280000000</v>
      </c>
      <c r="E44" s="2"/>
    </row>
    <row r="45" spans="2:5" x14ac:dyDescent="0.2">
      <c r="B45" s="2"/>
      <c r="C45" s="2"/>
      <c r="D45" s="582">
        <f>D42/D44</f>
        <v>1.1413245116726687</v>
      </c>
      <c r="E45" s="2"/>
    </row>
    <row r="46" spans="2:5" x14ac:dyDescent="0.2">
      <c r="D46" s="10">
        <f>D43-D44</f>
        <v>746194000</v>
      </c>
      <c r="E46" s="2"/>
    </row>
    <row r="47" spans="2:5" x14ac:dyDescent="0.2">
      <c r="D47" s="12"/>
    </row>
    <row r="48" spans="2:5" x14ac:dyDescent="0.2">
      <c r="D48" s="12"/>
    </row>
    <row r="49" spans="3:5" x14ac:dyDescent="0.2">
      <c r="C49" s="4"/>
      <c r="D49" s="34"/>
      <c r="E49" s="84"/>
    </row>
    <row r="50" spans="3:5" x14ac:dyDescent="0.2">
      <c r="D50" s="12"/>
    </row>
    <row r="51" spans="3:5" x14ac:dyDescent="0.2">
      <c r="D51" s="84"/>
    </row>
    <row r="52" spans="3:5" x14ac:dyDescent="0.2">
      <c r="D52" s="12"/>
    </row>
  </sheetData>
  <hyperlinks>
    <hyperlink ref="C8" location="'BORROWING CAP'!F14" display="'BORROWING CAP'!F14" xr:uid="{00000000-0004-0000-2200-000000000000}"/>
    <hyperlink ref="B12" location="'PROY NOPLAT'!D19:J19" display="NOPLAT" xr:uid="{00000000-0004-0000-2200-000001000000}"/>
    <hyperlink ref="B13" location="'PROY FIXED ASSET'!D42:J42" display="Add: Depreciation" xr:uid="{00000000-0004-0000-2200-000002000000}"/>
    <hyperlink ref="B19" location="'PROY CASH FLOW STATEMENT'!D10:J10" display="Total net changes in working capital" xr:uid="{00000000-0004-0000-2200-000003000000}"/>
    <hyperlink ref="B21" location="'PROY FIXED ASSET'!D19:J19" display="Less: Capital Expenditures" xr:uid="{00000000-0004-0000-2200-000004000000}"/>
    <hyperlink ref="C28" location="'DISCOUNT RATE'!H10" display="'DISCOUNT RATE'!H10" xr:uid="{00000000-0004-0000-2200-000005000000}"/>
  </hyperlinks>
  <pageMargins left="0.7" right="0.7"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7">
    <tabColor theme="8" tint="0.39997558519241921"/>
    <pageSetUpPr fitToPage="1"/>
  </sheetPr>
  <dimension ref="B1:P53"/>
  <sheetViews>
    <sheetView showGridLines="0" zoomScaleNormal="100" workbookViewId="0">
      <selection activeCell="E16" sqref="E16"/>
    </sheetView>
  </sheetViews>
  <sheetFormatPr baseColWidth="10" defaultColWidth="8.83203125" defaultRowHeight="15" x14ac:dyDescent="0.2"/>
  <cols>
    <col min="3" max="3" width="11.83203125" customWidth="1"/>
    <col min="4" max="4" width="34.5" customWidth="1"/>
    <col min="5" max="5" width="22.83203125" customWidth="1"/>
    <col min="6" max="6" width="10.33203125" customWidth="1"/>
    <col min="7" max="7" width="24.83203125" customWidth="1"/>
    <col min="8" max="8" width="9.83203125" customWidth="1"/>
    <col min="9" max="9" width="10.33203125" customWidth="1"/>
    <col min="10" max="10" width="12.1640625" customWidth="1"/>
    <col min="11" max="11" width="17.5" bestFit="1" customWidth="1"/>
    <col min="12" max="12" width="12.1640625" customWidth="1"/>
    <col min="13" max="13" width="12.33203125" customWidth="1"/>
    <col min="14" max="14" width="16.1640625" customWidth="1"/>
    <col min="15" max="15" width="21.1640625" customWidth="1"/>
  </cols>
  <sheetData>
    <row r="1" spans="2:16" ht="16" customHeight="1" thickBot="1" x14ac:dyDescent="0.25">
      <c r="B1" s="2" t="s">
        <v>3612</v>
      </c>
    </row>
    <row r="2" spans="2:16" ht="25.5" customHeight="1" x14ac:dyDescent="0.2">
      <c r="B2" s="754" t="s">
        <v>3613</v>
      </c>
      <c r="C2" s="749" t="s">
        <v>3614</v>
      </c>
      <c r="D2" s="749" t="s">
        <v>3615</v>
      </c>
      <c r="E2" s="747" t="s">
        <v>3381</v>
      </c>
      <c r="F2" s="747" t="s">
        <v>3523</v>
      </c>
      <c r="G2" s="747" t="s">
        <v>3524</v>
      </c>
      <c r="H2" s="747" t="s">
        <v>3382</v>
      </c>
      <c r="I2" s="369" t="s">
        <v>3616</v>
      </c>
      <c r="J2" s="369" t="s">
        <v>3617</v>
      </c>
      <c r="K2" s="369" t="s">
        <v>3618</v>
      </c>
      <c r="L2" s="369" t="s">
        <v>3619</v>
      </c>
      <c r="M2" s="369" t="s">
        <v>3620</v>
      </c>
      <c r="N2" s="751" t="s">
        <v>3621</v>
      </c>
      <c r="O2" s="751" t="s">
        <v>3622</v>
      </c>
      <c r="P2" s="745" t="s">
        <v>3623</v>
      </c>
    </row>
    <row r="3" spans="2:16" ht="16" customHeight="1" x14ac:dyDescent="0.2">
      <c r="B3" s="716"/>
      <c r="C3" s="748"/>
      <c r="D3" s="748"/>
      <c r="E3" s="748"/>
      <c r="F3" s="748"/>
      <c r="G3" s="748"/>
      <c r="H3" s="748"/>
      <c r="I3" s="370" t="s">
        <v>3624</v>
      </c>
      <c r="J3" s="370"/>
      <c r="K3" s="370"/>
      <c r="L3" s="370"/>
      <c r="M3" s="370"/>
      <c r="N3" s="752"/>
      <c r="O3" s="752"/>
      <c r="P3" s="746"/>
    </row>
    <row r="4" spans="2:16" x14ac:dyDescent="0.2">
      <c r="B4" s="340"/>
      <c r="C4" s="322" t="s">
        <v>3625</v>
      </c>
      <c r="D4" s="322" t="s">
        <v>3626</v>
      </c>
      <c r="E4" s="380">
        <f>'FINANCIAL RATIO'!F20</f>
        <v>0.25890453287235771</v>
      </c>
      <c r="F4" s="379">
        <f>'FINANCIAL RATIO'!F10</f>
        <v>0.10638241426407952</v>
      </c>
      <c r="G4" s="379">
        <f>'FINANCIAL RATIO'!F11</f>
        <v>0.13303396104591594</v>
      </c>
      <c r="H4" s="379">
        <f>'FINANCIAL RATIO'!F9</f>
        <v>0.11030459562863498</v>
      </c>
      <c r="I4" s="364"/>
      <c r="J4" s="346"/>
      <c r="K4" s="346"/>
      <c r="L4" s="346"/>
      <c r="M4" s="346"/>
      <c r="N4" s="354"/>
      <c r="O4" s="354"/>
      <c r="P4" s="172"/>
    </row>
    <row r="5" spans="2:16" x14ac:dyDescent="0.2">
      <c r="B5" s="173">
        <v>1</v>
      </c>
      <c r="C5" s="171" t="s">
        <v>920</v>
      </c>
      <c r="D5" s="171" t="str">
        <f t="shared" ref="D5:D24" si="0">IFERROR(VLOOKUP(C5,EMITEN,2,FALSE),"")</f>
        <v>Alkindo Naratama Tbk</v>
      </c>
      <c r="E5" s="381">
        <v>1.1499999999999999</v>
      </c>
      <c r="F5" s="379">
        <v>8.6E-3</v>
      </c>
      <c r="G5" s="379">
        <v>1.84E-2</v>
      </c>
      <c r="H5" s="379">
        <v>1.2500000000000001E-2</v>
      </c>
      <c r="I5" s="365"/>
      <c r="J5" s="347">
        <f t="shared" ref="J5:J29" si="1">IF(AND(E5&gt;=E$33*-1,E5&lt;=E$34),1,0)</f>
        <v>0</v>
      </c>
      <c r="K5" s="347">
        <f t="shared" ref="K5:K29" si="2">IF(AND(F5&gt;=F$33*-1,F5&lt;=F$34),1,0)</f>
        <v>1</v>
      </c>
      <c r="L5" s="347">
        <f t="shared" ref="L5:L29" si="3">IF(AND(G5&gt;=G$33*-1,G5&lt;=G$34),1,0)</f>
        <v>1</v>
      </c>
      <c r="M5" s="347">
        <f t="shared" ref="M5:M29" si="4">IF(AND(H5&gt;=H$33*-1,H5&lt;=H$34),1,0)</f>
        <v>1</v>
      </c>
      <c r="N5" s="355"/>
      <c r="O5" s="355">
        <f t="shared" ref="O5:O29" si="5">SUM(J5:M5)</f>
        <v>3</v>
      </c>
      <c r="P5" s="359" t="str">
        <f t="shared" ref="P5:P29" si="6">IF(O5=$E$35,C5,"")</f>
        <v/>
      </c>
    </row>
    <row r="6" spans="2:16" x14ac:dyDescent="0.2">
      <c r="B6" s="173">
        <f t="shared" ref="B6:B24" si="7">+B5+1</f>
        <v>2</v>
      </c>
      <c r="C6" s="171" t="s">
        <v>924</v>
      </c>
      <c r="D6" s="171" t="str">
        <f t="shared" si="0"/>
        <v>Alakasa Industrindo Tbk</v>
      </c>
      <c r="E6" s="381">
        <v>1.89</v>
      </c>
      <c r="F6" s="379">
        <v>8.5400000000000004E-2</v>
      </c>
      <c r="G6" s="379">
        <v>0.25</v>
      </c>
      <c r="H6" s="379">
        <v>2.7900000000000001E-2</v>
      </c>
      <c r="I6" s="365"/>
      <c r="J6" s="347">
        <f t="shared" si="1"/>
        <v>0</v>
      </c>
      <c r="K6" s="347">
        <f t="shared" si="2"/>
        <v>1</v>
      </c>
      <c r="L6" s="347">
        <f t="shared" si="3"/>
        <v>0</v>
      </c>
      <c r="M6" s="347">
        <f t="shared" si="4"/>
        <v>1</v>
      </c>
      <c r="N6" s="355"/>
      <c r="O6" s="355">
        <f t="shared" si="5"/>
        <v>2</v>
      </c>
      <c r="P6" s="359" t="str">
        <f t="shared" si="6"/>
        <v/>
      </c>
    </row>
    <row r="7" spans="2:16" x14ac:dyDescent="0.2">
      <c r="B7" s="173">
        <f t="shared" si="7"/>
        <v>3</v>
      </c>
      <c r="C7" s="171" t="s">
        <v>942</v>
      </c>
      <c r="D7" s="171" t="str">
        <f t="shared" si="0"/>
        <v>PT Amman Mineral Internasional Tbk.</v>
      </c>
      <c r="E7" s="381">
        <v>0.44</v>
      </c>
      <c r="F7" s="379">
        <v>5.2600000000000001E-2</v>
      </c>
      <c r="G7" s="379">
        <v>9.8500000000000004E-2</v>
      </c>
      <c r="H7" s="379">
        <v>0.38</v>
      </c>
      <c r="I7" s="365"/>
      <c r="J7" s="347">
        <f t="shared" si="1"/>
        <v>1</v>
      </c>
      <c r="K7" s="347">
        <f t="shared" si="2"/>
        <v>1</v>
      </c>
      <c r="L7" s="347">
        <f t="shared" si="3"/>
        <v>1</v>
      </c>
      <c r="M7" s="347">
        <f t="shared" si="4"/>
        <v>0</v>
      </c>
      <c r="N7" s="355"/>
      <c r="O7" s="355">
        <f t="shared" si="5"/>
        <v>3</v>
      </c>
      <c r="P7" s="359" t="str">
        <f t="shared" si="6"/>
        <v/>
      </c>
    </row>
    <row r="8" spans="2:16" x14ac:dyDescent="0.2">
      <c r="B8" s="173">
        <f t="shared" si="7"/>
        <v>4</v>
      </c>
      <c r="C8" s="171" t="s">
        <v>957</v>
      </c>
      <c r="D8" s="171" t="str">
        <f t="shared" si="0"/>
        <v>Aneka Tambang Tbk.</v>
      </c>
      <c r="E8" s="381">
        <v>0.44</v>
      </c>
      <c r="F8" s="379">
        <v>0.11</v>
      </c>
      <c r="G8" s="379">
        <v>0.16</v>
      </c>
      <c r="H8" s="379">
        <v>0.13</v>
      </c>
      <c r="I8" s="365"/>
      <c r="J8" s="347">
        <f t="shared" si="1"/>
        <v>1</v>
      </c>
      <c r="K8" s="347">
        <f t="shared" si="2"/>
        <v>0</v>
      </c>
      <c r="L8" s="347">
        <f t="shared" si="3"/>
        <v>0</v>
      </c>
      <c r="M8" s="347">
        <f t="shared" si="4"/>
        <v>1</v>
      </c>
      <c r="N8" s="355"/>
      <c r="O8" s="355">
        <f t="shared" si="5"/>
        <v>2</v>
      </c>
      <c r="P8" s="359" t="str">
        <f t="shared" si="6"/>
        <v/>
      </c>
    </row>
    <row r="9" spans="2:16" x14ac:dyDescent="0.2">
      <c r="B9" s="173">
        <f t="shared" si="7"/>
        <v>5</v>
      </c>
      <c r="C9" s="171" t="s">
        <v>967</v>
      </c>
      <c r="D9" s="171" t="str">
        <f t="shared" si="0"/>
        <v>Asiaplast Industries Tbk</v>
      </c>
      <c r="E9" s="381">
        <v>0.51</v>
      </c>
      <c r="F9" s="379">
        <v>0.12</v>
      </c>
      <c r="G9" s="379">
        <v>0.18</v>
      </c>
      <c r="H9" s="379">
        <v>0.16</v>
      </c>
      <c r="I9" s="365"/>
      <c r="J9" s="347">
        <f t="shared" si="1"/>
        <v>1</v>
      </c>
      <c r="K9" s="347">
        <f t="shared" si="2"/>
        <v>0</v>
      </c>
      <c r="L9" s="347">
        <f t="shared" si="3"/>
        <v>0</v>
      </c>
      <c r="M9" s="347">
        <f t="shared" si="4"/>
        <v>0</v>
      </c>
      <c r="N9" s="355"/>
      <c r="O9" s="355">
        <f t="shared" si="5"/>
        <v>1</v>
      </c>
      <c r="P9" s="359" t="str">
        <f t="shared" si="6"/>
        <v/>
      </c>
    </row>
    <row r="10" spans="2:16" x14ac:dyDescent="0.2">
      <c r="B10" s="173">
        <f t="shared" si="7"/>
        <v>6</v>
      </c>
      <c r="C10" s="171" t="s">
        <v>972</v>
      </c>
      <c r="D10" s="171" t="str">
        <f t="shared" si="0"/>
        <v>PT Archi Indonesia Tbk</v>
      </c>
      <c r="E10" s="381">
        <v>2.06</v>
      </c>
      <c r="F10" s="379">
        <v>1.34E-2</v>
      </c>
      <c r="G10" s="379">
        <v>4.0899999999999999E-2</v>
      </c>
      <c r="H10" s="379">
        <v>6.0999999999999999E-2</v>
      </c>
      <c r="I10" s="365"/>
      <c r="J10" s="347">
        <f t="shared" si="1"/>
        <v>0</v>
      </c>
      <c r="K10" s="347">
        <f t="shared" si="2"/>
        <v>1</v>
      </c>
      <c r="L10" s="347">
        <f t="shared" si="3"/>
        <v>1</v>
      </c>
      <c r="M10" s="347">
        <f t="shared" si="4"/>
        <v>1</v>
      </c>
      <c r="N10" s="355"/>
      <c r="O10" s="355">
        <f t="shared" si="5"/>
        <v>3</v>
      </c>
      <c r="P10" s="359" t="str">
        <f t="shared" si="6"/>
        <v/>
      </c>
    </row>
    <row r="11" spans="2:16" x14ac:dyDescent="0.2">
      <c r="B11" s="173">
        <f t="shared" si="7"/>
        <v>7</v>
      </c>
      <c r="C11" s="171" t="s">
        <v>3036</v>
      </c>
      <c r="D11" s="171" t="str">
        <f t="shared" si="0"/>
        <v>Yanaprima Hastapersada Tbk</v>
      </c>
      <c r="E11" s="381">
        <v>1.04</v>
      </c>
      <c r="F11" s="379">
        <v>4.3499999999999997E-2</v>
      </c>
      <c r="G11" s="379">
        <v>8.8700000000000001E-2</v>
      </c>
      <c r="H11" s="379">
        <v>4.2799999999999998E-2</v>
      </c>
      <c r="I11" s="365"/>
      <c r="J11" s="347">
        <f t="shared" si="1"/>
        <v>0</v>
      </c>
      <c r="K11" s="347">
        <f t="shared" si="2"/>
        <v>1</v>
      </c>
      <c r="L11" s="347">
        <f t="shared" si="3"/>
        <v>1</v>
      </c>
      <c r="M11" s="347">
        <f t="shared" si="4"/>
        <v>1</v>
      </c>
      <c r="N11" s="355"/>
      <c r="O11" s="355">
        <f t="shared" si="5"/>
        <v>3</v>
      </c>
      <c r="P11" s="359" t="str">
        <f t="shared" si="6"/>
        <v/>
      </c>
    </row>
    <row r="12" spans="2:16" x14ac:dyDescent="0.2">
      <c r="B12" s="173">
        <f t="shared" si="7"/>
        <v>8</v>
      </c>
      <c r="C12" s="171" t="s">
        <v>1342</v>
      </c>
      <c r="D12" s="171" t="str">
        <f t="shared" si="0"/>
        <v>PT Chemstar Indonesia Tbk</v>
      </c>
      <c r="E12" s="381">
        <v>0.28000000000000003</v>
      </c>
      <c r="F12" s="379">
        <v>2.0500000000000001E-2</v>
      </c>
      <c r="G12" s="379">
        <v>2.6100000000000002E-2</v>
      </c>
      <c r="H12" s="379">
        <v>3.4299999999999997E-2</v>
      </c>
      <c r="I12" s="386"/>
      <c r="J12" s="347">
        <f t="shared" si="1"/>
        <v>1</v>
      </c>
      <c r="K12" s="347">
        <f t="shared" si="2"/>
        <v>1</v>
      </c>
      <c r="L12" s="347">
        <f t="shared" si="3"/>
        <v>1</v>
      </c>
      <c r="M12" s="347">
        <f t="shared" si="4"/>
        <v>1</v>
      </c>
      <c r="N12" s="355"/>
      <c r="O12" s="355">
        <f t="shared" si="5"/>
        <v>4</v>
      </c>
      <c r="P12" s="359" t="str">
        <f t="shared" si="6"/>
        <v>CHEM</v>
      </c>
    </row>
    <row r="13" spans="2:16" x14ac:dyDescent="0.2">
      <c r="B13" s="173">
        <f t="shared" si="7"/>
        <v>9</v>
      </c>
      <c r="C13" s="171" t="s">
        <v>1348</v>
      </c>
      <c r="D13" s="171" t="str">
        <f t="shared" si="0"/>
        <v>Cita Mineral Investindo Tbk</v>
      </c>
      <c r="E13" s="381">
        <v>0.19</v>
      </c>
      <c r="F13" s="379">
        <v>8.2000000000000003E-2</v>
      </c>
      <c r="G13" s="379">
        <v>9.8000000000000004E-2</v>
      </c>
      <c r="H13" s="379">
        <v>0.17</v>
      </c>
      <c r="I13" s="365"/>
      <c r="J13" s="347">
        <f t="shared" si="1"/>
        <v>1</v>
      </c>
      <c r="K13" s="347">
        <f t="shared" si="2"/>
        <v>1</v>
      </c>
      <c r="L13" s="347">
        <f t="shared" si="3"/>
        <v>1</v>
      </c>
      <c r="M13" s="347">
        <f t="shared" si="4"/>
        <v>0</v>
      </c>
      <c r="N13" s="355"/>
      <c r="O13" s="355">
        <f t="shared" si="5"/>
        <v>3</v>
      </c>
      <c r="P13" s="359" t="str">
        <f t="shared" si="6"/>
        <v/>
      </c>
    </row>
    <row r="14" spans="2:16" x14ac:dyDescent="0.2">
      <c r="B14" s="173">
        <f t="shared" si="7"/>
        <v>10</v>
      </c>
      <c r="C14" s="171" t="s">
        <v>1357</v>
      </c>
      <c r="D14" s="171" t="str">
        <f t="shared" si="0"/>
        <v>Colorpak Indonesia Tbk</v>
      </c>
      <c r="E14" s="381">
        <v>0.38</v>
      </c>
      <c r="F14" s="379">
        <v>5.6300000000000003E-2</v>
      </c>
      <c r="G14" s="379">
        <v>7.7700000000000005E-2</v>
      </c>
      <c r="H14" s="379">
        <v>7.0599999999999996E-2</v>
      </c>
      <c r="I14" s="386"/>
      <c r="J14" s="347">
        <f t="shared" si="1"/>
        <v>1</v>
      </c>
      <c r="K14" s="347">
        <f t="shared" si="2"/>
        <v>1</v>
      </c>
      <c r="L14" s="347">
        <f t="shared" si="3"/>
        <v>1</v>
      </c>
      <c r="M14" s="347">
        <f t="shared" si="4"/>
        <v>1</v>
      </c>
      <c r="N14" s="355"/>
      <c r="O14" s="355">
        <f t="shared" si="5"/>
        <v>4</v>
      </c>
      <c r="P14" s="359" t="str">
        <f t="shared" si="6"/>
        <v>CLPI</v>
      </c>
    </row>
    <row r="15" spans="2:16" x14ac:dyDescent="0.2">
      <c r="B15" s="173">
        <f t="shared" si="7"/>
        <v>11</v>
      </c>
      <c r="C15" s="171" t="s">
        <v>1361</v>
      </c>
      <c r="D15" s="171" t="str">
        <f t="shared" si="0"/>
        <v>PT Cemindo Gemilang Tbk</v>
      </c>
      <c r="E15" s="381">
        <v>3.45</v>
      </c>
      <c r="F15" s="379">
        <v>6.4000000000000003E-3</v>
      </c>
      <c r="G15" s="379">
        <v>2.8400000000000002E-2</v>
      </c>
      <c r="H15" s="379">
        <v>1.67E-2</v>
      </c>
      <c r="I15" s="365"/>
      <c r="J15" s="347">
        <f t="shared" si="1"/>
        <v>0</v>
      </c>
      <c r="K15" s="347">
        <f t="shared" si="2"/>
        <v>1</v>
      </c>
      <c r="L15" s="347">
        <f t="shared" si="3"/>
        <v>1</v>
      </c>
      <c r="M15" s="347">
        <f t="shared" si="4"/>
        <v>1</v>
      </c>
      <c r="N15" s="355"/>
      <c r="O15" s="355">
        <f t="shared" si="5"/>
        <v>3</v>
      </c>
      <c r="P15" s="359" t="str">
        <f t="shared" si="6"/>
        <v/>
      </c>
    </row>
    <row r="16" spans="2:16" x14ac:dyDescent="0.2">
      <c r="B16" s="173">
        <f t="shared" si="7"/>
        <v>12</v>
      </c>
      <c r="C16" s="171" t="s">
        <v>1407</v>
      </c>
      <c r="D16" s="171" t="str">
        <f t="shared" si="0"/>
        <v>Citra Tubindo Tbk</v>
      </c>
      <c r="E16" s="381">
        <v>0.7</v>
      </c>
      <c r="F16" s="379">
        <v>4.8000000000000001E-2</v>
      </c>
      <c r="G16" s="379">
        <v>8.1900000000000001E-2</v>
      </c>
      <c r="H16" s="379">
        <v>5.1900000000000002E-2</v>
      </c>
      <c r="I16" s="386"/>
      <c r="J16" s="347">
        <f t="shared" si="1"/>
        <v>1</v>
      </c>
      <c r="K16" s="347">
        <f t="shared" si="2"/>
        <v>1</v>
      </c>
      <c r="L16" s="347">
        <f t="shared" si="3"/>
        <v>1</v>
      </c>
      <c r="M16" s="347">
        <f t="shared" si="4"/>
        <v>1</v>
      </c>
      <c r="N16" s="355"/>
      <c r="O16" s="355">
        <f t="shared" si="5"/>
        <v>4</v>
      </c>
      <c r="P16" s="359" t="str">
        <f t="shared" si="6"/>
        <v>CTBN</v>
      </c>
    </row>
    <row r="17" spans="2:16" x14ac:dyDescent="0.2">
      <c r="B17" s="173">
        <f t="shared" si="7"/>
        <v>13</v>
      </c>
      <c r="C17" s="171" t="s">
        <v>1484</v>
      </c>
      <c r="D17" s="171" t="str">
        <f t="shared" si="0"/>
        <v>Duta Pertiwi Nusantara Tbk</v>
      </c>
      <c r="E17" s="381">
        <v>0.18</v>
      </c>
      <c r="F17" s="379">
        <v>4.1399999999999999E-2</v>
      </c>
      <c r="G17" s="379">
        <v>4.87E-2</v>
      </c>
      <c r="H17" s="379">
        <v>0.19</v>
      </c>
      <c r="I17" s="365"/>
      <c r="J17" s="347">
        <f t="shared" si="1"/>
        <v>1</v>
      </c>
      <c r="K17" s="347">
        <f t="shared" si="2"/>
        <v>1</v>
      </c>
      <c r="L17" s="347">
        <f t="shared" si="3"/>
        <v>1</v>
      </c>
      <c r="M17" s="347">
        <f t="shared" si="4"/>
        <v>0</v>
      </c>
      <c r="N17" s="355"/>
      <c r="O17" s="355">
        <f t="shared" si="5"/>
        <v>3</v>
      </c>
      <c r="P17" s="359" t="str">
        <f t="shared" si="6"/>
        <v/>
      </c>
    </row>
    <row r="18" spans="2:16" x14ac:dyDescent="0.2">
      <c r="B18" s="173">
        <f t="shared" si="7"/>
        <v>14</v>
      </c>
      <c r="C18" s="171" t="s">
        <v>1558</v>
      </c>
      <c r="D18" s="171" t="str">
        <f t="shared" si="0"/>
        <v>ESSA Industries Indonesia Tbk</v>
      </c>
      <c r="E18" s="381">
        <v>0.4</v>
      </c>
      <c r="F18" s="379">
        <v>6.13E-2</v>
      </c>
      <c r="G18" s="379">
        <v>8.5800000000000001E-2</v>
      </c>
      <c r="H18" s="379">
        <v>0.2</v>
      </c>
      <c r="I18" s="365"/>
      <c r="J18" s="347">
        <f t="shared" si="1"/>
        <v>1</v>
      </c>
      <c r="K18" s="347">
        <f t="shared" si="2"/>
        <v>1</v>
      </c>
      <c r="L18" s="347">
        <f t="shared" si="3"/>
        <v>1</v>
      </c>
      <c r="M18" s="347">
        <f t="shared" si="4"/>
        <v>0</v>
      </c>
      <c r="N18" s="355"/>
      <c r="O18" s="355">
        <f t="shared" si="5"/>
        <v>3</v>
      </c>
      <c r="P18" s="359" t="str">
        <f t="shared" si="6"/>
        <v/>
      </c>
    </row>
    <row r="19" spans="2:16" x14ac:dyDescent="0.2">
      <c r="B19" s="173">
        <f t="shared" si="7"/>
        <v>15</v>
      </c>
      <c r="C19" s="171" t="s">
        <v>1606</v>
      </c>
      <c r="D19" s="171" t="str">
        <f t="shared" si="0"/>
        <v>PT Lotte Chemical Titan Tbk.</v>
      </c>
      <c r="E19" s="381">
        <v>0.38</v>
      </c>
      <c r="F19" s="379">
        <v>2.2599999999999999E-2</v>
      </c>
      <c r="G19" s="379">
        <v>3.1300000000000001E-2</v>
      </c>
      <c r="H19" s="379">
        <v>1.1900000000000001E-2</v>
      </c>
      <c r="I19" s="365"/>
      <c r="J19" s="347">
        <f t="shared" si="1"/>
        <v>1</v>
      </c>
      <c r="K19" s="347">
        <f t="shared" si="2"/>
        <v>1</v>
      </c>
      <c r="L19" s="347">
        <f t="shared" si="3"/>
        <v>1</v>
      </c>
      <c r="M19" s="347">
        <f t="shared" si="4"/>
        <v>1</v>
      </c>
      <c r="N19" s="355"/>
      <c r="O19" s="355">
        <f t="shared" si="5"/>
        <v>4</v>
      </c>
      <c r="P19" s="359" t="str">
        <f t="shared" si="6"/>
        <v>FPNI</v>
      </c>
    </row>
    <row r="20" spans="2:16" x14ac:dyDescent="0.2">
      <c r="B20" s="173">
        <f t="shared" si="7"/>
        <v>16</v>
      </c>
      <c r="C20" s="171" t="s">
        <v>1616</v>
      </c>
      <c r="D20" s="171" t="str">
        <f t="shared" si="0"/>
        <v>Gunawan Dianjaya Steel Tbk</v>
      </c>
      <c r="E20" s="381">
        <v>0.77</v>
      </c>
      <c r="F20" s="379">
        <v>0.11</v>
      </c>
      <c r="G20" s="379">
        <v>0.19</v>
      </c>
      <c r="H20" s="379">
        <v>0.13</v>
      </c>
      <c r="I20" s="365"/>
      <c r="J20" s="347">
        <f t="shared" si="1"/>
        <v>0</v>
      </c>
      <c r="K20" s="347">
        <f t="shared" si="2"/>
        <v>0</v>
      </c>
      <c r="L20" s="347">
        <f t="shared" si="3"/>
        <v>0</v>
      </c>
      <c r="M20" s="347">
        <f t="shared" si="4"/>
        <v>1</v>
      </c>
      <c r="N20" s="355"/>
      <c r="O20" s="355">
        <f t="shared" si="5"/>
        <v>1</v>
      </c>
      <c r="P20" s="359" t="str">
        <f t="shared" si="6"/>
        <v/>
      </c>
    </row>
    <row r="21" spans="2:16" x14ac:dyDescent="0.2">
      <c r="B21" s="173">
        <f t="shared" si="7"/>
        <v>17</v>
      </c>
      <c r="C21" s="171" t="s">
        <v>1845</v>
      </c>
      <c r="D21" s="171" t="str">
        <f t="shared" si="0"/>
        <v>Indocement Tunggal Prakarsa Tbk</v>
      </c>
      <c r="E21" s="381">
        <v>0.27</v>
      </c>
      <c r="F21" s="379">
        <v>8.3900000000000002E-2</v>
      </c>
      <c r="G21" s="379">
        <v>0.11</v>
      </c>
      <c r="H21" s="379">
        <v>0.17</v>
      </c>
      <c r="I21" s="365"/>
      <c r="J21" s="347">
        <f t="shared" si="1"/>
        <v>1</v>
      </c>
      <c r="K21" s="347">
        <f t="shared" si="2"/>
        <v>1</v>
      </c>
      <c r="L21" s="347">
        <f t="shared" si="3"/>
        <v>1</v>
      </c>
      <c r="M21" s="347">
        <f t="shared" si="4"/>
        <v>0</v>
      </c>
      <c r="N21" s="355"/>
      <c r="O21" s="355">
        <f t="shared" si="5"/>
        <v>3</v>
      </c>
      <c r="P21" s="359" t="str">
        <f t="shared" si="6"/>
        <v/>
      </c>
    </row>
    <row r="22" spans="2:16" x14ac:dyDescent="0.2">
      <c r="B22" s="173">
        <f t="shared" si="7"/>
        <v>18</v>
      </c>
      <c r="C22" s="171" t="s">
        <v>2352</v>
      </c>
      <c r="D22" s="171" t="str">
        <f t="shared" si="0"/>
        <v>PT OBM Drilchem Tbk</v>
      </c>
      <c r="E22" s="381">
        <v>0.19</v>
      </c>
      <c r="F22" s="379">
        <v>0.17</v>
      </c>
      <c r="G22" s="379">
        <v>0.21</v>
      </c>
      <c r="H22" s="379">
        <v>0.25</v>
      </c>
      <c r="I22" s="365"/>
      <c r="J22" s="347">
        <f t="shared" si="1"/>
        <v>1</v>
      </c>
      <c r="K22" s="347">
        <f t="shared" si="2"/>
        <v>0</v>
      </c>
      <c r="L22" s="347">
        <f t="shared" si="3"/>
        <v>0</v>
      </c>
      <c r="M22" s="347">
        <f t="shared" si="4"/>
        <v>0</v>
      </c>
      <c r="N22" s="355"/>
      <c r="O22" s="355">
        <f t="shared" si="5"/>
        <v>1</v>
      </c>
      <c r="P22" s="359" t="str">
        <f t="shared" si="6"/>
        <v/>
      </c>
    </row>
    <row r="23" spans="2:16" x14ac:dyDescent="0.2">
      <c r="B23" s="173">
        <f t="shared" si="7"/>
        <v>19</v>
      </c>
      <c r="C23" s="171" t="s">
        <v>2391</v>
      </c>
      <c r="D23" s="171" t="str">
        <f t="shared" si="0"/>
        <v>PT Panca Budi Idaman Tbk</v>
      </c>
      <c r="E23" s="381">
        <v>0.17</v>
      </c>
      <c r="F23" s="379">
        <v>0.11</v>
      </c>
      <c r="G23" s="379">
        <v>0.13</v>
      </c>
      <c r="H23" s="379">
        <v>9.6799999999999997E-2</v>
      </c>
      <c r="I23" s="365"/>
      <c r="J23" s="347">
        <f t="shared" si="1"/>
        <v>1</v>
      </c>
      <c r="K23" s="347">
        <f t="shared" si="2"/>
        <v>0</v>
      </c>
      <c r="L23" s="347">
        <f t="shared" si="3"/>
        <v>1</v>
      </c>
      <c r="M23" s="347">
        <f t="shared" si="4"/>
        <v>1</v>
      </c>
      <c r="N23" s="355"/>
      <c r="O23" s="355">
        <f t="shared" si="5"/>
        <v>3</v>
      </c>
      <c r="P23" s="359" t="str">
        <f t="shared" si="6"/>
        <v/>
      </c>
    </row>
    <row r="24" spans="2:16" x14ac:dyDescent="0.2">
      <c r="B24" s="173">
        <f t="shared" si="7"/>
        <v>20</v>
      </c>
      <c r="C24" s="171" t="s">
        <v>2403</v>
      </c>
      <c r="D24" s="171" t="str">
        <f t="shared" si="0"/>
        <v>PT Primadaya Plastisindo Tbk</v>
      </c>
      <c r="E24" s="381">
        <v>0.34</v>
      </c>
      <c r="F24" s="182">
        <v>0.05</v>
      </c>
      <c r="G24" s="379">
        <v>6.88E-2</v>
      </c>
      <c r="H24" s="379">
        <v>0.12</v>
      </c>
      <c r="I24" s="365"/>
      <c r="J24" s="347">
        <f t="shared" si="1"/>
        <v>1</v>
      </c>
      <c r="K24" s="347">
        <f t="shared" si="2"/>
        <v>1</v>
      </c>
      <c r="L24" s="347">
        <f t="shared" si="3"/>
        <v>1</v>
      </c>
      <c r="M24" s="347">
        <f t="shared" si="4"/>
        <v>1</v>
      </c>
      <c r="N24" s="355"/>
      <c r="O24" s="355">
        <f t="shared" si="5"/>
        <v>4</v>
      </c>
      <c r="P24" s="359" t="str">
        <f t="shared" si="6"/>
        <v>PDPP</v>
      </c>
    </row>
    <row r="25" spans="2:16" x14ac:dyDescent="0.2">
      <c r="B25" s="173"/>
      <c r="C25" s="171"/>
      <c r="D25" s="171"/>
      <c r="E25" s="381"/>
      <c r="F25" s="182"/>
      <c r="G25" s="182"/>
      <c r="H25" s="182"/>
      <c r="I25" s="365"/>
      <c r="J25" s="347">
        <f t="shared" si="1"/>
        <v>0</v>
      </c>
      <c r="K25" s="347">
        <f t="shared" si="2"/>
        <v>1</v>
      </c>
      <c r="L25" s="347">
        <f t="shared" si="3"/>
        <v>1</v>
      </c>
      <c r="M25" s="347">
        <f t="shared" si="4"/>
        <v>1</v>
      </c>
      <c r="N25" s="355"/>
      <c r="O25" s="355">
        <f t="shared" si="5"/>
        <v>3</v>
      </c>
      <c r="P25" s="359" t="str">
        <f t="shared" si="6"/>
        <v/>
      </c>
    </row>
    <row r="26" spans="2:16" x14ac:dyDescent="0.2">
      <c r="B26" s="173"/>
      <c r="C26" s="171"/>
      <c r="D26" s="171"/>
      <c r="E26" s="381"/>
      <c r="F26" s="182"/>
      <c r="G26" s="182"/>
      <c r="H26" s="182"/>
      <c r="I26" s="365"/>
      <c r="J26" s="347">
        <f t="shared" si="1"/>
        <v>0</v>
      </c>
      <c r="K26" s="347">
        <f t="shared" si="2"/>
        <v>1</v>
      </c>
      <c r="L26" s="347">
        <f t="shared" si="3"/>
        <v>1</v>
      </c>
      <c r="M26" s="347">
        <f t="shared" si="4"/>
        <v>1</v>
      </c>
      <c r="N26" s="355"/>
      <c r="O26" s="355">
        <f t="shared" si="5"/>
        <v>3</v>
      </c>
      <c r="P26" s="359" t="str">
        <f t="shared" si="6"/>
        <v/>
      </c>
    </row>
    <row r="27" spans="2:16" x14ac:dyDescent="0.2">
      <c r="B27" s="173"/>
      <c r="C27" s="171"/>
      <c r="D27" s="171"/>
      <c r="E27" s="381"/>
      <c r="F27" s="182"/>
      <c r="G27" s="182"/>
      <c r="H27" s="182"/>
      <c r="I27" s="365"/>
      <c r="J27" s="347">
        <f t="shared" si="1"/>
        <v>0</v>
      </c>
      <c r="K27" s="347">
        <f t="shared" si="2"/>
        <v>1</v>
      </c>
      <c r="L27" s="347">
        <f t="shared" si="3"/>
        <v>1</v>
      </c>
      <c r="M27" s="347">
        <f t="shared" si="4"/>
        <v>1</v>
      </c>
      <c r="N27" s="355"/>
      <c r="O27" s="355">
        <f t="shared" si="5"/>
        <v>3</v>
      </c>
      <c r="P27" s="359" t="str">
        <f t="shared" si="6"/>
        <v/>
      </c>
    </row>
    <row r="28" spans="2:16" x14ac:dyDescent="0.2">
      <c r="B28" s="173"/>
      <c r="C28" s="171"/>
      <c r="D28" s="171"/>
      <c r="E28" s="381"/>
      <c r="F28" s="182"/>
      <c r="G28" s="182"/>
      <c r="H28" s="182"/>
      <c r="I28" s="365"/>
      <c r="J28" s="347">
        <f t="shared" si="1"/>
        <v>0</v>
      </c>
      <c r="K28" s="347">
        <f t="shared" si="2"/>
        <v>1</v>
      </c>
      <c r="L28" s="347">
        <f t="shared" si="3"/>
        <v>1</v>
      </c>
      <c r="M28" s="347">
        <f t="shared" si="4"/>
        <v>1</v>
      </c>
      <c r="N28" s="355"/>
      <c r="O28" s="355">
        <f t="shared" si="5"/>
        <v>3</v>
      </c>
      <c r="P28" s="360" t="str">
        <f t="shared" si="6"/>
        <v/>
      </c>
    </row>
    <row r="29" spans="2:16" x14ac:dyDescent="0.2">
      <c r="B29" s="173"/>
      <c r="C29" s="171"/>
      <c r="D29" s="171"/>
      <c r="E29" s="381"/>
      <c r="F29" s="182"/>
      <c r="G29" s="182"/>
      <c r="H29" s="182"/>
      <c r="I29" s="365"/>
      <c r="J29" s="347">
        <f t="shared" si="1"/>
        <v>0</v>
      </c>
      <c r="K29" s="347">
        <f t="shared" si="2"/>
        <v>1</v>
      </c>
      <c r="L29" s="347">
        <f t="shared" si="3"/>
        <v>1</v>
      </c>
      <c r="M29" s="347">
        <f t="shared" si="4"/>
        <v>1</v>
      </c>
      <c r="N29" s="355"/>
      <c r="O29" s="355">
        <f t="shared" si="5"/>
        <v>3</v>
      </c>
      <c r="P29" s="360" t="str">
        <f t="shared" si="6"/>
        <v/>
      </c>
    </row>
    <row r="30" spans="2:16" x14ac:dyDescent="0.2">
      <c r="B30" s="173"/>
      <c r="C30" s="171"/>
      <c r="D30" s="171"/>
      <c r="E30" s="341"/>
      <c r="F30" s="341"/>
      <c r="G30" s="341"/>
      <c r="H30" s="341"/>
      <c r="I30" s="366"/>
      <c r="J30" s="348"/>
      <c r="K30" s="348"/>
      <c r="L30" s="348"/>
      <c r="M30" s="348"/>
      <c r="N30" s="356"/>
      <c r="O30" s="356"/>
      <c r="P30" s="361"/>
    </row>
    <row r="31" spans="2:16" x14ac:dyDescent="0.2">
      <c r="B31" s="343"/>
      <c r="C31" s="344"/>
      <c r="D31" s="344" t="s">
        <v>3627</v>
      </c>
      <c r="E31" s="345">
        <f>AVERAGE(E5:E29)</f>
        <v>0.76150000000000007</v>
      </c>
      <c r="F31" s="345">
        <f>AVERAGE(F5:F29)</f>
        <v>6.4795000000000005E-2</v>
      </c>
      <c r="G31" s="345">
        <f>AVERAGE(G5:G29)</f>
        <v>0.10116000000000003</v>
      </c>
      <c r="H31" s="345">
        <f>AVERAGE(H5:H29)</f>
        <v>0.11632000000000001</v>
      </c>
      <c r="I31" s="367"/>
      <c r="J31" s="362"/>
      <c r="K31" s="362"/>
      <c r="L31" s="362"/>
      <c r="M31" s="362"/>
      <c r="N31" s="351"/>
      <c r="O31" s="362"/>
      <c r="P31" s="357"/>
    </row>
    <row r="32" spans="2:16" ht="16" customHeight="1" thickBot="1" x14ac:dyDescent="0.25">
      <c r="B32" s="177"/>
      <c r="C32" s="216"/>
      <c r="D32" s="217" t="s">
        <v>3628</v>
      </c>
      <c r="E32" s="342">
        <f>_xlfn.STDEV.S(E4:E29)</f>
        <v>0.81684235098384905</v>
      </c>
      <c r="F32" s="342">
        <f>_xlfn.STDEV.S(F4:F29)</f>
        <v>4.3396730730591172E-2</v>
      </c>
      <c r="G32" s="342">
        <f>_xlfn.STDEV.S(G4:G29)</f>
        <v>6.5140271280615739E-2</v>
      </c>
      <c r="H32" s="342">
        <f>_xlfn.STDEV.S(H4:H29)</f>
        <v>9.1967470877000648E-2</v>
      </c>
      <c r="I32" s="368"/>
      <c r="J32" s="363"/>
      <c r="K32" s="363"/>
      <c r="L32" s="363"/>
      <c r="M32" s="363"/>
      <c r="N32" s="349"/>
      <c r="O32" s="363"/>
      <c r="P32" s="358"/>
    </row>
    <row r="33" spans="2:15" x14ac:dyDescent="0.2">
      <c r="C33" s="350"/>
      <c r="D33" s="2" t="s">
        <v>3629</v>
      </c>
      <c r="E33" s="353">
        <f>E31-E32</f>
        <v>-5.5342350983848987E-2</v>
      </c>
      <c r="F33" s="353">
        <f>F31-F32</f>
        <v>2.1398269269408833E-2</v>
      </c>
      <c r="G33" s="353">
        <f>G31-G32</f>
        <v>3.6019728719384289E-2</v>
      </c>
      <c r="H33" s="353">
        <f>H31-H32</f>
        <v>2.4352529122999358E-2</v>
      </c>
      <c r="I33" s="351"/>
      <c r="J33" s="351"/>
      <c r="K33" s="351"/>
      <c r="L33" s="352"/>
      <c r="N33" s="150"/>
    </row>
    <row r="34" spans="2:15" x14ac:dyDescent="0.2">
      <c r="D34" s="2" t="s">
        <v>3630</v>
      </c>
      <c r="E34" s="72">
        <f>E31+E33</f>
        <v>0.70615764901615108</v>
      </c>
      <c r="F34" s="72">
        <f>F31+F33</f>
        <v>8.6193269269408845E-2</v>
      </c>
      <c r="G34" s="72">
        <f>G31+G33</f>
        <v>0.13717972871938433</v>
      </c>
      <c r="H34" s="72">
        <f>H31+H33</f>
        <v>0.14067252912299938</v>
      </c>
    </row>
    <row r="35" spans="2:15" x14ac:dyDescent="0.2">
      <c r="D35" s="2" t="s">
        <v>3631</v>
      </c>
      <c r="E35" s="12">
        <f>MAX(O5:O29)</f>
        <v>4</v>
      </c>
      <c r="F35" s="72"/>
      <c r="G35" s="72"/>
      <c r="H35" s="72"/>
    </row>
    <row r="36" spans="2:15" x14ac:dyDescent="0.2">
      <c r="D36" s="2" t="s">
        <v>3632</v>
      </c>
      <c r="E36" s="10"/>
      <c r="F36" s="10"/>
      <c r="G36" s="10"/>
    </row>
    <row r="37" spans="2:15" ht="16" customHeight="1" thickBot="1" x14ac:dyDescent="0.25">
      <c r="B37" s="2" t="s">
        <v>3500</v>
      </c>
    </row>
    <row r="38" spans="2:15" ht="18" customHeight="1" x14ac:dyDescent="0.2">
      <c r="B38" s="757" t="s">
        <v>3613</v>
      </c>
      <c r="C38" s="731" t="s">
        <v>3500</v>
      </c>
      <c r="D38" s="731" t="s">
        <v>3633</v>
      </c>
      <c r="E38" s="691"/>
      <c r="F38" s="691"/>
      <c r="G38" s="691"/>
      <c r="H38" s="732"/>
      <c r="I38" s="731" t="s">
        <v>3634</v>
      </c>
      <c r="J38" s="732"/>
      <c r="K38" s="731" t="s">
        <v>3502</v>
      </c>
      <c r="L38" s="749" t="s">
        <v>3501</v>
      </c>
      <c r="M38" s="711"/>
      <c r="N38" s="712"/>
      <c r="O38" s="753" t="s">
        <v>3635</v>
      </c>
    </row>
    <row r="39" spans="2:15" ht="18" customHeight="1" x14ac:dyDescent="0.2">
      <c r="B39" s="716"/>
      <c r="C39" s="748"/>
      <c r="D39" s="733"/>
      <c r="E39" s="734"/>
      <c r="F39" s="734"/>
      <c r="G39" s="734"/>
      <c r="H39" s="735"/>
      <c r="I39" s="733"/>
      <c r="J39" s="735"/>
      <c r="K39" s="748"/>
      <c r="L39" s="275" t="s">
        <v>1342</v>
      </c>
      <c r="M39" s="275" t="s">
        <v>1357</v>
      </c>
      <c r="N39" s="275" t="s">
        <v>1407</v>
      </c>
      <c r="O39" s="746"/>
    </row>
    <row r="40" spans="2:15" ht="59.25" customHeight="1" x14ac:dyDescent="0.2">
      <c r="B40" s="210">
        <v>1</v>
      </c>
      <c r="C40" s="211" t="s">
        <v>3506</v>
      </c>
      <c r="D40" s="730" t="s">
        <v>3636</v>
      </c>
      <c r="E40" s="707"/>
      <c r="F40" s="707"/>
      <c r="G40" s="707"/>
      <c r="H40" s="708"/>
      <c r="I40" s="742" t="s">
        <v>3637</v>
      </c>
      <c r="J40" s="708"/>
      <c r="K40" s="212">
        <f>'INCOME STATEMENT'!E6</f>
        <v>16663916100</v>
      </c>
      <c r="L40" s="292">
        <f>'PASAR PEMBANDING'!D22/'PASAR PEMBANDING'!D5</f>
        <v>1.7049226209931485</v>
      </c>
      <c r="M40" s="292">
        <f>'PASAR PEMBANDING'!E22/'PASAR PEMBANDING'!E5</f>
        <v>0.37422902026518473</v>
      </c>
      <c r="N40" s="292">
        <f>'PASAR PEMBANDING'!F22/'PASAR PEMBANDING'!F5</f>
        <v>0.35850278235329225</v>
      </c>
      <c r="O40" s="750"/>
    </row>
    <row r="41" spans="2:15" ht="59.25" customHeight="1" thickBot="1" x14ac:dyDescent="0.25">
      <c r="B41" s="213">
        <v>2</v>
      </c>
      <c r="C41" s="214" t="s">
        <v>3507</v>
      </c>
      <c r="D41" s="743" t="s">
        <v>3638</v>
      </c>
      <c r="E41" s="744"/>
      <c r="F41" s="744"/>
      <c r="G41" s="744"/>
      <c r="H41" s="739"/>
      <c r="I41" s="738" t="s">
        <v>3637</v>
      </c>
      <c r="J41" s="739"/>
      <c r="K41" s="304">
        <f>'BALANCE SHEET'!E48</f>
        <v>13816821754</v>
      </c>
      <c r="L41" s="305">
        <f>'PASAR PEMBANDING'!D22/'PASAR PEMBANDING'!D16</f>
        <v>1.8347107967525971</v>
      </c>
      <c r="M41" s="305">
        <f>'PASAR PEMBANDING'!E22/'PASAR PEMBANDING'!E16</f>
        <v>0.54297061948773617</v>
      </c>
      <c r="N41" s="305">
        <f>'PASAR PEMBANDING'!F22/'PASAR PEMBANDING'!F16</f>
        <v>0.72881454617432417</v>
      </c>
      <c r="O41" s="746"/>
    </row>
    <row r="42" spans="2:15" ht="59.25" customHeight="1" x14ac:dyDescent="0.2">
      <c r="B42" s="300">
        <f>+B41+1</f>
        <v>3</v>
      </c>
      <c r="C42" s="301" t="s">
        <v>3639</v>
      </c>
      <c r="D42" s="740" t="s">
        <v>3640</v>
      </c>
      <c r="E42" s="741"/>
      <c r="F42" s="741"/>
      <c r="G42" s="741"/>
      <c r="H42" s="737"/>
      <c r="I42" s="736" t="s">
        <v>3641</v>
      </c>
      <c r="J42" s="737"/>
      <c r="K42" s="302">
        <f>'INCOME STATEMENT'!E22</f>
        <v>2261432441</v>
      </c>
      <c r="L42" s="303">
        <f>('PASAR PEMBANDING'!D15+'PASAR PEMBANDING'!D16)/'PASAR PEMBANDING'!D8</f>
        <v>131.17687870685208</v>
      </c>
      <c r="M42" s="303">
        <f>('PASAR PEMBANDING'!E15+'PASAR PEMBANDING'!E16)/'PASAR PEMBANDING'!E8</f>
        <v>11.894599281411551</v>
      </c>
      <c r="N42" s="303">
        <f>('PASAR PEMBANDING'!F15+'PASAR PEMBANDING'!F16)/'PASAR PEMBANDING'!F8</f>
        <v>8.0342958423761068</v>
      </c>
      <c r="O42" s="755" t="s">
        <v>3642</v>
      </c>
    </row>
    <row r="43" spans="2:15" ht="59.25" customHeight="1" x14ac:dyDescent="0.2">
      <c r="B43" s="210">
        <f>+B42+1</f>
        <v>4</v>
      </c>
      <c r="C43" s="211" t="s">
        <v>3643</v>
      </c>
      <c r="D43" s="730" t="s">
        <v>3644</v>
      </c>
      <c r="E43" s="707"/>
      <c r="F43" s="707"/>
      <c r="G43" s="707"/>
      <c r="H43" s="708"/>
      <c r="I43" s="742" t="s">
        <v>3641</v>
      </c>
      <c r="J43" s="708"/>
      <c r="K43" s="212">
        <f>'INCOME STATEMENT'!E18</f>
        <v>3243162782</v>
      </c>
      <c r="L43" s="293">
        <f>('PASAR PEMBANDING'!D15+'PASAR PEMBANDING'!D16)/'PASAR PEMBANDING'!D7</f>
        <v>131.17687870685208</v>
      </c>
      <c r="M43" s="293">
        <f>('PASAR PEMBANDING'!E15+'PASAR PEMBANDING'!E16)/'PASAR PEMBANDING'!E7</f>
        <v>13.207747229521795</v>
      </c>
      <c r="N43" s="293">
        <f>('PASAR PEMBANDING'!F15+'PASAR PEMBANDING'!F16)/'PASAR PEMBANDING'!F7</f>
        <v>7.8217264092061214</v>
      </c>
      <c r="O43" s="756"/>
    </row>
    <row r="44" spans="2:15" ht="59.25" customHeight="1" thickBot="1" x14ac:dyDescent="0.25">
      <c r="B44" s="213">
        <f>+B43+1</f>
        <v>5</v>
      </c>
      <c r="C44" s="214" t="s">
        <v>3645</v>
      </c>
      <c r="D44" s="743" t="s">
        <v>3646</v>
      </c>
      <c r="E44" s="744"/>
      <c r="F44" s="744"/>
      <c r="G44" s="744"/>
      <c r="H44" s="739"/>
      <c r="I44" s="738" t="s">
        <v>3641</v>
      </c>
      <c r="J44" s="739"/>
      <c r="K44" s="232">
        <f>K40</f>
        <v>16663916100</v>
      </c>
      <c r="L44" s="294">
        <f>('PASAR PEMBANDING'!D15+'PASAR PEMBANDING'!D16)/'PASAR PEMBANDING'!D5</f>
        <v>1.2399655579249285</v>
      </c>
      <c r="M44" s="294">
        <f>('PASAR PEMBANDING'!E15+'PASAR PEMBANDING'!E16)/'PASAR PEMBANDING'!E5</f>
        <v>0.96303567465680073</v>
      </c>
      <c r="N44" s="294">
        <f>('PASAR PEMBANDING'!F15+'PASAR PEMBANDING'!F16)/'PASAR PEMBANDING'!F5</f>
        <v>0.8218713409123094</v>
      </c>
      <c r="O44" s="746"/>
    </row>
    <row r="45" spans="2:15" x14ac:dyDescent="0.2">
      <c r="B45" s="167"/>
      <c r="C45" s="167"/>
      <c r="D45" s="729"/>
      <c r="E45" s="651"/>
      <c r="F45" s="651"/>
      <c r="G45" s="651"/>
      <c r="H45" s="651"/>
      <c r="I45" s="168"/>
    </row>
    <row r="46" spans="2:15" x14ac:dyDescent="0.2">
      <c r="B46" s="167"/>
      <c r="C46" s="167"/>
      <c r="D46" s="729"/>
      <c r="E46" s="651"/>
      <c r="F46" s="651"/>
      <c r="G46" s="651"/>
      <c r="H46" s="651"/>
      <c r="I46" s="168"/>
    </row>
    <row r="47" spans="2:15" x14ac:dyDescent="0.2">
      <c r="B47" s="167"/>
      <c r="C47" s="167"/>
      <c r="D47" s="729"/>
      <c r="E47" s="651"/>
      <c r="F47" s="651"/>
      <c r="G47" s="651"/>
      <c r="H47" s="651"/>
      <c r="I47" s="168"/>
    </row>
    <row r="48" spans="2:15" x14ac:dyDescent="0.2">
      <c r="B48" s="167"/>
      <c r="C48" s="167"/>
      <c r="D48" s="729"/>
      <c r="E48" s="651"/>
      <c r="F48" s="651"/>
      <c r="G48" s="651"/>
      <c r="H48" s="651"/>
      <c r="I48" s="168"/>
    </row>
    <row r="49" spans="2:9" x14ac:dyDescent="0.2">
      <c r="B49" s="167"/>
      <c r="C49" s="167"/>
      <c r="D49" s="729"/>
      <c r="E49" s="651"/>
      <c r="F49" s="651"/>
      <c r="G49" s="651"/>
      <c r="H49" s="651"/>
      <c r="I49" s="168"/>
    </row>
    <row r="50" spans="2:9" x14ac:dyDescent="0.2">
      <c r="B50" s="167"/>
      <c r="C50" s="167"/>
      <c r="D50" s="729"/>
      <c r="E50" s="651"/>
      <c r="F50" s="651"/>
      <c r="G50" s="651"/>
      <c r="H50" s="651"/>
      <c r="I50" s="168"/>
    </row>
    <row r="51" spans="2:9" x14ac:dyDescent="0.2">
      <c r="B51" s="167"/>
      <c r="C51" s="167"/>
      <c r="D51" s="729"/>
      <c r="E51" s="651"/>
      <c r="F51" s="651"/>
      <c r="G51" s="651"/>
      <c r="H51" s="651"/>
      <c r="I51" s="168"/>
    </row>
    <row r="52" spans="2:9" x14ac:dyDescent="0.2">
      <c r="B52" s="167"/>
      <c r="C52" s="167"/>
      <c r="D52" s="729"/>
      <c r="E52" s="651"/>
      <c r="F52" s="651"/>
      <c r="G52" s="651"/>
      <c r="H52" s="651"/>
      <c r="I52" s="168"/>
    </row>
    <row r="53" spans="2:9" x14ac:dyDescent="0.2">
      <c r="B53" s="167"/>
      <c r="C53" s="167"/>
      <c r="D53" s="729"/>
      <c r="E53" s="651"/>
      <c r="F53" s="651"/>
      <c r="G53" s="651"/>
      <c r="H53" s="651"/>
      <c r="I53" s="168"/>
    </row>
  </sheetData>
  <mergeCells count="38">
    <mergeCell ref="B2:B3"/>
    <mergeCell ref="N2:N3"/>
    <mergeCell ref="D46:H46"/>
    <mergeCell ref="D2:D3"/>
    <mergeCell ref="O42:O44"/>
    <mergeCell ref="B38:B39"/>
    <mergeCell ref="F2:F3"/>
    <mergeCell ref="D40:H40"/>
    <mergeCell ref="C2:C3"/>
    <mergeCell ref="C38:C39"/>
    <mergeCell ref="G2:G3"/>
    <mergeCell ref="P2:P3"/>
    <mergeCell ref="H2:H3"/>
    <mergeCell ref="D45:H45"/>
    <mergeCell ref="D52:H52"/>
    <mergeCell ref="L38:N38"/>
    <mergeCell ref="I38:J39"/>
    <mergeCell ref="I41:J41"/>
    <mergeCell ref="D49:H49"/>
    <mergeCell ref="D41:H41"/>
    <mergeCell ref="O40:O41"/>
    <mergeCell ref="E2:E3"/>
    <mergeCell ref="D48:H48"/>
    <mergeCell ref="I43:J43"/>
    <mergeCell ref="O2:O3"/>
    <mergeCell ref="K38:K39"/>
    <mergeCell ref="O38:O39"/>
    <mergeCell ref="D53:H53"/>
    <mergeCell ref="D47:H47"/>
    <mergeCell ref="D43:H43"/>
    <mergeCell ref="D38:H39"/>
    <mergeCell ref="I42:J42"/>
    <mergeCell ref="I44:J44"/>
    <mergeCell ref="D42:H42"/>
    <mergeCell ref="D51:H51"/>
    <mergeCell ref="I40:J40"/>
    <mergeCell ref="D50:H50"/>
    <mergeCell ref="D44:H44"/>
  </mergeCells>
  <conditionalFormatting sqref="N5:O6 N7:N24 N25:O29">
    <cfRule type="colorScale" priority="2">
      <colorScale>
        <cfvo type="min"/>
        <cfvo type="percentile" val="50"/>
        <cfvo type="max"/>
        <color rgb="FFF8696B"/>
        <color rgb="FFFFEB84"/>
        <color rgb="FF63BE7B"/>
      </colorScale>
    </cfRule>
  </conditionalFormatting>
  <conditionalFormatting sqref="O7:O24">
    <cfRule type="colorScale" priority="1">
      <colorScale>
        <cfvo type="min"/>
        <cfvo type="percentile" val="50"/>
        <cfvo type="max"/>
        <color rgb="FFF8696B"/>
        <color rgb="FFFFEB84"/>
        <color rgb="FF63BE7B"/>
      </colorScale>
    </cfRule>
  </conditionalFormatting>
  <pageMargins left="0.7" right="0.7" top="0.75" bottom="0.75" header="0.3" footer="0.3"/>
  <pageSetup paperSize="9" scale="6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8">
    <tabColor theme="8" tint="0.39997558519241921"/>
    <pageSetUpPr fitToPage="1"/>
  </sheetPr>
  <dimension ref="B2:O45"/>
  <sheetViews>
    <sheetView showGridLines="0" workbookViewId="0">
      <selection activeCell="G42" sqref="G42"/>
    </sheetView>
  </sheetViews>
  <sheetFormatPr baseColWidth="10" defaultColWidth="8.83203125" defaultRowHeight="15" x14ac:dyDescent="0.2"/>
  <cols>
    <col min="3" max="3" width="32.83203125" customWidth="1"/>
    <col min="4" max="4" width="21" customWidth="1"/>
    <col min="5" max="5" width="20.5" bestFit="1" customWidth="1"/>
    <col min="6" max="7" width="20.6640625" customWidth="1"/>
    <col min="8" max="8" width="24" customWidth="1"/>
    <col min="9" max="9" width="16.83203125" customWidth="1"/>
    <col min="10" max="10" width="25.83203125" customWidth="1"/>
    <col min="11" max="11" width="17" bestFit="1" customWidth="1"/>
    <col min="12" max="15" width="11.33203125" customWidth="1"/>
  </cols>
  <sheetData>
    <row r="2" spans="2:14" ht="16" customHeight="1" thickBot="1" x14ac:dyDescent="0.25">
      <c r="B2" s="2" t="s">
        <v>3478</v>
      </c>
      <c r="C2" s="101"/>
    </row>
    <row r="3" spans="2:14" x14ac:dyDescent="0.2">
      <c r="B3" s="715" t="s">
        <v>3647</v>
      </c>
      <c r="C3" s="715" t="s">
        <v>3479</v>
      </c>
      <c r="D3" s="717" t="s">
        <v>3648</v>
      </c>
      <c r="E3" s="711"/>
      <c r="F3" s="711"/>
      <c r="G3" s="712"/>
      <c r="H3" s="710" t="s">
        <v>3481</v>
      </c>
      <c r="I3" s="711"/>
      <c r="J3" s="711"/>
      <c r="K3" s="712"/>
      <c r="L3" s="710" t="s">
        <v>3482</v>
      </c>
      <c r="M3" s="711"/>
      <c r="N3" s="712"/>
    </row>
    <row r="4" spans="2:14" x14ac:dyDescent="0.2">
      <c r="B4" s="716"/>
      <c r="C4" s="716"/>
      <c r="D4" s="221" t="str">
        <f>'PASAR KESEBANDINGAN'!L39</f>
        <v>CHEM</v>
      </c>
      <c r="E4" s="221" t="str">
        <f>'PASAR KESEBANDINGAN'!M39</f>
        <v>CLPI</v>
      </c>
      <c r="F4" s="221" t="str">
        <f>'PASAR KESEBANDINGAN'!N39</f>
        <v>CTBN</v>
      </c>
      <c r="G4" s="222" t="s">
        <v>3483</v>
      </c>
      <c r="H4" s="223" t="str">
        <f>D4</f>
        <v>CHEM</v>
      </c>
      <c r="I4" s="221" t="str">
        <f>E4</f>
        <v>CLPI</v>
      </c>
      <c r="J4" s="221" t="str">
        <f>F4</f>
        <v>CTBN</v>
      </c>
      <c r="K4" s="222" t="s">
        <v>3483</v>
      </c>
      <c r="L4" s="223" t="str">
        <f>H4</f>
        <v>CHEM</v>
      </c>
      <c r="M4" s="221" t="str">
        <f>I4</f>
        <v>CLPI</v>
      </c>
      <c r="N4" s="222" t="str">
        <f>J4</f>
        <v>CTBN</v>
      </c>
    </row>
    <row r="5" spans="2:14" x14ac:dyDescent="0.2">
      <c r="B5" s="758" t="s">
        <v>3112</v>
      </c>
      <c r="C5" s="173" t="s">
        <v>3385</v>
      </c>
      <c r="D5" s="174">
        <v>119655832334</v>
      </c>
      <c r="E5" s="174">
        <v>806306849977</v>
      </c>
      <c r="F5" s="174">
        <v>3203693692307.6929</v>
      </c>
      <c r="G5" s="175">
        <f>'INCOME STATEMENT'!E6</f>
        <v>16663916100</v>
      </c>
      <c r="H5" s="180"/>
      <c r="I5" s="171"/>
      <c r="J5" s="171"/>
      <c r="K5" s="172"/>
      <c r="L5" s="173"/>
      <c r="M5" s="171"/>
      <c r="N5" s="172"/>
    </row>
    <row r="6" spans="2:14" x14ac:dyDescent="0.2">
      <c r="B6" s="759"/>
      <c r="C6" s="173" t="s">
        <v>3386</v>
      </c>
      <c r="D6" s="174">
        <v>-82688848989</v>
      </c>
      <c r="E6" s="174">
        <v>-698190914143</v>
      </c>
      <c r="F6" s="174">
        <v>-2544989169230.77</v>
      </c>
      <c r="G6" s="175">
        <f>'INCOME STATEMENT'!E7</f>
        <v>-10779658214</v>
      </c>
      <c r="H6" s="181">
        <f t="shared" ref="H6:K8" si="0">D6/D$5</f>
        <v>-0.69105573356581051</v>
      </c>
      <c r="I6" s="182">
        <f t="shared" si="0"/>
        <v>-0.86591216999200238</v>
      </c>
      <c r="J6" s="182">
        <f t="shared" si="0"/>
        <v>-0.79439216531264478</v>
      </c>
      <c r="K6" s="183">
        <f t="shared" si="0"/>
        <v>-0.6468862510655583</v>
      </c>
      <c r="L6" s="233"/>
      <c r="M6" s="234"/>
      <c r="N6" s="235">
        <v>1</v>
      </c>
    </row>
    <row r="7" spans="2:14" x14ac:dyDescent="0.2">
      <c r="B7" s="759"/>
      <c r="C7" s="173" t="s">
        <v>1</v>
      </c>
      <c r="D7" s="174">
        <v>1131061452</v>
      </c>
      <c r="E7" s="174">
        <v>58791423530</v>
      </c>
      <c r="F7" s="174">
        <v>336629523076.9231</v>
      </c>
      <c r="G7" s="175">
        <f>'INCOME STATEMENT'!E18</f>
        <v>3243162782</v>
      </c>
      <c r="H7" s="181">
        <f t="shared" si="0"/>
        <v>9.4526228261303975E-3</v>
      </c>
      <c r="I7" s="182">
        <f t="shared" si="0"/>
        <v>7.2914453761216386E-2</v>
      </c>
      <c r="J7" s="182">
        <f t="shared" si="0"/>
        <v>0.10507543960435282</v>
      </c>
      <c r="K7" s="183">
        <f t="shared" si="0"/>
        <v>0.1946218861483586</v>
      </c>
      <c r="L7" s="233"/>
      <c r="M7" s="234"/>
      <c r="N7" s="235">
        <v>1</v>
      </c>
    </row>
    <row r="8" spans="2:14" x14ac:dyDescent="0.2">
      <c r="B8" s="759"/>
      <c r="C8" s="173" t="s">
        <v>3124</v>
      </c>
      <c r="D8" s="174">
        <v>1131061452</v>
      </c>
      <c r="E8" s="174">
        <v>65281918531</v>
      </c>
      <c r="F8" s="174">
        <v>327723061538.46161</v>
      </c>
      <c r="G8" s="175">
        <f>'INCOME STATEMENT'!E22</f>
        <v>2261432441</v>
      </c>
      <c r="H8" s="181">
        <f t="shared" si="0"/>
        <v>9.4526228261303975E-3</v>
      </c>
      <c r="I8" s="182">
        <f t="shared" si="0"/>
        <v>8.0964112524731957E-2</v>
      </c>
      <c r="J8" s="182">
        <f t="shared" si="0"/>
        <v>0.10229537933833971</v>
      </c>
      <c r="K8" s="183">
        <f t="shared" si="0"/>
        <v>0.13570834295067052</v>
      </c>
      <c r="L8" s="233"/>
      <c r="M8" s="234"/>
      <c r="N8" s="235">
        <v>1</v>
      </c>
    </row>
    <row r="9" spans="2:14" x14ac:dyDescent="0.2">
      <c r="B9" s="760"/>
      <c r="C9" s="173"/>
      <c r="D9" s="174"/>
      <c r="E9" s="174"/>
      <c r="F9" s="174"/>
      <c r="G9" s="175"/>
      <c r="H9" s="180"/>
      <c r="I9" s="171"/>
      <c r="J9" s="171"/>
      <c r="K9" s="183"/>
      <c r="L9" s="233"/>
      <c r="M9" s="234"/>
      <c r="N9" s="235"/>
    </row>
    <row r="10" spans="2:14" x14ac:dyDescent="0.2">
      <c r="B10" s="770" t="s">
        <v>3076</v>
      </c>
      <c r="C10" s="173" t="s">
        <v>3487</v>
      </c>
      <c r="D10" s="174">
        <v>116692606752</v>
      </c>
      <c r="E10" s="174">
        <v>657741165545</v>
      </c>
      <c r="F10" s="174">
        <v>1970205584615.385</v>
      </c>
      <c r="G10" s="175">
        <f>'BALANCE SHEET'!E15</f>
        <v>1266935637</v>
      </c>
      <c r="H10" s="181">
        <f t="shared" ref="H10:K11" si="1">D10/D$12</f>
        <v>0.78650202892593124</v>
      </c>
      <c r="I10" s="182">
        <f t="shared" si="1"/>
        <v>0.84705634274377217</v>
      </c>
      <c r="J10" s="182">
        <f t="shared" si="1"/>
        <v>0.7482672249063349</v>
      </c>
      <c r="K10" s="183">
        <f t="shared" si="1"/>
        <v>7.3325277834269648E-2</v>
      </c>
      <c r="L10" s="233"/>
      <c r="M10" s="234"/>
      <c r="N10" s="235">
        <v>1</v>
      </c>
    </row>
    <row r="11" spans="2:14" x14ac:dyDescent="0.2">
      <c r="B11" s="759"/>
      <c r="C11" s="173" t="s">
        <v>3488</v>
      </c>
      <c r="D11" s="174">
        <v>31676504147</v>
      </c>
      <c r="E11" s="174">
        <v>118761095703</v>
      </c>
      <c r="F11" s="174">
        <v>662818446153.84619</v>
      </c>
      <c r="G11" s="175">
        <f>'BALANCE SHEET'!E24</f>
        <v>16011357394</v>
      </c>
      <c r="H11" s="181">
        <f t="shared" si="1"/>
        <v>0.21349797107406876</v>
      </c>
      <c r="I11" s="182">
        <f t="shared" si="1"/>
        <v>0.15294365725622783</v>
      </c>
      <c r="J11" s="182">
        <f t="shared" si="1"/>
        <v>0.25173277509366498</v>
      </c>
      <c r="K11" s="183">
        <f t="shared" si="1"/>
        <v>0.92667472216573032</v>
      </c>
      <c r="L11" s="233"/>
      <c r="M11" s="234"/>
      <c r="N11" s="235">
        <v>1</v>
      </c>
    </row>
    <row r="12" spans="2:14" x14ac:dyDescent="0.2">
      <c r="B12" s="759"/>
      <c r="C12" s="173" t="s">
        <v>3489</v>
      </c>
      <c r="D12" s="174">
        <f>+D10+D11</f>
        <v>148369110899</v>
      </c>
      <c r="E12" s="174">
        <f>+E10+E11</f>
        <v>776502261248</v>
      </c>
      <c r="F12" s="174">
        <f>+F10+F11</f>
        <v>2633024030769.2314</v>
      </c>
      <c r="G12" s="174">
        <f>+G10+G11</f>
        <v>17278293031</v>
      </c>
      <c r="H12" s="181"/>
      <c r="I12" s="171"/>
      <c r="J12" s="171"/>
      <c r="K12" s="183"/>
      <c r="L12" s="233"/>
      <c r="M12" s="234"/>
      <c r="N12" s="235"/>
    </row>
    <row r="13" spans="2:14" x14ac:dyDescent="0.2">
      <c r="B13" s="759"/>
      <c r="C13" s="173" t="s">
        <v>3649</v>
      </c>
      <c r="D13" s="174">
        <v>31350314230</v>
      </c>
      <c r="E13" s="174">
        <v>207256474579</v>
      </c>
      <c r="F13" s="174">
        <v>941432292307.69238</v>
      </c>
      <c r="G13" s="175">
        <f>'BALANCE SHEET'!E34</f>
        <v>3577237782</v>
      </c>
      <c r="H13" s="181">
        <f t="shared" ref="H13:K14" si="2">D13/D$15</f>
        <v>0.84325406783822066</v>
      </c>
      <c r="I13" s="182">
        <f t="shared" si="2"/>
        <v>0.93876666463889769</v>
      </c>
      <c r="J13" s="182">
        <f t="shared" si="2"/>
        <v>0.89055328427538938</v>
      </c>
      <c r="K13" s="183">
        <f t="shared" si="2"/>
        <v>1</v>
      </c>
      <c r="L13" s="233"/>
      <c r="M13" s="234"/>
      <c r="N13" s="235"/>
    </row>
    <row r="14" spans="2:14" x14ac:dyDescent="0.2">
      <c r="B14" s="759"/>
      <c r="C14" s="173" t="s">
        <v>3650</v>
      </c>
      <c r="D14" s="174">
        <v>5827465784</v>
      </c>
      <c r="E14" s="174">
        <v>13518806847</v>
      </c>
      <c r="F14" s="174">
        <v>115699615384.6154</v>
      </c>
      <c r="G14" s="175">
        <f>'BALANCE SHEET'!E39</f>
        <v>0</v>
      </c>
      <c r="H14" s="181">
        <f t="shared" si="2"/>
        <v>0.15674593216177934</v>
      </c>
      <c r="I14" s="182">
        <f t="shared" si="2"/>
        <v>6.1233335361102308E-2</v>
      </c>
      <c r="J14" s="182">
        <f t="shared" si="2"/>
        <v>0.1094467157246107</v>
      </c>
      <c r="K14" s="183">
        <f t="shared" si="2"/>
        <v>0</v>
      </c>
      <c r="L14" s="233"/>
      <c r="M14" s="234">
        <v>1</v>
      </c>
      <c r="N14" s="235"/>
    </row>
    <row r="15" spans="2:14" x14ac:dyDescent="0.2">
      <c r="B15" s="759"/>
      <c r="C15" s="173" t="s">
        <v>3492</v>
      </c>
      <c r="D15" s="174">
        <f>+D13+D14</f>
        <v>37177780014</v>
      </c>
      <c r="E15" s="174">
        <f>+E13+E14</f>
        <v>220775281426</v>
      </c>
      <c r="F15" s="174">
        <f>+F13+F14</f>
        <v>1057131907692.3077</v>
      </c>
      <c r="G15" s="174">
        <f>+G13+G14</f>
        <v>3577237782</v>
      </c>
      <c r="H15" s="180"/>
      <c r="I15" s="171"/>
      <c r="J15" s="171"/>
      <c r="K15" s="183"/>
      <c r="L15" s="233"/>
      <c r="M15" s="234"/>
      <c r="N15" s="235"/>
    </row>
    <row r="16" spans="2:14" ht="16" customHeight="1" thickBot="1" x14ac:dyDescent="0.25">
      <c r="B16" s="759"/>
      <c r="C16" s="173" t="s">
        <v>3380</v>
      </c>
      <c r="D16" s="174">
        <v>111191330885</v>
      </c>
      <c r="E16" s="174">
        <v>555726979822</v>
      </c>
      <c r="F16" s="174">
        <v>1575892123076.9231</v>
      </c>
      <c r="G16" s="175">
        <f>'BALANCE SHEET'!E48</f>
        <v>13816821754</v>
      </c>
      <c r="H16" s="181">
        <f>D16/D$12</f>
        <v>0.74942371906974492</v>
      </c>
      <c r="I16" s="182">
        <f>E16/E$12</f>
        <v>0.71567979586927621</v>
      </c>
      <c r="J16" s="182">
        <f>F16/F$12</f>
        <v>0.59851034577019413</v>
      </c>
      <c r="K16" s="183">
        <f>G16/G$12</f>
        <v>0.79966358535593929</v>
      </c>
      <c r="L16" s="233">
        <v>1</v>
      </c>
      <c r="M16" s="234"/>
      <c r="N16" s="235"/>
    </row>
    <row r="17" spans="2:15" x14ac:dyDescent="0.2">
      <c r="B17" s="759"/>
      <c r="C17" s="173" t="s">
        <v>3651</v>
      </c>
      <c r="D17" s="174">
        <v>120</v>
      </c>
      <c r="E17" s="174">
        <v>985</v>
      </c>
      <c r="F17" s="174">
        <v>1435</v>
      </c>
      <c r="G17" s="315"/>
      <c r="H17" s="767" t="s">
        <v>3652</v>
      </c>
      <c r="I17" s="702"/>
      <c r="J17" s="702"/>
      <c r="K17" s="768"/>
      <c r="L17" s="239">
        <f>SUM(L6:L16)</f>
        <v>1</v>
      </c>
      <c r="M17" s="240">
        <f>SUM(M6:M16)</f>
        <v>1</v>
      </c>
      <c r="N17" s="241">
        <f>SUM(N6:N16)</f>
        <v>5</v>
      </c>
    </row>
    <row r="18" spans="2:15" x14ac:dyDescent="0.2">
      <c r="B18" s="759"/>
      <c r="C18" s="173" t="s">
        <v>3653</v>
      </c>
      <c r="D18" s="381">
        <v>0.36</v>
      </c>
      <c r="E18" s="381">
        <v>172</v>
      </c>
      <c r="F18" s="381">
        <v>2.3E-2</v>
      </c>
      <c r="G18" s="175">
        <v>353277</v>
      </c>
      <c r="H18" s="388"/>
      <c r="I18" s="388"/>
      <c r="J18" s="388"/>
      <c r="K18" s="389"/>
      <c r="L18" s="390"/>
      <c r="M18" s="391"/>
      <c r="N18" s="392"/>
    </row>
    <row r="19" spans="2:15" ht="16" customHeight="1" thickBot="1" x14ac:dyDescent="0.25">
      <c r="B19" s="759"/>
      <c r="C19" s="173" t="s">
        <v>3494</v>
      </c>
      <c r="D19" s="174">
        <v>1700032794</v>
      </c>
      <c r="E19" s="174">
        <v>306338500</v>
      </c>
      <c r="F19" s="174">
        <v>800371500</v>
      </c>
      <c r="G19" s="316"/>
      <c r="H19" s="761" t="s">
        <v>3654</v>
      </c>
      <c r="I19" s="762"/>
      <c r="J19" s="762"/>
      <c r="K19" s="763"/>
      <c r="L19" s="242">
        <f>L17/SUM($L$17:$N$17)</f>
        <v>0.14285714285714285</v>
      </c>
      <c r="M19" s="243">
        <f>M17/SUM($L$17:$N$17)</f>
        <v>0.14285714285714285</v>
      </c>
      <c r="N19" s="244">
        <f>N17/SUM($L$17:$N$17)</f>
        <v>0.7142857142857143</v>
      </c>
    </row>
    <row r="20" spans="2:15" x14ac:dyDescent="0.2">
      <c r="B20" s="759"/>
      <c r="C20" s="173" t="s">
        <v>3495</v>
      </c>
      <c r="D20" s="176">
        <f>+D17*D19</f>
        <v>204003935280</v>
      </c>
      <c r="E20" s="176">
        <f>+E17*E19</f>
        <v>301743422500</v>
      </c>
      <c r="F20" s="176">
        <f>+F17*F19</f>
        <v>1148533102500</v>
      </c>
      <c r="G20" s="316"/>
      <c r="L20" s="101"/>
      <c r="M20" s="101"/>
      <c r="N20" s="101"/>
    </row>
    <row r="21" spans="2:15" x14ac:dyDescent="0.2">
      <c r="B21" s="759"/>
      <c r="C21" s="173" t="s">
        <v>3496</v>
      </c>
      <c r="D21" s="174">
        <v>1</v>
      </c>
      <c r="E21" s="174">
        <f>D21</f>
        <v>1</v>
      </c>
      <c r="F21" s="174">
        <v>1</v>
      </c>
      <c r="G21" s="316"/>
      <c r="L21" s="101"/>
      <c r="M21" s="101"/>
      <c r="N21" s="101"/>
    </row>
    <row r="22" spans="2:15" ht="16" customHeight="1" thickBot="1" x14ac:dyDescent="0.25">
      <c r="B22" s="720"/>
      <c r="C22" s="177" t="s">
        <v>3655</v>
      </c>
      <c r="D22" s="176">
        <f>D20/D21</f>
        <v>204003935280</v>
      </c>
      <c r="E22" s="176">
        <f>E20/E21</f>
        <v>301743422500</v>
      </c>
      <c r="F22" s="176">
        <f>F20/F21</f>
        <v>1148533102500</v>
      </c>
      <c r="G22" s="317"/>
      <c r="L22" s="101"/>
      <c r="M22" s="101"/>
      <c r="N22" s="101"/>
    </row>
    <row r="25" spans="2:15" ht="16" customHeight="1" thickBot="1" x14ac:dyDescent="0.25">
      <c r="B25" s="2" t="s">
        <v>3499</v>
      </c>
      <c r="C25" s="101"/>
      <c r="O25" s="4"/>
    </row>
    <row r="26" spans="2:15" x14ac:dyDescent="0.2">
      <c r="B26" s="219" t="s">
        <v>3306</v>
      </c>
      <c r="C26" s="276" t="s">
        <v>3500</v>
      </c>
      <c r="D26" s="713" t="s">
        <v>3501</v>
      </c>
      <c r="E26" s="718"/>
      <c r="F26" s="714"/>
      <c r="G26" s="713" t="s">
        <v>3502</v>
      </c>
      <c r="H26" s="714"/>
      <c r="I26" s="219" t="s">
        <v>3503</v>
      </c>
      <c r="J26" s="220" t="s">
        <v>3504</v>
      </c>
    </row>
    <row r="27" spans="2:15" x14ac:dyDescent="0.2">
      <c r="B27" s="309"/>
      <c r="C27" s="306" t="s">
        <v>3505</v>
      </c>
      <c r="D27" s="312">
        <f>L19</f>
        <v>0.14285714285714285</v>
      </c>
      <c r="E27" s="313">
        <f>M19</f>
        <v>0.14285714285714285</v>
      </c>
      <c r="F27" s="314">
        <f>N19</f>
        <v>0.7142857142857143</v>
      </c>
      <c r="G27" s="229"/>
      <c r="H27" s="230"/>
      <c r="I27" s="231"/>
      <c r="J27" s="230"/>
    </row>
    <row r="28" spans="2:15" x14ac:dyDescent="0.2">
      <c r="B28" s="310">
        <v>1</v>
      </c>
      <c r="C28" s="307" t="s">
        <v>3506</v>
      </c>
      <c r="D28" s="297">
        <f>IFERROR(VLOOKUP(C28,MULTIPLES,10,FALSE),"")</f>
        <v>1.7049226209931485</v>
      </c>
      <c r="E28" s="298">
        <f>IFERROR(VLOOKUP(C28,MULTIPLES,11,FALSE),"")</f>
        <v>0.37422902026518473</v>
      </c>
      <c r="F28" s="299">
        <f>IFERROR(VLOOKUP(C28,MULTIPLES,12,FALSE),"")</f>
        <v>0.35850278235329225</v>
      </c>
      <c r="G28" s="192">
        <f>IFERROR(VLOOKUP(C28,MULTIPLES,9,FALSE),0)</f>
        <v>16663916100</v>
      </c>
      <c r="H28" s="194">
        <f>($D$27*D28*G28)+($E$27*E28*G28)+($F$27*F28*G28)</f>
        <v>9216729991.8378963</v>
      </c>
      <c r="I28" s="195">
        <v>1</v>
      </c>
      <c r="J28" s="188">
        <f>H28*I28</f>
        <v>9216729991.8378963</v>
      </c>
    </row>
    <row r="29" spans="2:15" x14ac:dyDescent="0.2">
      <c r="B29" s="310" t="str">
        <f>IF(C29="","",2)</f>
        <v/>
      </c>
      <c r="C29" s="307"/>
      <c r="D29" s="297" t="str">
        <f>IFERROR(VLOOKUP(C29,MULTIPLES,10,FALSE),"")</f>
        <v/>
      </c>
      <c r="E29" s="298" t="str">
        <f>IFERROR(VLOOKUP(C29,MULTIPLES,11,FALSE),"")</f>
        <v/>
      </c>
      <c r="F29" s="299" t="str">
        <f>IFERROR(VLOOKUP(C29,MULTIPLES,12,FALSE),"")</f>
        <v/>
      </c>
      <c r="G29" s="192" t="str">
        <f>IFERROR(VLOOKUP(C29,MULTIPLES,9,FALSE),"")</f>
        <v/>
      </c>
      <c r="H29" s="194" t="str">
        <f>IFERROR(($D$27*D29*G29)+($E$27*E29*G29)+($F$27*F29*G29),"")</f>
        <v/>
      </c>
      <c r="I29" s="195">
        <f>1-I28</f>
        <v>0</v>
      </c>
      <c r="J29" s="188">
        <f>IFERROR(H29*I29,0)</f>
        <v>0</v>
      </c>
    </row>
    <row r="30" spans="2:15" ht="16" customHeight="1" thickBot="1" x14ac:dyDescent="0.25">
      <c r="B30" s="311"/>
      <c r="C30" s="308"/>
      <c r="D30" s="177"/>
      <c r="E30" s="184"/>
      <c r="F30" s="179"/>
      <c r="G30" s="318" t="str">
        <f>IF(LEFT(C28,1)="p","INDICATED VALUE OF EQUITY","ENTERPRISE VALUE")</f>
        <v>INDICATED VALUE OF EQUITY</v>
      </c>
      <c r="H30" s="191"/>
      <c r="I30" s="196"/>
      <c r="J30" s="296">
        <f>+J28+J29</f>
        <v>9216729991.8378963</v>
      </c>
    </row>
    <row r="31" spans="2:15" x14ac:dyDescent="0.2">
      <c r="G31" s="769">
        <f>IF(G30="ENTERPRISE VALUE","DEBT",0)</f>
        <v>0</v>
      </c>
      <c r="H31" s="691"/>
      <c r="I31" s="692"/>
      <c r="J31" s="319">
        <f>IF(G31="DEBT",('BALANCE SHEET'!E30+'BALANCE SHEET'!E37)*-1,0)</f>
        <v>0</v>
      </c>
    </row>
    <row r="32" spans="2:15" ht="16" customHeight="1" thickBot="1" x14ac:dyDescent="0.25">
      <c r="G32" s="764">
        <f>IF(G31="DEBT","INDICATED VALUE OF EQUITY",0)</f>
        <v>0</v>
      </c>
      <c r="H32" s="765"/>
      <c r="I32" s="766"/>
      <c r="J32" s="320">
        <f>IF(G31="DEBT",J30+J31,0)</f>
        <v>0</v>
      </c>
    </row>
    <row r="33" spans="3:11" x14ac:dyDescent="0.2">
      <c r="G33" s="185" t="s">
        <v>3509</v>
      </c>
      <c r="H33" s="186"/>
      <c r="I33" s="453">
        <v>0.7</v>
      </c>
      <c r="J33" s="206">
        <f>IF(G31="DEBT",J32*I33,J30*I33)</f>
        <v>6451710994.2865267</v>
      </c>
    </row>
    <row r="34" spans="3:11" x14ac:dyDescent="0.2">
      <c r="G34" s="170" t="s">
        <v>3510</v>
      </c>
      <c r="H34" s="169"/>
      <c r="I34" s="202"/>
      <c r="J34" s="207">
        <f>+J30+J33</f>
        <v>15668440986.124424</v>
      </c>
    </row>
    <row r="35" spans="3:11" x14ac:dyDescent="0.2">
      <c r="G35" s="170" t="s">
        <v>428</v>
      </c>
      <c r="H35" s="169"/>
      <c r="I35" s="203">
        <f>EEM!C35</f>
        <v>0</v>
      </c>
      <c r="J35" s="207">
        <f>J34*I35</f>
        <v>0</v>
      </c>
    </row>
    <row r="36" spans="3:11" x14ac:dyDescent="0.2">
      <c r="C36" s="295"/>
      <c r="G36" s="197" t="s">
        <v>3511</v>
      </c>
      <c r="H36" s="198"/>
      <c r="I36" s="204"/>
      <c r="J36" s="208">
        <f>+J34+J35</f>
        <v>15668440986.124424</v>
      </c>
    </row>
    <row r="37" spans="3:11" x14ac:dyDescent="0.2">
      <c r="G37" s="170" t="s">
        <v>3512</v>
      </c>
      <c r="H37" s="169"/>
      <c r="I37" s="203">
        <f>EEM!C39</f>
        <v>0.30303030303030304</v>
      </c>
      <c r="J37" s="207">
        <v>135000</v>
      </c>
    </row>
    <row r="38" spans="3:11" ht="16" customHeight="1" thickBot="1" x14ac:dyDescent="0.25">
      <c r="G38" s="199" t="str">
        <f>"MARKET VALUE OF "&amp;TEXT(I37,"0,0%")&amp;" EQUITY"</f>
        <v>MARKET VALUE OF 30% EQUITY</v>
      </c>
      <c r="H38" s="200"/>
      <c r="I38" s="205"/>
      <c r="J38" s="209">
        <f>J36*I37</f>
        <v>4748012420.0377045</v>
      </c>
    </row>
    <row r="39" spans="3:11" ht="16" customHeight="1" thickBot="1" x14ac:dyDescent="0.25">
      <c r="G39" s="393" t="s">
        <v>3611</v>
      </c>
      <c r="H39" s="394"/>
      <c r="I39" s="394"/>
      <c r="J39" s="395">
        <f>ROUNDUP(J38,-3)</f>
        <v>4748013000</v>
      </c>
    </row>
    <row r="41" spans="3:11" x14ac:dyDescent="0.2">
      <c r="G41" t="s">
        <v>3494</v>
      </c>
      <c r="J41" s="10">
        <f>DCF!C41</f>
        <v>5280000000</v>
      </c>
    </row>
    <row r="42" spans="3:11" x14ac:dyDescent="0.2">
      <c r="J42" s="385">
        <f>J38/J41</f>
        <v>0.89924477652229251</v>
      </c>
    </row>
    <row r="43" spans="3:11" x14ac:dyDescent="0.2">
      <c r="J43" s="10"/>
      <c r="K43" s="9"/>
    </row>
    <row r="44" spans="3:11" x14ac:dyDescent="0.2">
      <c r="I44" s="4"/>
      <c r="J44" s="10"/>
    </row>
    <row r="45" spans="3:11" x14ac:dyDescent="0.2">
      <c r="J45" s="10"/>
    </row>
  </sheetData>
  <mergeCells count="13">
    <mergeCell ref="L3:N3"/>
    <mergeCell ref="G26:H26"/>
    <mergeCell ref="B5:B9"/>
    <mergeCell ref="H19:K19"/>
    <mergeCell ref="G32:I32"/>
    <mergeCell ref="D3:G3"/>
    <mergeCell ref="H17:K17"/>
    <mergeCell ref="C3:C4"/>
    <mergeCell ref="B3:B4"/>
    <mergeCell ref="G31:I31"/>
    <mergeCell ref="H3:K3"/>
    <mergeCell ref="D26:F26"/>
    <mergeCell ref="B10:B22"/>
  </mergeCells>
  <conditionalFormatting sqref="G31:G32">
    <cfRule type="cellIs" dxfId="4" priority="1" operator="equal">
      <formula>0</formula>
    </cfRule>
  </conditionalFormatting>
  <conditionalFormatting sqref="J31:J32">
    <cfRule type="cellIs" dxfId="3" priority="2" operator="equal">
      <formula>0</formula>
    </cfRule>
  </conditionalFormatting>
  <dataValidations count="1">
    <dataValidation type="list" allowBlank="1" showInputMessage="1" showErrorMessage="1" sqref="C28:C29" xr:uid="{00000000-0002-0000-2400-000000000000}">
      <formula1>MULTIPLE</formula1>
    </dataValidation>
  </dataValidations>
  <pageMargins left="0.45" right="0.45" top="0.75" bottom="0.75" header="0.3" footer="0.3"/>
  <pageSetup paperSize="9" scale="61"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4">
    <tabColor rgb="FF002060"/>
  </sheetPr>
  <dimension ref="A1:E23"/>
  <sheetViews>
    <sheetView showGridLines="0" workbookViewId="0">
      <selection activeCell="B15" sqref="B15"/>
    </sheetView>
  </sheetViews>
  <sheetFormatPr baseColWidth="10" defaultColWidth="8.83203125" defaultRowHeight="15" x14ac:dyDescent="0.2"/>
  <cols>
    <col min="1" max="1" width="66.5" customWidth="1"/>
    <col min="2" max="3" width="17" bestFit="1" customWidth="1"/>
    <col min="4" max="4" width="19.6640625" customWidth="1"/>
    <col min="5" max="5" width="20.5" customWidth="1"/>
    <col min="6" max="8" width="12.33203125" customWidth="1"/>
    <col min="9" max="10" width="11.5" customWidth="1"/>
  </cols>
  <sheetData>
    <row r="1" spans="1:5" x14ac:dyDescent="0.2">
      <c r="A1" t="str">
        <f>HOME!B4</f>
        <v>Makmur Jaya Sejati Raya</v>
      </c>
    </row>
    <row r="2" spans="1:5" x14ac:dyDescent="0.2">
      <c r="A2" t="s">
        <v>3656</v>
      </c>
    </row>
    <row r="4" spans="1:5" x14ac:dyDescent="0.2">
      <c r="A4" s="5"/>
      <c r="B4" s="8">
        <f>ROIC!C5</f>
        <v>2020</v>
      </c>
      <c r="C4" s="8">
        <f>ROIC!D5</f>
        <v>2021</v>
      </c>
    </row>
    <row r="6" spans="1:5" x14ac:dyDescent="0.2">
      <c r="A6" t="s">
        <v>3657</v>
      </c>
      <c r="B6" s="10">
        <f>'FIXED ASSET'!D69</f>
        <v>16993087735</v>
      </c>
      <c r="C6" s="10">
        <f>'FIXED ASSET'!E69</f>
        <v>16011357394</v>
      </c>
    </row>
    <row r="7" spans="1:5" x14ac:dyDescent="0.2">
      <c r="A7" t="s">
        <v>3658</v>
      </c>
      <c r="B7" s="10">
        <f>'BALANCE SHEET'!D15</f>
        <v>1417287289</v>
      </c>
      <c r="C7" s="10">
        <f>'BALANCE SHEET'!E15</f>
        <v>1266935637</v>
      </c>
    </row>
    <row r="8" spans="1:5" x14ac:dyDescent="0.2">
      <c r="A8" t="s">
        <v>3659</v>
      </c>
      <c r="B8" s="11">
        <f>'BALANCE SHEET'!C21*-1</f>
        <v>-17964211763</v>
      </c>
      <c r="C8" s="11">
        <f>'BALANCE SHEET'!D21*-1</f>
        <v>-16993087735</v>
      </c>
      <c r="E8" s="330"/>
    </row>
    <row r="9" spans="1:5" x14ac:dyDescent="0.2">
      <c r="A9" t="s">
        <v>3660</v>
      </c>
      <c r="B9" s="11">
        <f>'BALANCE SHEET'!C15*-1</f>
        <v>-706318865</v>
      </c>
      <c r="C9" s="11">
        <f>'BALANCE SHEET'!D15*-1</f>
        <v>-1417287289</v>
      </c>
    </row>
    <row r="10" spans="1:5" x14ac:dyDescent="0.2">
      <c r="A10" s="2" t="s">
        <v>3661</v>
      </c>
      <c r="B10" s="11">
        <f>SUM(B6:B9)</f>
        <v>-260155604</v>
      </c>
      <c r="C10" s="11">
        <f>SUM(C6:C9)</f>
        <v>-1132081993</v>
      </c>
    </row>
    <row r="11" spans="1:5" x14ac:dyDescent="0.2">
      <c r="B11" s="10"/>
      <c r="C11" s="10"/>
    </row>
    <row r="12" spans="1:5" x14ac:dyDescent="0.2">
      <c r="A12" s="2" t="s">
        <v>3662</v>
      </c>
      <c r="B12" s="11">
        <f>ROIC!B12</f>
        <v>18251502791</v>
      </c>
      <c r="C12" s="11">
        <f>ROIC!C12</f>
        <v>17686466055</v>
      </c>
    </row>
    <row r="14" spans="1:5" x14ac:dyDescent="0.2">
      <c r="A14" s="2" t="s">
        <v>3663</v>
      </c>
      <c r="B14" s="452">
        <f>B10/B12</f>
        <v>-1.4253927853452449E-2</v>
      </c>
      <c r="C14" s="452">
        <f>C10/C12</f>
        <v>-6.4008377336633518E-2</v>
      </c>
    </row>
    <row r="15" spans="1:5" x14ac:dyDescent="0.2">
      <c r="A15" s="2" t="s">
        <v>3145</v>
      </c>
      <c r="B15" s="396">
        <f>AVERAGE(B14:C14)</f>
        <v>-3.9131152595042983E-2</v>
      </c>
    </row>
    <row r="20" spans="1:2" x14ac:dyDescent="0.2">
      <c r="A20" s="101"/>
    </row>
    <row r="23" spans="1:2" x14ac:dyDescent="0.2">
      <c r="B23" s="35"/>
    </row>
  </sheetData>
  <pageMargins left="0.7" right="0.7" top="0.75" bottom="0.75"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6">
    <tabColor rgb="FF002060"/>
  </sheetPr>
  <dimension ref="A1:J47"/>
  <sheetViews>
    <sheetView showGridLines="0" showRowColHeaders="0" zoomScale="87" zoomScaleNormal="87" workbookViewId="0">
      <selection activeCell="F16" sqref="F16"/>
    </sheetView>
  </sheetViews>
  <sheetFormatPr baseColWidth="10" defaultColWidth="8.83203125" defaultRowHeight="15" x14ac:dyDescent="0.2"/>
  <cols>
    <col min="1" max="1" width="51.5" bestFit="1" customWidth="1"/>
    <col min="2" max="2" width="9.1640625" customWidth="1"/>
    <col min="3" max="3" width="18.83203125" customWidth="1"/>
    <col min="4" max="4" width="26.5" customWidth="1"/>
    <col min="5" max="5" width="17.1640625" bestFit="1" customWidth="1"/>
    <col min="6" max="6" width="18.5" bestFit="1" customWidth="1"/>
    <col min="7" max="10" width="16.33203125" customWidth="1"/>
  </cols>
  <sheetData>
    <row r="1" spans="1:8" x14ac:dyDescent="0.2">
      <c r="A1" t="str">
        <f>HOME!B4</f>
        <v>Makmur Jaya Sejati Raya</v>
      </c>
    </row>
    <row r="2" spans="1:8" x14ac:dyDescent="0.2">
      <c r="A2" t="s">
        <v>3664</v>
      </c>
    </row>
    <row r="3" spans="1:8" x14ac:dyDescent="0.2">
      <c r="A3" t="str">
        <f>'BALANCE SHEET'!A3</f>
        <v>(IDR)</v>
      </c>
    </row>
    <row r="4" spans="1:8" x14ac:dyDescent="0.2">
      <c r="A4" t="s">
        <v>3593</v>
      </c>
    </row>
    <row r="5" spans="1:8" x14ac:dyDescent="0.2">
      <c r="A5" s="6"/>
      <c r="B5" s="6"/>
      <c r="C5" s="589">
        <f>'BALANCE SHEET'!E4</f>
        <v>2021</v>
      </c>
      <c r="D5" s="589">
        <f>C5+1</f>
        <v>2022</v>
      </c>
      <c r="E5" s="589">
        <f>D5+1</f>
        <v>2023</v>
      </c>
      <c r="F5" s="589">
        <f>E5+1</f>
        <v>2024</v>
      </c>
      <c r="G5" s="455">
        <f>F5+1</f>
        <v>2025</v>
      </c>
      <c r="H5" s="455">
        <f>G5+1</f>
        <v>2026</v>
      </c>
    </row>
    <row r="6" spans="1:8" x14ac:dyDescent="0.2">
      <c r="C6" s="163">
        <f>HOME!B20</f>
        <v>44561</v>
      </c>
      <c r="D6" s="163">
        <f>HOME!B21</f>
        <v>44926</v>
      </c>
    </row>
    <row r="7" spans="1:8" x14ac:dyDescent="0.2">
      <c r="A7" s="134" t="s">
        <v>93</v>
      </c>
      <c r="C7" s="574">
        <f>STAT_DCF!B15</f>
        <v>1249782961.8738556</v>
      </c>
      <c r="D7" s="590">
        <f>STAT_DCF!C15</f>
        <v>1534204995.7715313</v>
      </c>
      <c r="E7" s="590">
        <f>STAT_DCF!D15</f>
        <v>1883354983.109381</v>
      </c>
      <c r="F7" s="590">
        <f>STAT_DCF!E15</f>
        <v>2311963526.5033031</v>
      </c>
      <c r="G7" s="455">
        <f>STAT_DCF!F15</f>
        <v>2838113577.0043797</v>
      </c>
      <c r="H7" s="455">
        <f>STAT_DCF!G15</f>
        <v>3484003351.9729009</v>
      </c>
    </row>
    <row r="8" spans="1:8" x14ac:dyDescent="0.2">
      <c r="A8" s="144" t="s">
        <v>3224</v>
      </c>
      <c r="B8" s="3"/>
      <c r="C8" s="555">
        <f>STAT_DCF!B26</f>
        <v>1083345773.3001769</v>
      </c>
      <c r="D8" s="591">
        <f>STAT_DCF!C26</f>
        <v>1329890507.59108</v>
      </c>
      <c r="E8" s="591">
        <f>STAT_DCF!D26</f>
        <v>1632543187.7517545</v>
      </c>
      <c r="F8" s="591">
        <f>STAT_DCF!E26</f>
        <v>2004072699.7159421</v>
      </c>
      <c r="G8" s="455">
        <f>STAT_DCF!F26</f>
        <v>2460153835.9777026</v>
      </c>
      <c r="H8" s="455">
        <f>STAT_DCF!G26</f>
        <v>3020028613.499733</v>
      </c>
    </row>
    <row r="9" spans="1:8" x14ac:dyDescent="0.2">
      <c r="A9" s="2" t="s">
        <v>3225</v>
      </c>
      <c r="C9" s="574">
        <f t="shared" ref="C9:H9" si="0">C7+C8</f>
        <v>2333128735.1740322</v>
      </c>
      <c r="D9" s="574">
        <f t="shared" si="0"/>
        <v>2864095503.3626113</v>
      </c>
      <c r="E9" s="574">
        <f t="shared" si="0"/>
        <v>3515898170.8611355</v>
      </c>
      <c r="F9" s="574">
        <f t="shared" si="0"/>
        <v>4316036226.219245</v>
      </c>
      <c r="G9" s="455">
        <f t="shared" si="0"/>
        <v>5298267412.9820824</v>
      </c>
      <c r="H9" s="455">
        <f t="shared" si="0"/>
        <v>6504031965.4726334</v>
      </c>
    </row>
    <row r="10" spans="1:8" x14ac:dyDescent="0.2">
      <c r="C10" s="10"/>
    </row>
    <row r="11" spans="1:8" x14ac:dyDescent="0.2">
      <c r="A11" s="2" t="s">
        <v>3</v>
      </c>
      <c r="C11" s="10"/>
    </row>
    <row r="12" spans="1:8" x14ac:dyDescent="0.2">
      <c r="A12" s="455" t="s">
        <v>488</v>
      </c>
      <c r="C12" s="332">
        <f>0</f>
        <v>0</v>
      </c>
      <c r="D12" s="332">
        <f>-STAT_DCF!C25</f>
        <v>-320186227.97077084</v>
      </c>
      <c r="E12" s="332">
        <f>-STAT_DCF!D25</f>
        <v>543335461.53637934</v>
      </c>
      <c r="F12" s="332">
        <f>-STAT_DCF!E25</f>
        <v>666986192.72190189</v>
      </c>
      <c r="G12" s="455">
        <f>-STAT_DCF!F25</f>
        <v>818777003.84897852</v>
      </c>
      <c r="H12" s="455">
        <f>-STAT_DCF!G25</f>
        <v>1005111933.8709116</v>
      </c>
    </row>
    <row r="13" spans="1:8" x14ac:dyDescent="0.2">
      <c r="A13" s="554" t="s">
        <v>492</v>
      </c>
      <c r="B13" s="3"/>
      <c r="C13" s="555">
        <f>0</f>
        <v>0</v>
      </c>
      <c r="D13" s="555">
        <f>0</f>
        <v>0</v>
      </c>
      <c r="E13" s="555">
        <f>0</f>
        <v>0</v>
      </c>
      <c r="F13" s="555">
        <f>0</f>
        <v>0</v>
      </c>
      <c r="G13" s="455">
        <f>0</f>
        <v>0</v>
      </c>
      <c r="H13" s="455">
        <f>0</f>
        <v>0</v>
      </c>
    </row>
    <row r="14" spans="1:8" x14ac:dyDescent="0.2">
      <c r="A14" s="135" t="s">
        <v>3226</v>
      </c>
      <c r="C14" s="574">
        <f t="shared" ref="C14:H14" si="1">SUM(C12:C13)</f>
        <v>0</v>
      </c>
      <c r="D14" s="592">
        <f t="shared" si="1"/>
        <v>-320186227.97077084</v>
      </c>
      <c r="E14" s="592">
        <f t="shared" si="1"/>
        <v>543335461.53637934</v>
      </c>
      <c r="F14" s="592">
        <f t="shared" si="1"/>
        <v>666986192.72190189</v>
      </c>
      <c r="G14" s="455">
        <f t="shared" si="1"/>
        <v>818777003.84897852</v>
      </c>
      <c r="H14" s="455">
        <f t="shared" si="1"/>
        <v>1005111933.8709116</v>
      </c>
    </row>
    <row r="15" spans="1:8" x14ac:dyDescent="0.2">
      <c r="C15" s="10"/>
    </row>
    <row r="16" spans="1:8" x14ac:dyDescent="0.2">
      <c r="A16" s="133" t="s">
        <v>3227</v>
      </c>
      <c r="C16" s="332">
        <f>-STAT_DCF!B27</f>
        <v>-1083345773.3001769</v>
      </c>
      <c r="D16" s="593">
        <f>-STAT_DCF!C27</f>
        <v>-1329890507.59108</v>
      </c>
      <c r="E16" s="593">
        <f>-STAT_DCF!D27</f>
        <v>-1632543187.7517545</v>
      </c>
      <c r="F16" s="593">
        <f>-STAT_DCF!E27</f>
        <v>-2004072699.7159421</v>
      </c>
      <c r="G16" s="455">
        <f>-STAT_DCF!F27</f>
        <v>-2460153835.9777026</v>
      </c>
      <c r="H16" s="455">
        <f>-STAT_DCF!G27</f>
        <v>-3020028613.499733</v>
      </c>
    </row>
    <row r="17" spans="1:10" x14ac:dyDescent="0.2">
      <c r="A17" s="3"/>
      <c r="B17" s="3"/>
      <c r="C17" s="3"/>
      <c r="D17" s="3"/>
      <c r="E17" s="3"/>
      <c r="F17" s="3"/>
    </row>
    <row r="18" spans="1:10" x14ac:dyDescent="0.2">
      <c r="A18" s="2" t="s">
        <v>3228</v>
      </c>
      <c r="B18" s="2"/>
      <c r="C18" s="574">
        <f t="shared" ref="C18:H18" si="2">C14+C16</f>
        <v>-1083345773.3001769</v>
      </c>
      <c r="D18" s="574">
        <f t="shared" si="2"/>
        <v>-1650076735.5618508</v>
      </c>
      <c r="E18" s="574">
        <f t="shared" si="2"/>
        <v>-1089207726.2153752</v>
      </c>
      <c r="F18" s="574">
        <f t="shared" si="2"/>
        <v>-1337086506.9940403</v>
      </c>
      <c r="G18" s="455">
        <f t="shared" si="2"/>
        <v>-1641376832.1287241</v>
      </c>
      <c r="H18" s="455">
        <f t="shared" si="2"/>
        <v>-2014916679.6288214</v>
      </c>
    </row>
    <row r="19" spans="1:10" x14ac:dyDescent="0.2">
      <c r="C19" s="10"/>
    </row>
    <row r="20" spans="1:10" ht="16" customHeight="1" thickBot="1" x14ac:dyDescent="0.25">
      <c r="A20" s="25" t="s">
        <v>3223</v>
      </c>
      <c r="B20" s="25"/>
      <c r="C20" s="575">
        <f t="shared" ref="C20:H20" si="3">C9+C18</f>
        <v>1249782961.8738554</v>
      </c>
      <c r="D20" s="575">
        <f t="shared" si="3"/>
        <v>1214018767.8007605</v>
      </c>
      <c r="E20" s="575">
        <f t="shared" si="3"/>
        <v>2426690444.6457605</v>
      </c>
      <c r="F20" s="575">
        <f t="shared" si="3"/>
        <v>2978949719.2252045</v>
      </c>
      <c r="G20" s="455">
        <f t="shared" si="3"/>
        <v>3656890580.8533583</v>
      </c>
      <c r="H20" s="455">
        <f t="shared" si="3"/>
        <v>4489115285.843812</v>
      </c>
    </row>
    <row r="21" spans="1:10" x14ac:dyDescent="0.2">
      <c r="C21" s="10"/>
    </row>
    <row r="22" spans="1:10" x14ac:dyDescent="0.2">
      <c r="A22" s="1" t="s">
        <v>3665</v>
      </c>
      <c r="C22" s="10"/>
      <c r="D22" s="594">
        <v>1</v>
      </c>
      <c r="E22" s="595">
        <v>2</v>
      </c>
      <c r="F22" s="595">
        <v>3</v>
      </c>
      <c r="G22" s="455">
        <v>4</v>
      </c>
      <c r="H22" s="455">
        <v>5</v>
      </c>
    </row>
    <row r="23" spans="1:10" x14ac:dyDescent="0.2">
      <c r="A23" s="1" t="s">
        <v>3666</v>
      </c>
      <c r="B23" s="596">
        <f>STAT_ASSUMPTIONS!B6</f>
        <v>0.11463062037189403</v>
      </c>
      <c r="C23" s="10"/>
      <c r="D23" s="597">
        <f>1/((1+$B$23)^D22)</f>
        <v>0.89715819906899041</v>
      </c>
      <c r="E23" s="597">
        <f>1/((1+$B$23)^E22)</f>
        <v>0.8048928341567142</v>
      </c>
      <c r="F23" s="597">
        <f>1/((1+$B$23)^F22)</f>
        <v>0.72211620553557332</v>
      </c>
      <c r="G23" s="455">
        <f>1/((1+$B$23)^G22)</f>
        <v>0.64785247447682781</v>
      </c>
      <c r="H23" s="455">
        <f>1/((1+$B$23)^H22)</f>
        <v>0.58122615926401988</v>
      </c>
    </row>
    <row r="24" spans="1:10" x14ac:dyDescent="0.2">
      <c r="A24" s="1" t="s">
        <v>3667</v>
      </c>
      <c r="C24" s="10"/>
      <c r="D24" s="545">
        <f>D20*D23</f>
        <v>1089166891.3560851</v>
      </c>
      <c r="E24" s="545">
        <f>E20*E23</f>
        <v>1953225749.6119432</v>
      </c>
      <c r="F24" s="545">
        <f>F20*F23</f>
        <v>2151147867.7281661</v>
      </c>
      <c r="G24" s="455">
        <f>G20*G23</f>
        <v>2369125611.6968522</v>
      </c>
      <c r="H24" s="455">
        <f>H20*H23</f>
        <v>2609191236.0844016</v>
      </c>
    </row>
    <row r="25" spans="1:10" x14ac:dyDescent="0.2">
      <c r="A25" s="101" t="s">
        <v>3668</v>
      </c>
      <c r="C25" s="556">
        <f>SUM(D24:H24)</f>
        <v>10171857356.477448</v>
      </c>
    </row>
    <row r="26" spans="1:10" x14ac:dyDescent="0.2">
      <c r="A26" s="1" t="s">
        <v>3669</v>
      </c>
      <c r="B26" s="596">
        <f>STAT_ASSUMPTIONS!B8</f>
        <v>0</v>
      </c>
      <c r="C26" s="10"/>
      <c r="J26" s="10"/>
    </row>
    <row r="27" spans="1:10" x14ac:dyDescent="0.2">
      <c r="A27" s="1" t="s">
        <v>3670</v>
      </c>
      <c r="C27" s="545">
        <f>H20*((1+B26)/(B23-B26))</f>
        <v>39161571936.711647</v>
      </c>
    </row>
    <row r="28" spans="1:10" ht="16" customHeight="1" thickBot="1" x14ac:dyDescent="0.25">
      <c r="A28" s="101" t="s">
        <v>3671</v>
      </c>
      <c r="C28" s="556">
        <f>C27*H23</f>
        <v>22761730047.516537</v>
      </c>
    </row>
    <row r="29" spans="1:10" ht="16" customHeight="1" thickBot="1" x14ac:dyDescent="0.25">
      <c r="A29" s="109" t="s">
        <v>3605</v>
      </c>
      <c r="B29" s="110"/>
      <c r="C29" s="587">
        <f>C25+C28</f>
        <v>32933587403.993984</v>
      </c>
    </row>
    <row r="30" spans="1:10" x14ac:dyDescent="0.2">
      <c r="A30" s="1" t="s">
        <v>3540</v>
      </c>
      <c r="C30" s="545">
        <f>-STAT_DCF!B38</f>
        <v>0</v>
      </c>
      <c r="D30" s="1" t="s">
        <v>3672</v>
      </c>
    </row>
    <row r="31" spans="1:10" x14ac:dyDescent="0.2">
      <c r="A31" s="1" t="s">
        <v>3673</v>
      </c>
      <c r="C31" s="545">
        <f>STAT_DCF!B37</f>
        <v>1075880526</v>
      </c>
    </row>
    <row r="32" spans="1:10" ht="16" customHeight="1" thickBot="1" x14ac:dyDescent="0.25">
      <c r="A32" s="1" t="s">
        <v>3674</v>
      </c>
      <c r="C32" s="545">
        <f>0</f>
        <v>0</v>
      </c>
    </row>
    <row r="33" spans="1:3" ht="16" customHeight="1" thickBot="1" x14ac:dyDescent="0.25">
      <c r="A33" s="109" t="s">
        <v>3607</v>
      </c>
      <c r="B33" s="110"/>
      <c r="C33" s="587">
        <f>SUM(C29:C32)</f>
        <v>34009467929.993984</v>
      </c>
    </row>
    <row r="34" spans="1:3" x14ac:dyDescent="0.2">
      <c r="A34" s="1" t="s">
        <v>428</v>
      </c>
      <c r="B34" s="564">
        <f>0</f>
        <v>0</v>
      </c>
      <c r="C34" s="578">
        <f>C33*B34</f>
        <v>0</v>
      </c>
    </row>
    <row r="35" spans="1:3" x14ac:dyDescent="0.2">
      <c r="A35" s="1" t="s">
        <v>3543</v>
      </c>
      <c r="C35" s="578">
        <f>C33+C34</f>
        <v>34009467929.993984</v>
      </c>
    </row>
    <row r="36" spans="1:3" ht="16" customHeight="1" thickBot="1" x14ac:dyDescent="0.25">
      <c r="A36" s="1" t="str">
        <f>HOME!A26</f>
        <v>DISCOUNT LACK OF CONTROL/PREMIUM FOR CONTROL</v>
      </c>
      <c r="B36" s="586">
        <f>0</f>
        <v>0</v>
      </c>
      <c r="C36" s="578">
        <f>C35*B36</f>
        <v>0</v>
      </c>
    </row>
    <row r="37" spans="1:3" ht="16" customHeight="1" thickBot="1" x14ac:dyDescent="0.25">
      <c r="A37" s="109" t="s">
        <v>3544</v>
      </c>
      <c r="B37" s="110"/>
      <c r="C37" s="587">
        <f>C35+C36</f>
        <v>34009467929.993984</v>
      </c>
    </row>
    <row r="38" spans="1:3" x14ac:dyDescent="0.2">
      <c r="A38" s="149" t="s">
        <v>3545</v>
      </c>
      <c r="B38" s="598">
        <f>1</f>
        <v>1</v>
      </c>
      <c r="C38" s="224"/>
    </row>
    <row r="39" spans="1:3" ht="16" customHeight="1" thickBot="1" x14ac:dyDescent="0.25">
      <c r="A39" s="599" t="s">
        <v>700</v>
      </c>
      <c r="B39" s="270"/>
      <c r="C39" s="588">
        <f>C37*B38</f>
        <v>34009467929.993984</v>
      </c>
    </row>
    <row r="40" spans="1:3" x14ac:dyDescent="0.2">
      <c r="A40" s="2" t="s">
        <v>3611</v>
      </c>
      <c r="B40" s="2"/>
      <c r="C40" s="582">
        <f>ROUNDUP(C39,-3)</f>
        <v>34009468000</v>
      </c>
    </row>
    <row r="41" spans="1:3" x14ac:dyDescent="0.2">
      <c r="A41" t="s">
        <v>3494</v>
      </c>
      <c r="C41" s="332">
        <f>HOME!B15</f>
        <v>5280000000</v>
      </c>
    </row>
    <row r="42" spans="1:3" x14ac:dyDescent="0.2">
      <c r="C42" s="332">
        <f>C39/C41</f>
        <v>6.4411871079534064</v>
      </c>
    </row>
    <row r="43" spans="1:3" x14ac:dyDescent="0.2">
      <c r="C43" s="10"/>
    </row>
    <row r="44" spans="1:3" x14ac:dyDescent="0.2">
      <c r="C44" s="10"/>
    </row>
    <row r="45" spans="1:3" x14ac:dyDescent="0.2">
      <c r="C45" s="10"/>
    </row>
    <row r="46" spans="1:3" x14ac:dyDescent="0.2">
      <c r="C46" s="12"/>
    </row>
    <row r="47" spans="1:3" x14ac:dyDescent="0.2">
      <c r="B47" s="4"/>
      <c r="C47" s="12"/>
    </row>
  </sheetData>
  <hyperlinks>
    <hyperlink ref="A7" location="'PROY NOPLAT'!D19:J19" display="NOPLAT" xr:uid="{00000000-0004-0000-2600-000000000000}"/>
    <hyperlink ref="A8" location="'PROY FIXED ASSETs'!D42:J42" display="Add: Depreciation" xr:uid="{00000000-0004-0000-2600-000001000000}"/>
    <hyperlink ref="A14" location="'PROY CASH FLOW STATEMENT'!D10:J10" display="Total net changes in working capital" xr:uid="{00000000-0004-0000-2600-000002000000}"/>
    <hyperlink ref="A16" location="'PROY FIXED ASSETS'!D23:J23" display="Less: Capital Expenditures" xr:uid="{00000000-0004-0000-2600-000003000000}"/>
    <hyperlink ref="B23" location="'DISCOUNT RATE'!H10" display="'DISCOUNT RATE'!H10" xr:uid="{00000000-0004-0000-2600-000004000000}"/>
    <hyperlink ref="B26" location="'GROWTH RATE'!C14" display="'GROWTH RATE'!C14" xr:uid="{00000000-0004-0000-2600-000005000000}"/>
  </hyperlinks>
  <pageMargins left="0.7" right="0.7" top="0.75" bottom="0.75"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4">
    <tabColor rgb="FFC00000"/>
  </sheetPr>
  <dimension ref="B2:F12"/>
  <sheetViews>
    <sheetView showGridLines="0" zoomScale="145" zoomScaleNormal="145" workbookViewId="0">
      <selection activeCell="D11" sqref="D11"/>
    </sheetView>
  </sheetViews>
  <sheetFormatPr baseColWidth="10" defaultColWidth="8.83203125" defaultRowHeight="15" x14ac:dyDescent="0.2"/>
  <cols>
    <col min="3" max="3" width="51.33203125" customWidth="1"/>
    <col min="4" max="4" width="18" customWidth="1"/>
  </cols>
  <sheetData>
    <row r="2" spans="2:6" x14ac:dyDescent="0.2">
      <c r="B2" s="772" t="s">
        <v>3675</v>
      </c>
      <c r="C2" s="651"/>
      <c r="D2" s="651"/>
    </row>
    <row r="3" spans="2:6" ht="16" customHeight="1" x14ac:dyDescent="0.2">
      <c r="B3" s="274" t="s">
        <v>3613</v>
      </c>
      <c r="C3" s="274" t="s">
        <v>3676</v>
      </c>
      <c r="D3" s="274" t="s">
        <v>3677</v>
      </c>
    </row>
    <row r="4" spans="2:6" ht="16" customHeight="1" x14ac:dyDescent="0.2">
      <c r="B4" s="273">
        <v>1</v>
      </c>
      <c r="C4" s="215" t="s">
        <v>3678</v>
      </c>
      <c r="D4" s="272">
        <f>DCF!C39</f>
        <v>34009467929.993984</v>
      </c>
      <c r="E4" s="83"/>
    </row>
    <row r="5" spans="2:6" ht="16" customHeight="1" x14ac:dyDescent="0.2">
      <c r="B5" s="273">
        <v>2</v>
      </c>
      <c r="C5" s="215" t="s">
        <v>3679</v>
      </c>
      <c r="D5" s="272">
        <f>'PASAR PEMBANDING'!J38</f>
        <v>4748012420.0377045</v>
      </c>
    </row>
    <row r="6" spans="2:6" ht="16" customHeight="1" x14ac:dyDescent="0.2">
      <c r="B6" s="273">
        <v>3</v>
      </c>
      <c r="C6" s="215" t="s">
        <v>3680</v>
      </c>
      <c r="D6" s="272">
        <f>EEM!D42</f>
        <v>6026193421.631691</v>
      </c>
    </row>
    <row r="8" spans="2:6" x14ac:dyDescent="0.2">
      <c r="B8" s="771" t="s">
        <v>3681</v>
      </c>
      <c r="C8" s="734"/>
      <c r="D8" s="734"/>
    </row>
    <row r="9" spans="2:6" ht="16" customHeight="1" x14ac:dyDescent="0.2">
      <c r="B9" s="274" t="s">
        <v>3552</v>
      </c>
      <c r="C9" s="274" t="s">
        <v>3682</v>
      </c>
      <c r="D9" s="274" t="s">
        <v>3683</v>
      </c>
    </row>
    <row r="10" spans="2:6" ht="32" customHeight="1" x14ac:dyDescent="0.2">
      <c r="B10" s="273">
        <v>1</v>
      </c>
      <c r="C10" s="215" t="s">
        <v>3684</v>
      </c>
      <c r="D10" s="321">
        <f>D4/D5</f>
        <v>7.1628852078116321</v>
      </c>
      <c r="F10" s="84"/>
    </row>
    <row r="11" spans="2:6" ht="29.25" customHeight="1" x14ac:dyDescent="0.2">
      <c r="B11" s="273">
        <v>2</v>
      </c>
      <c r="C11" s="215" t="s">
        <v>3685</v>
      </c>
      <c r="D11" s="321">
        <f>D4/D6</f>
        <v>5.6436070916531191</v>
      </c>
      <c r="F11" s="84"/>
    </row>
    <row r="12" spans="2:6" ht="32.25" customHeight="1" x14ac:dyDescent="0.2">
      <c r="B12" s="273">
        <v>3</v>
      </c>
      <c r="C12" s="215" t="s">
        <v>3686</v>
      </c>
      <c r="D12" s="326">
        <f>D6/D5</f>
        <v>1.2692033820719948</v>
      </c>
      <c r="F12" s="84"/>
    </row>
  </sheetData>
  <mergeCells count="2">
    <mergeCell ref="B8:D8"/>
    <mergeCell ref="B2:D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C00000"/>
  </sheetPr>
  <dimension ref="A1:D13"/>
  <sheetViews>
    <sheetView zoomScale="115" zoomScaleNormal="115" workbookViewId="0">
      <selection activeCell="B10" sqref="B10"/>
    </sheetView>
  </sheetViews>
  <sheetFormatPr baseColWidth="10" defaultColWidth="8.83203125" defaultRowHeight="15" x14ac:dyDescent="0.2"/>
  <cols>
    <col min="1" max="1" width="31.1640625" customWidth="1"/>
    <col min="2" max="2" width="24.83203125" customWidth="1"/>
  </cols>
  <sheetData>
    <row r="1" spans="1:4" x14ac:dyDescent="0.2">
      <c r="A1" s="2" t="s">
        <v>3687</v>
      </c>
    </row>
    <row r="2" spans="1:4" x14ac:dyDescent="0.2">
      <c r="A2" s="471" t="s">
        <v>3688</v>
      </c>
    </row>
    <row r="3" spans="1:4" x14ac:dyDescent="0.2">
      <c r="A3" s="1" t="s">
        <v>3689</v>
      </c>
    </row>
    <row r="4" spans="1:4" x14ac:dyDescent="0.2">
      <c r="A4" t="s">
        <v>3690</v>
      </c>
      <c r="B4" s="10">
        <v>333333</v>
      </c>
      <c r="C4" t="s">
        <v>3691</v>
      </c>
      <c r="D4" t="s">
        <v>3692</v>
      </c>
    </row>
    <row r="5" spans="1:4" x14ac:dyDescent="0.2">
      <c r="A5" t="s">
        <v>3693</v>
      </c>
      <c r="B5" s="10">
        <f>EEM!D41</f>
        <v>1</v>
      </c>
      <c r="C5" t="s">
        <v>3694</v>
      </c>
    </row>
    <row r="6" spans="1:4" x14ac:dyDescent="0.2">
      <c r="A6" t="s">
        <v>3695</v>
      </c>
      <c r="B6" s="84">
        <f>'DISCOUNT RATE'!H4</f>
        <v>6.8639999999999993E-2</v>
      </c>
    </row>
    <row r="7" spans="1:4" x14ac:dyDescent="0.2">
      <c r="A7" t="s">
        <v>3082</v>
      </c>
      <c r="B7" s="4">
        <v>0</v>
      </c>
    </row>
    <row r="8" spans="1:4" x14ac:dyDescent="0.2">
      <c r="A8" t="s">
        <v>3696</v>
      </c>
      <c r="B8" s="12">
        <f>(1+B6)/(B6-B7)*B4*B5</f>
        <v>5189583.0000000009</v>
      </c>
      <c r="C8" t="s">
        <v>3691</v>
      </c>
    </row>
    <row r="9" spans="1:4" x14ac:dyDescent="0.2">
      <c r="A9" t="s">
        <v>3494</v>
      </c>
      <c r="B9" s="10">
        <f>EEM!D44</f>
        <v>5280000000</v>
      </c>
    </row>
    <row r="10" spans="1:4" x14ac:dyDescent="0.2">
      <c r="A10" t="s">
        <v>3697</v>
      </c>
      <c r="B10" s="472">
        <f>B8*B9</f>
        <v>2.7400998240000004E+16</v>
      </c>
    </row>
    <row r="11" spans="1:4" x14ac:dyDescent="0.2">
      <c r="A11" t="s">
        <v>428</v>
      </c>
      <c r="B11" s="4">
        <f>EEM!C35</f>
        <v>0</v>
      </c>
    </row>
    <row r="12" spans="1:4" x14ac:dyDescent="0.2">
      <c r="A12" t="s">
        <v>3513</v>
      </c>
      <c r="B12" s="472">
        <f>B10*(1+B11)</f>
        <v>2.7400998240000004E+16</v>
      </c>
    </row>
    <row r="13" spans="1:4" x14ac:dyDescent="0.2">
      <c r="A13" t="s">
        <v>3698</v>
      </c>
      <c r="B13" s="10">
        <f>B12/B9</f>
        <v>5189583.0000000009</v>
      </c>
    </row>
  </sheetData>
  <pageMargins left="0.7" right="0.7" top="0.75" bottom="0.75" header="0.3" footer="0.3"/>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19"/>
  <sheetViews>
    <sheetView zoomScale="55" zoomScaleNormal="55" workbookViewId="0">
      <selection activeCell="B5" sqref="B5"/>
    </sheetView>
  </sheetViews>
  <sheetFormatPr baseColWidth="10" defaultColWidth="8.83203125" defaultRowHeight="15" x14ac:dyDescent="0.2"/>
  <cols>
    <col min="1" max="1" width="26" bestFit="1" customWidth="1"/>
    <col min="2" max="2" width="12.5" bestFit="1" customWidth="1"/>
    <col min="3" max="3" width="18" bestFit="1" customWidth="1"/>
  </cols>
  <sheetData>
    <row r="1" spans="1:3" x14ac:dyDescent="0.2">
      <c r="A1" t="s">
        <v>3701</v>
      </c>
      <c r="C1" s="383"/>
    </row>
    <row r="2" spans="1:3" x14ac:dyDescent="0.2">
      <c r="A2" s="383"/>
      <c r="B2" s="383"/>
      <c r="C2" s="383"/>
    </row>
    <row r="3" spans="1:3" x14ac:dyDescent="0.2">
      <c r="A3" s="384">
        <v>6.4999999999999994E-5</v>
      </c>
      <c r="B3" s="383">
        <f>1/A3</f>
        <v>15384.615384615387</v>
      </c>
      <c r="C3" s="383"/>
    </row>
    <row r="4" spans="1:3" x14ac:dyDescent="0.2">
      <c r="A4" s="383"/>
      <c r="B4" s="383"/>
      <c r="C4" s="383"/>
    </row>
    <row r="5" spans="1:3" x14ac:dyDescent="0.2">
      <c r="A5" s="383" t="s">
        <v>3461</v>
      </c>
      <c r="B5" s="383">
        <v>208240090</v>
      </c>
      <c r="C5" s="383">
        <f>B5*$B$3</f>
        <v>3203693692307.6929</v>
      </c>
    </row>
    <row r="6" spans="1:3" x14ac:dyDescent="0.2">
      <c r="A6" s="383" t="s">
        <v>3386</v>
      </c>
      <c r="B6" s="383">
        <v>-165424296</v>
      </c>
      <c r="C6" s="383">
        <f>B6*$B$3</f>
        <v>-2544989169230.7695</v>
      </c>
    </row>
    <row r="7" spans="1:3" x14ac:dyDescent="0.2">
      <c r="A7" s="383" t="s">
        <v>1</v>
      </c>
      <c r="B7" s="383">
        <v>21880919</v>
      </c>
      <c r="C7" s="383">
        <f>B7*$B$3</f>
        <v>336629523076.9231</v>
      </c>
    </row>
    <row r="8" spans="1:3" x14ac:dyDescent="0.2">
      <c r="A8" s="383" t="s">
        <v>3124</v>
      </c>
      <c r="B8" s="383">
        <v>21301999</v>
      </c>
      <c r="C8" s="383">
        <f>B8*$B$3</f>
        <v>327723061538.46161</v>
      </c>
    </row>
    <row r="9" spans="1:3" x14ac:dyDescent="0.2">
      <c r="A9" s="383"/>
      <c r="B9" s="383"/>
      <c r="C9" s="383"/>
    </row>
    <row r="10" spans="1:3" x14ac:dyDescent="0.2">
      <c r="A10" s="383" t="s">
        <v>3487</v>
      </c>
      <c r="B10" s="383">
        <v>128063363</v>
      </c>
      <c r="C10" s="383">
        <f t="shared" ref="C10:C16" si="0">+B10*$B$3</f>
        <v>1970205584615.3848</v>
      </c>
    </row>
    <row r="11" spans="1:3" x14ac:dyDescent="0.2">
      <c r="A11" s="383" t="s">
        <v>3488</v>
      </c>
      <c r="B11" s="383">
        <v>43083199</v>
      </c>
      <c r="C11" s="383">
        <f t="shared" si="0"/>
        <v>662818446153.84619</v>
      </c>
    </row>
    <row r="12" spans="1:3" x14ac:dyDescent="0.2">
      <c r="A12" s="383" t="s">
        <v>3489</v>
      </c>
      <c r="B12" s="383">
        <f>+B10+B11</f>
        <v>171146562</v>
      </c>
      <c r="C12" s="383">
        <f t="shared" si="0"/>
        <v>2633024030769.231</v>
      </c>
    </row>
    <row r="13" spans="1:3" x14ac:dyDescent="0.2">
      <c r="A13" s="383" t="s">
        <v>3490</v>
      </c>
      <c r="B13" s="383">
        <v>61193099</v>
      </c>
      <c r="C13" s="383">
        <f t="shared" si="0"/>
        <v>941432292307.69238</v>
      </c>
    </row>
    <row r="14" spans="1:3" x14ac:dyDescent="0.2">
      <c r="A14" s="383" t="s">
        <v>3491</v>
      </c>
      <c r="B14" s="383">
        <v>7520475</v>
      </c>
      <c r="C14" s="383">
        <f t="shared" si="0"/>
        <v>115699615384.6154</v>
      </c>
    </row>
    <row r="15" spans="1:3" x14ac:dyDescent="0.2">
      <c r="A15" s="383" t="s">
        <v>3492</v>
      </c>
      <c r="B15" s="383">
        <f>+B13+B14</f>
        <v>68713574</v>
      </c>
      <c r="C15" s="383">
        <f t="shared" si="0"/>
        <v>1057131907692.3079</v>
      </c>
    </row>
    <row r="16" spans="1:3" x14ac:dyDescent="0.2">
      <c r="A16" s="383" t="s">
        <v>3380</v>
      </c>
      <c r="B16" s="383">
        <v>102432988</v>
      </c>
      <c r="C16" s="383">
        <f t="shared" si="0"/>
        <v>1575892123076.9233</v>
      </c>
    </row>
    <row r="17" spans="1:3" x14ac:dyDescent="0.2">
      <c r="A17" s="383" t="s">
        <v>3493</v>
      </c>
      <c r="B17" s="383"/>
      <c r="C17" s="383"/>
    </row>
    <row r="18" spans="1:3" x14ac:dyDescent="0.2">
      <c r="A18" s="383" t="s">
        <v>3494</v>
      </c>
      <c r="B18" s="383">
        <v>800371500</v>
      </c>
      <c r="C18" s="383"/>
    </row>
    <row r="19" spans="1:3" x14ac:dyDescent="0.2">
      <c r="A19" s="383"/>
      <c r="B19" s="383"/>
      <c r="C19" s="383"/>
    </row>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9"/>
  <sheetViews>
    <sheetView workbookViewId="0">
      <selection activeCell="E19" sqref="E19"/>
    </sheetView>
  </sheetViews>
  <sheetFormatPr baseColWidth="10" defaultColWidth="11.5" defaultRowHeight="15" x14ac:dyDescent="0.2"/>
  <cols>
    <col min="1" max="1" width="49.1640625" bestFit="1" customWidth="1"/>
    <col min="2" max="2" width="4.5" bestFit="1" customWidth="1"/>
    <col min="3" max="3" width="29" bestFit="1" customWidth="1"/>
    <col min="4" max="4" width="13.6640625" bestFit="1" customWidth="1"/>
    <col min="5" max="5" width="16.5" bestFit="1" customWidth="1"/>
    <col min="7" max="7" width="13.6640625" bestFit="1" customWidth="1"/>
  </cols>
  <sheetData>
    <row r="1" spans="1:5" x14ac:dyDescent="0.2">
      <c r="A1" t="s">
        <v>3541</v>
      </c>
      <c r="C1" t="s">
        <v>716</v>
      </c>
      <c r="E1" s="456">
        <f>IF(C1="AAM", AAM!E53, IF(C1="EEM", EEM!D34, IF(C1="DCF", DCF!C33, "")))</f>
        <v>13701055249</v>
      </c>
    </row>
    <row r="2" spans="1:5" x14ac:dyDescent="0.2">
      <c r="E2" s="456"/>
    </row>
    <row r="3" spans="1:5" x14ac:dyDescent="0.2">
      <c r="A3" t="s">
        <v>428</v>
      </c>
      <c r="C3" t="str">
        <f>DLOM!D36&amp;" "&amp;DLOM!F36</f>
        <v>Potensi Resistensi Wajib Pajak Tinggi</v>
      </c>
      <c r="D3" s="9">
        <f>DLOM!F34*-1</f>
        <v>-0.25</v>
      </c>
      <c r="E3" s="456">
        <f>+E1*D3</f>
        <v>-3425263812.25</v>
      </c>
    </row>
    <row r="4" spans="1:5" x14ac:dyDescent="0.2">
      <c r="A4" t="s">
        <v>3543</v>
      </c>
      <c r="E4" s="456">
        <f>+E1+E3</f>
        <v>10275791436.75</v>
      </c>
    </row>
    <row r="5" spans="1:5" x14ac:dyDescent="0.2">
      <c r="E5" s="456"/>
    </row>
    <row r="6" spans="1:5" x14ac:dyDescent="0.2">
      <c r="A6" t="str">
        <f>'DLOC(PFC)'!C26</f>
        <v>DLOC Objek Penilaian</v>
      </c>
      <c r="C6" t="str">
        <f>'DLOC(PFC)'!C28&amp;" "&amp;'DLOC(PFC)'!E28</f>
        <v>Potensi Resistensi Wajib Pajak Tinggi</v>
      </c>
      <c r="D6" s="9">
        <f>'DLOC(PFC)'!E26*-1</f>
        <v>-0.33999999999999997</v>
      </c>
      <c r="E6" s="456">
        <f>+E4*D6</f>
        <v>-3493769088.4949999</v>
      </c>
    </row>
    <row r="7" spans="1:5" x14ac:dyDescent="0.2">
      <c r="A7" t="str">
        <f>IF(A6="DLOC Objek Penilaian","Equity Value (100%) Less DLOC","Equity Value (100%) Add PFC")</f>
        <v>Equity Value (100%) Less DLOC</v>
      </c>
      <c r="D7" s="9"/>
      <c r="E7" s="456">
        <f>+E4+E6</f>
        <v>6782022348.2550001</v>
      </c>
    </row>
    <row r="8" spans="1:5" x14ac:dyDescent="0.2">
      <c r="D8" s="9"/>
      <c r="E8" s="456"/>
    </row>
    <row r="9" spans="1:5" x14ac:dyDescent="0.2">
      <c r="A9" t="s">
        <v>4671</v>
      </c>
      <c r="C9" t="str">
        <f>IF(AND(C3="Potensi Resistensi Wajib Pajak Tinggi", C6="Potensi Resistensi Wajib Pajak Tinggi"), "Potensi Resistensi Wajib Pajak Tinggi", IF(AND(C3="Potensi Resistensi Wajib Pajak Tinggi", C6="Potensi Resistensi Wajib Pajak Moderat"), "Potensi Resistensi Wajib Pajak Tinggi", IF(AND(C3="Potensi Resistensi Wajib Pajak Tinggi", C6="Potensi Resistensi Wajib Pajak Rendah"), "Potensi Resistensi Wajib Pajak Moderat", IF(AND(C3="Potensi Resistensi Wajib Pajak Moderat", C6="Potensi Resistensi Wajib Pajak Tinggi"), "Potensi Resistensi Wajib Pajak Tinggi", IF(AND(C3="Potensi Resistensi Wajib Pajak Moderat", C6="Potensi Resistensi Wajib Pajak Moderat"), "Potensi Resistensi Wajib Pajak Moderat", IF(AND(C3="Potensi Resistensi Wajib Pajak Moderat", C6="Potensi Resistensi Wajib Pajak Rendah"), "Potensi Resistensi Wajib Pajak Moderat", IF(AND(C3="Potensi Resistensi Wajib Pajak Rendah", C6="Potensi Resistensi Wajib Pajak Tinggi"), "Potensi Resistensi Wajib Pajak Moderat", IF(AND(C3="Potensi Resistensi Wajib Pajak Rendah", C6="Potensi Resistensi Wajib Pajak Moderat"), "Potensi Resistensi Wajib Pajak Moderat", IF(AND(C3="Potensi Resistensi Wajib Pajak Rendah", C6="Potensi Resistensi Wajib Pajak Rendah"), "Potensi Resistensi Wajib Pajak Rendah", "")))))))))</f>
        <v>Potensi Resistensi Wajib Pajak Tinggi</v>
      </c>
      <c r="D9" s="9"/>
      <c r="E9" s="456"/>
    </row>
    <row r="10" spans="1:5" x14ac:dyDescent="0.2">
      <c r="D10" s="9"/>
      <c r="E10" s="456"/>
    </row>
    <row r="11" spans="1:5" x14ac:dyDescent="0.2">
      <c r="A11" t="s">
        <v>3544</v>
      </c>
      <c r="E11" s="456">
        <f>E7</f>
        <v>6782022348.2550001</v>
      </c>
    </row>
    <row r="12" spans="1:5" x14ac:dyDescent="0.2">
      <c r="A12" t="s">
        <v>3545</v>
      </c>
      <c r="E12" s="458">
        <f>HOME!B17</f>
        <v>0.30303030303030304</v>
      </c>
    </row>
    <row r="13" spans="1:5" x14ac:dyDescent="0.2">
      <c r="A13" s="2" t="str">
        <f>AAM!A59</f>
        <v>Market Value of 100% Equity</v>
      </c>
      <c r="B13" s="2"/>
      <c r="C13" s="2"/>
      <c r="D13" s="2"/>
      <c r="E13" s="645">
        <f>+E11*E12</f>
        <v>2055158287.3500001</v>
      </c>
    </row>
    <row r="14" spans="1:5" x14ac:dyDescent="0.2">
      <c r="A14" t="s">
        <v>3699</v>
      </c>
      <c r="E14" s="456">
        <f>HOME!B16</f>
        <v>1600000000</v>
      </c>
    </row>
    <row r="15" spans="1:5" x14ac:dyDescent="0.2">
      <c r="A15" t="s">
        <v>3700</v>
      </c>
      <c r="E15" s="457">
        <f>E13-E14</f>
        <v>455158287.35000014</v>
      </c>
    </row>
    <row r="16" spans="1:5" x14ac:dyDescent="0.2">
      <c r="E16" s="457"/>
    </row>
    <row r="17" spans="1:5" x14ac:dyDescent="0.2">
      <c r="A17" t="s">
        <v>4653</v>
      </c>
      <c r="E17" s="646" t="str">
        <f>HOME!B11</f>
        <v>Orang Pribadi</v>
      </c>
    </row>
    <row r="18" spans="1:5" x14ac:dyDescent="0.2">
      <c r="A18" t="s">
        <v>4672</v>
      </c>
      <c r="E18" s="462">
        <f>YEAR(HOME!B20)</f>
        <v>2021</v>
      </c>
    </row>
    <row r="19" spans="1:5" x14ac:dyDescent="0.2">
      <c r="A19" t="str">
        <f>"Simulasi Potensi Pajak Penghasilan Kurang Bayar"&amp;" "&amp;E17</f>
        <v>Simulasi Potensi Pajak Penghasilan Kurang Bayar Orang Pribadi</v>
      </c>
      <c r="E19" s="459"/>
    </row>
  </sheetData>
  <conditionalFormatting sqref="C9:C10">
    <cfRule type="cellIs" dxfId="2" priority="1" operator="equal">
      <formula>"Resiko Rendah"</formula>
    </cfRule>
    <cfRule type="cellIs" dxfId="1" priority="2" operator="equal">
      <formula>"Moderat"</formula>
    </cfRule>
    <cfRule type="cellIs" dxfId="0" priority="3" operator="equal">
      <formula>"Resiko Tinggi"</formula>
    </cfRule>
  </conditionalFormatting>
  <dataValidations count="1">
    <dataValidation type="list" allowBlank="1" showInputMessage="1" showErrorMessage="1" sqref="C1:C2" xr:uid="{00000000-0002-0000-2900-000000000000}">
      <formula1>"AAM, EEM, DCF"</formula1>
    </dataValidation>
  </dataValidations>
  <pageMargins left="0.7" right="0.7" top="0.75" bottom="0.75" header="0.3" footer="0.3"/>
  <pageSetup paperSize="9" orientation="portrait" horizontalDpi="0" verticalDpi="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23"/>
  <sheetViews>
    <sheetView showGridLines="0" workbookViewId="0">
      <pane ySplit="3" topLeftCell="A4" activePane="bottomLeft" state="frozen"/>
      <selection pane="bottomLeft" activeCell="F9" sqref="F9"/>
    </sheetView>
  </sheetViews>
  <sheetFormatPr baseColWidth="10" defaultColWidth="8.83203125" defaultRowHeight="15" x14ac:dyDescent="0.2"/>
  <cols>
    <col min="1" max="1" width="30" customWidth="1"/>
    <col min="2" max="9" width="20" customWidth="1"/>
  </cols>
  <sheetData>
    <row r="1" spans="1:6" ht="21" customHeight="1" x14ac:dyDescent="0.2">
      <c r="A1" s="523" t="s">
        <v>3702</v>
      </c>
      <c r="B1" s="524"/>
      <c r="C1" s="524"/>
      <c r="D1" s="524"/>
      <c r="E1" s="524"/>
      <c r="F1" s="524"/>
    </row>
    <row r="2" spans="1:6" ht="21" customHeight="1" x14ac:dyDescent="0.2">
      <c r="A2" s="524"/>
      <c r="B2" s="524"/>
      <c r="C2" s="524"/>
      <c r="D2" s="524"/>
      <c r="E2" s="524"/>
      <c r="F2" s="524"/>
    </row>
    <row r="3" spans="1:6" ht="21" customHeight="1" x14ac:dyDescent="0.2">
      <c r="A3" s="524" t="s">
        <v>3703</v>
      </c>
      <c r="B3" s="524" t="s">
        <v>3704</v>
      </c>
      <c r="C3" s="524"/>
      <c r="D3" s="524"/>
      <c r="E3" s="524"/>
      <c r="F3" s="524"/>
    </row>
    <row r="4" spans="1:6" ht="21" customHeight="1" x14ac:dyDescent="0.2">
      <c r="A4" s="524" t="s">
        <v>3705</v>
      </c>
      <c r="B4" s="525">
        <f>STAT_ASSUMPTIONS!B3</f>
        <v>44561</v>
      </c>
      <c r="C4" s="524"/>
      <c r="D4" s="524"/>
      <c r="E4" s="524"/>
      <c r="F4" s="524"/>
    </row>
    <row r="5" spans="1:6" ht="21" customHeight="1" x14ac:dyDescent="0.2">
      <c r="A5" s="524"/>
      <c r="B5" s="524"/>
      <c r="C5" s="524"/>
      <c r="D5" s="524"/>
      <c r="E5" s="524"/>
      <c r="F5" s="524"/>
    </row>
    <row r="6" spans="1:6" ht="21" customHeight="1" x14ac:dyDescent="0.2">
      <c r="A6" s="526" t="s">
        <v>3706</v>
      </c>
      <c r="B6" s="600" t="s">
        <v>764</v>
      </c>
      <c r="C6" s="526" t="s">
        <v>3707</v>
      </c>
      <c r="D6" s="526" t="s">
        <v>3708</v>
      </c>
      <c r="E6" s="526" t="s">
        <v>3709</v>
      </c>
      <c r="F6" s="526" t="s">
        <v>3710</v>
      </c>
    </row>
    <row r="7" spans="1:6" ht="21" customHeight="1" x14ac:dyDescent="0.2">
      <c r="A7" s="527" t="s">
        <v>716</v>
      </c>
      <c r="B7" s="601">
        <f>AAM!E53</f>
        <v>13701055249</v>
      </c>
      <c r="C7" s="528">
        <f>STAT_AAM!D18</f>
        <v>13701055249</v>
      </c>
      <c r="D7" s="528">
        <f>C7-B7</f>
        <v>0</v>
      </c>
      <c r="E7" s="527" t="s">
        <v>3711</v>
      </c>
      <c r="F7" s="527" t="s">
        <v>3712</v>
      </c>
    </row>
    <row r="8" spans="1:6" ht="21" customHeight="1" x14ac:dyDescent="0.2">
      <c r="A8" s="527" t="s">
        <v>358</v>
      </c>
      <c r="B8" s="601">
        <f>EEM!D34</f>
        <v>19886438291.384579</v>
      </c>
      <c r="C8" s="528">
        <f>STAT_EEM!B22</f>
        <v>19886438291.384579</v>
      </c>
      <c r="D8" s="528">
        <f>C8-B8</f>
        <v>0</v>
      </c>
      <c r="E8" s="527" t="s">
        <v>3713</v>
      </c>
      <c r="F8" s="527" t="s">
        <v>3714</v>
      </c>
    </row>
    <row r="9" spans="1:6" ht="21" customHeight="1" x14ac:dyDescent="0.2">
      <c r="A9" s="527" t="s">
        <v>467</v>
      </c>
      <c r="B9" s="601">
        <f>DCF!C33</f>
        <v>34009467929.993984</v>
      </c>
      <c r="C9" s="528">
        <f>STAT_DCF!B39</f>
        <v>34009467929.99398</v>
      </c>
      <c r="D9" s="528">
        <f>C9-B9</f>
        <v>0</v>
      </c>
      <c r="E9" s="527" t="s">
        <v>3715</v>
      </c>
      <c r="F9" s="527" t="s">
        <v>3716</v>
      </c>
    </row>
    <row r="10" spans="1:6" ht="21" customHeight="1" x14ac:dyDescent="0.2">
      <c r="A10" s="524"/>
      <c r="B10" s="524"/>
      <c r="C10" s="524"/>
      <c r="D10" s="524"/>
      <c r="E10" s="524"/>
      <c r="F10" s="524"/>
    </row>
    <row r="11" spans="1:6" ht="21" customHeight="1" x14ac:dyDescent="0.2">
      <c r="A11" s="524"/>
      <c r="B11" s="524"/>
      <c r="C11" s="524"/>
      <c r="D11" s="524"/>
      <c r="E11" s="524"/>
      <c r="F11" s="524"/>
    </row>
    <row r="12" spans="1:6" ht="21" customHeight="1" x14ac:dyDescent="0.2">
      <c r="A12" s="524" t="s">
        <v>3717</v>
      </c>
      <c r="B12" s="524"/>
      <c r="C12" s="524"/>
      <c r="D12" s="524"/>
      <c r="E12" s="524"/>
      <c r="F12" s="524"/>
    </row>
    <row r="13" spans="1:6" ht="21" customHeight="1" x14ac:dyDescent="0.2">
      <c r="A13" s="524" t="s">
        <v>3718</v>
      </c>
      <c r="B13" s="524"/>
      <c r="C13" s="524"/>
      <c r="D13" s="524"/>
      <c r="E13" s="524"/>
      <c r="F13" s="524"/>
    </row>
    <row r="14" spans="1:6" ht="21" customHeight="1" x14ac:dyDescent="0.2">
      <c r="A14" s="524" t="s">
        <v>3719</v>
      </c>
      <c r="B14" s="524"/>
      <c r="C14" s="524"/>
      <c r="D14" s="524"/>
      <c r="E14" s="524"/>
      <c r="F14" s="524"/>
    </row>
    <row r="15" spans="1:6" ht="21" customHeight="1" x14ac:dyDescent="0.2">
      <c r="A15" s="524" t="s">
        <v>3720</v>
      </c>
      <c r="B15" s="524"/>
      <c r="C15" s="524"/>
      <c r="D15" s="524"/>
      <c r="E15" s="524"/>
      <c r="F15" s="524"/>
    </row>
    <row r="16" spans="1:6" ht="21" customHeight="1" x14ac:dyDescent="0.2">
      <c r="A16" s="524" t="s">
        <v>3721</v>
      </c>
      <c r="B16" s="524"/>
      <c r="C16" s="524"/>
      <c r="D16" s="524"/>
      <c r="E16" s="524"/>
      <c r="F16" s="524"/>
    </row>
    <row r="17" spans="1:6" ht="21" customHeight="1" x14ac:dyDescent="0.2">
      <c r="A17" s="524"/>
      <c r="B17" s="524"/>
      <c r="C17" s="524"/>
      <c r="D17" s="524"/>
      <c r="E17" s="524"/>
      <c r="F17" s="524"/>
    </row>
    <row r="18" spans="1:6" ht="21" customHeight="1" x14ac:dyDescent="0.2">
      <c r="A18" s="527" t="s">
        <v>3722</v>
      </c>
      <c r="B18" s="527"/>
      <c r="C18" s="524"/>
      <c r="D18" s="524"/>
      <c r="E18" s="524"/>
      <c r="F18" s="524"/>
    </row>
    <row r="19" spans="1:6" ht="21" customHeight="1" x14ac:dyDescent="0.2">
      <c r="A19" s="527" t="s">
        <v>3723</v>
      </c>
      <c r="B19" s="529">
        <f>STAT_SENS!B5</f>
        <v>24918779313.67942</v>
      </c>
      <c r="C19" s="524"/>
      <c r="D19" s="524"/>
      <c r="E19" s="524"/>
      <c r="F19" s="524"/>
    </row>
    <row r="20" spans="1:6" ht="21" customHeight="1" x14ac:dyDescent="0.2">
      <c r="A20" s="527" t="s">
        <v>3724</v>
      </c>
      <c r="B20" s="529">
        <f>STAT_SENS!B6</f>
        <v>34009467929.99398</v>
      </c>
      <c r="C20" s="524"/>
      <c r="D20" s="524"/>
      <c r="E20" s="524"/>
      <c r="F20" s="524"/>
    </row>
    <row r="21" spans="1:6" ht="21" customHeight="1" x14ac:dyDescent="0.2">
      <c r="A21" s="527" t="s">
        <v>3725</v>
      </c>
      <c r="B21" s="529">
        <f>STAT_SENS!B7</f>
        <v>43002993384.060013</v>
      </c>
      <c r="C21" s="524"/>
      <c r="D21" s="524"/>
      <c r="E21" s="524"/>
      <c r="F21" s="524"/>
    </row>
    <row r="22" spans="1:6" ht="21" customHeight="1" x14ac:dyDescent="0.2">
      <c r="A22" s="527" t="s">
        <v>3726</v>
      </c>
      <c r="B22" s="529">
        <f>STAT_SENS!C6</f>
        <v>25377743773.447334</v>
      </c>
      <c r="C22" s="524"/>
      <c r="D22" s="524"/>
      <c r="E22" s="524"/>
      <c r="F22" s="524"/>
    </row>
    <row r="23" spans="1:6" ht="21" customHeight="1" x14ac:dyDescent="0.2">
      <c r="A23" s="527" t="s">
        <v>3727</v>
      </c>
      <c r="B23" s="529">
        <f>STAT_SENS!B13</f>
        <v>27166766818.967903</v>
      </c>
      <c r="C23" s="524"/>
      <c r="D23" s="524"/>
      <c r="E23" s="524"/>
      <c r="F23" s="524"/>
    </row>
  </sheetData>
  <pageMargins left="0.75" right="0.75" top="1" bottom="1" header="0.5" footer="0.5"/>
  <pageSetup paperSize="9" orientation="portrait" horizontalDpi="0" verticalDpi="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16"/>
  <sheetViews>
    <sheetView showGridLines="0" workbookViewId="0">
      <pane ySplit="3" topLeftCell="A4" activePane="bottomLeft" state="frozen"/>
      <selection pane="bottomLeft" activeCell="A8" sqref="A8"/>
    </sheetView>
  </sheetViews>
  <sheetFormatPr baseColWidth="10" defaultColWidth="8.83203125" defaultRowHeight="15" x14ac:dyDescent="0.2"/>
  <cols>
    <col min="1" max="1" width="30" customWidth="1"/>
    <col min="2" max="9" width="20" customWidth="1"/>
  </cols>
  <sheetData>
    <row r="1" spans="1:4" ht="21" customHeight="1" x14ac:dyDescent="0.2">
      <c r="A1" s="523" t="s">
        <v>3728</v>
      </c>
      <c r="B1" s="524"/>
      <c r="C1" s="524"/>
      <c r="D1" s="524"/>
    </row>
    <row r="2" spans="1:4" ht="21" customHeight="1" x14ac:dyDescent="0.2">
      <c r="A2" s="526" t="s">
        <v>3729</v>
      </c>
      <c r="B2" s="526" t="s">
        <v>3730</v>
      </c>
      <c r="C2" s="526" t="s">
        <v>3731</v>
      </c>
      <c r="D2" s="526" t="s">
        <v>3732</v>
      </c>
    </row>
    <row r="3" spans="1:4" ht="21" customHeight="1" x14ac:dyDescent="0.2">
      <c r="A3" s="527" t="s">
        <v>3733</v>
      </c>
      <c r="B3" s="528">
        <f>HOME!B20</f>
        <v>44561</v>
      </c>
      <c r="C3" s="527" t="s">
        <v>3734</v>
      </c>
      <c r="D3" s="527" t="s">
        <v>3735</v>
      </c>
    </row>
    <row r="4" spans="1:4" ht="21" customHeight="1" x14ac:dyDescent="0.2">
      <c r="A4" s="527" t="s">
        <v>3736</v>
      </c>
      <c r="B4" s="527" t="s">
        <v>3737</v>
      </c>
      <c r="C4" s="527" t="s">
        <v>3734</v>
      </c>
      <c r="D4" s="527" t="s">
        <v>3738</v>
      </c>
    </row>
    <row r="5" spans="1:4" ht="21" customHeight="1" x14ac:dyDescent="0.2">
      <c r="A5" s="527" t="s">
        <v>3739</v>
      </c>
      <c r="B5" s="530">
        <v>0.22</v>
      </c>
      <c r="C5" s="527" t="s">
        <v>3740</v>
      </c>
      <c r="D5" s="527" t="s">
        <v>3741</v>
      </c>
    </row>
    <row r="6" spans="1:4" ht="21" customHeight="1" x14ac:dyDescent="0.2">
      <c r="A6" s="527" t="s">
        <v>3742</v>
      </c>
      <c r="B6" s="528">
        <f>'DISCOUNT RATE'!H10</f>
        <v>0.11463062037189403</v>
      </c>
      <c r="C6" s="527" t="s">
        <v>3743</v>
      </c>
      <c r="D6" s="527" t="s">
        <v>3744</v>
      </c>
    </row>
    <row r="7" spans="1:4" ht="21" customHeight="1" x14ac:dyDescent="0.2">
      <c r="A7" s="527" t="s">
        <v>3745</v>
      </c>
      <c r="B7" s="528">
        <f>'DISCOUNT RATE'!F7*'DISCOUNT RATE'!H4+'DISCOUNT RATE'!F8*('DISCOUNT RATE'!C3+'DISCOUNT RATE'!H2*'DISCOUNT RATE'!C5+'DISCOUNT RATE'!C6)</f>
        <v>0.14869348033569196</v>
      </c>
      <c r="C7" s="527" t="s">
        <v>3746</v>
      </c>
      <c r="D7" s="527" t="s">
        <v>3747</v>
      </c>
    </row>
    <row r="8" spans="1:4" ht="21" customHeight="1" x14ac:dyDescent="0.2">
      <c r="A8" s="527" t="s">
        <v>3748</v>
      </c>
      <c r="B8" s="530">
        <v>0</v>
      </c>
      <c r="C8" s="527" t="s">
        <v>3740</v>
      </c>
      <c r="D8" s="527" t="s">
        <v>3749</v>
      </c>
    </row>
    <row r="9" spans="1:4" ht="21" customHeight="1" x14ac:dyDescent="0.2">
      <c r="A9" s="527" t="s">
        <v>3750</v>
      </c>
      <c r="B9" s="529">
        <f>'INCOME STATEMENT'!J6</f>
        <v>0.22757714145120844</v>
      </c>
      <c r="C9" s="527" t="s">
        <v>3743</v>
      </c>
      <c r="D9" s="527" t="s">
        <v>3751</v>
      </c>
    </row>
    <row r="10" spans="1:4" ht="21" customHeight="1" x14ac:dyDescent="0.2">
      <c r="A10" s="527" t="s">
        <v>3752</v>
      </c>
      <c r="B10" s="528">
        <f>'BORROWING CAP'!F14</f>
        <v>8.5138914355700479E-2</v>
      </c>
      <c r="C10" s="527" t="s">
        <v>3743</v>
      </c>
      <c r="D10" s="527" t="s">
        <v>3753</v>
      </c>
    </row>
    <row r="11" spans="1:4" ht="21" customHeight="1" x14ac:dyDescent="0.2">
      <c r="A11" s="527" t="s">
        <v>3754</v>
      </c>
      <c r="B11" s="531">
        <v>5</v>
      </c>
      <c r="C11" s="527" t="s">
        <v>3755</v>
      </c>
      <c r="D11" s="527" t="s">
        <v>3756</v>
      </c>
    </row>
    <row r="12" spans="1:4" ht="21" customHeight="1" x14ac:dyDescent="0.2">
      <c r="A12" s="527" t="s">
        <v>3757</v>
      </c>
      <c r="B12" s="527" t="s">
        <v>3758</v>
      </c>
      <c r="C12" s="527" t="s">
        <v>3759</v>
      </c>
      <c r="D12" s="527" t="s">
        <v>3760</v>
      </c>
    </row>
    <row r="13" spans="1:4" ht="21" customHeight="1" x14ac:dyDescent="0.2">
      <c r="A13" s="527" t="s">
        <v>3761</v>
      </c>
      <c r="B13" s="527" t="s">
        <v>3762</v>
      </c>
      <c r="C13" s="527" t="s">
        <v>3763</v>
      </c>
      <c r="D13" s="527" t="s">
        <v>3764</v>
      </c>
    </row>
    <row r="14" spans="1:4" ht="21" customHeight="1" x14ac:dyDescent="0.2">
      <c r="A14" s="527" t="s">
        <v>419</v>
      </c>
      <c r="B14" s="528">
        <f>SUM('BALANCE SHEET'!E8:E9)+'BALANCE SHEET'!E11</f>
        <v>1075880526</v>
      </c>
      <c r="C14" s="527" t="s">
        <v>3765</v>
      </c>
      <c r="D14" s="527" t="s">
        <v>3766</v>
      </c>
    </row>
    <row r="15" spans="1:4" ht="21" customHeight="1" x14ac:dyDescent="0.2">
      <c r="A15" s="527" t="s">
        <v>3767</v>
      </c>
      <c r="B15" s="531">
        <v>0</v>
      </c>
      <c r="C15" s="527" t="s">
        <v>3734</v>
      </c>
      <c r="D15" s="527" t="s">
        <v>3768</v>
      </c>
    </row>
    <row r="16" spans="1:4" ht="21" customHeight="1" x14ac:dyDescent="0.2">
      <c r="A16" s="527" t="s">
        <v>3769</v>
      </c>
      <c r="B16" s="527" t="s">
        <v>3770</v>
      </c>
      <c r="C16" s="527" t="s">
        <v>3734</v>
      </c>
      <c r="D16" s="527" t="s">
        <v>3771</v>
      </c>
    </row>
  </sheetData>
  <pageMargins left="0.75" right="0.75" top="1" bottom="1" header="0.5" footer="0.5"/>
  <pageSetup paperSize="9" orientation="portrait" horizontalDpi="0" verticalDpi="0"/>
  <legacy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17"/>
  <sheetViews>
    <sheetView showGridLines="0" workbookViewId="0">
      <pane ySplit="3" topLeftCell="A4" activePane="bottomLeft" state="frozen"/>
      <selection pane="bottomLeft"/>
    </sheetView>
  </sheetViews>
  <sheetFormatPr baseColWidth="10" defaultColWidth="8.83203125" defaultRowHeight="15" x14ac:dyDescent="0.2"/>
  <cols>
    <col min="1" max="1" width="30" customWidth="1"/>
    <col min="2" max="9" width="20" customWidth="1"/>
  </cols>
  <sheetData>
    <row r="1" spans="1:6" ht="21" customHeight="1" x14ac:dyDescent="0.2">
      <c r="A1" s="523" t="s">
        <v>3772</v>
      </c>
      <c r="B1" s="524"/>
      <c r="C1" s="524"/>
      <c r="D1" s="524"/>
      <c r="E1" s="524"/>
      <c r="F1" s="524"/>
    </row>
    <row r="2" spans="1:6" ht="21" customHeight="1" x14ac:dyDescent="0.2">
      <c r="A2" s="526" t="s">
        <v>3773</v>
      </c>
      <c r="B2" s="526" t="s">
        <v>3774</v>
      </c>
      <c r="C2" s="526" t="s">
        <v>3775</v>
      </c>
      <c r="D2" s="526" t="s">
        <v>3776</v>
      </c>
      <c r="E2" s="526" t="s">
        <v>3777</v>
      </c>
      <c r="F2" s="526" t="s">
        <v>3778</v>
      </c>
    </row>
    <row r="3" spans="1:6" ht="21" customHeight="1" x14ac:dyDescent="0.2">
      <c r="A3" s="527" t="s">
        <v>3385</v>
      </c>
      <c r="B3" s="528">
        <f>'INCOME STATEMENT'!C6</f>
        <v>9335637236</v>
      </c>
      <c r="C3" s="528">
        <f>'INCOME STATEMENT'!D6</f>
        <v>11406787320</v>
      </c>
      <c r="D3" s="528">
        <f>'INCOME STATEMENT'!E6</f>
        <v>16663916100</v>
      </c>
      <c r="E3" s="528">
        <f>D3</f>
        <v>16663916100</v>
      </c>
      <c r="F3" s="527" t="s">
        <v>3779</v>
      </c>
    </row>
    <row r="4" spans="1:6" ht="21" customHeight="1" x14ac:dyDescent="0.2">
      <c r="A4" s="527" t="s">
        <v>3750</v>
      </c>
      <c r="B4" s="527"/>
      <c r="C4" s="529">
        <f>C3/B3-1</f>
        <v>0.22185417359762538</v>
      </c>
      <c r="D4" s="529">
        <f>D3/C3-1</f>
        <v>0.46087725075599995</v>
      </c>
      <c r="E4" s="529">
        <f>AVERAGE(C4:D4)</f>
        <v>0.34136571217681266</v>
      </c>
      <c r="F4" s="527" t="s">
        <v>3780</v>
      </c>
    </row>
    <row r="5" spans="1:6" ht="21" customHeight="1" x14ac:dyDescent="0.2">
      <c r="A5" s="527" t="s">
        <v>3781</v>
      </c>
      <c r="B5" s="527"/>
      <c r="C5" s="527"/>
      <c r="D5" s="527"/>
      <c r="E5" s="529">
        <f>'INCOME STATEMENT'!J6</f>
        <v>0.22757714145120844</v>
      </c>
      <c r="F5" s="527" t="s">
        <v>3782</v>
      </c>
    </row>
    <row r="6" spans="1:6" ht="21" customHeight="1" x14ac:dyDescent="0.2">
      <c r="A6" s="527" t="s">
        <v>3783</v>
      </c>
      <c r="B6" s="529">
        <f>-'INCOME STATEMENT'!C7/'INCOME STATEMENT'!C6</f>
        <v>0.73702607674889731</v>
      </c>
      <c r="C6" s="529">
        <f>-'INCOME STATEMENT'!D7/'INCOME STATEMENT'!D6</f>
        <v>0.66326764037536201</v>
      </c>
      <c r="D6" s="529">
        <f>-'INCOME STATEMENT'!E7/'INCOME STATEMENT'!E6</f>
        <v>0.6468862510655583</v>
      </c>
      <c r="E6" s="529">
        <f>AVERAGE(B6:D6)</f>
        <v>0.68239332272993913</v>
      </c>
      <c r="F6" s="527" t="s">
        <v>3784</v>
      </c>
    </row>
    <row r="7" spans="1:6" ht="21" customHeight="1" x14ac:dyDescent="0.2">
      <c r="A7" s="527" t="s">
        <v>3785</v>
      </c>
      <c r="B7" s="529">
        <f>-'INCOME STATEMENT'!C13/'INCOME STATEMENT'!C6</f>
        <v>0.15216784340355016</v>
      </c>
      <c r="C7" s="529">
        <f>-'INCOME STATEMENT'!D13/'INCOME STATEMENT'!D6</f>
        <v>0.158666840822627</v>
      </c>
      <c r="D7" s="529">
        <f>-'INCOME STATEMENT'!E13/'INCOME STATEMENT'!E6</f>
        <v>0.15849186278608304</v>
      </c>
      <c r="E7" s="529">
        <f>AVERAGE(B7:D7)</f>
        <v>0.15644218233742005</v>
      </c>
      <c r="F7" s="527" t="s">
        <v>3784</v>
      </c>
    </row>
    <row r="8" spans="1:6" ht="21" customHeight="1" x14ac:dyDescent="0.2">
      <c r="A8" s="527" t="s">
        <v>3786</v>
      </c>
      <c r="B8" s="529">
        <f>-'INCOME STATEMENT'!C21/'INCOME STATEMENT'!C6</f>
        <v>3.786367936801438E-2</v>
      </c>
      <c r="C8" s="529">
        <f>-'INCOME STATEMENT'!D21/'INCOME STATEMENT'!D6</f>
        <v>9.8257203939873236E-2</v>
      </c>
      <c r="D8" s="529">
        <f>-'INCOME STATEMENT'!E21/'INCOME STATEMENT'!E6</f>
        <v>5.8913543197688087E-2</v>
      </c>
      <c r="E8" s="529">
        <f>AVERAGE(B8:D8)</f>
        <v>6.5011475501858582E-2</v>
      </c>
      <c r="F8" s="527" t="s">
        <v>3784</v>
      </c>
    </row>
    <row r="9" spans="1:6" ht="21" customHeight="1" x14ac:dyDescent="0.2">
      <c r="A9" s="527" t="s">
        <v>3125</v>
      </c>
      <c r="B9" s="529">
        <f>'INCOME STATEMENT'!C22/'INCOME STATEMENT'!C6</f>
        <v>7.294240047953808E-2</v>
      </c>
      <c r="C9" s="529">
        <f>'INCOME STATEMENT'!D22/'INCOME STATEMENT'!D6</f>
        <v>7.9808314862137714E-2</v>
      </c>
      <c r="D9" s="529">
        <f>'INCOME STATEMENT'!E22/'INCOME STATEMENT'!E6</f>
        <v>0.13570834295067052</v>
      </c>
      <c r="E9" s="529">
        <f>AVERAGE(B9:D9)</f>
        <v>9.6153019430782097E-2</v>
      </c>
      <c r="F9" s="527" t="s">
        <v>3784</v>
      </c>
    </row>
    <row r="10" spans="1:6" ht="21" customHeight="1" x14ac:dyDescent="0.2">
      <c r="A10" s="527" t="s">
        <v>3787</v>
      </c>
      <c r="B10" s="528">
        <f>'INCOME STATEMENT'!C35</f>
        <v>440745074</v>
      </c>
      <c r="C10" s="528">
        <f>'INCOME STATEMENT'!D35</f>
        <v>754862153</v>
      </c>
      <c r="D10" s="528">
        <f>'INCOME STATEMENT'!E35</f>
        <v>1838106527</v>
      </c>
      <c r="E10" s="527"/>
      <c r="F10" s="527" t="s">
        <v>3779</v>
      </c>
    </row>
    <row r="11" spans="1:6" ht="21" customHeight="1" x14ac:dyDescent="0.2">
      <c r="A11" s="527" t="s">
        <v>3788</v>
      </c>
      <c r="B11" s="528">
        <f>'INCOME STATEMENT'!C22*(1-STAT_ASSUMPTIONS!$B$5)</f>
        <v>531151756.20000005</v>
      </c>
      <c r="C11" s="528">
        <f>'INCOME STATEMENT'!D22*(1-STAT_ASSUMPTIONS!$B$5)</f>
        <v>710078049.72000003</v>
      </c>
      <c r="D11" s="528">
        <f>'INCOME STATEMENT'!E22*(1-STAT_ASSUMPTIONS!$B$5)</f>
        <v>1763917303.98</v>
      </c>
      <c r="E11" s="527"/>
      <c r="F11" s="527" t="s">
        <v>3789</v>
      </c>
    </row>
    <row r="12" spans="1:6" ht="21" customHeight="1" x14ac:dyDescent="0.2">
      <c r="A12" s="527" t="s">
        <v>3790</v>
      </c>
      <c r="B12" s="532">
        <f>'BALANCE SHEET'!C10/'INCOME STATEMENT'!C6*365</f>
        <v>9.7192856712668441</v>
      </c>
      <c r="C12" s="532">
        <f>'BALANCE SHEET'!D10/'INCOME STATEMENT'!D6*365</f>
        <v>21.611088195514807</v>
      </c>
      <c r="D12" s="532">
        <f>'BALANCE SHEET'!E10/'INCOME STATEMENT'!E6*365</f>
        <v>4.1847975647813058</v>
      </c>
      <c r="E12" s="532">
        <f>AVERAGE(B12:D12)</f>
        <v>11.838390477187652</v>
      </c>
      <c r="F12" s="527" t="s">
        <v>3784</v>
      </c>
    </row>
    <row r="13" spans="1:6" ht="21" customHeight="1" x14ac:dyDescent="0.2">
      <c r="A13" s="527" t="s">
        <v>3791</v>
      </c>
      <c r="B13" s="532">
        <f>IFERROR('BALANCE SHEET'!C12/-'INCOME STATEMENT'!C7*365,0)</f>
        <v>0</v>
      </c>
      <c r="C13" s="532">
        <f>IFERROR('BALANCE SHEET'!D12/-'INCOME STATEMENT'!D7*365,0)</f>
        <v>0</v>
      </c>
      <c r="D13" s="532">
        <f>IFERROR('BALANCE SHEET'!E12/-'INCOME STATEMENT'!E7*365,0)</f>
        <v>0</v>
      </c>
      <c r="E13" s="532">
        <f>AVERAGE(B13:D13)</f>
        <v>0</v>
      </c>
      <c r="F13" s="527" t="s">
        <v>3784</v>
      </c>
    </row>
    <row r="14" spans="1:6" ht="21" customHeight="1" x14ac:dyDescent="0.2">
      <c r="A14" s="527" t="s">
        <v>3792</v>
      </c>
      <c r="B14" s="532">
        <f>'BALANCE SHEET'!C31/-'INCOME STATEMENT'!C7*365</f>
        <v>71.566137002763739</v>
      </c>
      <c r="C14" s="532">
        <f>'BALANCE SHEET'!D31/-'INCOME STATEMENT'!D7*365</f>
        <v>34.860263259641663</v>
      </c>
      <c r="D14" s="532">
        <f>'BALANCE SHEET'!E31/-'INCOME STATEMENT'!E7*365</f>
        <v>61.73925608658449</v>
      </c>
      <c r="E14" s="532">
        <f>AVERAGE(B14:D14)</f>
        <v>56.055218782996633</v>
      </c>
      <c r="F14" s="527" t="s">
        <v>3784</v>
      </c>
    </row>
    <row r="15" spans="1:6" ht="21" customHeight="1" x14ac:dyDescent="0.2">
      <c r="A15" s="527" t="s">
        <v>3793</v>
      </c>
      <c r="B15" s="532">
        <f>'BALANCE SHEET'!C33/-'INCOME STATEMENT'!C13*365</f>
        <v>102.19392350026014</v>
      </c>
      <c r="C15" s="532">
        <f>'BALANCE SHEET'!D33/-'INCOME STATEMENT'!D13*365</f>
        <v>59.58830467789506</v>
      </c>
      <c r="D15" s="532">
        <f>'BALANCE SHEET'!E33/-'INCOME STATEMENT'!E13*365</f>
        <v>148.61431840358296</v>
      </c>
      <c r="E15" s="532">
        <f>AVERAGE(B15:D15)</f>
        <v>103.46551552724605</v>
      </c>
      <c r="F15" s="527" t="s">
        <v>3784</v>
      </c>
    </row>
    <row r="16" spans="1:6" ht="21" customHeight="1" x14ac:dyDescent="0.2">
      <c r="A16" s="527" t="s">
        <v>3794</v>
      </c>
      <c r="B16" s="529">
        <f>'BALANCE SHEET'!C32</f>
        <v>99403988</v>
      </c>
      <c r="C16" s="529">
        <f>'BALANCE SHEET'!D32</f>
        <v>250347400</v>
      </c>
      <c r="D16" s="529">
        <f>'BALANCE SHEET'!E32</f>
        <v>678518254</v>
      </c>
      <c r="E16" s="527"/>
      <c r="F16" s="527" t="s">
        <v>3795</v>
      </c>
    </row>
    <row r="17" spans="1:6" ht="21" customHeight="1" x14ac:dyDescent="0.2">
      <c r="A17" s="527" t="s">
        <v>3796</v>
      </c>
      <c r="B17" s="529">
        <f>'BALANCE SHEET'!C10+'BALANCE SHEET'!C12-'BALANCE SHEET'!C31-'BALANCE SHEET'!C33</f>
        <v>-1498240675</v>
      </c>
      <c r="C17" s="529">
        <f>'BALANCE SHEET'!D10+'BALANCE SHEET'!D12-'BALANCE SHEET'!D31-'BALANCE SHEET'!D33</f>
        <v>-342681280</v>
      </c>
      <c r="D17" s="529">
        <f>'BALANCE SHEET'!E10+'BALANCE SHEET'!E12-'BALANCE SHEET'!E31-'BALANCE SHEET'!E33</f>
        <v>-2707664417</v>
      </c>
      <c r="E17" s="527"/>
      <c r="F17" s="527" t="s">
        <v>3784</v>
      </c>
    </row>
  </sheetData>
  <pageMargins left="0.75" right="0.75" top="1" bottom="1" header="0.5" footer="0.5"/>
  <pageSetup paperSize="9" orientation="portrait" horizontalDpi="0" verticalDpi="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showGridLines="0" workbookViewId="0">
      <pane ySplit="3" topLeftCell="A4" activePane="bottomLeft" state="frozen"/>
      <selection pane="bottomLeft"/>
    </sheetView>
  </sheetViews>
  <sheetFormatPr baseColWidth="10" defaultColWidth="8.83203125" defaultRowHeight="15" x14ac:dyDescent="0.2"/>
  <cols>
    <col min="1" max="1" width="30" customWidth="1"/>
    <col min="2" max="9" width="20" customWidth="1"/>
  </cols>
  <sheetData>
    <row r="1" spans="1:5" ht="21" customHeight="1" x14ac:dyDescent="0.2">
      <c r="A1" s="523" t="s">
        <v>3797</v>
      </c>
      <c r="B1" s="524"/>
      <c r="C1" s="524"/>
      <c r="D1" s="524"/>
      <c r="E1" s="524"/>
    </row>
    <row r="2" spans="1:5" ht="21" customHeight="1" x14ac:dyDescent="0.2">
      <c r="A2" s="526" t="s">
        <v>3798</v>
      </c>
      <c r="B2" s="526" t="s">
        <v>3799</v>
      </c>
      <c r="C2" s="526" t="s">
        <v>3800</v>
      </c>
      <c r="D2" s="526" t="s">
        <v>3801</v>
      </c>
      <c r="E2" s="526" t="s">
        <v>3778</v>
      </c>
    </row>
    <row r="3" spans="1:5" ht="21" customHeight="1" x14ac:dyDescent="0.2">
      <c r="A3" s="527" t="s">
        <v>3802</v>
      </c>
      <c r="B3" s="528">
        <f>'BALANCE SHEET'!E8</f>
        <v>717848795</v>
      </c>
      <c r="C3" s="533">
        <v>0</v>
      </c>
      <c r="D3" s="528">
        <f t="shared" ref="D3:D10" si="0">B3+C3</f>
        <v>717848795</v>
      </c>
      <c r="E3" s="527" t="s">
        <v>3803</v>
      </c>
    </row>
    <row r="4" spans="1:5" ht="21" customHeight="1" x14ac:dyDescent="0.2">
      <c r="A4" s="527" t="s">
        <v>3804</v>
      </c>
      <c r="B4" s="528">
        <f>'BALANCE SHEET'!E9</f>
        <v>337031731</v>
      </c>
      <c r="C4" s="533">
        <v>0</v>
      </c>
      <c r="D4" s="528">
        <f t="shared" si="0"/>
        <v>337031731</v>
      </c>
      <c r="E4" s="527" t="s">
        <v>3803</v>
      </c>
    </row>
    <row r="5" spans="1:5" ht="21" customHeight="1" x14ac:dyDescent="0.2">
      <c r="A5" s="527" t="s">
        <v>3805</v>
      </c>
      <c r="B5" s="528">
        <f>'BALANCE SHEET'!E10</f>
        <v>191055111</v>
      </c>
      <c r="C5" s="533">
        <v>0</v>
      </c>
      <c r="D5" s="528">
        <f t="shared" si="0"/>
        <v>191055111</v>
      </c>
      <c r="E5" s="527" t="s">
        <v>3803</v>
      </c>
    </row>
    <row r="6" spans="1:5" ht="21" customHeight="1" x14ac:dyDescent="0.2">
      <c r="A6" s="527" t="s">
        <v>3806</v>
      </c>
      <c r="B6" s="528">
        <f>'BALANCE SHEET'!E11</f>
        <v>21000000</v>
      </c>
      <c r="C6" s="533">
        <v>0</v>
      </c>
      <c r="D6" s="528">
        <f t="shared" si="0"/>
        <v>21000000</v>
      </c>
      <c r="E6" s="527" t="s">
        <v>3803</v>
      </c>
    </row>
    <row r="7" spans="1:5" ht="21" customHeight="1" x14ac:dyDescent="0.2">
      <c r="A7" s="527" t="s">
        <v>3088</v>
      </c>
      <c r="B7" s="528">
        <f>'BALANCE SHEET'!E12</f>
        <v>0</v>
      </c>
      <c r="C7" s="533">
        <v>0</v>
      </c>
      <c r="D7" s="528">
        <f t="shared" si="0"/>
        <v>0</v>
      </c>
      <c r="E7" s="527" t="s">
        <v>3803</v>
      </c>
    </row>
    <row r="8" spans="1:5" ht="21" customHeight="1" x14ac:dyDescent="0.2">
      <c r="A8" s="527" t="s">
        <v>3807</v>
      </c>
      <c r="B8" s="528">
        <f>'BALANCE SHEET'!E13</f>
        <v>0</v>
      </c>
      <c r="C8" s="533">
        <v>0</v>
      </c>
      <c r="D8" s="528">
        <f t="shared" si="0"/>
        <v>0</v>
      </c>
      <c r="E8" s="527" t="s">
        <v>3803</v>
      </c>
    </row>
    <row r="9" spans="1:5" ht="21" customHeight="1" x14ac:dyDescent="0.2">
      <c r="A9" s="527" t="s">
        <v>3808</v>
      </c>
      <c r="B9" s="528">
        <f>'BALANCE SHEET'!E21</f>
        <v>16011357394</v>
      </c>
      <c r="C9" s="533">
        <v>0</v>
      </c>
      <c r="D9" s="528">
        <f t="shared" si="0"/>
        <v>16011357394</v>
      </c>
      <c r="E9" s="527" t="s">
        <v>3809</v>
      </c>
    </row>
    <row r="10" spans="1:5" ht="21" customHeight="1" x14ac:dyDescent="0.2">
      <c r="A10" s="527" t="s">
        <v>3810</v>
      </c>
      <c r="B10" s="528">
        <f>'BALANCE SHEET'!E22+'BALANCE SHEET'!E23</f>
        <v>0</v>
      </c>
      <c r="C10" s="533">
        <v>0</v>
      </c>
      <c r="D10" s="528">
        <f t="shared" si="0"/>
        <v>0</v>
      </c>
      <c r="E10" s="527" t="s">
        <v>3811</v>
      </c>
    </row>
    <row r="11" spans="1:5" ht="21" customHeight="1" x14ac:dyDescent="0.2">
      <c r="A11" s="527" t="s">
        <v>3812</v>
      </c>
      <c r="B11" s="528">
        <f>SUM(B3:B10)</f>
        <v>17278293031</v>
      </c>
      <c r="C11" s="528">
        <f>SUM(C3:C10)</f>
        <v>0</v>
      </c>
      <c r="D11" s="528">
        <f>SUM(D3:D10)</f>
        <v>17278293031</v>
      </c>
      <c r="E11" s="527" t="s">
        <v>3813</v>
      </c>
    </row>
    <row r="12" spans="1:5" ht="21" customHeight="1" x14ac:dyDescent="0.2">
      <c r="A12" s="527" t="s">
        <v>3814</v>
      </c>
      <c r="B12" s="528">
        <f>'BALANCE SHEET'!E30</f>
        <v>0</v>
      </c>
      <c r="C12" s="533">
        <v>0</v>
      </c>
      <c r="D12" s="528">
        <f t="shared" ref="D12:D17" si="1">B12+C12</f>
        <v>0</v>
      </c>
      <c r="E12" s="527" t="s">
        <v>3815</v>
      </c>
    </row>
    <row r="13" spans="1:5" ht="21" customHeight="1" x14ac:dyDescent="0.2">
      <c r="A13" s="527" t="s">
        <v>3816</v>
      </c>
      <c r="B13" s="528">
        <f>'BALANCE SHEET'!E31</f>
        <v>1823364600</v>
      </c>
      <c r="C13" s="533">
        <v>0</v>
      </c>
      <c r="D13" s="528">
        <f t="shared" si="1"/>
        <v>1823364600</v>
      </c>
      <c r="E13" s="527" t="s">
        <v>3815</v>
      </c>
    </row>
    <row r="14" spans="1:5" ht="21" customHeight="1" x14ac:dyDescent="0.2">
      <c r="A14" s="527" t="s">
        <v>3794</v>
      </c>
      <c r="B14" s="529">
        <f>'BALANCE SHEET'!E32</f>
        <v>678518254</v>
      </c>
      <c r="C14" s="534">
        <v>0</v>
      </c>
      <c r="D14" s="529">
        <f t="shared" si="1"/>
        <v>678518254</v>
      </c>
      <c r="E14" s="527" t="s">
        <v>3817</v>
      </c>
    </row>
    <row r="15" spans="1:5" ht="21" customHeight="1" x14ac:dyDescent="0.2">
      <c r="A15" s="527" t="s">
        <v>3818</v>
      </c>
      <c r="B15" s="528">
        <f>'BALANCE SHEET'!E33</f>
        <v>1075354928</v>
      </c>
      <c r="C15" s="533">
        <v>0</v>
      </c>
      <c r="D15" s="528">
        <f t="shared" si="1"/>
        <v>1075354928</v>
      </c>
      <c r="E15" s="527" t="s">
        <v>3815</v>
      </c>
    </row>
    <row r="16" spans="1:5" ht="21" customHeight="1" x14ac:dyDescent="0.2">
      <c r="A16" s="527" t="s">
        <v>3819</v>
      </c>
      <c r="B16" s="528">
        <f>'BALANCE SHEET'!E37</f>
        <v>0</v>
      </c>
      <c r="C16" s="533">
        <v>0</v>
      </c>
      <c r="D16" s="528">
        <f t="shared" si="1"/>
        <v>0</v>
      </c>
      <c r="E16" s="527" t="s">
        <v>3815</v>
      </c>
    </row>
    <row r="17" spans="1:5" ht="21" customHeight="1" x14ac:dyDescent="0.2">
      <c r="A17" s="527" t="s">
        <v>3820</v>
      </c>
      <c r="B17" s="528">
        <f>'BALANCE SHEET'!E38</f>
        <v>0</v>
      </c>
      <c r="C17" s="533">
        <v>0</v>
      </c>
      <c r="D17" s="528">
        <f t="shared" si="1"/>
        <v>0</v>
      </c>
      <c r="E17" s="527" t="s">
        <v>3815</v>
      </c>
    </row>
    <row r="18" spans="1:5" ht="21" customHeight="1" x14ac:dyDescent="0.2">
      <c r="A18" s="527" t="s">
        <v>3821</v>
      </c>
      <c r="B18" s="529">
        <f>B11-SUM(B12:B17)</f>
        <v>13701055249</v>
      </c>
      <c r="C18" s="529">
        <f>C11-SUM(C12:C17)</f>
        <v>0</v>
      </c>
      <c r="D18" s="529">
        <f>D11-SUM(D12:D17)</f>
        <v>13701055249</v>
      </c>
      <c r="E18" s="527" t="s">
        <v>3822</v>
      </c>
    </row>
  </sheetData>
  <pageMargins left="0.75" right="0.75" top="1" bottom="1" header="0.5" footer="0.5"/>
  <pageSetup paperSize="9" orientation="portrait" horizontalDpi="0" verticalDpi="0"/>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22"/>
  <sheetViews>
    <sheetView showGridLines="0" workbookViewId="0">
      <pane ySplit="3" topLeftCell="A4" activePane="bottomLeft" state="frozen"/>
      <selection pane="bottomLeft" activeCell="C18" sqref="C18"/>
    </sheetView>
  </sheetViews>
  <sheetFormatPr baseColWidth="10" defaultColWidth="8.83203125" defaultRowHeight="15" x14ac:dyDescent="0.2"/>
  <cols>
    <col min="1" max="1" width="30" customWidth="1"/>
    <col min="2" max="9" width="20" customWidth="1"/>
  </cols>
  <sheetData>
    <row r="1" spans="1:4" ht="21" customHeight="1" x14ac:dyDescent="0.2">
      <c r="A1" s="523" t="s">
        <v>3823</v>
      </c>
      <c r="B1" s="524"/>
      <c r="C1" s="524"/>
      <c r="D1" s="524"/>
    </row>
    <row r="2" spans="1:4" ht="21" customHeight="1" x14ac:dyDescent="0.2">
      <c r="A2" s="526" t="s">
        <v>3824</v>
      </c>
      <c r="B2" s="526" t="s">
        <v>3825</v>
      </c>
      <c r="C2" s="526" t="s">
        <v>3826</v>
      </c>
      <c r="D2" s="526" t="s">
        <v>3710</v>
      </c>
    </row>
    <row r="3" spans="1:4" ht="21" customHeight="1" x14ac:dyDescent="0.2">
      <c r="A3" s="527" t="s">
        <v>3808</v>
      </c>
      <c r="B3" s="528">
        <f>'BALANCE SHEET'!E21</f>
        <v>16011357394</v>
      </c>
      <c r="C3" s="527" t="s">
        <v>3827</v>
      </c>
      <c r="D3" s="527" t="s">
        <v>3828</v>
      </c>
    </row>
    <row r="4" spans="1:4" ht="21" customHeight="1" x14ac:dyDescent="0.2">
      <c r="A4" s="527" t="s">
        <v>3829</v>
      </c>
      <c r="B4" s="528">
        <f>'BALANCE SHEET'!E10+'BALANCE SHEET'!E12</f>
        <v>191055111</v>
      </c>
      <c r="C4" s="527" t="s">
        <v>3830</v>
      </c>
      <c r="D4" s="527" t="s">
        <v>3831</v>
      </c>
    </row>
    <row r="5" spans="1:4" ht="21" customHeight="1" x14ac:dyDescent="0.2">
      <c r="A5" s="527" t="s">
        <v>3832</v>
      </c>
      <c r="B5" s="528">
        <f>'BALANCE SHEET'!E31+'BALANCE SHEET'!E33</f>
        <v>2898719528</v>
      </c>
      <c r="C5" s="527" t="s">
        <v>3833</v>
      </c>
      <c r="D5" s="527" t="s">
        <v>3834</v>
      </c>
    </row>
    <row r="6" spans="1:4" ht="21" customHeight="1" x14ac:dyDescent="0.2">
      <c r="A6" s="527" t="s">
        <v>3835</v>
      </c>
      <c r="B6" s="528">
        <f>B4-B5</f>
        <v>-2707664417</v>
      </c>
      <c r="C6" s="527" t="s">
        <v>3836</v>
      </c>
      <c r="D6" s="527" t="s">
        <v>3837</v>
      </c>
    </row>
    <row r="7" spans="1:4" ht="21" customHeight="1" x14ac:dyDescent="0.2">
      <c r="A7" s="527" t="s">
        <v>3838</v>
      </c>
      <c r="B7" s="528">
        <f>B3+B6</f>
        <v>13303692977</v>
      </c>
      <c r="C7" s="527" t="s">
        <v>3839</v>
      </c>
      <c r="D7" s="527" t="s">
        <v>3840</v>
      </c>
    </row>
    <row r="8" spans="1:4" ht="21" customHeight="1" x14ac:dyDescent="0.2">
      <c r="A8" s="527" t="s">
        <v>3802</v>
      </c>
      <c r="B8" s="528">
        <f>'BALANCE SHEET'!E8</f>
        <v>717848795</v>
      </c>
      <c r="C8" s="527" t="s">
        <v>3841</v>
      </c>
      <c r="D8" s="527" t="s">
        <v>3842</v>
      </c>
    </row>
    <row r="9" spans="1:4" ht="21" customHeight="1" x14ac:dyDescent="0.2">
      <c r="A9" s="527" t="s">
        <v>3804</v>
      </c>
      <c r="B9" s="528">
        <f>'BALANCE SHEET'!E9</f>
        <v>337031731</v>
      </c>
      <c r="C9" s="527" t="s">
        <v>3841</v>
      </c>
      <c r="D9" s="527" t="s">
        <v>3842</v>
      </c>
    </row>
    <row r="10" spans="1:4" ht="21" customHeight="1" x14ac:dyDescent="0.2">
      <c r="A10" s="527" t="s">
        <v>3843</v>
      </c>
      <c r="B10" s="528">
        <f>'BALANCE SHEET'!E11</f>
        <v>21000000</v>
      </c>
      <c r="C10" s="527" t="s">
        <v>3841</v>
      </c>
      <c r="D10" s="527" t="s">
        <v>3844</v>
      </c>
    </row>
    <row r="11" spans="1:4" ht="21" customHeight="1" x14ac:dyDescent="0.2">
      <c r="A11" s="527" t="s">
        <v>3845</v>
      </c>
      <c r="B11" s="528">
        <f>SUM(B8:B10)</f>
        <v>1075880526</v>
      </c>
      <c r="C11" s="527" t="s">
        <v>3846</v>
      </c>
      <c r="D11" s="527" t="s">
        <v>3847</v>
      </c>
    </row>
    <row r="12" spans="1:4" ht="21" customHeight="1" x14ac:dyDescent="0.2">
      <c r="A12" s="527" t="s">
        <v>3848</v>
      </c>
      <c r="B12" s="528">
        <f>'INCOME STATEMENT'!E22</f>
        <v>2261432441</v>
      </c>
      <c r="C12" s="527" t="s">
        <v>3779</v>
      </c>
      <c r="D12" s="527" t="s">
        <v>3849</v>
      </c>
    </row>
    <row r="13" spans="1:4" ht="21" customHeight="1" x14ac:dyDescent="0.2">
      <c r="A13" s="527" t="s">
        <v>3850</v>
      </c>
      <c r="B13" s="529">
        <f>STAT_ASSUMPTIONS!B5</f>
        <v>0.22</v>
      </c>
      <c r="C13" s="527" t="s">
        <v>3851</v>
      </c>
      <c r="D13" s="527" t="s">
        <v>3852</v>
      </c>
    </row>
    <row r="14" spans="1:4" ht="21" customHeight="1" x14ac:dyDescent="0.2">
      <c r="A14" s="527" t="s">
        <v>374</v>
      </c>
      <c r="B14" s="528">
        <f>B12*(1-B13)</f>
        <v>1763917303.98</v>
      </c>
      <c r="C14" s="527" t="s">
        <v>3853</v>
      </c>
      <c r="D14" s="527" t="s">
        <v>3854</v>
      </c>
    </row>
    <row r="15" spans="1:4" ht="21" customHeight="1" x14ac:dyDescent="0.2">
      <c r="A15" s="527" t="s">
        <v>3855</v>
      </c>
      <c r="B15" s="529">
        <f>STAT_ASSUMPTIONS!B10</f>
        <v>8.5138914355700479E-2</v>
      </c>
      <c r="C15" s="527" t="s">
        <v>3743</v>
      </c>
      <c r="D15" s="527" t="s">
        <v>3856</v>
      </c>
    </row>
    <row r="16" spans="1:4" ht="21" customHeight="1" x14ac:dyDescent="0.2">
      <c r="A16" s="527" t="s">
        <v>370</v>
      </c>
      <c r="B16" s="528">
        <f>B7*B15</f>
        <v>1132661976.9833369</v>
      </c>
      <c r="C16" s="527" t="s">
        <v>3857</v>
      </c>
      <c r="D16" s="527" t="s">
        <v>3858</v>
      </c>
    </row>
    <row r="17" spans="1:4" ht="21" customHeight="1" x14ac:dyDescent="0.2">
      <c r="A17" s="527" t="s">
        <v>396</v>
      </c>
      <c r="B17" s="528">
        <f>B14-B16</f>
        <v>631255326.99666309</v>
      </c>
      <c r="C17" s="527" t="s">
        <v>3859</v>
      </c>
      <c r="D17" s="527" t="s">
        <v>3860</v>
      </c>
    </row>
    <row r="18" spans="1:4" ht="21" customHeight="1" x14ac:dyDescent="0.2">
      <c r="A18" s="527" t="s">
        <v>400</v>
      </c>
      <c r="B18" s="529">
        <f>STAT_ASSUMPTIONS!B6-STAT_ASSUMPTIONS!B8</f>
        <v>0.11463062037189403</v>
      </c>
      <c r="C18" s="527" t="s">
        <v>3861</v>
      </c>
      <c r="D18" s="527" t="s">
        <v>3862</v>
      </c>
    </row>
    <row r="19" spans="1:4" ht="21" customHeight="1" x14ac:dyDescent="0.2">
      <c r="A19" s="527" t="s">
        <v>404</v>
      </c>
      <c r="B19" s="528">
        <f>B17/B18</f>
        <v>5506864788.3845778</v>
      </c>
      <c r="C19" s="527" t="s">
        <v>3863</v>
      </c>
      <c r="D19" s="527" t="s">
        <v>3864</v>
      </c>
    </row>
    <row r="20" spans="1:4" ht="21" customHeight="1" x14ac:dyDescent="0.2">
      <c r="A20" s="527" t="s">
        <v>409</v>
      </c>
      <c r="B20" s="528">
        <f>B7+B19</f>
        <v>18810557765.384579</v>
      </c>
      <c r="C20" s="527" t="s">
        <v>3865</v>
      </c>
      <c r="D20" s="527" t="s">
        <v>3866</v>
      </c>
    </row>
    <row r="21" spans="1:4" ht="21" customHeight="1" x14ac:dyDescent="0.2">
      <c r="A21" s="527" t="s">
        <v>669</v>
      </c>
      <c r="B21" s="528">
        <f>'BALANCE SHEET'!E30+'BALANCE SHEET'!E37</f>
        <v>0</v>
      </c>
      <c r="C21" s="527" t="s">
        <v>3867</v>
      </c>
      <c r="D21" s="527" t="s">
        <v>3868</v>
      </c>
    </row>
    <row r="22" spans="1:4" ht="21" customHeight="1" x14ac:dyDescent="0.2">
      <c r="A22" s="527" t="s">
        <v>424</v>
      </c>
      <c r="B22" s="529">
        <f>B20+B11-B21</f>
        <v>19886438291.384579</v>
      </c>
      <c r="C22" s="527" t="s">
        <v>3869</v>
      </c>
      <c r="D22" s="527" t="s">
        <v>3822</v>
      </c>
    </row>
  </sheetData>
  <pageMargins left="0.75" right="0.75" top="1" bottom="1" header="0.5" footer="0.5"/>
  <pageSetup paperSize="9" orientation="portrait" horizontalDpi="0" verticalDpi="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39"/>
  <sheetViews>
    <sheetView showGridLines="0" workbookViewId="0">
      <pane ySplit="3" topLeftCell="A21" activePane="bottomLeft" state="frozen"/>
      <selection pane="bottomLeft" activeCell="A32" sqref="A32"/>
    </sheetView>
  </sheetViews>
  <sheetFormatPr baseColWidth="10" defaultColWidth="8.83203125" defaultRowHeight="15" x14ac:dyDescent="0.2"/>
  <cols>
    <col min="1" max="1" width="30" customWidth="1"/>
    <col min="2" max="9" width="20" customWidth="1"/>
  </cols>
  <sheetData>
    <row r="1" spans="1:7" ht="21" customHeight="1" x14ac:dyDescent="0.2">
      <c r="A1" s="523" t="s">
        <v>3870</v>
      </c>
      <c r="B1" s="524"/>
      <c r="C1" s="524"/>
      <c r="D1" s="524"/>
      <c r="E1" s="524"/>
      <c r="F1" s="524"/>
      <c r="G1" s="524"/>
    </row>
    <row r="2" spans="1:7" ht="21" customHeight="1" x14ac:dyDescent="0.2">
      <c r="A2" s="524"/>
      <c r="B2" s="524"/>
      <c r="C2" s="524"/>
      <c r="D2" s="524"/>
      <c r="E2" s="524"/>
      <c r="F2" s="524"/>
      <c r="G2" s="524"/>
    </row>
    <row r="3" spans="1:7" ht="21" customHeight="1" x14ac:dyDescent="0.2">
      <c r="A3" s="526" t="s">
        <v>3824</v>
      </c>
      <c r="B3" s="526" t="s">
        <v>3776</v>
      </c>
      <c r="C3" s="526" t="s">
        <v>3871</v>
      </c>
      <c r="D3" s="526" t="s">
        <v>3872</v>
      </c>
      <c r="E3" s="526" t="s">
        <v>3873</v>
      </c>
      <c r="F3" s="526" t="s">
        <v>3874</v>
      </c>
      <c r="G3" s="526" t="s">
        <v>3875</v>
      </c>
    </row>
    <row r="4" spans="1:7" ht="21" customHeight="1" x14ac:dyDescent="0.2">
      <c r="A4" s="527" t="s">
        <v>3876</v>
      </c>
      <c r="B4" s="535">
        <v>0</v>
      </c>
      <c r="C4" s="536">
        <v>1</v>
      </c>
      <c r="D4" s="536">
        <v>2</v>
      </c>
      <c r="E4" s="536">
        <v>3</v>
      </c>
      <c r="F4" s="536">
        <v>4</v>
      </c>
      <c r="G4" s="536">
        <v>5</v>
      </c>
    </row>
    <row r="5" spans="1:7" ht="21" customHeight="1" x14ac:dyDescent="0.2">
      <c r="A5" s="527" t="s">
        <v>3385</v>
      </c>
      <c r="B5" s="528">
        <f>'INCOME STATEMENT'!E6</f>
        <v>16663916100</v>
      </c>
      <c r="C5" s="528">
        <f>B5*(1+STAT_ASSUMPTIONS!$B$9)</f>
        <v>20456242491.420769</v>
      </c>
      <c r="D5" s="528">
        <f>C5*(1+STAT_ASSUMPTIONS!$B$9)</f>
        <v>25111615682.451054</v>
      </c>
      <c r="E5" s="528">
        <f>D5*(1+STAT_ASSUMPTIONS!$B$9)</f>
        <v>30826445396.684601</v>
      </c>
      <c r="F5" s="528">
        <f>E5*(1+STAT_ASSUMPTIONS!$B$9)</f>
        <v>37841839721.163849</v>
      </c>
      <c r="G5" s="528">
        <f>F5*(1+STAT_ASSUMPTIONS!$B$9)</f>
        <v>46453777432.16111</v>
      </c>
    </row>
    <row r="6" spans="1:7" ht="21" customHeight="1" x14ac:dyDescent="0.2">
      <c r="A6" s="527" t="s">
        <v>3750</v>
      </c>
      <c r="B6" s="527"/>
      <c r="C6" s="529">
        <f>C5/B5-1</f>
        <v>0.22757714145120844</v>
      </c>
      <c r="D6" s="529">
        <f>D5/C5-1</f>
        <v>0.22757714145120844</v>
      </c>
      <c r="E6" s="529">
        <f>E5/D5-1</f>
        <v>0.22757714145120844</v>
      </c>
      <c r="F6" s="529">
        <f>F5/E5-1</f>
        <v>0.22757714145120844</v>
      </c>
      <c r="G6" s="529">
        <f>G5/F5-1</f>
        <v>0.22757714145120844</v>
      </c>
    </row>
    <row r="7" spans="1:7" ht="21" customHeight="1" x14ac:dyDescent="0.2">
      <c r="A7" s="527" t="s">
        <v>3783</v>
      </c>
      <c r="B7" s="529">
        <f>-'INCOME STATEMENT'!J7</f>
        <v>0.68239332272993913</v>
      </c>
      <c r="C7" s="529">
        <f>$B$7</f>
        <v>0.68239332272993913</v>
      </c>
      <c r="D7" s="529">
        <f>$B$7</f>
        <v>0.68239332272993913</v>
      </c>
      <c r="E7" s="529">
        <f>$B$7</f>
        <v>0.68239332272993913</v>
      </c>
      <c r="F7" s="529">
        <f>$B$7</f>
        <v>0.68239332272993913</v>
      </c>
      <c r="G7" s="529">
        <f>$B$7</f>
        <v>0.68239332272993913</v>
      </c>
    </row>
    <row r="8" spans="1:7" ht="21" customHeight="1" x14ac:dyDescent="0.2">
      <c r="A8" s="527" t="s">
        <v>3386</v>
      </c>
      <c r="B8" s="528">
        <f t="shared" ref="B8:G8" si="0">B5*B7</f>
        <v>11371345077.171928</v>
      </c>
      <c r="C8" s="528">
        <f t="shared" si="0"/>
        <v>13959203284.289988</v>
      </c>
      <c r="D8" s="528">
        <f t="shared" si="0"/>
        <v>17135998864.665022</v>
      </c>
      <c r="E8" s="528">
        <f t="shared" si="0"/>
        <v>21035760502.19664</v>
      </c>
      <c r="F8" s="528">
        <f t="shared" si="0"/>
        <v>25823018745.538792</v>
      </c>
      <c r="G8" s="528">
        <f t="shared" si="0"/>
        <v>31699747535.289478</v>
      </c>
    </row>
    <row r="9" spans="1:7" ht="21" customHeight="1" x14ac:dyDescent="0.2">
      <c r="A9" s="527" t="s">
        <v>3785</v>
      </c>
      <c r="B9" s="529">
        <f>-'INCOME STATEMENT'!J13</f>
        <v>0.15644218233742005</v>
      </c>
      <c r="C9" s="529">
        <f>$B$9</f>
        <v>0.15644218233742005</v>
      </c>
      <c r="D9" s="529">
        <f>$B$9</f>
        <v>0.15644218233742005</v>
      </c>
      <c r="E9" s="529">
        <f>$B$9</f>
        <v>0.15644218233742005</v>
      </c>
      <c r="F9" s="529">
        <f>$B$9</f>
        <v>0.15644218233742005</v>
      </c>
      <c r="G9" s="529">
        <f>$B$9</f>
        <v>0.15644218233742005</v>
      </c>
    </row>
    <row r="10" spans="1:7" ht="21" customHeight="1" x14ac:dyDescent="0.2">
      <c r="A10" s="527" t="s">
        <v>3877</v>
      </c>
      <c r="B10" s="528">
        <f t="shared" ref="B10:G10" si="1">B5*B9</f>
        <v>2606939400.9716697</v>
      </c>
      <c r="C10" s="528">
        <f t="shared" si="1"/>
        <v>3200219217.7813277</v>
      </c>
      <c r="D10" s="528">
        <f t="shared" si="1"/>
        <v>3928515959.3812246</v>
      </c>
      <c r="E10" s="528">
        <f t="shared" si="1"/>
        <v>4822556391.5626554</v>
      </c>
      <c r="F10" s="528">
        <f t="shared" si="1"/>
        <v>5920059989.6417398</v>
      </c>
      <c r="G10" s="528">
        <f t="shared" si="1"/>
        <v>7267330319.3040771</v>
      </c>
    </row>
    <row r="11" spans="1:7" ht="21" customHeight="1" x14ac:dyDescent="0.2">
      <c r="A11" s="527" t="s">
        <v>3878</v>
      </c>
      <c r="B11" s="529">
        <f>AVERAGE(-'INCOME STATEMENT'!C21/'INCOME STATEMENT'!C6,-'INCOME STATEMENT'!D21/'INCOME STATEMENT'!D6,-'INCOME STATEMENT'!E21/'INCOME STATEMENT'!E6)</f>
        <v>6.5011475501858582E-2</v>
      </c>
      <c r="C11" s="529">
        <f>$B$11</f>
        <v>6.5011475501858582E-2</v>
      </c>
      <c r="D11" s="529">
        <f>$B$11</f>
        <v>6.5011475501858582E-2</v>
      </c>
      <c r="E11" s="529">
        <f>$B$11</f>
        <v>6.5011475501858582E-2</v>
      </c>
      <c r="F11" s="529">
        <f>$B$11</f>
        <v>6.5011475501858582E-2</v>
      </c>
      <c r="G11" s="529">
        <f>$B$11</f>
        <v>6.5011475501858582E-2</v>
      </c>
    </row>
    <row r="12" spans="1:7" ht="21" customHeight="1" x14ac:dyDescent="0.2">
      <c r="A12" s="527" t="s">
        <v>3123</v>
      </c>
      <c r="B12" s="528">
        <f t="shared" ref="B12:G12" si="2">B5*B11</f>
        <v>1083345773.3001769</v>
      </c>
      <c r="C12" s="528">
        <f t="shared" si="2"/>
        <v>1329890507.59108</v>
      </c>
      <c r="D12" s="528">
        <f t="shared" si="2"/>
        <v>1632543187.7517545</v>
      </c>
      <c r="E12" s="528">
        <f t="shared" si="2"/>
        <v>2004072699.7159421</v>
      </c>
      <c r="F12" s="528">
        <f t="shared" si="2"/>
        <v>2460153835.9777026</v>
      </c>
      <c r="G12" s="528">
        <f t="shared" si="2"/>
        <v>3020028613.499733</v>
      </c>
    </row>
    <row r="13" spans="1:7" ht="21" customHeight="1" x14ac:dyDescent="0.2">
      <c r="A13" s="527" t="s">
        <v>3124</v>
      </c>
      <c r="B13" s="528">
        <f t="shared" ref="B13:G13" si="3">B5-B8-B10-B12</f>
        <v>1602285848.5562251</v>
      </c>
      <c r="C13" s="528">
        <f t="shared" si="3"/>
        <v>1966929481.7583735</v>
      </c>
      <c r="D13" s="528">
        <f t="shared" si="3"/>
        <v>2414557670.6530523</v>
      </c>
      <c r="E13" s="528">
        <f t="shared" si="3"/>
        <v>2964055803.209363</v>
      </c>
      <c r="F13" s="528">
        <f t="shared" si="3"/>
        <v>3638607150.0056148</v>
      </c>
      <c r="G13" s="528">
        <f t="shared" si="3"/>
        <v>4466670964.0678215</v>
      </c>
    </row>
    <row r="14" spans="1:7" ht="21" customHeight="1" x14ac:dyDescent="0.2">
      <c r="A14" s="527" t="s">
        <v>3850</v>
      </c>
      <c r="B14" s="529">
        <f>STAT_ASSUMPTIONS!$B$5</f>
        <v>0.22</v>
      </c>
      <c r="C14" s="529">
        <f>$B$14</f>
        <v>0.22</v>
      </c>
      <c r="D14" s="529">
        <f>$B$14</f>
        <v>0.22</v>
      </c>
      <c r="E14" s="529">
        <f>$B$14</f>
        <v>0.22</v>
      </c>
      <c r="F14" s="529">
        <f>$B$14</f>
        <v>0.22</v>
      </c>
      <c r="G14" s="529">
        <f>$B$14</f>
        <v>0.22</v>
      </c>
    </row>
    <row r="15" spans="1:7" ht="21" customHeight="1" x14ac:dyDescent="0.2">
      <c r="A15" s="527" t="s">
        <v>93</v>
      </c>
      <c r="B15" s="528">
        <f t="shared" ref="B15:G15" si="4">B13*(1-B14)</f>
        <v>1249782961.8738556</v>
      </c>
      <c r="C15" s="528">
        <f t="shared" si="4"/>
        <v>1534204995.7715313</v>
      </c>
      <c r="D15" s="528">
        <f t="shared" si="4"/>
        <v>1883354983.109381</v>
      </c>
      <c r="E15" s="528">
        <f t="shared" si="4"/>
        <v>2311963526.5033031</v>
      </c>
      <c r="F15" s="528">
        <f t="shared" si="4"/>
        <v>2838113577.0043797</v>
      </c>
      <c r="G15" s="528">
        <f t="shared" si="4"/>
        <v>3484003351.9729009</v>
      </c>
    </row>
    <row r="16" spans="1:7" ht="21" customHeight="1" x14ac:dyDescent="0.2">
      <c r="A16" s="527" t="s">
        <v>3790</v>
      </c>
      <c r="B16" s="532">
        <f>AVERAGE('BALANCE SHEET'!C10/'INCOME STATEMENT'!C6*365,'BALANCE SHEET'!D10/'INCOME STATEMENT'!D6*365,'BALANCE SHEET'!E10/'INCOME STATEMENT'!E6*365)</f>
        <v>11.838390477187652</v>
      </c>
      <c r="C16" s="532">
        <f>$B$16</f>
        <v>11.838390477187652</v>
      </c>
      <c r="D16" s="532">
        <f>$B$16</f>
        <v>11.838390477187652</v>
      </c>
      <c r="E16" s="532">
        <f>$B$16</f>
        <v>11.838390477187652</v>
      </c>
      <c r="F16" s="532">
        <f>$B$16</f>
        <v>11.838390477187652</v>
      </c>
      <c r="G16" s="532">
        <f>$B$16</f>
        <v>11.838390477187652</v>
      </c>
    </row>
    <row r="17" spans="1:7" ht="21" customHeight="1" x14ac:dyDescent="0.2">
      <c r="A17" s="527" t="s">
        <v>3791</v>
      </c>
      <c r="B17" s="532">
        <f>AVERAGE(IFERROR('BALANCE SHEET'!C12/-'INCOME STATEMENT'!C7*365,0),IFERROR('BALANCE SHEET'!D12/-'INCOME STATEMENT'!D7*365,0),IFERROR('BALANCE SHEET'!E12/-'INCOME STATEMENT'!E7*365,0))</f>
        <v>0</v>
      </c>
      <c r="C17" s="532">
        <f>$B$17</f>
        <v>0</v>
      </c>
      <c r="D17" s="532">
        <f>$B$17</f>
        <v>0</v>
      </c>
      <c r="E17" s="532">
        <f>$B$17</f>
        <v>0</v>
      </c>
      <c r="F17" s="532">
        <f>$B$17</f>
        <v>0</v>
      </c>
      <c r="G17" s="532">
        <f>$B$17</f>
        <v>0</v>
      </c>
    </row>
    <row r="18" spans="1:7" ht="21" customHeight="1" x14ac:dyDescent="0.2">
      <c r="A18" s="527" t="s">
        <v>3792</v>
      </c>
      <c r="B18" s="532">
        <f>AVERAGE('BALANCE SHEET'!C31/-'INCOME STATEMENT'!C7*365,'BALANCE SHEET'!D31/-'INCOME STATEMENT'!D7*365,'BALANCE SHEET'!E31/-'INCOME STATEMENT'!E7*365)</f>
        <v>56.055218782996633</v>
      </c>
      <c r="C18" s="532">
        <f>$B$18</f>
        <v>56.055218782996633</v>
      </c>
      <c r="D18" s="532">
        <f>$B$18</f>
        <v>56.055218782996633</v>
      </c>
      <c r="E18" s="532">
        <f>$B$18</f>
        <v>56.055218782996633</v>
      </c>
      <c r="F18" s="532">
        <f>$B$18</f>
        <v>56.055218782996633</v>
      </c>
      <c r="G18" s="532">
        <f>$B$18</f>
        <v>56.055218782996633</v>
      </c>
    </row>
    <row r="19" spans="1:7" ht="21" customHeight="1" x14ac:dyDescent="0.2">
      <c r="A19" s="527" t="s">
        <v>3793</v>
      </c>
      <c r="B19" s="532">
        <f>AVERAGE('BALANCE SHEET'!C33/-'INCOME STATEMENT'!C13*365,'BALANCE SHEET'!D33/-'INCOME STATEMENT'!D13*365,'BALANCE SHEET'!E33/-'INCOME STATEMENT'!E13*365)</f>
        <v>103.46551552724605</v>
      </c>
      <c r="C19" s="532">
        <f>$B$19</f>
        <v>103.46551552724605</v>
      </c>
      <c r="D19" s="532">
        <f>$B$19</f>
        <v>103.46551552724605</v>
      </c>
      <c r="E19" s="532">
        <f>$B$19</f>
        <v>103.46551552724605</v>
      </c>
      <c r="F19" s="532">
        <f>$B$19</f>
        <v>103.46551552724605</v>
      </c>
      <c r="G19" s="532">
        <f>$B$19</f>
        <v>103.46551552724605</v>
      </c>
    </row>
    <row r="20" spans="1:7" ht="21" customHeight="1" x14ac:dyDescent="0.2">
      <c r="A20" s="527" t="s">
        <v>3805</v>
      </c>
      <c r="B20" s="528">
        <f>'BALANCE SHEET'!E10</f>
        <v>191055111</v>
      </c>
      <c r="C20" s="528">
        <f>C5*C16/365</f>
        <v>663476674.820485</v>
      </c>
      <c r="D20" s="528">
        <f>D5*D16/365</f>
        <v>814468799.89568388</v>
      </c>
      <c r="E20" s="528">
        <f>E5*E16/365</f>
        <v>999823281.17713988</v>
      </c>
      <c r="F20" s="528">
        <f>F5*F16/365</f>
        <v>1227360205.4638014</v>
      </c>
      <c r="G20" s="528">
        <f>G5*G16/365</f>
        <v>1506679332.5542214</v>
      </c>
    </row>
    <row r="21" spans="1:7" ht="21" customHeight="1" x14ac:dyDescent="0.2">
      <c r="A21" s="527" t="s">
        <v>3088</v>
      </c>
      <c r="B21" s="528">
        <f>'BALANCE SHEET'!E12</f>
        <v>0</v>
      </c>
      <c r="C21" s="528">
        <f>C8*C17/365</f>
        <v>0</v>
      </c>
      <c r="D21" s="528">
        <f>D8*D17/365</f>
        <v>0</v>
      </c>
      <c r="E21" s="528">
        <f>E8*E17/365</f>
        <v>0</v>
      </c>
      <c r="F21" s="528">
        <f>F8*F17/365</f>
        <v>0</v>
      </c>
      <c r="G21" s="528">
        <f>G8*G17/365</f>
        <v>0</v>
      </c>
    </row>
    <row r="22" spans="1:7" ht="21" customHeight="1" x14ac:dyDescent="0.2">
      <c r="A22" s="527" t="s">
        <v>3816</v>
      </c>
      <c r="B22" s="528">
        <f>'BALANCE SHEET'!E31</f>
        <v>1823364600</v>
      </c>
      <c r="C22" s="528">
        <f>C8*C18/365</f>
        <v>2143797792.1567135</v>
      </c>
      <c r="D22" s="528">
        <f>D8*D18/365</f>
        <v>2631677165.5451498</v>
      </c>
      <c r="E22" s="528">
        <f>E8*E18/365</f>
        <v>3230586732.1023335</v>
      </c>
      <c r="F22" s="528">
        <f>F8*F18/365</f>
        <v>3965794425.8043847</v>
      </c>
      <c r="G22" s="528">
        <f>G8*G18/365</f>
        <v>4868318584.8120823</v>
      </c>
    </row>
    <row r="23" spans="1:7" ht="21" customHeight="1" x14ac:dyDescent="0.2">
      <c r="A23" s="527" t="s">
        <v>3818</v>
      </c>
      <c r="B23" s="528">
        <f>'BALANCE SHEET'!E33</f>
        <v>1075354928</v>
      </c>
      <c r="C23" s="528">
        <f>C10*C19/365</f>
        <v>907157071.69300056</v>
      </c>
      <c r="D23" s="528">
        <f>D10*D19/365</f>
        <v>1113605284.9161425</v>
      </c>
      <c r="E23" s="528">
        <f>E10*E19/365</f>
        <v>1367036392.3623166</v>
      </c>
      <c r="F23" s="528">
        <f>F10*F19/365</f>
        <v>1678142626.7959054</v>
      </c>
      <c r="G23" s="528">
        <f>G10*G19/365</f>
        <v>2060049528.7495399</v>
      </c>
    </row>
    <row r="24" spans="1:7" ht="21" customHeight="1" x14ac:dyDescent="0.2">
      <c r="A24" s="527" t="s">
        <v>3879</v>
      </c>
      <c r="B24" s="528">
        <f t="shared" ref="B24:G24" si="5">B20+B21-B22-B23</f>
        <v>-2707664417</v>
      </c>
      <c r="C24" s="528">
        <f t="shared" si="5"/>
        <v>-2387478189.0292292</v>
      </c>
      <c r="D24" s="528">
        <f t="shared" si="5"/>
        <v>-2930813650.5656085</v>
      </c>
      <c r="E24" s="528">
        <f t="shared" si="5"/>
        <v>-3597799843.2875104</v>
      </c>
      <c r="F24" s="528">
        <f t="shared" si="5"/>
        <v>-4416576847.1364889</v>
      </c>
      <c r="G24" s="528">
        <f t="shared" si="5"/>
        <v>-5421688781.0074005</v>
      </c>
    </row>
    <row r="25" spans="1:7" ht="21" customHeight="1" x14ac:dyDescent="0.2">
      <c r="A25" s="527" t="s">
        <v>3880</v>
      </c>
      <c r="B25" s="527"/>
      <c r="C25" s="528">
        <f>C24-B24</f>
        <v>320186227.97077084</v>
      </c>
      <c r="D25" s="528">
        <f>D24-C24</f>
        <v>-543335461.53637934</v>
      </c>
      <c r="E25" s="528">
        <f>E24-D24</f>
        <v>-666986192.72190189</v>
      </c>
      <c r="F25" s="528">
        <f>F24-E24</f>
        <v>-818777003.84897852</v>
      </c>
      <c r="G25" s="528">
        <f>G24-F24</f>
        <v>-1005111933.8709116</v>
      </c>
    </row>
    <row r="26" spans="1:7" ht="21" customHeight="1" x14ac:dyDescent="0.2">
      <c r="A26" s="527" t="s">
        <v>3881</v>
      </c>
      <c r="B26" s="528">
        <f t="shared" ref="B26:G26" si="6">B12</f>
        <v>1083345773.3001769</v>
      </c>
      <c r="C26" s="528">
        <f t="shared" si="6"/>
        <v>1329890507.59108</v>
      </c>
      <c r="D26" s="528">
        <f t="shared" si="6"/>
        <v>1632543187.7517545</v>
      </c>
      <c r="E26" s="528">
        <f t="shared" si="6"/>
        <v>2004072699.7159421</v>
      </c>
      <c r="F26" s="528">
        <f t="shared" si="6"/>
        <v>2460153835.9777026</v>
      </c>
      <c r="G26" s="528">
        <f t="shared" si="6"/>
        <v>3020028613.499733</v>
      </c>
    </row>
    <row r="27" spans="1:7" ht="21" customHeight="1" x14ac:dyDescent="0.2">
      <c r="A27" s="527" t="s">
        <v>3757</v>
      </c>
      <c r="B27" s="528">
        <f t="shared" ref="B27:G27" si="7">B12</f>
        <v>1083345773.3001769</v>
      </c>
      <c r="C27" s="528">
        <f t="shared" si="7"/>
        <v>1329890507.59108</v>
      </c>
      <c r="D27" s="528">
        <f t="shared" si="7"/>
        <v>1632543187.7517545</v>
      </c>
      <c r="E27" s="528">
        <f t="shared" si="7"/>
        <v>2004072699.7159421</v>
      </c>
      <c r="F27" s="528">
        <f t="shared" si="7"/>
        <v>2460153835.9777026</v>
      </c>
      <c r="G27" s="528">
        <f t="shared" si="7"/>
        <v>3020028613.499733</v>
      </c>
    </row>
    <row r="28" spans="1:7" ht="21" customHeight="1" x14ac:dyDescent="0.2">
      <c r="A28" s="527" t="s">
        <v>3223</v>
      </c>
      <c r="B28" s="528">
        <f>B15+B26-B27</f>
        <v>1249782961.8738554</v>
      </c>
      <c r="C28" s="528">
        <f>C15+C26-C27-C25</f>
        <v>1214018767.8007605</v>
      </c>
      <c r="D28" s="528">
        <f>D15+D26-D27-D25</f>
        <v>2426690444.6457605</v>
      </c>
      <c r="E28" s="528">
        <f>E15+E26-E27-E25</f>
        <v>2978949719.2252045</v>
      </c>
      <c r="F28" s="528">
        <f>F15+F26-F27-F25</f>
        <v>3656890580.8533583</v>
      </c>
      <c r="G28" s="528">
        <f>G15+G26-G27-G25</f>
        <v>4489115285.843812</v>
      </c>
    </row>
    <row r="29" spans="1:7" ht="21" customHeight="1" x14ac:dyDescent="0.2">
      <c r="A29" s="527" t="s">
        <v>3882</v>
      </c>
      <c r="B29" s="527"/>
      <c r="C29" s="528">
        <f>1/(1+$B$31)^C4</f>
        <v>0.89715819906899041</v>
      </c>
      <c r="D29" s="528">
        <f>1/(1+$B$31)^D4</f>
        <v>0.8048928341567142</v>
      </c>
      <c r="E29" s="528">
        <f>1/(1+$B$31)^E4</f>
        <v>0.72211620553557332</v>
      </c>
      <c r="F29" s="528">
        <f>1/(1+$B$31)^F4</f>
        <v>0.64785247447682781</v>
      </c>
      <c r="G29" s="528">
        <f>1/(1+$B$31)^G4</f>
        <v>0.58122615926401988</v>
      </c>
    </row>
    <row r="30" spans="1:7" ht="21" customHeight="1" x14ac:dyDescent="0.2">
      <c r="A30" s="527" t="s">
        <v>3883</v>
      </c>
      <c r="B30" s="527"/>
      <c r="C30" s="528">
        <f>C28*C29</f>
        <v>1089166891.3560851</v>
      </c>
      <c r="D30" s="528">
        <f>D28*D29</f>
        <v>1953225749.6119432</v>
      </c>
      <c r="E30" s="528">
        <f>E28*E29</f>
        <v>2151147867.7281661</v>
      </c>
      <c r="F30" s="528">
        <f>F28*F29</f>
        <v>2369125611.6968522</v>
      </c>
      <c r="G30" s="528">
        <f>G28*G29</f>
        <v>2609191236.0844016</v>
      </c>
    </row>
    <row r="31" spans="1:7" ht="21" customHeight="1" x14ac:dyDescent="0.2">
      <c r="A31" s="527" t="s">
        <v>3450</v>
      </c>
      <c r="B31" s="528">
        <f>STAT_ASSUMPTIONS!B6</f>
        <v>0.11463062037189403</v>
      </c>
      <c r="C31" s="527"/>
      <c r="D31" s="527"/>
      <c r="E31" s="527"/>
      <c r="F31" s="527"/>
      <c r="G31" s="527"/>
    </row>
    <row r="32" spans="1:7" ht="21" customHeight="1" x14ac:dyDescent="0.2">
      <c r="A32" s="527" t="s">
        <v>654</v>
      </c>
      <c r="B32" s="529">
        <f>STAT_ASSUMPTIONS!B8</f>
        <v>0</v>
      </c>
      <c r="C32" s="527"/>
      <c r="D32" s="527"/>
      <c r="E32" s="527"/>
      <c r="F32" s="527"/>
      <c r="G32" s="527"/>
    </row>
    <row r="33" spans="1:7" ht="21" customHeight="1" x14ac:dyDescent="0.2">
      <c r="A33" s="527" t="s">
        <v>649</v>
      </c>
      <c r="B33" s="528">
        <f>SUM(C30:G30)</f>
        <v>10171857356.477448</v>
      </c>
      <c r="C33" s="527"/>
      <c r="D33" s="527"/>
      <c r="E33" s="527"/>
      <c r="F33" s="527"/>
      <c r="G33" s="527"/>
    </row>
    <row r="34" spans="1:7" ht="21" customHeight="1" x14ac:dyDescent="0.2">
      <c r="A34" s="527" t="s">
        <v>659</v>
      </c>
      <c r="B34" s="528">
        <f>G28*(1+B32)/(B31-B32)</f>
        <v>39161571936.711647</v>
      </c>
      <c r="C34" s="527"/>
      <c r="D34" s="527"/>
      <c r="E34" s="527"/>
      <c r="F34" s="527"/>
      <c r="G34" s="527"/>
    </row>
    <row r="35" spans="1:7" ht="21" customHeight="1" x14ac:dyDescent="0.2">
      <c r="A35" s="527" t="s">
        <v>663</v>
      </c>
      <c r="B35" s="528">
        <f>B34/(1+B31)^G4</f>
        <v>22761730047.516533</v>
      </c>
      <c r="C35" s="527"/>
      <c r="D35" s="527"/>
      <c r="E35" s="527"/>
      <c r="F35" s="527"/>
      <c r="G35" s="527"/>
    </row>
    <row r="36" spans="1:7" ht="21" customHeight="1" x14ac:dyDescent="0.2">
      <c r="A36" s="527" t="s">
        <v>409</v>
      </c>
      <c r="B36" s="528">
        <f>B33+B35</f>
        <v>32933587403.99398</v>
      </c>
      <c r="C36" s="527"/>
      <c r="D36" s="527"/>
      <c r="E36" s="527"/>
      <c r="F36" s="527"/>
      <c r="G36" s="527"/>
    </row>
    <row r="37" spans="1:7" ht="21" customHeight="1" x14ac:dyDescent="0.2">
      <c r="A37" s="527" t="s">
        <v>419</v>
      </c>
      <c r="B37" s="528">
        <f>STAT_EEM!B11</f>
        <v>1075880526</v>
      </c>
      <c r="C37" s="527"/>
      <c r="D37" s="527"/>
      <c r="E37" s="527"/>
      <c r="F37" s="527"/>
      <c r="G37" s="527"/>
    </row>
    <row r="38" spans="1:7" ht="21" customHeight="1" x14ac:dyDescent="0.2">
      <c r="A38" s="527" t="s">
        <v>669</v>
      </c>
      <c r="B38" s="528">
        <f>STAT_EEM!B21</f>
        <v>0</v>
      </c>
      <c r="C38" s="527"/>
      <c r="D38" s="527"/>
      <c r="E38" s="527"/>
      <c r="F38" s="527"/>
      <c r="G38" s="527"/>
    </row>
    <row r="39" spans="1:7" ht="21" customHeight="1" x14ac:dyDescent="0.2">
      <c r="A39" s="527" t="s">
        <v>682</v>
      </c>
      <c r="B39" s="529">
        <f>B36+B37-B38</f>
        <v>34009467929.99398</v>
      </c>
      <c r="C39" s="527"/>
      <c r="D39" s="527"/>
      <c r="E39" s="527"/>
      <c r="F39" s="527"/>
      <c r="G39" s="527"/>
    </row>
  </sheetData>
  <pageMargins left="0.75" right="0.75" top="1" bottom="1" header="0.5" footer="0.5"/>
  <pageSetup paperSize="9" orientation="portrait" horizontalDpi="0" verticalDpi="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20"/>
  <sheetViews>
    <sheetView showGridLines="0" workbookViewId="0">
      <pane ySplit="3" topLeftCell="A4" activePane="bottomLeft" state="frozen"/>
      <selection pane="bottomLeft" activeCell="A11" sqref="A11"/>
    </sheetView>
  </sheetViews>
  <sheetFormatPr baseColWidth="10" defaultColWidth="8.83203125" defaultRowHeight="15" x14ac:dyDescent="0.2"/>
  <cols>
    <col min="1" max="1" width="30" customWidth="1"/>
    <col min="2" max="9" width="20" customWidth="1"/>
  </cols>
  <sheetData>
    <row r="1" spans="1:3" ht="21" customHeight="1" x14ac:dyDescent="0.2">
      <c r="A1" s="523" t="s">
        <v>3884</v>
      </c>
      <c r="B1" s="524"/>
      <c r="C1" s="524"/>
    </row>
    <row r="2" spans="1:3" ht="21" customHeight="1" x14ac:dyDescent="0.2">
      <c r="A2" s="524"/>
      <c r="B2" s="524"/>
      <c r="C2" s="524"/>
    </row>
    <row r="3" spans="1:3" ht="21" customHeight="1" x14ac:dyDescent="0.2">
      <c r="A3" s="524" t="s">
        <v>3885</v>
      </c>
      <c r="B3" s="524"/>
      <c r="C3" s="524"/>
    </row>
    <row r="4" spans="1:3" ht="21" customHeight="1" x14ac:dyDescent="0.2">
      <c r="A4" s="526" t="s">
        <v>3886</v>
      </c>
      <c r="B4" s="526" t="s">
        <v>3742</v>
      </c>
      <c r="C4" s="526" t="s">
        <v>3887</v>
      </c>
    </row>
    <row r="5" spans="1:3" ht="21" customHeight="1" x14ac:dyDescent="0.2">
      <c r="A5" s="529">
        <f>'GROWTH RATE'!C14</f>
        <v>-6.4008377336633518E-2</v>
      </c>
      <c r="B5" s="529">
        <f>SUM(STAT_DCF!$C$28/(1+STAT_ASSUMPTIONS!$B$6)^1,STAT_DCF!$D$28/(1+STAT_ASSUMPTIONS!$B$6)^2,STAT_DCF!$E$28/(1+STAT_ASSUMPTIONS!$B$6)^3,STAT_DCF!$F$28/(1+STAT_ASSUMPTIONS!$B$6)^4,STAT_DCF!$G$28/(1+STAT_ASSUMPTIONS!$B$6)^5)+STAT_DCF!$G$28*(1+$A$5)/(STAT_ASSUMPTIONS!$B$6-$A$5)/(1+STAT_ASSUMPTIONS!$B$6)^5+STAT_EEM!$B$11-STAT_EEM!$B$21</f>
        <v>24918779313.67942</v>
      </c>
      <c r="C5" s="529">
        <f>SUM(STAT_DCF!$C$28/(1+STAT_ASSUMPTIONS!$B$7)^1,STAT_DCF!$D$28/(1+STAT_ASSUMPTIONS!$B$7)^2,STAT_DCF!$E$28/(1+STAT_ASSUMPTIONS!$B$7)^3,STAT_DCF!$F$28/(1+STAT_ASSUMPTIONS!$B$7)^4,STAT_DCF!$G$28/(1+STAT_ASSUMPTIONS!$B$7)^5)+STAT_DCF!$G$28*(1+$A$5)/(STAT_ASSUMPTIONS!$B$7-$A$5)/(1+STAT_ASSUMPTIONS!$B$7)^5+STAT_EEM!$B$11-STAT_EEM!$B$21</f>
        <v>20159579558.376778</v>
      </c>
    </row>
    <row r="6" spans="1:3" ht="21" customHeight="1" x14ac:dyDescent="0.2">
      <c r="A6" s="533">
        <v>0</v>
      </c>
      <c r="B6" s="528">
        <f>SUM(STAT_DCF!$C$28/(1+STAT_ASSUMPTIONS!$B$6)^1,STAT_DCF!$D$28/(1+STAT_ASSUMPTIONS!$B$6)^2,STAT_DCF!$E$28/(1+STAT_ASSUMPTIONS!$B$6)^3,STAT_DCF!$F$28/(1+STAT_ASSUMPTIONS!$B$6)^4,STAT_DCF!$G$28/(1+STAT_ASSUMPTIONS!$B$6)^5)+STAT_DCF!$G$28*(1+$A$6)/(STAT_ASSUMPTIONS!$B$6-$A$6)/(1+STAT_ASSUMPTIONS!$B$6)^5+STAT_EEM!$B$11-STAT_EEM!$B$21</f>
        <v>34009467929.99398</v>
      </c>
      <c r="C6" s="528">
        <f>SUM(STAT_DCF!$C$28/(1+STAT_ASSUMPTIONS!$B$7)^1,STAT_DCF!$D$28/(1+STAT_ASSUMPTIONS!$B$7)^2,STAT_DCF!$E$28/(1+STAT_ASSUMPTIONS!$B$7)^3,STAT_DCF!$F$28/(1+STAT_ASSUMPTIONS!$B$7)^4,STAT_DCF!$G$28/(1+STAT_ASSUMPTIONS!$B$7)^5)+STAT_DCF!$G$28*(1+$A$6)/(STAT_ASSUMPTIONS!$B$7-$A$6)/(1+STAT_ASSUMPTIONS!$B$7)^5+STAT_EEM!$B$11-STAT_EEM!$B$21</f>
        <v>25377743773.447334</v>
      </c>
    </row>
    <row r="7" spans="1:3" ht="21" customHeight="1" x14ac:dyDescent="0.2">
      <c r="A7" s="533">
        <v>0.03</v>
      </c>
      <c r="B7" s="528">
        <f>SUM(STAT_DCF!$C$28/(1+STAT_ASSUMPTIONS!$B$6)^1,STAT_DCF!$D$28/(1+STAT_ASSUMPTIONS!$B$6)^2,STAT_DCF!$E$28/(1+STAT_ASSUMPTIONS!$B$6)^3,STAT_DCF!$F$28/(1+STAT_ASSUMPTIONS!$B$6)^4,STAT_DCF!$G$28/(1+STAT_ASSUMPTIONS!$B$6)^5)+STAT_DCF!$G$28*(1+$A$7)/(STAT_ASSUMPTIONS!$B$6-$A$7)/(1+STAT_ASSUMPTIONS!$B$6)^5+STAT_EEM!$B$11-STAT_EEM!$B$21</f>
        <v>43002993384.060013</v>
      </c>
      <c r="C7" s="528">
        <f>SUM(STAT_DCF!$C$28/(1+STAT_ASSUMPTIONS!$B$7)^1,STAT_DCF!$D$28/(1+STAT_ASSUMPTIONS!$B$7)^2,STAT_DCF!$E$28/(1+STAT_ASSUMPTIONS!$B$7)^3,STAT_DCF!$F$28/(1+STAT_ASSUMPTIONS!$B$7)^4,STAT_DCF!$G$28/(1+STAT_ASSUMPTIONS!$B$7)^5)+STAT_DCF!$G$28*(1+$A$7)/(STAT_ASSUMPTIONS!$B$7-$A$7)/(1+STAT_ASSUMPTIONS!$B$7)^5+STAT_EEM!$B$11-STAT_EEM!$B$21</f>
        <v>29760492757.639545</v>
      </c>
    </row>
    <row r="8" spans="1:3" ht="21" customHeight="1" x14ac:dyDescent="0.2">
      <c r="A8" s="527"/>
      <c r="B8" s="527"/>
      <c r="C8" s="527"/>
    </row>
    <row r="9" spans="1:3" ht="21" customHeight="1" x14ac:dyDescent="0.2">
      <c r="A9" s="527"/>
      <c r="B9" s="527"/>
      <c r="C9" s="527"/>
    </row>
    <row r="10" spans="1:3" ht="21" customHeight="1" x14ac:dyDescent="0.2">
      <c r="A10" s="527" t="s">
        <v>3888</v>
      </c>
      <c r="B10" s="527"/>
      <c r="C10" s="527"/>
    </row>
    <row r="11" spans="1:3" ht="21" customHeight="1" x14ac:dyDescent="0.2">
      <c r="A11" s="526" t="s">
        <v>3886</v>
      </c>
      <c r="B11" s="526" t="s">
        <v>3742</v>
      </c>
      <c r="C11" s="526" t="s">
        <v>3887</v>
      </c>
    </row>
    <row r="12" spans="1:3" ht="21" customHeight="1" x14ac:dyDescent="0.2">
      <c r="A12" s="529">
        <f>'GROWTH RATE'!C14</f>
        <v>-6.4008377336633518E-2</v>
      </c>
      <c r="B12" s="529">
        <f>SUM(STAT_DCF!$C$15/(1+STAT_ASSUMPTIONS!$B$6)^1,STAT_DCF!$D$15/(1+STAT_ASSUMPTIONS!$B$6)^2,STAT_DCF!$E$15/(1+STAT_ASSUMPTIONS!$B$6)^3,STAT_DCF!$F$15/(1+STAT_ASSUMPTIONS!$B$6)^4,STAT_DCF!$G$15/(1+STAT_ASSUMPTIONS!$B$6)^5)+STAT_DCF!$G$15*(1+$A$12)/(STAT_ASSUMPTIONS!$B$6-$A$12)/(1+STAT_ASSUMPTIONS!$B$6)^5+STAT_EEM!$B$11-STAT_EEM!$B$21</f>
        <v>20111481402.07122</v>
      </c>
      <c r="C12" s="529">
        <f>SUM(STAT_DCF!$C$15/(1+STAT_ASSUMPTIONS!$B$7)^1,STAT_DCF!$D$15/(1+STAT_ASSUMPTIONS!$B$7)^2,STAT_DCF!$E$15/(1+STAT_ASSUMPTIONS!$B$7)^3,STAT_DCF!$F$15/(1+STAT_ASSUMPTIONS!$B$7)^4,STAT_DCF!$G$15/(1+STAT_ASSUMPTIONS!$B$7)^5)+STAT_DCF!$G$15*(1+$A$12)/(STAT_ASSUMPTIONS!$B$7-$A$12)/(1+STAT_ASSUMPTIONS!$B$7)^5+STAT_EEM!$B$11-STAT_EEM!$B$21</f>
        <v>16402115774.352497</v>
      </c>
    </row>
    <row r="13" spans="1:3" ht="21" customHeight="1" x14ac:dyDescent="0.2">
      <c r="A13" s="533">
        <v>0</v>
      </c>
      <c r="B13" s="528">
        <f>SUM(STAT_DCF!$C$15/(1+STAT_ASSUMPTIONS!$B$6)^1,STAT_DCF!$D$15/(1+STAT_ASSUMPTIONS!$B$6)^2,STAT_DCF!$E$15/(1+STAT_ASSUMPTIONS!$B$6)^3,STAT_DCF!$F$15/(1+STAT_ASSUMPTIONS!$B$6)^4,STAT_DCF!$G$15/(1+STAT_ASSUMPTIONS!$B$6)^5)+STAT_DCF!$G$15*(1+$A$13)/(STAT_ASSUMPTIONS!$B$6-$A$13)/(1+STAT_ASSUMPTIONS!$B$6)^5+STAT_EEM!$B$11-STAT_EEM!$B$21</f>
        <v>27166766818.967903</v>
      </c>
      <c r="C13" s="528">
        <f>SUM(STAT_DCF!$C$15/(1+STAT_ASSUMPTIONS!$B$7)^1,STAT_DCF!$D$15/(1+STAT_ASSUMPTIONS!$B$7)^2,STAT_DCF!$E$15/(1+STAT_ASSUMPTIONS!$B$7)^3,STAT_DCF!$F$15/(1+STAT_ASSUMPTIONS!$B$7)^4,STAT_DCF!$G$15/(1+STAT_ASSUMPTIONS!$B$7)^5)+STAT_DCF!$G$15*(1+$A$13)/(STAT_ASSUMPTIONS!$B$7-$A$13)/(1+STAT_ASSUMPTIONS!$B$7)^5+STAT_EEM!$B$11-STAT_EEM!$B$21</f>
        <v>20451934159.231331</v>
      </c>
    </row>
    <row r="14" spans="1:3" ht="21" customHeight="1" x14ac:dyDescent="0.2">
      <c r="A14" s="533">
        <v>0.03</v>
      </c>
      <c r="B14" s="528">
        <f>SUM(STAT_DCF!$C$15/(1+STAT_ASSUMPTIONS!$B$6)^1,STAT_DCF!$D$15/(1+STAT_ASSUMPTIONS!$B$6)^2,STAT_DCF!$E$15/(1+STAT_ASSUMPTIONS!$B$6)^3,STAT_DCF!$F$15/(1+STAT_ASSUMPTIONS!$B$6)^4,STAT_DCF!$G$15/(1+STAT_ASSUMPTIONS!$B$6)^5)+STAT_DCF!$G$15*(1+$A$14)/(STAT_ASSUMPTIONS!$B$6-$A$14)/(1+STAT_ASSUMPTIONS!$B$6)^5+STAT_EEM!$B$11-STAT_EEM!$B$21</f>
        <v>34146643884.46188</v>
      </c>
      <c r="C14" s="528">
        <f>SUM(STAT_DCF!$C$15/(1+STAT_ASSUMPTIONS!$B$7)^1,STAT_DCF!$D$15/(1+STAT_ASSUMPTIONS!$B$7)^2,STAT_DCF!$E$15/(1+STAT_ASSUMPTIONS!$B$7)^3,STAT_DCF!$F$15/(1+STAT_ASSUMPTIONS!$B$7)^4,STAT_DCF!$G$15/(1+STAT_ASSUMPTIONS!$B$7)^5)+STAT_DCF!$G$15*(1+$A$14)/(STAT_ASSUMPTIONS!$B$7-$A$14)/(1+STAT_ASSUMPTIONS!$B$7)^5+STAT_EEM!$B$11-STAT_EEM!$B$21</f>
        <v>23853386601.304508</v>
      </c>
    </row>
    <row r="15" spans="1:3" ht="21" customHeight="1" x14ac:dyDescent="0.2">
      <c r="A15" s="527"/>
      <c r="B15" s="527"/>
      <c r="C15" s="527"/>
    </row>
    <row r="16" spans="1:3" ht="21" customHeight="1" x14ac:dyDescent="0.2">
      <c r="A16" s="527"/>
      <c r="B16" s="527"/>
      <c r="C16" s="527"/>
    </row>
    <row r="17" spans="1:3" ht="21" customHeight="1" x14ac:dyDescent="0.2">
      <c r="A17" s="527" t="s">
        <v>3889</v>
      </c>
      <c r="B17" s="527"/>
      <c r="C17" s="527"/>
    </row>
    <row r="18" spans="1:3" ht="21" customHeight="1" x14ac:dyDescent="0.2">
      <c r="A18" s="526" t="s">
        <v>3890</v>
      </c>
      <c r="B18" s="526" t="s">
        <v>3541</v>
      </c>
      <c r="C18" s="526"/>
    </row>
    <row r="19" spans="1:3" ht="21" customHeight="1" x14ac:dyDescent="0.2">
      <c r="A19" s="528">
        <f>STAT_ASSUMPTIONS!B6</f>
        <v>0.11463062037189403</v>
      </c>
      <c r="B19" s="528">
        <f>STAT_EEM!B7+STAT_EEM!B17/A19+STAT_EEM!B11-STAT_EEM!B21</f>
        <v>19886438291.384579</v>
      </c>
      <c r="C19" s="527"/>
    </row>
    <row r="20" spans="1:3" ht="21" customHeight="1" x14ac:dyDescent="0.2">
      <c r="A20" s="528">
        <f>STAT_ASSUMPTIONS!B7</f>
        <v>0.14869348033569196</v>
      </c>
      <c r="B20" s="528">
        <f>STAT_EEM!B7+STAT_EEM!B17/A20+STAT_EEM!B11-STAT_EEM!B21</f>
        <v>18624919873.073082</v>
      </c>
      <c r="C20" s="527"/>
    </row>
  </sheetData>
  <pageMargins left="0.75" right="0.75" top="1" bottom="1" header="0.5" footer="0.5"/>
  <pageSetup paperSize="9" orientation="portrait" horizontalDpi="0" verticalDpi="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11"/>
  <sheetViews>
    <sheetView showGridLines="0" workbookViewId="0">
      <pane ySplit="3" topLeftCell="A4" activePane="bottomLeft" state="frozen"/>
      <selection pane="bottomLeft" activeCell="A10" sqref="A10"/>
    </sheetView>
  </sheetViews>
  <sheetFormatPr baseColWidth="10" defaultColWidth="8.83203125" defaultRowHeight="15" x14ac:dyDescent="0.2"/>
  <cols>
    <col min="1" max="1" width="30" customWidth="1"/>
    <col min="2" max="9" width="20" customWidth="1"/>
  </cols>
  <sheetData>
    <row r="1" spans="1:6" ht="21" customHeight="1" x14ac:dyDescent="0.2">
      <c r="A1" s="523" t="s">
        <v>3891</v>
      </c>
      <c r="B1" s="524"/>
      <c r="C1" s="524"/>
      <c r="D1" s="524"/>
      <c r="E1" s="524"/>
      <c r="F1" s="524"/>
    </row>
    <row r="2" spans="1:6" ht="21" customHeight="1" x14ac:dyDescent="0.2">
      <c r="A2" s="526" t="s">
        <v>3892</v>
      </c>
      <c r="B2" s="526" t="s">
        <v>3893</v>
      </c>
      <c r="C2" s="526" t="s">
        <v>3894</v>
      </c>
      <c r="D2" s="526" t="s">
        <v>3895</v>
      </c>
      <c r="E2" s="526" t="s">
        <v>3731</v>
      </c>
      <c r="F2" s="526" t="s">
        <v>3710</v>
      </c>
    </row>
    <row r="3" spans="1:6" ht="21" customHeight="1" x14ac:dyDescent="0.2">
      <c r="A3" s="527" t="s">
        <v>3896</v>
      </c>
      <c r="B3" s="529">
        <f>STAT_ASSUMPTIONS!B5</f>
        <v>0.22</v>
      </c>
      <c r="C3" s="534">
        <v>0.22</v>
      </c>
      <c r="D3" s="529">
        <f t="shared" ref="D3:D9" si="0">B3-C3</f>
        <v>0</v>
      </c>
      <c r="E3" s="529" t="str">
        <f>IF(ABS(D3)&lt;0.000001,"OK","ERROR")</f>
        <v>OK</v>
      </c>
      <c r="F3" s="527" t="s">
        <v>3897</v>
      </c>
    </row>
    <row r="4" spans="1:6" ht="21" customHeight="1" x14ac:dyDescent="0.2">
      <c r="A4" s="527" t="s">
        <v>3898</v>
      </c>
      <c r="B4" s="531">
        <v>0</v>
      </c>
      <c r="C4" s="533">
        <v>0</v>
      </c>
      <c r="D4" s="528">
        <f t="shared" si="0"/>
        <v>0</v>
      </c>
      <c r="E4" s="528" t="str">
        <f>IF(B4=0,"OK","ERROR")</f>
        <v>OK</v>
      </c>
      <c r="F4" s="527" t="s">
        <v>3899</v>
      </c>
    </row>
    <row r="5" spans="1:6" ht="21" customHeight="1" x14ac:dyDescent="0.2">
      <c r="A5" s="527" t="s">
        <v>3900</v>
      </c>
      <c r="B5" s="531">
        <v>0</v>
      </c>
      <c r="C5" s="533">
        <v>0</v>
      </c>
      <c r="D5" s="528">
        <f t="shared" si="0"/>
        <v>0</v>
      </c>
      <c r="E5" s="528" t="str">
        <f>IF(B5=0,"OK","ERROR")</f>
        <v>OK</v>
      </c>
      <c r="F5" s="527" t="s">
        <v>3901</v>
      </c>
    </row>
    <row r="6" spans="1:6" ht="21" customHeight="1" x14ac:dyDescent="0.2">
      <c r="A6" s="527" t="s">
        <v>3902</v>
      </c>
      <c r="B6" s="528">
        <f>STAT_AAM!D18</f>
        <v>13701055249</v>
      </c>
      <c r="C6" s="528">
        <f>STAT_SUMMARY!C7</f>
        <v>13701055249</v>
      </c>
      <c r="D6" s="528">
        <f t="shared" si="0"/>
        <v>0</v>
      </c>
      <c r="E6" s="528" t="str">
        <f>IF(ABS(D6)&lt;1,"OK","ERROR")</f>
        <v>OK</v>
      </c>
      <c r="F6" s="527" t="s">
        <v>3903</v>
      </c>
    </row>
    <row r="7" spans="1:6" ht="21" customHeight="1" x14ac:dyDescent="0.2">
      <c r="A7" s="527" t="s">
        <v>3904</v>
      </c>
      <c r="B7" s="528">
        <f>STAT_EEM!B22</f>
        <v>19886438291.384579</v>
      </c>
      <c r="C7" s="528">
        <f>STAT_SUMMARY!C8</f>
        <v>19886438291.384579</v>
      </c>
      <c r="D7" s="528">
        <f t="shared" si="0"/>
        <v>0</v>
      </c>
      <c r="E7" s="528" t="str">
        <f>IF(ABS(D7)&lt;1,"OK","ERROR")</f>
        <v>OK</v>
      </c>
      <c r="F7" s="527" t="s">
        <v>3905</v>
      </c>
    </row>
    <row r="8" spans="1:6" ht="21" customHeight="1" x14ac:dyDescent="0.2">
      <c r="A8" s="527" t="s">
        <v>3906</v>
      </c>
      <c r="B8" s="528">
        <f>STAT_DCF!B39</f>
        <v>34009467929.99398</v>
      </c>
      <c r="C8" s="528">
        <f>STAT_SUMMARY!C9</f>
        <v>34009467929.99398</v>
      </c>
      <c r="D8" s="528">
        <f t="shared" si="0"/>
        <v>0</v>
      </c>
      <c r="E8" s="528" t="str">
        <f>IF(ABS(D8)&lt;1,"OK","ERROR")</f>
        <v>OK</v>
      </c>
      <c r="F8" s="527" t="s">
        <v>3907</v>
      </c>
    </row>
    <row r="9" spans="1:6" ht="21" customHeight="1" x14ac:dyDescent="0.2">
      <c r="A9" s="527" t="s">
        <v>3908</v>
      </c>
      <c r="B9" s="529">
        <f>STAT_EEM!B18</f>
        <v>0.11463062037189403</v>
      </c>
      <c r="C9" s="534">
        <v>0</v>
      </c>
      <c r="D9" s="529">
        <f t="shared" si="0"/>
        <v>0.11463062037189403</v>
      </c>
      <c r="E9" s="529" t="str">
        <f>IF(B9&gt;C9,"OK","ERROR")</f>
        <v>OK</v>
      </c>
      <c r="F9" s="527" t="s">
        <v>3909</v>
      </c>
    </row>
    <row r="10" spans="1:6" ht="21" customHeight="1" x14ac:dyDescent="0.2">
      <c r="A10" s="527" t="s">
        <v>3910</v>
      </c>
      <c r="B10" s="529">
        <f>STAT_DCF!B32</f>
        <v>0</v>
      </c>
      <c r="C10" s="529">
        <f>STAT_DCF!B31</f>
        <v>0.11463062037189403</v>
      </c>
      <c r="D10" s="529">
        <f>C10-B10</f>
        <v>0.11463062037189403</v>
      </c>
      <c r="E10" s="529" t="str">
        <f>IF(B10&lt;C10,"OK","ERROR")</f>
        <v>OK</v>
      </c>
      <c r="F10" s="527" t="s">
        <v>3911</v>
      </c>
    </row>
    <row r="11" spans="1:6" ht="21" customHeight="1" x14ac:dyDescent="0.2">
      <c r="A11" s="527" t="s">
        <v>3912</v>
      </c>
      <c r="B11" s="528">
        <f>STAT_EEM!B14</f>
        <v>1763917303.98</v>
      </c>
      <c r="C11" s="528">
        <f>'INCOME STATEMENT'!E22*(1-STAT_ASSUMPTIONS!B5)</f>
        <v>1763917303.98</v>
      </c>
      <c r="D11" s="528">
        <f>B11-C11</f>
        <v>0</v>
      </c>
      <c r="E11" s="528" t="str">
        <f>IF(ABS(D11)&lt;1,"OK","ERROR")</f>
        <v>OK</v>
      </c>
      <c r="F11" s="527" t="s">
        <v>3913</v>
      </c>
    </row>
  </sheetData>
  <pageMargins left="0.75" right="0.75" top="1" bottom="1" header="0.5" footer="0.5"/>
  <pageSetup paperSize="9" orientation="portrait" horizontalDpi="0" verticalDpi="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11"/>
  <sheetViews>
    <sheetView showGridLines="0" workbookViewId="0">
      <pane ySplit="3" topLeftCell="A4" activePane="bottomLeft" state="frozen"/>
      <selection pane="bottomLeft" activeCell="A11" sqref="A11"/>
    </sheetView>
  </sheetViews>
  <sheetFormatPr baseColWidth="10" defaultColWidth="8.83203125" defaultRowHeight="15" x14ac:dyDescent="0.2"/>
  <cols>
    <col min="1" max="1" width="30" customWidth="1"/>
    <col min="2" max="9" width="20" customWidth="1"/>
  </cols>
  <sheetData>
    <row r="1" spans="1:4" ht="21" customHeight="1" x14ac:dyDescent="0.2">
      <c r="A1" s="523" t="s">
        <v>3914</v>
      </c>
      <c r="B1" s="524"/>
      <c r="C1" s="524"/>
      <c r="D1" s="524"/>
    </row>
    <row r="2" spans="1:4" ht="21" customHeight="1" x14ac:dyDescent="0.2">
      <c r="A2" s="526" t="s">
        <v>3915</v>
      </c>
      <c r="B2" s="526" t="s">
        <v>3916</v>
      </c>
      <c r="C2" s="526" t="s">
        <v>3917</v>
      </c>
      <c r="D2" s="526" t="s">
        <v>3918</v>
      </c>
    </row>
    <row r="3" spans="1:4" ht="21" customHeight="1" x14ac:dyDescent="0.2">
      <c r="A3" s="527" t="s">
        <v>3703</v>
      </c>
      <c r="B3" s="527" t="s">
        <v>3919</v>
      </c>
      <c r="C3" s="527" t="s">
        <v>3920</v>
      </c>
      <c r="D3" s="527" t="s">
        <v>3921</v>
      </c>
    </row>
    <row r="4" spans="1:4" ht="21" customHeight="1" x14ac:dyDescent="0.2">
      <c r="A4" s="527" t="s">
        <v>3922</v>
      </c>
      <c r="B4" s="527" t="s">
        <v>3923</v>
      </c>
      <c r="C4" s="527" t="s">
        <v>3924</v>
      </c>
      <c r="D4" s="527" t="s">
        <v>3925</v>
      </c>
    </row>
    <row r="5" spans="1:4" ht="21" customHeight="1" x14ac:dyDescent="0.2">
      <c r="A5" s="527" t="s">
        <v>3926</v>
      </c>
      <c r="B5" s="527" t="s">
        <v>3927</v>
      </c>
      <c r="C5" s="527" t="s">
        <v>3928</v>
      </c>
      <c r="D5" s="527" t="s">
        <v>3929</v>
      </c>
    </row>
    <row r="6" spans="1:4" ht="21" customHeight="1" x14ac:dyDescent="0.2">
      <c r="A6" s="527" t="s">
        <v>6</v>
      </c>
      <c r="B6" s="527" t="s">
        <v>3834</v>
      </c>
      <c r="C6" s="527" t="s">
        <v>3930</v>
      </c>
      <c r="D6" s="527" t="s">
        <v>3931</v>
      </c>
    </row>
    <row r="7" spans="1:4" ht="21" customHeight="1" x14ac:dyDescent="0.2">
      <c r="A7" s="527" t="s">
        <v>3932</v>
      </c>
      <c r="B7" s="527" t="s">
        <v>3933</v>
      </c>
      <c r="C7" s="527" t="s">
        <v>3934</v>
      </c>
      <c r="D7" s="527" t="s">
        <v>3935</v>
      </c>
    </row>
    <row r="8" spans="1:4" ht="21" customHeight="1" x14ac:dyDescent="0.2">
      <c r="A8" s="527" t="s">
        <v>716</v>
      </c>
      <c r="B8" s="527" t="s">
        <v>3936</v>
      </c>
      <c r="C8" s="527" t="s">
        <v>3937</v>
      </c>
      <c r="D8" s="527" t="s">
        <v>3938</v>
      </c>
    </row>
    <row r="9" spans="1:4" ht="21" customHeight="1" x14ac:dyDescent="0.2">
      <c r="A9" s="527" t="s">
        <v>3939</v>
      </c>
      <c r="B9" s="527" t="s">
        <v>3940</v>
      </c>
      <c r="C9" s="527" t="s">
        <v>3941</v>
      </c>
      <c r="D9" s="527" t="s">
        <v>3942</v>
      </c>
    </row>
    <row r="10" spans="1:4" ht="21" customHeight="1" x14ac:dyDescent="0.2">
      <c r="A10" s="527" t="s">
        <v>3746</v>
      </c>
      <c r="B10" s="527" t="s">
        <v>3943</v>
      </c>
      <c r="C10" s="527" t="s">
        <v>3944</v>
      </c>
      <c r="D10" s="527" t="s">
        <v>3945</v>
      </c>
    </row>
    <row r="11" spans="1:4" ht="21" customHeight="1" x14ac:dyDescent="0.2">
      <c r="A11" s="526" t="s">
        <v>3886</v>
      </c>
      <c r="B11" s="526" t="s">
        <v>3946</v>
      </c>
      <c r="C11" s="526" t="s">
        <v>3947</v>
      </c>
      <c r="D11" s="526" t="s">
        <v>3948</v>
      </c>
    </row>
  </sheetData>
  <pageMargins left="0.75" right="0.75" top="1" bottom="1" header="0.5" footer="0.5"/>
  <pageSetup paperSize="9" orientation="portrait" horizontalDpi="0" verticalDpi="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12"/>
  <sheetViews>
    <sheetView showGridLines="0" workbookViewId="0">
      <pane ySplit="3" topLeftCell="A8" activePane="bottomLeft" state="frozen"/>
      <selection pane="bottomLeft" activeCell="C12" sqref="C12"/>
    </sheetView>
  </sheetViews>
  <sheetFormatPr baseColWidth="10" defaultColWidth="8.83203125" defaultRowHeight="15" x14ac:dyDescent="0.2"/>
  <cols>
    <col min="1" max="1" width="24" customWidth="1"/>
    <col min="2" max="2" width="28" customWidth="1"/>
    <col min="3" max="3" width="58" customWidth="1"/>
    <col min="4" max="4" width="42" customWidth="1"/>
    <col min="5" max="5" width="48" customWidth="1"/>
    <col min="6" max="6" width="20" customWidth="1"/>
  </cols>
  <sheetData>
    <row r="1" spans="1:6" ht="36" x14ac:dyDescent="0.2">
      <c r="A1" s="537" t="s">
        <v>3949</v>
      </c>
    </row>
    <row r="2" spans="1:6" ht="16" x14ac:dyDescent="0.2">
      <c r="A2" s="538" t="s">
        <v>3950</v>
      </c>
      <c r="B2" s="538" t="s">
        <v>3951</v>
      </c>
      <c r="C2" s="538" t="s">
        <v>3952</v>
      </c>
      <c r="D2" s="538" t="s">
        <v>3953</v>
      </c>
      <c r="E2" s="538" t="s">
        <v>3954</v>
      </c>
      <c r="F2" s="538" t="s">
        <v>3955</v>
      </c>
    </row>
    <row r="3" spans="1:6" ht="48" x14ac:dyDescent="0.2">
      <c r="A3" s="539" t="s">
        <v>3956</v>
      </c>
      <c r="B3" s="539" t="s">
        <v>3957</v>
      </c>
      <c r="C3" s="539" t="s">
        <v>3958</v>
      </c>
      <c r="D3" s="539" t="s">
        <v>3959</v>
      </c>
      <c r="E3" s="539" t="s">
        <v>3960</v>
      </c>
      <c r="F3" s="539" t="s">
        <v>3961</v>
      </c>
    </row>
    <row r="4" spans="1:6" ht="48" x14ac:dyDescent="0.2">
      <c r="A4" s="539" t="s">
        <v>761</v>
      </c>
      <c r="B4" s="539" t="s">
        <v>3962</v>
      </c>
      <c r="C4" s="539" t="s">
        <v>3963</v>
      </c>
      <c r="D4" s="539" t="s">
        <v>3964</v>
      </c>
      <c r="E4" s="539" t="s">
        <v>3965</v>
      </c>
      <c r="F4" s="539" t="s">
        <v>3961</v>
      </c>
    </row>
    <row r="5" spans="1:6" ht="48" x14ac:dyDescent="0.2">
      <c r="A5" s="539" t="s">
        <v>3966</v>
      </c>
      <c r="B5" s="539" t="s">
        <v>3967</v>
      </c>
      <c r="C5" s="539" t="s">
        <v>3968</v>
      </c>
      <c r="D5" s="539" t="s">
        <v>3969</v>
      </c>
      <c r="E5" s="539" t="s">
        <v>3970</v>
      </c>
      <c r="F5" s="539" t="s">
        <v>3971</v>
      </c>
    </row>
    <row r="6" spans="1:6" ht="48" x14ac:dyDescent="0.2">
      <c r="A6" s="539" t="s">
        <v>3972</v>
      </c>
      <c r="B6" s="539" t="s">
        <v>3973</v>
      </c>
      <c r="C6" s="539" t="s">
        <v>3974</v>
      </c>
      <c r="D6" s="539" t="s">
        <v>3975</v>
      </c>
      <c r="E6" s="539" t="s">
        <v>3976</v>
      </c>
      <c r="F6" s="539" t="s">
        <v>3961</v>
      </c>
    </row>
    <row r="7" spans="1:6" ht="64" x14ac:dyDescent="0.2">
      <c r="A7" s="539" t="s">
        <v>3938</v>
      </c>
      <c r="B7" s="539" t="s">
        <v>3977</v>
      </c>
      <c r="C7" s="539" t="s">
        <v>3978</v>
      </c>
      <c r="D7" s="539" t="s">
        <v>3979</v>
      </c>
      <c r="E7" s="539" t="s">
        <v>3980</v>
      </c>
      <c r="F7" s="539" t="s">
        <v>3981</v>
      </c>
    </row>
    <row r="8" spans="1:6" ht="64" x14ac:dyDescent="0.2">
      <c r="A8" s="539" t="s">
        <v>3982</v>
      </c>
      <c r="B8" s="539" t="s">
        <v>3983</v>
      </c>
      <c r="C8" s="539" t="s">
        <v>3984</v>
      </c>
      <c r="D8" s="539" t="s">
        <v>3985</v>
      </c>
      <c r="E8" s="539" t="s">
        <v>3986</v>
      </c>
      <c r="F8" s="539" t="s">
        <v>3987</v>
      </c>
    </row>
    <row r="9" spans="1:6" ht="64" x14ac:dyDescent="0.2">
      <c r="A9" s="539" t="s">
        <v>3988</v>
      </c>
      <c r="B9" s="539" t="s">
        <v>3664</v>
      </c>
      <c r="C9" s="539" t="s">
        <v>3989</v>
      </c>
      <c r="D9" s="539" t="s">
        <v>3990</v>
      </c>
      <c r="E9" s="539" t="s">
        <v>3991</v>
      </c>
      <c r="F9" s="539" t="s">
        <v>3992</v>
      </c>
    </row>
    <row r="10" spans="1:6" ht="48" x14ac:dyDescent="0.2">
      <c r="A10" s="539" t="s">
        <v>3945</v>
      </c>
      <c r="B10" s="539" t="s">
        <v>3993</v>
      </c>
      <c r="C10" s="539" t="s">
        <v>3994</v>
      </c>
      <c r="D10" s="539" t="s">
        <v>3995</v>
      </c>
      <c r="E10" s="539" t="s">
        <v>3996</v>
      </c>
      <c r="F10" s="539" t="s">
        <v>3961</v>
      </c>
    </row>
    <row r="11" spans="1:6" ht="48" x14ac:dyDescent="0.2">
      <c r="A11" s="539" t="s">
        <v>3942</v>
      </c>
      <c r="B11" s="539" t="s">
        <v>3997</v>
      </c>
      <c r="C11" s="539" t="s">
        <v>3998</v>
      </c>
      <c r="D11" s="539" t="s">
        <v>3999</v>
      </c>
      <c r="E11" s="539" t="s">
        <v>4000</v>
      </c>
      <c r="F11" s="539" t="s">
        <v>3961</v>
      </c>
    </row>
    <row r="12" spans="1:6" ht="64" x14ac:dyDescent="0.2">
      <c r="A12" s="539" t="s">
        <v>4001</v>
      </c>
      <c r="B12" s="539" t="s">
        <v>4002</v>
      </c>
      <c r="C12" s="539" t="s">
        <v>4003</v>
      </c>
      <c r="D12" s="539" t="s">
        <v>4004</v>
      </c>
      <c r="E12" s="539" t="s">
        <v>4005</v>
      </c>
      <c r="F12" s="539" t="s">
        <v>3961</v>
      </c>
    </row>
  </sheetData>
  <pageMargins left="0.75" right="0.75" top="1" bottom="1" header="0.5" footer="0.5"/>
  <pageSetup paperSize="9" orientation="portrait" horizontalDpi="0" verticalDpi="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12"/>
  <sheetViews>
    <sheetView showGridLines="0" workbookViewId="0">
      <pane ySplit="3" topLeftCell="A4" activePane="bottomLeft" state="frozen"/>
      <selection pane="bottomLeft" activeCell="D10" sqref="D10"/>
    </sheetView>
  </sheetViews>
  <sheetFormatPr baseColWidth="10" defaultColWidth="8.83203125" defaultRowHeight="15" x14ac:dyDescent="0.2"/>
  <cols>
    <col min="1" max="2" width="28" customWidth="1"/>
    <col min="3" max="3" width="32" customWidth="1"/>
    <col min="4" max="4" width="64" customWidth="1"/>
    <col min="5" max="5" width="28" customWidth="1"/>
  </cols>
  <sheetData>
    <row r="1" spans="1:5" ht="36" x14ac:dyDescent="0.2">
      <c r="A1" s="537" t="s">
        <v>4006</v>
      </c>
    </row>
    <row r="2" spans="1:5" ht="16" x14ac:dyDescent="0.2">
      <c r="A2" s="538" t="s">
        <v>4007</v>
      </c>
      <c r="B2" s="538" t="s">
        <v>4008</v>
      </c>
      <c r="C2" s="538" t="s">
        <v>3827</v>
      </c>
      <c r="D2" s="538" t="s">
        <v>3917</v>
      </c>
      <c r="E2" s="538" t="s">
        <v>3731</v>
      </c>
    </row>
    <row r="3" spans="1:5" ht="32" x14ac:dyDescent="0.2">
      <c r="A3" s="539" t="s">
        <v>4009</v>
      </c>
      <c r="B3" s="539" t="s">
        <v>3737</v>
      </c>
      <c r="C3" s="539" t="s">
        <v>4010</v>
      </c>
      <c r="D3" s="539" t="s">
        <v>4011</v>
      </c>
      <c r="E3" s="539" t="s">
        <v>3734</v>
      </c>
    </row>
    <row r="4" spans="1:5" ht="32" x14ac:dyDescent="0.2">
      <c r="A4" s="539" t="s">
        <v>3929</v>
      </c>
      <c r="B4" s="539" t="s">
        <v>3852</v>
      </c>
      <c r="C4" s="539" t="s">
        <v>4012</v>
      </c>
      <c r="D4" s="539" t="s">
        <v>4013</v>
      </c>
      <c r="E4" s="539" t="s">
        <v>3734</v>
      </c>
    </row>
    <row r="5" spans="1:5" ht="32" x14ac:dyDescent="0.2">
      <c r="A5" s="539" t="s">
        <v>4014</v>
      </c>
      <c r="B5" s="539" t="s">
        <v>4015</v>
      </c>
      <c r="C5" s="539" t="s">
        <v>4016</v>
      </c>
      <c r="D5" s="539" t="s">
        <v>4017</v>
      </c>
      <c r="E5" s="539" t="s">
        <v>3734</v>
      </c>
    </row>
    <row r="6" spans="1:5" ht="32" x14ac:dyDescent="0.2">
      <c r="A6" s="539" t="s">
        <v>4018</v>
      </c>
      <c r="B6" s="539" t="s">
        <v>4019</v>
      </c>
      <c r="C6" s="539" t="s">
        <v>4020</v>
      </c>
      <c r="D6" s="539" t="s">
        <v>4021</v>
      </c>
      <c r="E6" s="539" t="s">
        <v>4022</v>
      </c>
    </row>
    <row r="7" spans="1:5" ht="32" x14ac:dyDescent="0.2">
      <c r="A7" s="539" t="s">
        <v>4023</v>
      </c>
      <c r="B7" s="539" t="s">
        <v>4024</v>
      </c>
      <c r="C7" s="539" t="s">
        <v>4010</v>
      </c>
      <c r="D7" s="539" t="s">
        <v>4025</v>
      </c>
      <c r="E7" s="539" t="s">
        <v>3734</v>
      </c>
    </row>
    <row r="8" spans="1:5" ht="32" x14ac:dyDescent="0.2">
      <c r="A8" s="539" t="s">
        <v>4026</v>
      </c>
      <c r="B8" s="539" t="s">
        <v>4027</v>
      </c>
      <c r="C8" s="539" t="s">
        <v>4028</v>
      </c>
      <c r="D8" s="539" t="s">
        <v>4029</v>
      </c>
      <c r="E8" s="539" t="s">
        <v>4030</v>
      </c>
    </row>
    <row r="9" spans="1:5" ht="16" x14ac:dyDescent="0.2">
      <c r="A9" s="539" t="s">
        <v>4031</v>
      </c>
      <c r="B9" s="539" t="s">
        <v>4015</v>
      </c>
      <c r="C9" s="539" t="s">
        <v>4032</v>
      </c>
      <c r="D9" s="539" t="s">
        <v>4033</v>
      </c>
      <c r="E9" s="539" t="s">
        <v>3734</v>
      </c>
    </row>
    <row r="10" spans="1:5" ht="16" x14ac:dyDescent="0.2">
      <c r="A10" s="539" t="s">
        <v>4034</v>
      </c>
      <c r="B10" s="539" t="s">
        <v>4035</v>
      </c>
      <c r="C10" s="539" t="s">
        <v>4036</v>
      </c>
      <c r="D10" s="539" t="s">
        <v>4037</v>
      </c>
      <c r="E10" s="539" t="s">
        <v>4038</v>
      </c>
    </row>
    <row r="11" spans="1:5" ht="32" x14ac:dyDescent="0.2">
      <c r="A11" s="539" t="s">
        <v>4039</v>
      </c>
      <c r="B11" s="539" t="s">
        <v>4040</v>
      </c>
      <c r="C11" s="539" t="s">
        <v>4041</v>
      </c>
      <c r="D11" s="539" t="s">
        <v>4042</v>
      </c>
      <c r="E11" s="539" t="s">
        <v>4043</v>
      </c>
    </row>
    <row r="12" spans="1:5" ht="16" x14ac:dyDescent="0.2">
      <c r="A12" s="539" t="s">
        <v>4001</v>
      </c>
      <c r="B12" s="539" t="s">
        <v>4044</v>
      </c>
      <c r="C12" s="539" t="s">
        <v>4045</v>
      </c>
      <c r="D12" s="539" t="s">
        <v>4046</v>
      </c>
      <c r="E12" s="539" t="s">
        <v>4047</v>
      </c>
    </row>
  </sheetData>
  <pageMargins left="0.75" right="0.75" top="1" bottom="1" header="0.5" footer="0.5"/>
  <pageSetup paperSize="9" orientation="portrait" horizontalDpi="0" verticalDpi="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18"/>
  <sheetViews>
    <sheetView showGridLines="0" workbookViewId="0">
      <pane ySplit="3" topLeftCell="A4" activePane="bottomLeft" state="frozen"/>
      <selection pane="bottomLeft"/>
    </sheetView>
  </sheetViews>
  <sheetFormatPr baseColWidth="10" defaultColWidth="8.83203125" defaultRowHeight="15" x14ac:dyDescent="0.2"/>
  <cols>
    <col min="1" max="1" width="34" customWidth="1"/>
    <col min="2" max="4" width="22" customWidth="1"/>
    <col min="5" max="5" width="64" customWidth="1"/>
  </cols>
  <sheetData>
    <row r="1" spans="1:5" ht="18" x14ac:dyDescent="0.2">
      <c r="A1" s="537" t="s">
        <v>4048</v>
      </c>
    </row>
    <row r="2" spans="1:5" ht="16" x14ac:dyDescent="0.2">
      <c r="A2" s="538" t="s">
        <v>4049</v>
      </c>
      <c r="B2" s="538" t="s">
        <v>3825</v>
      </c>
      <c r="C2" s="538" t="s">
        <v>4050</v>
      </c>
      <c r="D2" s="538" t="s">
        <v>4051</v>
      </c>
      <c r="E2" s="538" t="s">
        <v>4052</v>
      </c>
    </row>
    <row r="3" spans="1:5" ht="16" x14ac:dyDescent="0.2">
      <c r="A3" s="539" t="s">
        <v>4053</v>
      </c>
      <c r="B3" s="540">
        <f>STAT_AAM!D18</f>
        <v>13701055249</v>
      </c>
      <c r="C3" s="539" t="s">
        <v>4054</v>
      </c>
      <c r="D3" s="539" t="s">
        <v>4055</v>
      </c>
      <c r="E3" s="539" t="s">
        <v>4056</v>
      </c>
    </row>
    <row r="4" spans="1:5" ht="16" x14ac:dyDescent="0.2">
      <c r="A4" s="539" t="s">
        <v>4057</v>
      </c>
      <c r="B4" s="540">
        <f>STAT_EEM!B22</f>
        <v>19886438291.384579</v>
      </c>
      <c r="C4" s="539" t="s">
        <v>4054</v>
      </c>
      <c r="D4" s="539" t="s">
        <v>4055</v>
      </c>
      <c r="E4" s="539" t="s">
        <v>4058</v>
      </c>
    </row>
    <row r="5" spans="1:5" ht="16" x14ac:dyDescent="0.2">
      <c r="A5" s="539" t="s">
        <v>4059</v>
      </c>
      <c r="B5" s="540">
        <f>STAT_DCF!B39</f>
        <v>34009467929.99398</v>
      </c>
      <c r="C5" s="539" t="s">
        <v>4054</v>
      </c>
      <c r="D5" s="539" t="s">
        <v>4055</v>
      </c>
      <c r="E5" s="539" t="s">
        <v>4060</v>
      </c>
    </row>
    <row r="6" spans="1:5" ht="16" x14ac:dyDescent="0.2">
      <c r="A6" s="539" t="s">
        <v>4061</v>
      </c>
      <c r="B6" s="540">
        <f>B4-B3</f>
        <v>6185383042.3845787</v>
      </c>
      <c r="C6" s="539" t="s">
        <v>4062</v>
      </c>
      <c r="D6" s="539" t="s">
        <v>4063</v>
      </c>
      <c r="E6" s="539" t="s">
        <v>4064</v>
      </c>
    </row>
    <row r="7" spans="1:5" ht="16" x14ac:dyDescent="0.2">
      <c r="A7" s="539" t="s">
        <v>404</v>
      </c>
      <c r="B7" s="540">
        <f>STAT_EEM!B19</f>
        <v>5506864788.3845778</v>
      </c>
      <c r="C7" s="539" t="s">
        <v>4065</v>
      </c>
      <c r="D7" s="539" t="s">
        <v>4066</v>
      </c>
      <c r="E7" s="539" t="s">
        <v>4067</v>
      </c>
    </row>
    <row r="8" spans="1:5" ht="32" x14ac:dyDescent="0.2">
      <c r="A8" s="539" t="s">
        <v>4068</v>
      </c>
      <c r="B8" s="540">
        <f>'BALANCE SHEET'!E32</f>
        <v>678518254</v>
      </c>
      <c r="C8" s="539" t="s">
        <v>4069</v>
      </c>
      <c r="D8" s="539" t="s">
        <v>4070</v>
      </c>
      <c r="E8" s="539" t="s">
        <v>4071</v>
      </c>
    </row>
    <row r="9" spans="1:5" ht="16" x14ac:dyDescent="0.2">
      <c r="A9" s="539" t="s">
        <v>4072</v>
      </c>
      <c r="B9" s="540">
        <f>B3+B6+B7</f>
        <v>25393303079.769157</v>
      </c>
      <c r="C9" s="539" t="s">
        <v>4073</v>
      </c>
      <c r="D9" s="539" t="s">
        <v>4074</v>
      </c>
      <c r="E9" s="539" t="s">
        <v>4075</v>
      </c>
    </row>
    <row r="10" spans="1:5" ht="16" x14ac:dyDescent="0.2">
      <c r="A10" s="539" t="s">
        <v>4076</v>
      </c>
      <c r="B10" s="540">
        <f>B4-B7</f>
        <v>14379573503</v>
      </c>
      <c r="C10" s="539" t="s">
        <v>3746</v>
      </c>
      <c r="D10" s="539" t="s">
        <v>4077</v>
      </c>
      <c r="E10" s="539" t="s">
        <v>4078</v>
      </c>
    </row>
    <row r="11" spans="1:5" ht="16" x14ac:dyDescent="0.2">
      <c r="A11" s="539" t="s">
        <v>4079</v>
      </c>
      <c r="B11" s="540">
        <f>B5-B4</f>
        <v>14123029638.609402</v>
      </c>
      <c r="C11" s="539" t="s">
        <v>4080</v>
      </c>
      <c r="D11" s="539" t="s">
        <v>4081</v>
      </c>
      <c r="E11" s="539" t="s">
        <v>4082</v>
      </c>
    </row>
    <row r="12" spans="1:5" ht="16" x14ac:dyDescent="0.2">
      <c r="A12" s="539" t="s">
        <v>4083</v>
      </c>
      <c r="B12" s="540">
        <f>STAT_SENS!B13</f>
        <v>27166766818.967903</v>
      </c>
      <c r="C12" s="539" t="s">
        <v>4084</v>
      </c>
      <c r="D12" s="539" t="s">
        <v>4085</v>
      </c>
      <c r="E12" s="539" t="s">
        <v>4086</v>
      </c>
    </row>
    <row r="13" spans="1:5" ht="16" x14ac:dyDescent="0.2">
      <c r="A13" s="539" t="s">
        <v>4087</v>
      </c>
      <c r="B13" s="541">
        <f>B11-B4</f>
        <v>-5763408652.775177</v>
      </c>
      <c r="C13" s="539" t="s">
        <v>4088</v>
      </c>
      <c r="D13" s="539" t="s">
        <v>4085</v>
      </c>
      <c r="E13" s="539" t="s">
        <v>4089</v>
      </c>
    </row>
    <row r="14" spans="1:5" ht="16" x14ac:dyDescent="0.2">
      <c r="A14" s="539" t="s">
        <v>4090</v>
      </c>
      <c r="B14" s="540">
        <f>B5-B11</f>
        <v>19886438291.384579</v>
      </c>
      <c r="C14" s="539" t="s">
        <v>4091</v>
      </c>
      <c r="D14" s="539" t="s">
        <v>4092</v>
      </c>
      <c r="E14" s="539" t="s">
        <v>4093</v>
      </c>
    </row>
    <row r="15" spans="1:5" ht="32" x14ac:dyDescent="0.2">
      <c r="A15" s="539" t="s">
        <v>4094</v>
      </c>
      <c r="B15" s="541">
        <v>11978577883.993931</v>
      </c>
      <c r="C15" s="539" t="s">
        <v>4095</v>
      </c>
      <c r="D15" s="539" t="s">
        <v>4096</v>
      </c>
      <c r="E15" s="539" t="s">
        <v>4097</v>
      </c>
    </row>
    <row r="16" spans="1:5" ht="32" x14ac:dyDescent="0.2">
      <c r="A16" s="539" t="s">
        <v>4098</v>
      </c>
      <c r="B16" s="541">
        <v>16463717547.70812</v>
      </c>
      <c r="C16" s="539" t="s">
        <v>4099</v>
      </c>
      <c r="D16" s="539" t="s">
        <v>4096</v>
      </c>
      <c r="E16" s="539" t="s">
        <v>4100</v>
      </c>
    </row>
    <row r="17" spans="1:5" ht="32" x14ac:dyDescent="0.2">
      <c r="A17" s="539" t="s">
        <v>4101</v>
      </c>
      <c r="B17" s="540">
        <v>13237241085.548969</v>
      </c>
      <c r="C17" s="539" t="s">
        <v>4102</v>
      </c>
      <c r="D17" s="539" t="s">
        <v>4103</v>
      </c>
      <c r="E17" s="539" t="s">
        <v>4104</v>
      </c>
    </row>
    <row r="18" spans="1:5" ht="32" x14ac:dyDescent="0.2">
      <c r="A18" s="539" t="s">
        <v>4105</v>
      </c>
      <c r="B18" s="541">
        <v>15401298627.67038</v>
      </c>
      <c r="C18" s="539" t="s">
        <v>4106</v>
      </c>
      <c r="D18" s="539" t="s">
        <v>4103</v>
      </c>
      <c r="E18" s="539" t="s">
        <v>4107</v>
      </c>
    </row>
  </sheetData>
  <pageMargins left="0.75" right="0.75" top="1" bottom="1" header="0.5" footer="0.5"/>
  <pageSetup paperSize="9" orientation="portrait" horizontalDpi="0" verticalDpi="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10"/>
  <sheetViews>
    <sheetView showGridLines="0" workbookViewId="0">
      <pane ySplit="3" topLeftCell="A4" activePane="bottomLeft" state="frozen"/>
      <selection pane="bottomLeft" activeCell="A9" sqref="A9"/>
    </sheetView>
  </sheetViews>
  <sheetFormatPr baseColWidth="10" defaultColWidth="8.83203125" defaultRowHeight="15" x14ac:dyDescent="0.2"/>
  <cols>
    <col min="1" max="1" width="28" customWidth="1"/>
    <col min="2" max="4" width="18" customWidth="1"/>
    <col min="5" max="5" width="20" customWidth="1"/>
    <col min="6" max="6" width="22" customWidth="1"/>
    <col min="7" max="7" width="54" customWidth="1"/>
  </cols>
  <sheetData>
    <row r="1" spans="1:7" ht="18" x14ac:dyDescent="0.2">
      <c r="A1" s="537" t="s">
        <v>4108</v>
      </c>
    </row>
    <row r="2" spans="1:7" ht="16" x14ac:dyDescent="0.2">
      <c r="A2" s="538" t="s">
        <v>3773</v>
      </c>
      <c r="B2" s="538" t="s">
        <v>3774</v>
      </c>
      <c r="C2" s="538" t="s">
        <v>3775</v>
      </c>
      <c r="D2" s="538" t="s">
        <v>3776</v>
      </c>
      <c r="E2" s="538" t="s">
        <v>4109</v>
      </c>
      <c r="F2" s="538" t="s">
        <v>3955</v>
      </c>
      <c r="G2" s="538" t="s">
        <v>4110</v>
      </c>
    </row>
    <row r="3" spans="1:7" ht="32" x14ac:dyDescent="0.2">
      <c r="A3" s="539" t="s">
        <v>3750</v>
      </c>
      <c r="B3" s="539"/>
      <c r="C3" s="541">
        <v>0.22185417359762541</v>
      </c>
      <c r="D3" s="541">
        <v>0.46087725075599989</v>
      </c>
      <c r="E3" s="541">
        <v>0.22757714145120839</v>
      </c>
      <c r="F3" s="539" t="s">
        <v>4111</v>
      </c>
      <c r="G3" s="539" t="s">
        <v>4112</v>
      </c>
    </row>
    <row r="4" spans="1:7" ht="32" x14ac:dyDescent="0.2">
      <c r="A4" s="539" t="s">
        <v>3125</v>
      </c>
      <c r="B4" s="541">
        <v>7.294240047953808E-2</v>
      </c>
      <c r="C4" s="541">
        <v>7.9808314862137714E-2</v>
      </c>
      <c r="D4" s="541">
        <v>0.1357083429506705</v>
      </c>
      <c r="E4" s="541">
        <v>9.6153019430782097E-2</v>
      </c>
      <c r="F4" s="539" t="s">
        <v>4113</v>
      </c>
      <c r="G4" s="539" t="s">
        <v>4114</v>
      </c>
    </row>
    <row r="5" spans="1:7" ht="32" x14ac:dyDescent="0.2">
      <c r="A5" s="539" t="s">
        <v>4115</v>
      </c>
      <c r="B5" s="540">
        <v>3.2257542137134602E-2</v>
      </c>
      <c r="C5" s="540">
        <v>4.2646289244594897E-2</v>
      </c>
      <c r="D5" s="540">
        <v>0.13258854567897321</v>
      </c>
      <c r="E5" s="540">
        <v>8.5138914355700479E-2</v>
      </c>
      <c r="F5" s="539" t="s">
        <v>4116</v>
      </c>
      <c r="G5" s="539" t="s">
        <v>4117</v>
      </c>
    </row>
    <row r="6" spans="1:7" ht="32" x14ac:dyDescent="0.2">
      <c r="A6" s="539" t="s">
        <v>4118</v>
      </c>
      <c r="B6" s="541">
        <v>-0.16048617112311281</v>
      </c>
      <c r="C6" s="541">
        <v>-3.0041875103532661E-2</v>
      </c>
      <c r="D6" s="541">
        <v>-0.16248668084688689</v>
      </c>
      <c r="E6" s="541">
        <v>-0.1176715756911775</v>
      </c>
      <c r="F6" s="539" t="s">
        <v>4119</v>
      </c>
      <c r="G6" s="539" t="s">
        <v>4120</v>
      </c>
    </row>
    <row r="7" spans="1:7" ht="32" x14ac:dyDescent="0.2">
      <c r="A7" s="539" t="s">
        <v>4121</v>
      </c>
      <c r="B7" s="540">
        <v>99403988</v>
      </c>
      <c r="C7" s="540">
        <v>250347400</v>
      </c>
      <c r="D7" s="540">
        <v>678518254</v>
      </c>
      <c r="E7" s="540">
        <v>678518254</v>
      </c>
      <c r="F7" s="539" t="s">
        <v>4070</v>
      </c>
      <c r="G7" s="539" t="s">
        <v>4122</v>
      </c>
    </row>
    <row r="8" spans="1:7" ht="48" x14ac:dyDescent="0.2">
      <c r="A8" s="539" t="s">
        <v>3757</v>
      </c>
      <c r="B8" s="540">
        <f>'FIXED ASSET'!C51</f>
        <v>353481575</v>
      </c>
      <c r="C8" s="540">
        <f>'FIXED ASSET'!D51</f>
        <v>1120799028</v>
      </c>
      <c r="D8" s="540">
        <f>'FIXED ASSET'!E51</f>
        <v>981730341</v>
      </c>
      <c r="E8" s="539" t="s">
        <v>4123</v>
      </c>
      <c r="F8" s="539" t="s">
        <v>4124</v>
      </c>
      <c r="G8" s="539" t="s">
        <v>4125</v>
      </c>
    </row>
    <row r="9" spans="1:7" ht="32" x14ac:dyDescent="0.2">
      <c r="A9" s="539" t="s">
        <v>654</v>
      </c>
      <c r="B9" s="539"/>
      <c r="C9" s="539"/>
      <c r="D9" s="539"/>
      <c r="E9" s="539" t="s">
        <v>4015</v>
      </c>
      <c r="F9" s="539" t="s">
        <v>4126</v>
      </c>
      <c r="G9" s="539" t="s">
        <v>4127</v>
      </c>
    </row>
    <row r="10" spans="1:7" ht="32" x14ac:dyDescent="0.2">
      <c r="A10" s="539" t="s">
        <v>3450</v>
      </c>
      <c r="B10" s="539"/>
      <c r="C10" s="539"/>
      <c r="D10" s="539"/>
      <c r="E10" s="541">
        <v>0.114630620371894</v>
      </c>
      <c r="F10" s="539" t="s">
        <v>4128</v>
      </c>
      <c r="G10" s="539" t="s">
        <v>4129</v>
      </c>
    </row>
  </sheetData>
  <pageMargins left="0.75" right="0.75" top="1" bottom="1" header="0.5" footer="0.5"/>
  <pageSetup paperSize="9" orientation="portrait" horizontalDpi="0" verticalDpi="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D10"/>
  <sheetViews>
    <sheetView showGridLines="0" workbookViewId="0">
      <pane ySplit="2" topLeftCell="A3" activePane="bottomLeft" state="frozen"/>
      <selection pane="bottomLeft"/>
    </sheetView>
  </sheetViews>
  <sheetFormatPr baseColWidth="10" defaultColWidth="8.83203125" defaultRowHeight="15" x14ac:dyDescent="0.2"/>
  <cols>
    <col min="1" max="1" width="32" customWidth="1"/>
    <col min="2" max="3" width="22" customWidth="1"/>
    <col min="4" max="4" width="62" customWidth="1"/>
  </cols>
  <sheetData>
    <row r="1" spans="1:4" ht="18" x14ac:dyDescent="0.2">
      <c r="A1" s="537" t="s">
        <v>4130</v>
      </c>
    </row>
    <row r="2" spans="1:4" ht="16" x14ac:dyDescent="0.2">
      <c r="A2" s="538" t="s">
        <v>3798</v>
      </c>
      <c r="B2" s="538" t="s">
        <v>3730</v>
      </c>
      <c r="C2" s="538" t="s">
        <v>3892</v>
      </c>
      <c r="D2" s="538" t="s">
        <v>3710</v>
      </c>
    </row>
    <row r="3" spans="1:4" ht="80" x14ac:dyDescent="0.2">
      <c r="A3" s="539" t="s">
        <v>4131</v>
      </c>
      <c r="B3" s="539" t="s">
        <v>4132</v>
      </c>
      <c r="C3" s="539"/>
      <c r="D3" s="539" t="s">
        <v>4133</v>
      </c>
    </row>
    <row r="4" spans="1:4" ht="64" x14ac:dyDescent="0.2">
      <c r="A4" s="539" t="s">
        <v>4134</v>
      </c>
      <c r="B4" s="539" t="s">
        <v>4135</v>
      </c>
      <c r="C4" s="539"/>
      <c r="D4" s="539" t="s">
        <v>4136</v>
      </c>
    </row>
    <row r="5" spans="1:4" ht="16" x14ac:dyDescent="0.2">
      <c r="A5" s="539" t="s">
        <v>4137</v>
      </c>
      <c r="B5" s="540">
        <v>37</v>
      </c>
      <c r="C5" s="539"/>
      <c r="D5" s="539" t="s">
        <v>4138</v>
      </c>
    </row>
    <row r="6" spans="1:4" ht="16" x14ac:dyDescent="0.2">
      <c r="A6" s="539" t="s">
        <v>4139</v>
      </c>
      <c r="B6" s="540">
        <v>346</v>
      </c>
      <c r="C6" s="539"/>
      <c r="D6" s="539" t="s">
        <v>4140</v>
      </c>
    </row>
    <row r="7" spans="1:4" ht="16" x14ac:dyDescent="0.2">
      <c r="A7" s="539" t="s">
        <v>4141</v>
      </c>
      <c r="B7" s="539" t="s">
        <v>3552</v>
      </c>
      <c r="C7" s="539" t="s">
        <v>4142</v>
      </c>
      <c r="D7" s="539" t="s">
        <v>4143</v>
      </c>
    </row>
    <row r="8" spans="1:4" ht="16" x14ac:dyDescent="0.2">
      <c r="A8" s="539" t="s">
        <v>4144</v>
      </c>
      <c r="B8" s="540">
        <v>22</v>
      </c>
      <c r="C8" s="539"/>
      <c r="D8" s="539" t="s">
        <v>4145</v>
      </c>
    </row>
    <row r="9" spans="1:4" ht="16" x14ac:dyDescent="0.2">
      <c r="A9" s="539" t="s">
        <v>4146</v>
      </c>
      <c r="B9" s="540">
        <v>13</v>
      </c>
      <c r="C9" s="539"/>
      <c r="D9" s="539" t="s">
        <v>4147</v>
      </c>
    </row>
    <row r="10" spans="1:4" ht="16" x14ac:dyDescent="0.2">
      <c r="A10" s="539" t="s">
        <v>4148</v>
      </c>
      <c r="B10" s="540">
        <v>82</v>
      </c>
      <c r="C10" s="539"/>
      <c r="D10" s="539" t="s">
        <v>4149</v>
      </c>
    </row>
  </sheetData>
  <pageMargins left="0.75" right="0.75" top="1" bottom="1" header="0.5" footer="0.5"/>
  <pageSetup paperSize="9" orientation="portrait" horizontalDpi="0" verticalDpi="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39"/>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12" customWidth="1"/>
    <col min="3" max="3" width="44" customWidth="1"/>
    <col min="4" max="4" width="34" customWidth="1"/>
    <col min="5" max="5" width="16" customWidth="1"/>
    <col min="6" max="6" width="18" customWidth="1"/>
    <col min="7" max="7" width="72" customWidth="1"/>
  </cols>
  <sheetData>
    <row r="1" spans="1:7" ht="36" x14ac:dyDescent="0.2">
      <c r="A1" s="537" t="s">
        <v>4150</v>
      </c>
    </row>
    <row r="2" spans="1:7" ht="16" x14ac:dyDescent="0.2">
      <c r="A2" s="538" t="s">
        <v>4151</v>
      </c>
      <c r="B2" s="538" t="s">
        <v>4152</v>
      </c>
      <c r="C2" s="538" t="s">
        <v>4153</v>
      </c>
      <c r="D2" s="538" t="s">
        <v>4154</v>
      </c>
      <c r="E2" s="538" t="s">
        <v>4155</v>
      </c>
      <c r="F2" s="538" t="s">
        <v>4156</v>
      </c>
      <c r="G2" s="538" t="s">
        <v>3710</v>
      </c>
    </row>
    <row r="3" spans="1:7" ht="32" x14ac:dyDescent="0.2">
      <c r="A3" s="539" t="s">
        <v>777</v>
      </c>
      <c r="B3" s="540">
        <v>8</v>
      </c>
      <c r="C3" s="539" t="s">
        <v>3215</v>
      </c>
      <c r="D3" s="539" t="s">
        <v>4157</v>
      </c>
      <c r="E3" s="540"/>
      <c r="F3" s="540">
        <v>8</v>
      </c>
      <c r="G3" s="539" t="s">
        <v>4158</v>
      </c>
    </row>
    <row r="4" spans="1:7" ht="32" x14ac:dyDescent="0.2">
      <c r="A4" s="539" t="s">
        <v>777</v>
      </c>
      <c r="B4" s="540">
        <v>9</v>
      </c>
      <c r="C4" s="539" t="s">
        <v>3216</v>
      </c>
      <c r="D4" s="539" t="s">
        <v>4159</v>
      </c>
      <c r="E4" s="540"/>
      <c r="F4" s="540">
        <v>16</v>
      </c>
      <c r="G4" s="539" t="s">
        <v>4158</v>
      </c>
    </row>
    <row r="5" spans="1:7" ht="16" x14ac:dyDescent="0.2">
      <c r="A5" s="539" t="s">
        <v>777</v>
      </c>
      <c r="B5" s="540">
        <v>11</v>
      </c>
      <c r="C5" s="539" t="s">
        <v>4160</v>
      </c>
      <c r="D5" s="539" t="s">
        <v>4161</v>
      </c>
      <c r="E5" s="540"/>
      <c r="F5" s="540">
        <v>8</v>
      </c>
      <c r="G5" s="539" t="s">
        <v>4158</v>
      </c>
    </row>
    <row r="6" spans="1:7" ht="32" x14ac:dyDescent="0.2">
      <c r="A6" s="539" t="s">
        <v>777</v>
      </c>
      <c r="B6" s="540">
        <v>12</v>
      </c>
      <c r="C6" s="539" t="s">
        <v>4162</v>
      </c>
      <c r="D6" s="539" t="s">
        <v>4163</v>
      </c>
      <c r="E6" s="540"/>
      <c r="F6" s="540">
        <v>8</v>
      </c>
      <c r="G6" s="539" t="s">
        <v>4158</v>
      </c>
    </row>
    <row r="7" spans="1:7" ht="32" x14ac:dyDescent="0.2">
      <c r="A7" s="539" t="s">
        <v>777</v>
      </c>
      <c r="B7" s="540">
        <v>17</v>
      </c>
      <c r="C7" s="539" t="s">
        <v>3215</v>
      </c>
      <c r="D7" s="539" t="s">
        <v>4157</v>
      </c>
      <c r="E7" s="540"/>
      <c r="F7" s="540">
        <v>6</v>
      </c>
      <c r="G7" s="539" t="s">
        <v>4164</v>
      </c>
    </row>
    <row r="8" spans="1:7" ht="32" x14ac:dyDescent="0.2">
      <c r="A8" s="539" t="s">
        <v>777</v>
      </c>
      <c r="B8" s="540">
        <v>18</v>
      </c>
      <c r="C8" s="539" t="s">
        <v>3216</v>
      </c>
      <c r="D8" s="539" t="s">
        <v>4159</v>
      </c>
      <c r="E8" s="540"/>
      <c r="F8" s="540">
        <v>12</v>
      </c>
      <c r="G8" s="539" t="s">
        <v>4164</v>
      </c>
    </row>
    <row r="9" spans="1:7" ht="16" x14ac:dyDescent="0.2">
      <c r="A9" s="539" t="s">
        <v>777</v>
      </c>
      <c r="B9" s="540">
        <v>20</v>
      </c>
      <c r="C9" s="539" t="s">
        <v>4160</v>
      </c>
      <c r="D9" s="539" t="s">
        <v>4161</v>
      </c>
      <c r="E9" s="540"/>
      <c r="F9" s="540">
        <v>6</v>
      </c>
      <c r="G9" s="539" t="s">
        <v>4164</v>
      </c>
    </row>
    <row r="10" spans="1:7" ht="32" x14ac:dyDescent="0.2">
      <c r="A10" s="539" t="s">
        <v>777</v>
      </c>
      <c r="B10" s="540">
        <v>21</v>
      </c>
      <c r="C10" s="539" t="s">
        <v>4162</v>
      </c>
      <c r="D10" s="539" t="s">
        <v>4163</v>
      </c>
      <c r="E10" s="540"/>
      <c r="F10" s="540">
        <v>6</v>
      </c>
      <c r="G10" s="539" t="s">
        <v>4164</v>
      </c>
    </row>
    <row r="11" spans="1:7" ht="32" x14ac:dyDescent="0.2">
      <c r="A11" s="539" t="s">
        <v>777</v>
      </c>
      <c r="B11" s="540">
        <v>26</v>
      </c>
      <c r="C11" s="539" t="s">
        <v>3215</v>
      </c>
      <c r="D11" s="539" t="s">
        <v>4157</v>
      </c>
      <c r="E11" s="540"/>
      <c r="F11" s="540">
        <v>6</v>
      </c>
      <c r="G11" s="539" t="s">
        <v>4165</v>
      </c>
    </row>
    <row r="12" spans="1:7" ht="32" x14ac:dyDescent="0.2">
      <c r="A12" s="539" t="s">
        <v>777</v>
      </c>
      <c r="B12" s="540">
        <v>27</v>
      </c>
      <c r="C12" s="539" t="s">
        <v>3216</v>
      </c>
      <c r="D12" s="539" t="s">
        <v>4159</v>
      </c>
      <c r="E12" s="540"/>
      <c r="F12" s="540">
        <v>12</v>
      </c>
      <c r="G12" s="539" t="s">
        <v>4165</v>
      </c>
    </row>
    <row r="13" spans="1:7" ht="16" x14ac:dyDescent="0.2">
      <c r="A13" s="539" t="s">
        <v>777</v>
      </c>
      <c r="B13" s="540">
        <v>29</v>
      </c>
      <c r="C13" s="539" t="s">
        <v>4160</v>
      </c>
      <c r="D13" s="539" t="s">
        <v>4161</v>
      </c>
      <c r="E13" s="540"/>
      <c r="F13" s="540">
        <v>6</v>
      </c>
      <c r="G13" s="539" t="s">
        <v>4165</v>
      </c>
    </row>
    <row r="14" spans="1:7" ht="32" x14ac:dyDescent="0.2">
      <c r="A14" s="539" t="s">
        <v>777</v>
      </c>
      <c r="B14" s="540">
        <v>30</v>
      </c>
      <c r="C14" s="539" t="s">
        <v>4162</v>
      </c>
      <c r="D14" s="539" t="s">
        <v>4163</v>
      </c>
      <c r="E14" s="540"/>
      <c r="F14" s="540">
        <v>6</v>
      </c>
      <c r="G14" s="539" t="s">
        <v>4165</v>
      </c>
    </row>
    <row r="15" spans="1:7" ht="32" x14ac:dyDescent="0.2">
      <c r="A15" s="539" t="s">
        <v>777</v>
      </c>
      <c r="B15" s="540">
        <v>36</v>
      </c>
      <c r="C15" s="539" t="s">
        <v>3215</v>
      </c>
      <c r="D15" s="539" t="s">
        <v>4157</v>
      </c>
      <c r="E15" s="540"/>
      <c r="F15" s="540">
        <v>6</v>
      </c>
      <c r="G15" s="539" t="s">
        <v>4166</v>
      </c>
    </row>
    <row r="16" spans="1:7" ht="32" x14ac:dyDescent="0.2">
      <c r="A16" s="539" t="s">
        <v>777</v>
      </c>
      <c r="B16" s="540">
        <v>37</v>
      </c>
      <c r="C16" s="539" t="s">
        <v>3216</v>
      </c>
      <c r="D16" s="539" t="s">
        <v>4159</v>
      </c>
      <c r="E16" s="540"/>
      <c r="F16" s="540">
        <v>12</v>
      </c>
      <c r="G16" s="539" t="s">
        <v>4166</v>
      </c>
    </row>
    <row r="17" spans="1:7" ht="16" x14ac:dyDescent="0.2">
      <c r="A17" s="539" t="s">
        <v>777</v>
      </c>
      <c r="B17" s="540">
        <v>39</v>
      </c>
      <c r="C17" s="539" t="s">
        <v>4160</v>
      </c>
      <c r="D17" s="539" t="s">
        <v>4161</v>
      </c>
      <c r="E17" s="540"/>
      <c r="F17" s="540">
        <v>6</v>
      </c>
      <c r="G17" s="539" t="s">
        <v>4166</v>
      </c>
    </row>
    <row r="18" spans="1:7" ht="32" x14ac:dyDescent="0.2">
      <c r="A18" s="539" t="s">
        <v>777</v>
      </c>
      <c r="B18" s="540">
        <v>40</v>
      </c>
      <c r="C18" s="539" t="s">
        <v>4162</v>
      </c>
      <c r="D18" s="539" t="s">
        <v>4163</v>
      </c>
      <c r="E18" s="540"/>
      <c r="F18" s="540">
        <v>6</v>
      </c>
      <c r="G18" s="539" t="s">
        <v>4166</v>
      </c>
    </row>
    <row r="19" spans="1:7" ht="32" x14ac:dyDescent="0.2">
      <c r="A19" s="539" t="s">
        <v>777</v>
      </c>
      <c r="B19" s="540">
        <v>45</v>
      </c>
      <c r="C19" s="539" t="s">
        <v>3215</v>
      </c>
      <c r="D19" s="539" t="s">
        <v>4157</v>
      </c>
      <c r="E19" s="540"/>
      <c r="F19" s="540">
        <v>6</v>
      </c>
      <c r="G19" s="539" t="s">
        <v>4164</v>
      </c>
    </row>
    <row r="20" spans="1:7" ht="32" x14ac:dyDescent="0.2">
      <c r="A20" s="539" t="s">
        <v>777</v>
      </c>
      <c r="B20" s="540">
        <v>46</v>
      </c>
      <c r="C20" s="539" t="s">
        <v>3216</v>
      </c>
      <c r="D20" s="539" t="s">
        <v>4159</v>
      </c>
      <c r="E20" s="540"/>
      <c r="F20" s="540">
        <v>16</v>
      </c>
      <c r="G20" s="539" t="s">
        <v>4167</v>
      </c>
    </row>
    <row r="21" spans="1:7" ht="16" x14ac:dyDescent="0.2">
      <c r="A21" s="539" t="s">
        <v>777</v>
      </c>
      <c r="B21" s="540">
        <v>48</v>
      </c>
      <c r="C21" s="539" t="s">
        <v>4160</v>
      </c>
      <c r="D21" s="539" t="s">
        <v>4161</v>
      </c>
      <c r="E21" s="540"/>
      <c r="F21" s="540">
        <v>8</v>
      </c>
      <c r="G21" s="539" t="s">
        <v>4168</v>
      </c>
    </row>
    <row r="22" spans="1:7" ht="32" x14ac:dyDescent="0.2">
      <c r="A22" s="539" t="s">
        <v>777</v>
      </c>
      <c r="B22" s="540">
        <v>49</v>
      </c>
      <c r="C22" s="539" t="s">
        <v>4162</v>
      </c>
      <c r="D22" s="539" t="s">
        <v>4163</v>
      </c>
      <c r="E22" s="540"/>
      <c r="F22" s="540">
        <v>6</v>
      </c>
      <c r="G22" s="539" t="s">
        <v>4164</v>
      </c>
    </row>
    <row r="23" spans="1:7" ht="32" x14ac:dyDescent="0.2">
      <c r="A23" s="539" t="s">
        <v>777</v>
      </c>
      <c r="B23" s="540">
        <v>54</v>
      </c>
      <c r="C23" s="539" t="s">
        <v>3215</v>
      </c>
      <c r="D23" s="539" t="s">
        <v>4157</v>
      </c>
      <c r="E23" s="540"/>
      <c r="F23" s="540">
        <v>6</v>
      </c>
      <c r="G23" s="539" t="s">
        <v>4165</v>
      </c>
    </row>
    <row r="24" spans="1:7" ht="32" x14ac:dyDescent="0.2">
      <c r="A24" s="539" t="s">
        <v>777</v>
      </c>
      <c r="B24" s="540">
        <v>55</v>
      </c>
      <c r="C24" s="539" t="s">
        <v>3216</v>
      </c>
      <c r="D24" s="539" t="s">
        <v>4159</v>
      </c>
      <c r="E24" s="540"/>
      <c r="F24" s="540">
        <v>12</v>
      </c>
      <c r="G24" s="539" t="s">
        <v>4165</v>
      </c>
    </row>
    <row r="25" spans="1:7" ht="16" x14ac:dyDescent="0.2">
      <c r="A25" s="539" t="s">
        <v>777</v>
      </c>
      <c r="B25" s="540">
        <v>57</v>
      </c>
      <c r="C25" s="539" t="s">
        <v>4160</v>
      </c>
      <c r="D25" s="539" t="s">
        <v>4161</v>
      </c>
      <c r="E25" s="540"/>
      <c r="F25" s="540">
        <v>6</v>
      </c>
      <c r="G25" s="539" t="s">
        <v>4165</v>
      </c>
    </row>
    <row r="26" spans="1:7" ht="32" x14ac:dyDescent="0.2">
      <c r="A26" s="539" t="s">
        <v>777</v>
      </c>
      <c r="B26" s="540">
        <v>58</v>
      </c>
      <c r="C26" s="539" t="s">
        <v>4162</v>
      </c>
      <c r="D26" s="539" t="s">
        <v>4163</v>
      </c>
      <c r="E26" s="540"/>
      <c r="F26" s="540">
        <v>6</v>
      </c>
      <c r="G26" s="539" t="s">
        <v>4165</v>
      </c>
    </row>
    <row r="27" spans="1:7" ht="32" x14ac:dyDescent="0.2">
      <c r="A27" s="539" t="s">
        <v>777</v>
      </c>
      <c r="B27" s="540">
        <v>63</v>
      </c>
      <c r="C27" s="539" t="s">
        <v>3215</v>
      </c>
      <c r="D27" s="539" t="s">
        <v>4157</v>
      </c>
      <c r="E27" s="540"/>
      <c r="F27" s="540">
        <v>6</v>
      </c>
      <c r="G27" s="539" t="s">
        <v>4165</v>
      </c>
    </row>
    <row r="28" spans="1:7" ht="32" x14ac:dyDescent="0.2">
      <c r="A28" s="539" t="s">
        <v>777</v>
      </c>
      <c r="B28" s="540">
        <v>64</v>
      </c>
      <c r="C28" s="539" t="s">
        <v>3216</v>
      </c>
      <c r="D28" s="539" t="s">
        <v>4159</v>
      </c>
      <c r="E28" s="540"/>
      <c r="F28" s="540">
        <v>12</v>
      </c>
      <c r="G28" s="539" t="s">
        <v>4165</v>
      </c>
    </row>
    <row r="29" spans="1:7" ht="16" x14ac:dyDescent="0.2">
      <c r="A29" s="539" t="s">
        <v>777</v>
      </c>
      <c r="B29" s="540">
        <v>66</v>
      </c>
      <c r="C29" s="539" t="s">
        <v>4160</v>
      </c>
      <c r="D29" s="539" t="s">
        <v>4161</v>
      </c>
      <c r="E29" s="540"/>
      <c r="F29" s="540">
        <v>6</v>
      </c>
      <c r="G29" s="539" t="s">
        <v>4165</v>
      </c>
    </row>
    <row r="30" spans="1:7" ht="32" x14ac:dyDescent="0.2">
      <c r="A30" s="539" t="s">
        <v>777</v>
      </c>
      <c r="B30" s="540">
        <v>67</v>
      </c>
      <c r="C30" s="539" t="s">
        <v>4162</v>
      </c>
      <c r="D30" s="539" t="s">
        <v>4163</v>
      </c>
      <c r="E30" s="540"/>
      <c r="F30" s="540">
        <v>6</v>
      </c>
      <c r="G30" s="539" t="s">
        <v>4165</v>
      </c>
    </row>
    <row r="31" spans="1:7" ht="16" x14ac:dyDescent="0.2">
      <c r="A31" s="539" t="s">
        <v>53</v>
      </c>
      <c r="B31" s="540">
        <v>8</v>
      </c>
      <c r="C31" s="539" t="s">
        <v>3406</v>
      </c>
      <c r="D31" s="539" t="s">
        <v>4169</v>
      </c>
      <c r="E31" s="540"/>
      <c r="F31" s="540">
        <v>6</v>
      </c>
      <c r="G31" s="539" t="s">
        <v>4168</v>
      </c>
    </row>
    <row r="32" spans="1:7" ht="32" x14ac:dyDescent="0.2">
      <c r="A32" s="539" t="s">
        <v>53</v>
      </c>
      <c r="B32" s="540">
        <v>9</v>
      </c>
      <c r="C32" s="539" t="s">
        <v>4170</v>
      </c>
      <c r="D32" s="539" t="s">
        <v>4171</v>
      </c>
      <c r="E32" s="540"/>
      <c r="F32" s="540">
        <v>6</v>
      </c>
      <c r="G32" s="539" t="s">
        <v>4164</v>
      </c>
    </row>
    <row r="33" spans="1:7" ht="48" x14ac:dyDescent="0.2">
      <c r="A33" s="539" t="s">
        <v>53</v>
      </c>
      <c r="B33" s="540">
        <v>32</v>
      </c>
      <c r="C33" s="539" t="s">
        <v>3419</v>
      </c>
      <c r="D33" s="539" t="s">
        <v>4172</v>
      </c>
      <c r="E33" s="540"/>
      <c r="F33" s="540">
        <v>15</v>
      </c>
      <c r="G33" s="539" t="s">
        <v>4173</v>
      </c>
    </row>
    <row r="34" spans="1:7" ht="32" x14ac:dyDescent="0.2">
      <c r="A34" s="539" t="s">
        <v>53</v>
      </c>
      <c r="B34" s="540">
        <v>45</v>
      </c>
      <c r="C34" s="539" t="s">
        <v>3422</v>
      </c>
      <c r="D34" s="539" t="s">
        <v>4174</v>
      </c>
      <c r="E34" s="540"/>
      <c r="F34" s="540">
        <v>9</v>
      </c>
      <c r="G34" s="539" t="s">
        <v>4173</v>
      </c>
    </row>
    <row r="35" spans="1:7" ht="64" x14ac:dyDescent="0.2">
      <c r="A35" s="539" t="s">
        <v>4175</v>
      </c>
      <c r="B35" s="540">
        <v>7</v>
      </c>
      <c r="C35" s="539" t="s">
        <v>3396</v>
      </c>
      <c r="D35" s="539" t="s">
        <v>4176</v>
      </c>
      <c r="E35" s="540"/>
      <c r="F35" s="540">
        <v>21</v>
      </c>
      <c r="G35" s="539" t="s">
        <v>4173</v>
      </c>
    </row>
    <row r="36" spans="1:7" ht="112" x14ac:dyDescent="0.2">
      <c r="A36" s="539" t="s">
        <v>4175</v>
      </c>
      <c r="B36" s="540">
        <v>13</v>
      </c>
      <c r="C36" s="539" t="s">
        <v>3397</v>
      </c>
      <c r="D36" s="539" t="s">
        <v>4177</v>
      </c>
      <c r="E36" s="540"/>
      <c r="F36" s="540">
        <v>42</v>
      </c>
      <c r="G36" s="539" t="s">
        <v>4178</v>
      </c>
    </row>
    <row r="37" spans="1:7" ht="32" x14ac:dyDescent="0.2">
      <c r="A37" s="539" t="s">
        <v>4175</v>
      </c>
      <c r="B37" s="540">
        <v>26</v>
      </c>
      <c r="C37" s="539" t="s">
        <v>16</v>
      </c>
      <c r="D37" s="539" t="s">
        <v>4179</v>
      </c>
      <c r="E37" s="540"/>
      <c r="F37" s="540">
        <v>9</v>
      </c>
      <c r="G37" s="539" t="s">
        <v>4173</v>
      </c>
    </row>
    <row r="38" spans="1:7" ht="16" x14ac:dyDescent="0.2">
      <c r="A38" s="539" t="s">
        <v>4175</v>
      </c>
      <c r="B38" s="540">
        <v>27</v>
      </c>
      <c r="C38" s="539" t="s">
        <v>15</v>
      </c>
      <c r="D38" s="539" t="s">
        <v>4180</v>
      </c>
      <c r="E38" s="540"/>
      <c r="F38" s="540">
        <v>6</v>
      </c>
      <c r="G38" s="539" t="s">
        <v>4181</v>
      </c>
    </row>
    <row r="39" spans="1:7" ht="16" x14ac:dyDescent="0.2">
      <c r="A39" s="539" t="s">
        <v>4175</v>
      </c>
      <c r="B39" s="540">
        <v>30</v>
      </c>
      <c r="C39" s="539" t="s">
        <v>3221</v>
      </c>
      <c r="D39" s="539" t="s">
        <v>4182</v>
      </c>
      <c r="E39" s="540"/>
      <c r="F39" s="540">
        <v>6</v>
      </c>
      <c r="G39" s="539" t="s">
        <v>4168</v>
      </c>
    </row>
  </sheetData>
  <pageMargins left="0.75" right="0.75" top="1" bottom="1" header="0.5" footer="0.5"/>
  <pageSetup paperSize="9" orientation="portrait" horizontalDpi="0" verticalDpi="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348"/>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10" customWidth="1"/>
    <col min="3" max="3" width="38" customWidth="1"/>
    <col min="4" max="4" width="36" customWidth="1"/>
    <col min="5" max="5" width="14" customWidth="1"/>
    <col min="6" max="6" width="34" customWidth="1"/>
    <col min="7" max="7" width="16" customWidth="1"/>
    <col min="8" max="8" width="14" customWidth="1"/>
    <col min="9" max="9" width="42" customWidth="1"/>
    <col min="10" max="11" width="20" customWidth="1"/>
    <col min="12" max="12" width="34" customWidth="1"/>
    <col min="13" max="13" width="18" customWidth="1"/>
  </cols>
  <sheetData>
    <row r="1" spans="1:13" ht="36" x14ac:dyDescent="0.2">
      <c r="A1" s="537" t="s">
        <v>4183</v>
      </c>
    </row>
    <row r="2" spans="1:13" ht="16" x14ac:dyDescent="0.2">
      <c r="A2" s="538" t="s">
        <v>4151</v>
      </c>
      <c r="B2" s="538" t="s">
        <v>4152</v>
      </c>
      <c r="C2" s="538" t="s">
        <v>4153</v>
      </c>
      <c r="D2" s="538" t="s">
        <v>4184</v>
      </c>
      <c r="E2" s="538" t="s">
        <v>4185</v>
      </c>
      <c r="F2" s="538" t="s">
        <v>4186</v>
      </c>
      <c r="G2" s="538" t="s">
        <v>3876</v>
      </c>
      <c r="H2" s="538" t="s">
        <v>4187</v>
      </c>
      <c r="I2" s="538" t="s">
        <v>4188</v>
      </c>
      <c r="J2" s="538" t="s">
        <v>4189</v>
      </c>
      <c r="K2" s="538" t="s">
        <v>4190</v>
      </c>
      <c r="L2" s="538" t="s">
        <v>4191</v>
      </c>
      <c r="M2" s="538" t="s">
        <v>3892</v>
      </c>
    </row>
    <row r="3" spans="1:13" ht="32" x14ac:dyDescent="0.2">
      <c r="A3" s="539" t="s">
        <v>777</v>
      </c>
      <c r="B3" s="540">
        <v>8</v>
      </c>
      <c r="C3" s="539" t="s">
        <v>3215</v>
      </c>
      <c r="D3" s="539" t="s">
        <v>3059</v>
      </c>
      <c r="E3" s="540">
        <v>1</v>
      </c>
      <c r="F3" s="539" t="s">
        <v>4192</v>
      </c>
      <c r="G3" s="540">
        <f>'BALANCE SHEET'!C4</f>
        <v>2019</v>
      </c>
      <c r="H3" s="539" t="s">
        <v>210</v>
      </c>
      <c r="I3" s="540">
        <f>1267580000+3184183925</f>
        <v>4451763925</v>
      </c>
      <c r="J3" s="540">
        <v>4451763925</v>
      </c>
      <c r="K3" s="540">
        <v>1267580000</v>
      </c>
      <c r="L3" s="539" t="s">
        <v>4181</v>
      </c>
      <c r="M3" s="540">
        <v>0</v>
      </c>
    </row>
    <row r="4" spans="1:13" ht="32" x14ac:dyDescent="0.2">
      <c r="A4" s="539" t="s">
        <v>777</v>
      </c>
      <c r="B4" s="540">
        <v>8</v>
      </c>
      <c r="C4" s="539" t="s">
        <v>3215</v>
      </c>
      <c r="D4" s="539" t="s">
        <v>3059</v>
      </c>
      <c r="E4" s="540">
        <v>2</v>
      </c>
      <c r="F4" s="539" t="s">
        <v>4193</v>
      </c>
      <c r="G4" s="540">
        <f>'BALANCE SHEET'!C4</f>
        <v>2019</v>
      </c>
      <c r="H4" s="539" t="s">
        <v>210</v>
      </c>
      <c r="I4" s="540">
        <f>1267580000+3184183925</f>
        <v>4451763925</v>
      </c>
      <c r="J4" s="540">
        <v>4451763925</v>
      </c>
      <c r="K4" s="540">
        <v>3184183925</v>
      </c>
      <c r="L4" s="539" t="s">
        <v>4181</v>
      </c>
      <c r="M4" s="540">
        <v>0</v>
      </c>
    </row>
    <row r="5" spans="1:13" ht="32" x14ac:dyDescent="0.2">
      <c r="A5" s="539" t="s">
        <v>777</v>
      </c>
      <c r="B5" s="540">
        <v>8</v>
      </c>
      <c r="C5" s="539" t="s">
        <v>3215</v>
      </c>
      <c r="D5" s="539" t="s">
        <v>3059</v>
      </c>
      <c r="E5" s="540">
        <v>1</v>
      </c>
      <c r="F5" s="539" t="s">
        <v>4192</v>
      </c>
      <c r="G5" s="540" t="e">
        <f>C5+1</f>
        <v>#VALUE!</v>
      </c>
      <c r="H5" s="539" t="s">
        <v>215</v>
      </c>
      <c r="I5" s="540" t="str">
        <f>C26</f>
        <v>Building</v>
      </c>
      <c r="J5" s="540">
        <v>7817274315</v>
      </c>
      <c r="K5" s="540">
        <v>3908637157.5</v>
      </c>
      <c r="L5" s="539" t="s">
        <v>4165</v>
      </c>
      <c r="M5" s="540">
        <v>0</v>
      </c>
    </row>
    <row r="6" spans="1:13" ht="32" x14ac:dyDescent="0.2">
      <c r="A6" s="539" t="s">
        <v>777</v>
      </c>
      <c r="B6" s="540">
        <v>8</v>
      </c>
      <c r="C6" s="539" t="s">
        <v>3215</v>
      </c>
      <c r="D6" s="539" t="s">
        <v>3059</v>
      </c>
      <c r="E6" s="540">
        <v>2</v>
      </c>
      <c r="F6" s="539" t="s">
        <v>4193</v>
      </c>
      <c r="G6" s="540" t="e">
        <f>C5+1</f>
        <v>#VALUE!</v>
      </c>
      <c r="H6" s="539" t="s">
        <v>215</v>
      </c>
      <c r="I6" s="540" t="str">
        <f>C26</f>
        <v>Building</v>
      </c>
      <c r="J6" s="540">
        <v>7817274315</v>
      </c>
      <c r="K6" s="540">
        <v>3908637157.5</v>
      </c>
      <c r="L6" s="539" t="s">
        <v>4165</v>
      </c>
      <c r="M6" s="540">
        <v>0</v>
      </c>
    </row>
    <row r="7" spans="1:13" ht="32" x14ac:dyDescent="0.2">
      <c r="A7" s="539" t="s">
        <v>777</v>
      </c>
      <c r="B7" s="540">
        <v>8</v>
      </c>
      <c r="C7" s="539" t="s">
        <v>3215</v>
      </c>
      <c r="D7" s="539" t="s">
        <v>3059</v>
      </c>
      <c r="E7" s="540">
        <v>1</v>
      </c>
      <c r="F7" s="539" t="s">
        <v>4192</v>
      </c>
      <c r="G7" s="540" t="e">
        <f>D5+1</f>
        <v>#VALUE!</v>
      </c>
      <c r="H7" s="539" t="s">
        <v>218</v>
      </c>
      <c r="I7" s="540" t="str">
        <f>D26</f>
        <v>Building (Bangunan Mess/Barak + Bangunan Mess/Barak (TA) + Lapangan + Kantor)</v>
      </c>
      <c r="J7" s="540">
        <v>7817274315</v>
      </c>
      <c r="K7" s="540">
        <v>3908637157.5</v>
      </c>
      <c r="L7" s="539" t="s">
        <v>4165</v>
      </c>
      <c r="M7" s="540">
        <v>0</v>
      </c>
    </row>
    <row r="8" spans="1:13" ht="32" x14ac:dyDescent="0.2">
      <c r="A8" s="539" t="s">
        <v>777</v>
      </c>
      <c r="B8" s="540">
        <v>8</v>
      </c>
      <c r="C8" s="539" t="s">
        <v>3215</v>
      </c>
      <c r="D8" s="539" t="s">
        <v>3059</v>
      </c>
      <c r="E8" s="540">
        <v>2</v>
      </c>
      <c r="F8" s="539" t="s">
        <v>4193</v>
      </c>
      <c r="G8" s="540" t="e">
        <f>D5+1</f>
        <v>#VALUE!</v>
      </c>
      <c r="H8" s="539" t="s">
        <v>218</v>
      </c>
      <c r="I8" s="540" t="str">
        <f>D26</f>
        <v>Building (Bangunan Mess/Barak + Bangunan Mess/Barak (TA) + Lapangan + Kantor)</v>
      </c>
      <c r="J8" s="540">
        <v>7817274315</v>
      </c>
      <c r="K8" s="540">
        <v>3908637157.5</v>
      </c>
      <c r="L8" s="539" t="s">
        <v>4165</v>
      </c>
      <c r="M8" s="540">
        <v>0</v>
      </c>
    </row>
    <row r="9" spans="1:13" ht="32" x14ac:dyDescent="0.2">
      <c r="A9" s="539" t="s">
        <v>777</v>
      </c>
      <c r="B9" s="540">
        <v>8</v>
      </c>
      <c r="C9" s="539" t="s">
        <v>3215</v>
      </c>
      <c r="D9" s="539" t="s">
        <v>3059</v>
      </c>
      <c r="E9" s="540">
        <v>1</v>
      </c>
      <c r="F9" s="539" t="s">
        <v>4192</v>
      </c>
      <c r="G9" s="539" t="s">
        <v>4194</v>
      </c>
      <c r="H9" s="539" t="s">
        <v>304</v>
      </c>
      <c r="I9" s="540">
        <f>4633090390+3184183925</f>
        <v>7817274315</v>
      </c>
      <c r="J9" s="540">
        <v>7817274315</v>
      </c>
      <c r="K9" s="540">
        <v>4633090390</v>
      </c>
      <c r="L9" s="539" t="s">
        <v>4181</v>
      </c>
      <c r="M9" s="540">
        <v>0</v>
      </c>
    </row>
    <row r="10" spans="1:13" ht="32" x14ac:dyDescent="0.2">
      <c r="A10" s="539" t="s">
        <v>777</v>
      </c>
      <c r="B10" s="540">
        <v>8</v>
      </c>
      <c r="C10" s="539" t="s">
        <v>3215</v>
      </c>
      <c r="D10" s="539" t="s">
        <v>3059</v>
      </c>
      <c r="E10" s="540">
        <v>2</v>
      </c>
      <c r="F10" s="539" t="s">
        <v>4193</v>
      </c>
      <c r="G10" s="539" t="s">
        <v>4194</v>
      </c>
      <c r="H10" s="539" t="s">
        <v>304</v>
      </c>
      <c r="I10" s="540">
        <f>4633090390+3184183925</f>
        <v>7817274315</v>
      </c>
      <c r="J10" s="540">
        <v>7817274315</v>
      </c>
      <c r="K10" s="540">
        <v>3184183925</v>
      </c>
      <c r="L10" s="539" t="s">
        <v>4181</v>
      </c>
      <c r="M10" s="540">
        <v>0</v>
      </c>
    </row>
    <row r="11" spans="1:13" ht="32" x14ac:dyDescent="0.2">
      <c r="A11" s="539" t="s">
        <v>777</v>
      </c>
      <c r="B11" s="540">
        <v>9</v>
      </c>
      <c r="C11" s="539" t="s">
        <v>3216</v>
      </c>
      <c r="D11" s="539" t="s">
        <v>3061</v>
      </c>
      <c r="E11" s="540">
        <v>1</v>
      </c>
      <c r="F11" s="539" t="s">
        <v>4195</v>
      </c>
      <c r="G11" s="540">
        <f>'BALANCE SHEET'!C4</f>
        <v>2019</v>
      </c>
      <c r="H11" s="539" t="s">
        <v>221</v>
      </c>
      <c r="I11" s="540">
        <f>200592860+105000000+131056000+104864091</f>
        <v>541512951</v>
      </c>
      <c r="J11" s="540">
        <v>541512951</v>
      </c>
      <c r="K11" s="540">
        <v>200592860</v>
      </c>
      <c r="L11" s="539" t="s">
        <v>4181</v>
      </c>
      <c r="M11" s="540">
        <v>0</v>
      </c>
    </row>
    <row r="12" spans="1:13" ht="32" x14ac:dyDescent="0.2">
      <c r="A12" s="539" t="s">
        <v>777</v>
      </c>
      <c r="B12" s="540">
        <v>9</v>
      </c>
      <c r="C12" s="539" t="s">
        <v>3216</v>
      </c>
      <c r="D12" s="539" t="s">
        <v>3061</v>
      </c>
      <c r="E12" s="540">
        <v>2</v>
      </c>
      <c r="F12" s="539" t="s">
        <v>4196</v>
      </c>
      <c r="G12" s="540">
        <f>'BALANCE SHEET'!C4</f>
        <v>2019</v>
      </c>
      <c r="H12" s="539" t="s">
        <v>221</v>
      </c>
      <c r="I12" s="540">
        <f>200592860+105000000+131056000+104864091</f>
        <v>541512951</v>
      </c>
      <c r="J12" s="540">
        <v>541512951</v>
      </c>
      <c r="K12" s="540">
        <v>105000000</v>
      </c>
      <c r="L12" s="539" t="s">
        <v>4181</v>
      </c>
      <c r="M12" s="540">
        <v>0</v>
      </c>
    </row>
    <row r="13" spans="1:13" ht="32" x14ac:dyDescent="0.2">
      <c r="A13" s="539" t="s">
        <v>777</v>
      </c>
      <c r="B13" s="540">
        <v>9</v>
      </c>
      <c r="C13" s="539" t="s">
        <v>3216</v>
      </c>
      <c r="D13" s="539" t="s">
        <v>3061</v>
      </c>
      <c r="E13" s="540">
        <v>3</v>
      </c>
      <c r="F13" s="539" t="s">
        <v>4197</v>
      </c>
      <c r="G13" s="540">
        <f>'BALANCE SHEET'!C4</f>
        <v>2019</v>
      </c>
      <c r="H13" s="539" t="s">
        <v>221</v>
      </c>
      <c r="I13" s="540">
        <f>200592860+105000000+131056000+104864091</f>
        <v>541512951</v>
      </c>
      <c r="J13" s="540">
        <v>541512951</v>
      </c>
      <c r="K13" s="540">
        <v>131056000</v>
      </c>
      <c r="L13" s="539" t="s">
        <v>4181</v>
      </c>
      <c r="M13" s="540">
        <v>0</v>
      </c>
    </row>
    <row r="14" spans="1:13" ht="32" x14ac:dyDescent="0.2">
      <c r="A14" s="539" t="s">
        <v>777</v>
      </c>
      <c r="B14" s="540">
        <v>9</v>
      </c>
      <c r="C14" s="539" t="s">
        <v>3216</v>
      </c>
      <c r="D14" s="539" t="s">
        <v>3061</v>
      </c>
      <c r="E14" s="540">
        <v>4</v>
      </c>
      <c r="F14" s="539" t="s">
        <v>4198</v>
      </c>
      <c r="G14" s="540">
        <f>'BALANCE SHEET'!C4</f>
        <v>2019</v>
      </c>
      <c r="H14" s="539" t="s">
        <v>221</v>
      </c>
      <c r="I14" s="540">
        <f>200592860+105000000+131056000+104864091</f>
        <v>541512951</v>
      </c>
      <c r="J14" s="540">
        <v>541512951</v>
      </c>
      <c r="K14" s="540">
        <v>104864091</v>
      </c>
      <c r="L14" s="539" t="s">
        <v>4181</v>
      </c>
      <c r="M14" s="540">
        <v>0</v>
      </c>
    </row>
    <row r="15" spans="1:13" ht="32" x14ac:dyDescent="0.2">
      <c r="A15" s="539" t="s">
        <v>777</v>
      </c>
      <c r="B15" s="540">
        <v>9</v>
      </c>
      <c r="C15" s="539" t="s">
        <v>3216</v>
      </c>
      <c r="D15" s="539" t="s">
        <v>3061</v>
      </c>
      <c r="E15" s="540">
        <v>1</v>
      </c>
      <c r="F15" s="539" t="s">
        <v>4195</v>
      </c>
      <c r="G15" s="540" t="e">
        <f>C5+1</f>
        <v>#VALUE!</v>
      </c>
      <c r="H15" s="539" t="s">
        <v>226</v>
      </c>
      <c r="I15" s="540" t="str">
        <f>C27</f>
        <v>Vehicle &amp; Heavy Equipment</v>
      </c>
      <c r="J15" s="540">
        <v>651512951</v>
      </c>
      <c r="K15" s="540">
        <v>162878237.75</v>
      </c>
      <c r="L15" s="539" t="s">
        <v>4165</v>
      </c>
      <c r="M15" s="540">
        <v>0</v>
      </c>
    </row>
    <row r="16" spans="1:13" ht="32" x14ac:dyDescent="0.2">
      <c r="A16" s="539" t="s">
        <v>777</v>
      </c>
      <c r="B16" s="540">
        <v>9</v>
      </c>
      <c r="C16" s="539" t="s">
        <v>3216</v>
      </c>
      <c r="D16" s="539" t="s">
        <v>3061</v>
      </c>
      <c r="E16" s="540">
        <v>2</v>
      </c>
      <c r="F16" s="539" t="s">
        <v>4196</v>
      </c>
      <c r="G16" s="540" t="e">
        <f>C5+1</f>
        <v>#VALUE!</v>
      </c>
      <c r="H16" s="539" t="s">
        <v>226</v>
      </c>
      <c r="I16" s="540" t="str">
        <f>C27</f>
        <v>Vehicle &amp; Heavy Equipment</v>
      </c>
      <c r="J16" s="540">
        <v>651512951</v>
      </c>
      <c r="K16" s="540">
        <v>162878237.75</v>
      </c>
      <c r="L16" s="539" t="s">
        <v>4165</v>
      </c>
      <c r="M16" s="540">
        <v>0</v>
      </c>
    </row>
    <row r="17" spans="1:13" ht="32" x14ac:dyDescent="0.2">
      <c r="A17" s="539" t="s">
        <v>777</v>
      </c>
      <c r="B17" s="540">
        <v>9</v>
      </c>
      <c r="C17" s="539" t="s">
        <v>3216</v>
      </c>
      <c r="D17" s="539" t="s">
        <v>3061</v>
      </c>
      <c r="E17" s="540">
        <v>3</v>
      </c>
      <c r="F17" s="539" t="s">
        <v>4197</v>
      </c>
      <c r="G17" s="540" t="e">
        <f>C5+1</f>
        <v>#VALUE!</v>
      </c>
      <c r="H17" s="539" t="s">
        <v>226</v>
      </c>
      <c r="I17" s="540" t="str">
        <f>C27</f>
        <v>Vehicle &amp; Heavy Equipment</v>
      </c>
      <c r="J17" s="540">
        <v>651512951</v>
      </c>
      <c r="K17" s="540">
        <v>162878237.75</v>
      </c>
      <c r="L17" s="539" t="s">
        <v>4165</v>
      </c>
      <c r="M17" s="540">
        <v>0</v>
      </c>
    </row>
    <row r="18" spans="1:13" ht="32" x14ac:dyDescent="0.2">
      <c r="A18" s="539" t="s">
        <v>777</v>
      </c>
      <c r="B18" s="540">
        <v>9</v>
      </c>
      <c r="C18" s="539" t="s">
        <v>3216</v>
      </c>
      <c r="D18" s="539" t="s">
        <v>3061</v>
      </c>
      <c r="E18" s="540">
        <v>4</v>
      </c>
      <c r="F18" s="539" t="s">
        <v>4198</v>
      </c>
      <c r="G18" s="540" t="e">
        <f>C5+1</f>
        <v>#VALUE!</v>
      </c>
      <c r="H18" s="539" t="s">
        <v>226</v>
      </c>
      <c r="I18" s="540" t="str">
        <f>C27</f>
        <v>Vehicle &amp; Heavy Equipment</v>
      </c>
      <c r="J18" s="540">
        <v>651512951</v>
      </c>
      <c r="K18" s="540">
        <v>162878237.75</v>
      </c>
      <c r="L18" s="539" t="s">
        <v>4165</v>
      </c>
      <c r="M18" s="540">
        <v>0</v>
      </c>
    </row>
    <row r="19" spans="1:13" ht="32" x14ac:dyDescent="0.2">
      <c r="A19" s="539" t="s">
        <v>777</v>
      </c>
      <c r="B19" s="540">
        <v>9</v>
      </c>
      <c r="C19" s="539" t="s">
        <v>3216</v>
      </c>
      <c r="D19" s="539" t="s">
        <v>3061</v>
      </c>
      <c r="E19" s="540">
        <v>1</v>
      </c>
      <c r="F19" s="539" t="s">
        <v>4195</v>
      </c>
      <c r="G19" s="540" t="e">
        <f>D5+1</f>
        <v>#VALUE!</v>
      </c>
      <c r="H19" s="539" t="s">
        <v>229</v>
      </c>
      <c r="I19" s="540" t="str">
        <f>D27</f>
        <v>Vehicle &amp; Heavy Equipment (Alat Berat + Kendaraan)</v>
      </c>
      <c r="J19" s="540">
        <v>653687951</v>
      </c>
      <c r="K19" s="540">
        <v>163421987.75</v>
      </c>
      <c r="L19" s="539" t="s">
        <v>4165</v>
      </c>
      <c r="M19" s="540">
        <v>0</v>
      </c>
    </row>
    <row r="20" spans="1:13" ht="32" x14ac:dyDescent="0.2">
      <c r="A20" s="539" t="s">
        <v>777</v>
      </c>
      <c r="B20" s="540">
        <v>9</v>
      </c>
      <c r="C20" s="539" t="s">
        <v>3216</v>
      </c>
      <c r="D20" s="539" t="s">
        <v>3061</v>
      </c>
      <c r="E20" s="540">
        <v>2</v>
      </c>
      <c r="F20" s="539" t="s">
        <v>4196</v>
      </c>
      <c r="G20" s="540" t="e">
        <f>D5+1</f>
        <v>#VALUE!</v>
      </c>
      <c r="H20" s="539" t="s">
        <v>229</v>
      </c>
      <c r="I20" s="540" t="str">
        <f>D27</f>
        <v>Vehicle &amp; Heavy Equipment (Alat Berat + Kendaraan)</v>
      </c>
      <c r="J20" s="540">
        <v>653687951</v>
      </c>
      <c r="K20" s="540">
        <v>163421987.75</v>
      </c>
      <c r="L20" s="539" t="s">
        <v>4165</v>
      </c>
      <c r="M20" s="540">
        <v>0</v>
      </c>
    </row>
    <row r="21" spans="1:13" ht="32" x14ac:dyDescent="0.2">
      <c r="A21" s="539" t="s">
        <v>777</v>
      </c>
      <c r="B21" s="540">
        <v>9</v>
      </c>
      <c r="C21" s="539" t="s">
        <v>3216</v>
      </c>
      <c r="D21" s="539" t="s">
        <v>3061</v>
      </c>
      <c r="E21" s="540">
        <v>3</v>
      </c>
      <c r="F21" s="539" t="s">
        <v>4197</v>
      </c>
      <c r="G21" s="540" t="e">
        <f>D5+1</f>
        <v>#VALUE!</v>
      </c>
      <c r="H21" s="539" t="s">
        <v>229</v>
      </c>
      <c r="I21" s="540" t="str">
        <f>D27</f>
        <v>Vehicle &amp; Heavy Equipment (Alat Berat + Kendaraan)</v>
      </c>
      <c r="J21" s="540">
        <v>653687951</v>
      </c>
      <c r="K21" s="540">
        <v>163421987.75</v>
      </c>
      <c r="L21" s="539" t="s">
        <v>4165</v>
      </c>
      <c r="M21" s="540">
        <v>0</v>
      </c>
    </row>
    <row r="22" spans="1:13" ht="32" x14ac:dyDescent="0.2">
      <c r="A22" s="539" t="s">
        <v>777</v>
      </c>
      <c r="B22" s="540">
        <v>9</v>
      </c>
      <c r="C22" s="539" t="s">
        <v>3216</v>
      </c>
      <c r="D22" s="539" t="s">
        <v>3061</v>
      </c>
      <c r="E22" s="540">
        <v>4</v>
      </c>
      <c r="F22" s="539" t="s">
        <v>4198</v>
      </c>
      <c r="G22" s="540" t="e">
        <f>D5+1</f>
        <v>#VALUE!</v>
      </c>
      <c r="H22" s="539" t="s">
        <v>229</v>
      </c>
      <c r="I22" s="540" t="str">
        <f>D27</f>
        <v>Vehicle &amp; Heavy Equipment (Alat Berat + Kendaraan)</v>
      </c>
      <c r="J22" s="540">
        <v>653687951</v>
      </c>
      <c r="K22" s="540">
        <v>163421987.75</v>
      </c>
      <c r="L22" s="539" t="s">
        <v>4165</v>
      </c>
      <c r="M22" s="540">
        <v>0</v>
      </c>
    </row>
    <row r="23" spans="1:13" ht="32" x14ac:dyDescent="0.2">
      <c r="A23" s="539" t="s">
        <v>777</v>
      </c>
      <c r="B23" s="540">
        <v>9</v>
      </c>
      <c r="C23" s="539" t="s">
        <v>3216</v>
      </c>
      <c r="D23" s="539" t="s">
        <v>3061</v>
      </c>
      <c r="E23" s="540">
        <v>1</v>
      </c>
      <c r="F23" s="539" t="s">
        <v>4195</v>
      </c>
      <c r="G23" s="539" t="s">
        <v>4194</v>
      </c>
      <c r="H23" s="539" t="s">
        <v>313</v>
      </c>
      <c r="I23" s="540">
        <f>310592860+105000000+131056000+107039091</f>
        <v>653687951</v>
      </c>
      <c r="J23" s="540">
        <v>653687951</v>
      </c>
      <c r="K23" s="540">
        <v>310592860</v>
      </c>
      <c r="L23" s="539" t="s">
        <v>4181</v>
      </c>
      <c r="M23" s="540">
        <v>0</v>
      </c>
    </row>
    <row r="24" spans="1:13" ht="32" x14ac:dyDescent="0.2">
      <c r="A24" s="539" t="s">
        <v>777</v>
      </c>
      <c r="B24" s="540">
        <v>9</v>
      </c>
      <c r="C24" s="539" t="s">
        <v>3216</v>
      </c>
      <c r="D24" s="539" t="s">
        <v>3061</v>
      </c>
      <c r="E24" s="540">
        <v>2</v>
      </c>
      <c r="F24" s="539" t="s">
        <v>4196</v>
      </c>
      <c r="G24" s="539" t="s">
        <v>4194</v>
      </c>
      <c r="H24" s="539" t="s">
        <v>313</v>
      </c>
      <c r="I24" s="540">
        <f>310592860+105000000+131056000+107039091</f>
        <v>653687951</v>
      </c>
      <c r="J24" s="540">
        <v>653687951</v>
      </c>
      <c r="K24" s="540">
        <v>105000000</v>
      </c>
      <c r="L24" s="539" t="s">
        <v>4181</v>
      </c>
      <c r="M24" s="540">
        <v>0</v>
      </c>
    </row>
    <row r="25" spans="1:13" ht="32" x14ac:dyDescent="0.2">
      <c r="A25" s="539" t="s">
        <v>777</v>
      </c>
      <c r="B25" s="540">
        <v>9</v>
      </c>
      <c r="C25" s="539" t="s">
        <v>3216</v>
      </c>
      <c r="D25" s="539" t="s">
        <v>3061</v>
      </c>
      <c r="E25" s="540">
        <v>3</v>
      </c>
      <c r="F25" s="539" t="s">
        <v>4197</v>
      </c>
      <c r="G25" s="539" t="s">
        <v>4194</v>
      </c>
      <c r="H25" s="539" t="s">
        <v>313</v>
      </c>
      <c r="I25" s="540">
        <f>310592860+105000000+131056000+107039091</f>
        <v>653687951</v>
      </c>
      <c r="J25" s="540">
        <v>653687951</v>
      </c>
      <c r="K25" s="540">
        <v>131056000</v>
      </c>
      <c r="L25" s="539" t="s">
        <v>4181</v>
      </c>
      <c r="M25" s="540">
        <v>0</v>
      </c>
    </row>
    <row r="26" spans="1:13" ht="32" x14ac:dyDescent="0.2">
      <c r="A26" s="539" t="s">
        <v>777</v>
      </c>
      <c r="B26" s="540">
        <v>9</v>
      </c>
      <c r="C26" s="539" t="s">
        <v>3216</v>
      </c>
      <c r="D26" s="539" t="s">
        <v>3061</v>
      </c>
      <c r="E26" s="540">
        <v>4</v>
      </c>
      <c r="F26" s="539" t="s">
        <v>4198</v>
      </c>
      <c r="G26" s="539" t="s">
        <v>4194</v>
      </c>
      <c r="H26" s="539" t="s">
        <v>313</v>
      </c>
      <c r="I26" s="540">
        <f>310592860+105000000+131056000+107039091</f>
        <v>653687951</v>
      </c>
      <c r="J26" s="540">
        <v>653687951</v>
      </c>
      <c r="K26" s="540">
        <v>107039091</v>
      </c>
      <c r="L26" s="539" t="s">
        <v>4181</v>
      </c>
      <c r="M26" s="540">
        <v>0</v>
      </c>
    </row>
    <row r="27" spans="1:13" ht="32" x14ac:dyDescent="0.2">
      <c r="A27" s="539" t="s">
        <v>777</v>
      </c>
      <c r="B27" s="540">
        <v>11</v>
      </c>
      <c r="C27" s="539" t="s">
        <v>4160</v>
      </c>
      <c r="D27" s="539" t="s">
        <v>3063</v>
      </c>
      <c r="E27" s="540">
        <v>1</v>
      </c>
      <c r="F27" s="539" t="s">
        <v>4199</v>
      </c>
      <c r="G27" s="540">
        <f>'BALANCE SHEET'!C4</f>
        <v>2019</v>
      </c>
      <c r="H27" s="539" t="s">
        <v>251</v>
      </c>
      <c r="I27" s="540">
        <f>350000000+1435472728</f>
        <v>1785472728</v>
      </c>
      <c r="J27" s="540">
        <v>1785472728</v>
      </c>
      <c r="K27" s="540">
        <v>350000000</v>
      </c>
      <c r="L27" s="539" t="s">
        <v>4181</v>
      </c>
      <c r="M27" s="540">
        <v>0</v>
      </c>
    </row>
    <row r="28" spans="1:13" ht="32" x14ac:dyDescent="0.2">
      <c r="A28" s="539" t="s">
        <v>777</v>
      </c>
      <c r="B28" s="540">
        <v>11</v>
      </c>
      <c r="C28" s="539" t="s">
        <v>4160</v>
      </c>
      <c r="D28" s="539" t="s">
        <v>3063</v>
      </c>
      <c r="E28" s="540">
        <v>2</v>
      </c>
      <c r="F28" s="539" t="s">
        <v>4200</v>
      </c>
      <c r="G28" s="540">
        <f>'BALANCE SHEET'!C4</f>
        <v>2019</v>
      </c>
      <c r="H28" s="539" t="s">
        <v>251</v>
      </c>
      <c r="I28" s="540">
        <f>350000000+1435472728</f>
        <v>1785472728</v>
      </c>
      <c r="J28" s="540">
        <v>1785472728</v>
      </c>
      <c r="K28" s="540">
        <v>1435472728</v>
      </c>
      <c r="L28" s="539" t="s">
        <v>4181</v>
      </c>
      <c r="M28" s="540">
        <v>0</v>
      </c>
    </row>
    <row r="29" spans="1:13" ht="32" x14ac:dyDescent="0.2">
      <c r="A29" s="539" t="s">
        <v>777</v>
      </c>
      <c r="B29" s="540">
        <v>11</v>
      </c>
      <c r="C29" s="539" t="s">
        <v>4160</v>
      </c>
      <c r="D29" s="539" t="s">
        <v>3063</v>
      </c>
      <c r="E29" s="540">
        <v>1</v>
      </c>
      <c r="F29" s="539" t="s">
        <v>4199</v>
      </c>
      <c r="G29" s="540" t="e">
        <f>C5+1</f>
        <v>#VALUE!</v>
      </c>
      <c r="H29" s="539" t="s">
        <v>253</v>
      </c>
      <c r="I29" s="540" t="str">
        <f>C29</f>
        <v>Vehicle &amp; Heavy Equipment</v>
      </c>
      <c r="J29" s="540">
        <v>2060472728</v>
      </c>
      <c r="K29" s="540">
        <v>1030236364</v>
      </c>
      <c r="L29" s="539" t="s">
        <v>4165</v>
      </c>
      <c r="M29" s="540">
        <v>0</v>
      </c>
    </row>
    <row r="30" spans="1:13" ht="32" x14ac:dyDescent="0.2">
      <c r="A30" s="539" t="s">
        <v>777</v>
      </c>
      <c r="B30" s="540">
        <v>11</v>
      </c>
      <c r="C30" s="539" t="s">
        <v>4160</v>
      </c>
      <c r="D30" s="539" t="s">
        <v>3063</v>
      </c>
      <c r="E30" s="540">
        <v>2</v>
      </c>
      <c r="F30" s="539" t="s">
        <v>4200</v>
      </c>
      <c r="G30" s="540" t="e">
        <f>C5+1</f>
        <v>#VALUE!</v>
      </c>
      <c r="H30" s="539" t="s">
        <v>253</v>
      </c>
      <c r="I30" s="540" t="str">
        <f>C29</f>
        <v>Vehicle &amp; Heavy Equipment</v>
      </c>
      <c r="J30" s="540">
        <v>2060472728</v>
      </c>
      <c r="K30" s="540">
        <v>1030236364</v>
      </c>
      <c r="L30" s="539" t="s">
        <v>4165</v>
      </c>
      <c r="M30" s="540">
        <v>0</v>
      </c>
    </row>
    <row r="31" spans="1:13" ht="32" x14ac:dyDescent="0.2">
      <c r="A31" s="539" t="s">
        <v>777</v>
      </c>
      <c r="B31" s="540">
        <v>11</v>
      </c>
      <c r="C31" s="539" t="s">
        <v>4160</v>
      </c>
      <c r="D31" s="539" t="s">
        <v>3063</v>
      </c>
      <c r="E31" s="540">
        <v>1</v>
      </c>
      <c r="F31" s="539" t="s">
        <v>4199</v>
      </c>
      <c r="G31" s="540" t="e">
        <f>D5+1</f>
        <v>#VALUE!</v>
      </c>
      <c r="H31" s="539" t="s">
        <v>255</v>
      </c>
      <c r="I31" s="540" t="str">
        <f>D29</f>
        <v>Vehicle &amp; Heavy Equipment (Alat Berat + Kendaraan)</v>
      </c>
      <c r="J31" s="540">
        <v>2207972728</v>
      </c>
      <c r="K31" s="540">
        <v>1103986364</v>
      </c>
      <c r="L31" s="539" t="s">
        <v>4165</v>
      </c>
      <c r="M31" s="540">
        <v>0</v>
      </c>
    </row>
    <row r="32" spans="1:13" ht="32" x14ac:dyDescent="0.2">
      <c r="A32" s="539" t="s">
        <v>777</v>
      </c>
      <c r="B32" s="540">
        <v>11</v>
      </c>
      <c r="C32" s="539" t="s">
        <v>4160</v>
      </c>
      <c r="D32" s="539" t="s">
        <v>3063</v>
      </c>
      <c r="E32" s="540">
        <v>2</v>
      </c>
      <c r="F32" s="539" t="s">
        <v>4200</v>
      </c>
      <c r="G32" s="540" t="e">
        <f>D5+1</f>
        <v>#VALUE!</v>
      </c>
      <c r="H32" s="539" t="s">
        <v>255</v>
      </c>
      <c r="I32" s="540" t="str">
        <f>D29</f>
        <v>Vehicle &amp; Heavy Equipment (Alat Berat + Kendaraan)</v>
      </c>
      <c r="J32" s="540">
        <v>2207972728</v>
      </c>
      <c r="K32" s="540">
        <v>1103986364</v>
      </c>
      <c r="L32" s="539" t="s">
        <v>4165</v>
      </c>
      <c r="M32" s="540">
        <v>0</v>
      </c>
    </row>
    <row r="33" spans="1:13" ht="32" x14ac:dyDescent="0.2">
      <c r="A33" s="539" t="s">
        <v>777</v>
      </c>
      <c r="B33" s="540">
        <v>11</v>
      </c>
      <c r="C33" s="539" t="s">
        <v>4160</v>
      </c>
      <c r="D33" s="539" t="s">
        <v>3063</v>
      </c>
      <c r="E33" s="540">
        <v>1</v>
      </c>
      <c r="F33" s="539" t="s">
        <v>4199</v>
      </c>
      <c r="G33" s="539" t="s">
        <v>4194</v>
      </c>
      <c r="H33" s="539" t="s">
        <v>320</v>
      </c>
      <c r="I33" s="540">
        <f>625000000+1582972728</f>
        <v>2207972728</v>
      </c>
      <c r="J33" s="540">
        <v>2207972728</v>
      </c>
      <c r="K33" s="540">
        <v>625000000</v>
      </c>
      <c r="L33" s="539" t="s">
        <v>4181</v>
      </c>
      <c r="M33" s="540">
        <v>0</v>
      </c>
    </row>
    <row r="34" spans="1:13" ht="32" x14ac:dyDescent="0.2">
      <c r="A34" s="539" t="s">
        <v>777</v>
      </c>
      <c r="B34" s="540">
        <v>11</v>
      </c>
      <c r="C34" s="539" t="s">
        <v>4160</v>
      </c>
      <c r="D34" s="539" t="s">
        <v>3063</v>
      </c>
      <c r="E34" s="540">
        <v>2</v>
      </c>
      <c r="F34" s="539" t="s">
        <v>4200</v>
      </c>
      <c r="G34" s="539" t="s">
        <v>4194</v>
      </c>
      <c r="H34" s="539" t="s">
        <v>320</v>
      </c>
      <c r="I34" s="540">
        <f>625000000+1582972728</f>
        <v>2207972728</v>
      </c>
      <c r="J34" s="540">
        <v>2207972728</v>
      </c>
      <c r="K34" s="540">
        <v>1582972728</v>
      </c>
      <c r="L34" s="539" t="s">
        <v>4181</v>
      </c>
      <c r="M34" s="540">
        <v>0</v>
      </c>
    </row>
    <row r="35" spans="1:13" ht="32" x14ac:dyDescent="0.2">
      <c r="A35" s="539" t="s">
        <v>777</v>
      </c>
      <c r="B35" s="540">
        <v>12</v>
      </c>
      <c r="C35" s="539" t="s">
        <v>4162</v>
      </c>
      <c r="D35" s="539" t="s">
        <v>3064</v>
      </c>
      <c r="E35" s="540">
        <v>1</v>
      </c>
      <c r="F35" s="539" t="s">
        <v>4201</v>
      </c>
      <c r="G35" s="540">
        <f>'BALANCE SHEET'!C4</f>
        <v>2019</v>
      </c>
      <c r="H35" s="539" t="s">
        <v>270</v>
      </c>
      <c r="I35" s="540">
        <f>1720800000+2000000000</f>
        <v>3720800000</v>
      </c>
      <c r="J35" s="540">
        <v>3720800000</v>
      </c>
      <c r="K35" s="540">
        <v>1720800000</v>
      </c>
      <c r="L35" s="539" t="s">
        <v>4181</v>
      </c>
      <c r="M35" s="540">
        <v>0</v>
      </c>
    </row>
    <row r="36" spans="1:13" ht="32" x14ac:dyDescent="0.2">
      <c r="A36" s="539" t="s">
        <v>777</v>
      </c>
      <c r="B36" s="540">
        <v>12</v>
      </c>
      <c r="C36" s="539" t="s">
        <v>4162</v>
      </c>
      <c r="D36" s="539" t="s">
        <v>3064</v>
      </c>
      <c r="E36" s="540">
        <v>2</v>
      </c>
      <c r="F36" s="539" t="s">
        <v>4202</v>
      </c>
      <c r="G36" s="540">
        <f>'BALANCE SHEET'!C4</f>
        <v>2019</v>
      </c>
      <c r="H36" s="539" t="s">
        <v>270</v>
      </c>
      <c r="I36" s="540">
        <f>1720800000+2000000000</f>
        <v>3720800000</v>
      </c>
      <c r="J36" s="540">
        <v>3720800000</v>
      </c>
      <c r="K36" s="540">
        <v>2000000000</v>
      </c>
      <c r="L36" s="539" t="s">
        <v>4181</v>
      </c>
      <c r="M36" s="540">
        <v>0</v>
      </c>
    </row>
    <row r="37" spans="1:13" ht="32" x14ac:dyDescent="0.2">
      <c r="A37" s="539" t="s">
        <v>777</v>
      </c>
      <c r="B37" s="540">
        <v>12</v>
      </c>
      <c r="C37" s="539" t="s">
        <v>4162</v>
      </c>
      <c r="D37" s="539" t="s">
        <v>3064</v>
      </c>
      <c r="E37" s="540">
        <v>1</v>
      </c>
      <c r="F37" s="539" t="s">
        <v>4201</v>
      </c>
      <c r="G37" s="540" t="e">
        <f>C5+1</f>
        <v>#VALUE!</v>
      </c>
      <c r="H37" s="539" t="s">
        <v>274</v>
      </c>
      <c r="I37" s="540" t="str">
        <f>C30</f>
        <v>Vehicle &amp; Heavy Equipment</v>
      </c>
      <c r="J37" s="540">
        <v>10145509610</v>
      </c>
      <c r="K37" s="540">
        <v>5072754805</v>
      </c>
      <c r="L37" s="539" t="s">
        <v>4165</v>
      </c>
      <c r="M37" s="540">
        <v>0</v>
      </c>
    </row>
    <row r="38" spans="1:13" ht="32" x14ac:dyDescent="0.2">
      <c r="A38" s="539" t="s">
        <v>777</v>
      </c>
      <c r="B38" s="540">
        <v>12</v>
      </c>
      <c r="C38" s="539" t="s">
        <v>4162</v>
      </c>
      <c r="D38" s="539" t="s">
        <v>3064</v>
      </c>
      <c r="E38" s="540">
        <v>2</v>
      </c>
      <c r="F38" s="539" t="s">
        <v>4202</v>
      </c>
      <c r="G38" s="540" t="e">
        <f>C5+1</f>
        <v>#VALUE!</v>
      </c>
      <c r="H38" s="539" t="s">
        <v>274</v>
      </c>
      <c r="I38" s="540" t="str">
        <f>C30</f>
        <v>Vehicle &amp; Heavy Equipment</v>
      </c>
      <c r="J38" s="540">
        <v>10145509610</v>
      </c>
      <c r="K38" s="540">
        <v>5072754805</v>
      </c>
      <c r="L38" s="539" t="s">
        <v>4165</v>
      </c>
      <c r="M38" s="540">
        <v>0</v>
      </c>
    </row>
    <row r="39" spans="1:13" ht="32" x14ac:dyDescent="0.2">
      <c r="A39" s="539" t="s">
        <v>777</v>
      </c>
      <c r="B39" s="540">
        <v>12</v>
      </c>
      <c r="C39" s="539" t="s">
        <v>4162</v>
      </c>
      <c r="D39" s="539" t="s">
        <v>3064</v>
      </c>
      <c r="E39" s="540">
        <v>1</v>
      </c>
      <c r="F39" s="539" t="s">
        <v>4201</v>
      </c>
      <c r="G39" s="540" t="e">
        <f>D5+1</f>
        <v>#VALUE!</v>
      </c>
      <c r="H39" s="539" t="s">
        <v>276</v>
      </c>
      <c r="I39" s="540" t="str">
        <f>D30</f>
        <v>Vehicle &amp; Heavy Equipment (Alat Berat + Kendaraan)</v>
      </c>
      <c r="J39" s="540">
        <v>10145509610</v>
      </c>
      <c r="K39" s="540">
        <v>5072754805</v>
      </c>
      <c r="L39" s="539" t="s">
        <v>4165</v>
      </c>
      <c r="M39" s="540">
        <v>0</v>
      </c>
    </row>
    <row r="40" spans="1:13" ht="32" x14ac:dyDescent="0.2">
      <c r="A40" s="539" t="s">
        <v>777</v>
      </c>
      <c r="B40" s="540">
        <v>12</v>
      </c>
      <c r="C40" s="539" t="s">
        <v>4162</v>
      </c>
      <c r="D40" s="539" t="s">
        <v>3064</v>
      </c>
      <c r="E40" s="540">
        <v>2</v>
      </c>
      <c r="F40" s="539" t="s">
        <v>4202</v>
      </c>
      <c r="G40" s="540" t="e">
        <f>D5+1</f>
        <v>#VALUE!</v>
      </c>
      <c r="H40" s="539" t="s">
        <v>276</v>
      </c>
      <c r="I40" s="540" t="str">
        <f>D30</f>
        <v>Vehicle &amp; Heavy Equipment (Alat Berat + Kendaraan)</v>
      </c>
      <c r="J40" s="540">
        <v>10145509610</v>
      </c>
      <c r="K40" s="540">
        <v>5072754805</v>
      </c>
      <c r="L40" s="539" t="s">
        <v>4165</v>
      </c>
      <c r="M40" s="540">
        <v>0</v>
      </c>
    </row>
    <row r="41" spans="1:13" ht="32" x14ac:dyDescent="0.2">
      <c r="A41" s="539" t="s">
        <v>777</v>
      </c>
      <c r="B41" s="540">
        <v>12</v>
      </c>
      <c r="C41" s="539" t="s">
        <v>4162</v>
      </c>
      <c r="D41" s="539" t="s">
        <v>3064</v>
      </c>
      <c r="E41" s="540">
        <v>1</v>
      </c>
      <c r="F41" s="539" t="s">
        <v>4201</v>
      </c>
      <c r="G41" s="539" t="s">
        <v>4194</v>
      </c>
      <c r="H41" s="539" t="s">
        <v>559</v>
      </c>
      <c r="I41" s="540">
        <f>8145509610+2000000000</f>
        <v>10145509610</v>
      </c>
      <c r="J41" s="540">
        <v>10145509610</v>
      </c>
      <c r="K41" s="540">
        <v>8145509610</v>
      </c>
      <c r="L41" s="539" t="s">
        <v>4181</v>
      </c>
      <c r="M41" s="540">
        <v>0</v>
      </c>
    </row>
    <row r="42" spans="1:13" ht="32" x14ac:dyDescent="0.2">
      <c r="A42" s="539" t="s">
        <v>777</v>
      </c>
      <c r="B42" s="540">
        <v>12</v>
      </c>
      <c r="C42" s="539" t="s">
        <v>4162</v>
      </c>
      <c r="D42" s="539" t="s">
        <v>3064</v>
      </c>
      <c r="E42" s="540">
        <v>2</v>
      </c>
      <c r="F42" s="539" t="s">
        <v>4202</v>
      </c>
      <c r="G42" s="539" t="s">
        <v>4194</v>
      </c>
      <c r="H42" s="539" t="s">
        <v>559</v>
      </c>
      <c r="I42" s="540">
        <f>8145509610+2000000000</f>
        <v>10145509610</v>
      </c>
      <c r="J42" s="540">
        <v>10145509610</v>
      </c>
      <c r="K42" s="540">
        <v>2000000000</v>
      </c>
      <c r="L42" s="539" t="s">
        <v>4181</v>
      </c>
      <c r="M42" s="540">
        <v>0</v>
      </c>
    </row>
    <row r="43" spans="1:13" ht="32" x14ac:dyDescent="0.2">
      <c r="A43" s="539" t="s">
        <v>777</v>
      </c>
      <c r="B43" s="540">
        <v>17</v>
      </c>
      <c r="C43" s="539" t="s">
        <v>3215</v>
      </c>
      <c r="D43" s="539" t="s">
        <v>3059</v>
      </c>
      <c r="E43" s="540">
        <v>1</v>
      </c>
      <c r="F43" s="539" t="s">
        <v>4192</v>
      </c>
      <c r="G43" s="540">
        <f>'BALANCE SHEET'!C4</f>
        <v>2019</v>
      </c>
      <c r="H43" s="539" t="s">
        <v>126</v>
      </c>
      <c r="I43" s="539"/>
      <c r="J43" s="540">
        <v>3365510390</v>
      </c>
      <c r="K43" s="540">
        <v>1682755195</v>
      </c>
      <c r="L43" s="539" t="s">
        <v>4164</v>
      </c>
      <c r="M43" s="540">
        <v>0</v>
      </c>
    </row>
    <row r="44" spans="1:13" ht="32" x14ac:dyDescent="0.2">
      <c r="A44" s="539" t="s">
        <v>777</v>
      </c>
      <c r="B44" s="540">
        <v>17</v>
      </c>
      <c r="C44" s="539" t="s">
        <v>3215</v>
      </c>
      <c r="D44" s="539" t="s">
        <v>3059</v>
      </c>
      <c r="E44" s="540">
        <v>2</v>
      </c>
      <c r="F44" s="539" t="s">
        <v>4193</v>
      </c>
      <c r="G44" s="540">
        <f>'BALANCE SHEET'!C4</f>
        <v>2019</v>
      </c>
      <c r="H44" s="539" t="s">
        <v>126</v>
      </c>
      <c r="I44" s="539"/>
      <c r="J44" s="540">
        <v>3365510390</v>
      </c>
      <c r="K44" s="540">
        <v>1682755195</v>
      </c>
      <c r="L44" s="539" t="s">
        <v>4164</v>
      </c>
      <c r="M44" s="540">
        <v>0</v>
      </c>
    </row>
    <row r="45" spans="1:13" ht="32" x14ac:dyDescent="0.2">
      <c r="A45" s="539" t="s">
        <v>777</v>
      </c>
      <c r="B45" s="540">
        <v>17</v>
      </c>
      <c r="C45" s="539" t="s">
        <v>3215</v>
      </c>
      <c r="D45" s="539" t="s">
        <v>3059</v>
      </c>
      <c r="E45" s="540">
        <v>1</v>
      </c>
      <c r="F45" s="539" t="s">
        <v>4192</v>
      </c>
      <c r="G45" s="540" t="e">
        <f>C5+1</f>
        <v>#VALUE!</v>
      </c>
      <c r="H45" s="539" t="s">
        <v>143</v>
      </c>
      <c r="I45" s="539"/>
      <c r="J45" s="540">
        <v>0</v>
      </c>
      <c r="K45" s="540">
        <v>0</v>
      </c>
      <c r="L45" s="539" t="s">
        <v>4164</v>
      </c>
      <c r="M45" s="540">
        <v>0</v>
      </c>
    </row>
    <row r="46" spans="1:13" ht="32" x14ac:dyDescent="0.2">
      <c r="A46" s="539" t="s">
        <v>777</v>
      </c>
      <c r="B46" s="540">
        <v>17</v>
      </c>
      <c r="C46" s="539" t="s">
        <v>3215</v>
      </c>
      <c r="D46" s="539" t="s">
        <v>3059</v>
      </c>
      <c r="E46" s="540">
        <v>2</v>
      </c>
      <c r="F46" s="539" t="s">
        <v>4193</v>
      </c>
      <c r="G46" s="540" t="e">
        <f>C5+1</f>
        <v>#VALUE!</v>
      </c>
      <c r="H46" s="539" t="s">
        <v>143</v>
      </c>
      <c r="I46" s="539"/>
      <c r="J46" s="540">
        <v>0</v>
      </c>
      <c r="K46" s="540">
        <v>0</v>
      </c>
      <c r="L46" s="539" t="s">
        <v>4164</v>
      </c>
      <c r="M46" s="540">
        <v>0</v>
      </c>
    </row>
    <row r="47" spans="1:13" ht="32" x14ac:dyDescent="0.2">
      <c r="A47" s="539" t="s">
        <v>777</v>
      </c>
      <c r="B47" s="540">
        <v>17</v>
      </c>
      <c r="C47" s="539" t="s">
        <v>3215</v>
      </c>
      <c r="D47" s="539" t="s">
        <v>3059</v>
      </c>
      <c r="E47" s="540">
        <v>1</v>
      </c>
      <c r="F47" s="539" t="s">
        <v>4192</v>
      </c>
      <c r="G47" s="540" t="e">
        <f>D5+1</f>
        <v>#VALUE!</v>
      </c>
      <c r="H47" s="539" t="s">
        <v>156</v>
      </c>
      <c r="I47" s="539"/>
      <c r="J47" s="540">
        <v>0</v>
      </c>
      <c r="K47" s="540">
        <v>0</v>
      </c>
      <c r="L47" s="539" t="s">
        <v>4164</v>
      </c>
      <c r="M47" s="540">
        <v>0</v>
      </c>
    </row>
    <row r="48" spans="1:13" ht="32" x14ac:dyDescent="0.2">
      <c r="A48" s="539" t="s">
        <v>777</v>
      </c>
      <c r="B48" s="540">
        <v>17</v>
      </c>
      <c r="C48" s="539" t="s">
        <v>3215</v>
      </c>
      <c r="D48" s="539" t="s">
        <v>3059</v>
      </c>
      <c r="E48" s="540">
        <v>2</v>
      </c>
      <c r="F48" s="539" t="s">
        <v>4193</v>
      </c>
      <c r="G48" s="540" t="e">
        <f>D5+1</f>
        <v>#VALUE!</v>
      </c>
      <c r="H48" s="539" t="s">
        <v>156</v>
      </c>
      <c r="I48" s="539"/>
      <c r="J48" s="540">
        <v>0</v>
      </c>
      <c r="K48" s="540">
        <v>0</v>
      </c>
      <c r="L48" s="539" t="s">
        <v>4164</v>
      </c>
      <c r="M48" s="540">
        <v>0</v>
      </c>
    </row>
    <row r="49" spans="1:13" ht="32" x14ac:dyDescent="0.2">
      <c r="A49" s="539" t="s">
        <v>777</v>
      </c>
      <c r="B49" s="540">
        <v>18</v>
      </c>
      <c r="C49" s="539" t="s">
        <v>3216</v>
      </c>
      <c r="D49" s="539" t="s">
        <v>3061</v>
      </c>
      <c r="E49" s="540">
        <v>1</v>
      </c>
      <c r="F49" s="539" t="s">
        <v>4195</v>
      </c>
      <c r="G49" s="540">
        <f>'BALANCE SHEET'!C4</f>
        <v>2019</v>
      </c>
      <c r="H49" s="539" t="s">
        <v>284</v>
      </c>
      <c r="I49" s="539"/>
      <c r="J49" s="540">
        <v>110000000</v>
      </c>
      <c r="K49" s="540">
        <v>27500000</v>
      </c>
      <c r="L49" s="539" t="s">
        <v>4164</v>
      </c>
      <c r="M49" s="540">
        <v>0</v>
      </c>
    </row>
    <row r="50" spans="1:13" ht="32" x14ac:dyDescent="0.2">
      <c r="A50" s="539" t="s">
        <v>777</v>
      </c>
      <c r="B50" s="540">
        <v>18</v>
      </c>
      <c r="C50" s="539" t="s">
        <v>3216</v>
      </c>
      <c r="D50" s="539" t="s">
        <v>3061</v>
      </c>
      <c r="E50" s="540">
        <v>2</v>
      </c>
      <c r="F50" s="539" t="s">
        <v>4196</v>
      </c>
      <c r="G50" s="540">
        <f>'BALANCE SHEET'!C4</f>
        <v>2019</v>
      </c>
      <c r="H50" s="539" t="s">
        <v>284</v>
      </c>
      <c r="I50" s="539"/>
      <c r="J50" s="540">
        <v>110000000</v>
      </c>
      <c r="K50" s="540">
        <v>27500000</v>
      </c>
      <c r="L50" s="539" t="s">
        <v>4164</v>
      </c>
      <c r="M50" s="540">
        <v>0</v>
      </c>
    </row>
    <row r="51" spans="1:13" ht="32" x14ac:dyDescent="0.2">
      <c r="A51" s="539" t="s">
        <v>777</v>
      </c>
      <c r="B51" s="540">
        <v>18</v>
      </c>
      <c r="C51" s="539" t="s">
        <v>3216</v>
      </c>
      <c r="D51" s="539" t="s">
        <v>3061</v>
      </c>
      <c r="E51" s="540">
        <v>3</v>
      </c>
      <c r="F51" s="539" t="s">
        <v>4197</v>
      </c>
      <c r="G51" s="540">
        <f>'BALANCE SHEET'!C4</f>
        <v>2019</v>
      </c>
      <c r="H51" s="539" t="s">
        <v>284</v>
      </c>
      <c r="I51" s="539"/>
      <c r="J51" s="540">
        <v>110000000</v>
      </c>
      <c r="K51" s="540">
        <v>27500000</v>
      </c>
      <c r="L51" s="539" t="s">
        <v>4164</v>
      </c>
      <c r="M51" s="540">
        <v>0</v>
      </c>
    </row>
    <row r="52" spans="1:13" ht="32" x14ac:dyDescent="0.2">
      <c r="A52" s="539" t="s">
        <v>777</v>
      </c>
      <c r="B52" s="540">
        <v>18</v>
      </c>
      <c r="C52" s="539" t="s">
        <v>3216</v>
      </c>
      <c r="D52" s="539" t="s">
        <v>3061</v>
      </c>
      <c r="E52" s="540">
        <v>4</v>
      </c>
      <c r="F52" s="539" t="s">
        <v>4198</v>
      </c>
      <c r="G52" s="540">
        <f>'BALANCE SHEET'!C4</f>
        <v>2019</v>
      </c>
      <c r="H52" s="539" t="s">
        <v>284</v>
      </c>
      <c r="I52" s="539"/>
      <c r="J52" s="540">
        <v>110000000</v>
      </c>
      <c r="K52" s="540">
        <v>27500000</v>
      </c>
      <c r="L52" s="539" t="s">
        <v>4164</v>
      </c>
      <c r="M52" s="540">
        <v>0</v>
      </c>
    </row>
    <row r="53" spans="1:13" ht="32" x14ac:dyDescent="0.2">
      <c r="A53" s="539" t="s">
        <v>777</v>
      </c>
      <c r="B53" s="540">
        <v>18</v>
      </c>
      <c r="C53" s="539" t="s">
        <v>3216</v>
      </c>
      <c r="D53" s="539" t="s">
        <v>3061</v>
      </c>
      <c r="E53" s="540">
        <v>1</v>
      </c>
      <c r="F53" s="539" t="s">
        <v>4195</v>
      </c>
      <c r="G53" s="540" t="e">
        <f>C5+1</f>
        <v>#VALUE!</v>
      </c>
      <c r="H53" s="539" t="s">
        <v>286</v>
      </c>
      <c r="I53" s="539"/>
      <c r="J53" s="540">
        <v>2175000</v>
      </c>
      <c r="K53" s="540">
        <v>543750</v>
      </c>
      <c r="L53" s="539" t="s">
        <v>4164</v>
      </c>
      <c r="M53" s="540">
        <v>0</v>
      </c>
    </row>
    <row r="54" spans="1:13" ht="32" x14ac:dyDescent="0.2">
      <c r="A54" s="539" t="s">
        <v>777</v>
      </c>
      <c r="B54" s="540">
        <v>18</v>
      </c>
      <c r="C54" s="539" t="s">
        <v>3216</v>
      </c>
      <c r="D54" s="539" t="s">
        <v>3061</v>
      </c>
      <c r="E54" s="540">
        <v>2</v>
      </c>
      <c r="F54" s="539" t="s">
        <v>4196</v>
      </c>
      <c r="G54" s="540" t="e">
        <f>C5+1</f>
        <v>#VALUE!</v>
      </c>
      <c r="H54" s="539" t="s">
        <v>286</v>
      </c>
      <c r="I54" s="539"/>
      <c r="J54" s="540">
        <v>2175000</v>
      </c>
      <c r="K54" s="540">
        <v>543750</v>
      </c>
      <c r="L54" s="539" t="s">
        <v>4164</v>
      </c>
      <c r="M54" s="540">
        <v>0</v>
      </c>
    </row>
    <row r="55" spans="1:13" ht="32" x14ac:dyDescent="0.2">
      <c r="A55" s="539" t="s">
        <v>777</v>
      </c>
      <c r="B55" s="540">
        <v>18</v>
      </c>
      <c r="C55" s="539" t="s">
        <v>3216</v>
      </c>
      <c r="D55" s="539" t="s">
        <v>3061</v>
      </c>
      <c r="E55" s="540">
        <v>3</v>
      </c>
      <c r="F55" s="539" t="s">
        <v>4197</v>
      </c>
      <c r="G55" s="540" t="e">
        <f>C5+1</f>
        <v>#VALUE!</v>
      </c>
      <c r="H55" s="539" t="s">
        <v>286</v>
      </c>
      <c r="I55" s="539"/>
      <c r="J55" s="540">
        <v>2175000</v>
      </c>
      <c r="K55" s="540">
        <v>543750</v>
      </c>
      <c r="L55" s="539" t="s">
        <v>4164</v>
      </c>
      <c r="M55" s="540">
        <v>0</v>
      </c>
    </row>
    <row r="56" spans="1:13" ht="32" x14ac:dyDescent="0.2">
      <c r="A56" s="539" t="s">
        <v>777</v>
      </c>
      <c r="B56" s="540">
        <v>18</v>
      </c>
      <c r="C56" s="539" t="s">
        <v>3216</v>
      </c>
      <c r="D56" s="539" t="s">
        <v>3061</v>
      </c>
      <c r="E56" s="540">
        <v>4</v>
      </c>
      <c r="F56" s="539" t="s">
        <v>4198</v>
      </c>
      <c r="G56" s="540" t="e">
        <f>C5+1</f>
        <v>#VALUE!</v>
      </c>
      <c r="H56" s="539" t="s">
        <v>286</v>
      </c>
      <c r="I56" s="539"/>
      <c r="J56" s="540">
        <v>2175000</v>
      </c>
      <c r="K56" s="540">
        <v>543750</v>
      </c>
      <c r="L56" s="539" t="s">
        <v>4164</v>
      </c>
      <c r="M56" s="540">
        <v>0</v>
      </c>
    </row>
    <row r="57" spans="1:13" ht="32" x14ac:dyDescent="0.2">
      <c r="A57" s="539" t="s">
        <v>777</v>
      </c>
      <c r="B57" s="540">
        <v>18</v>
      </c>
      <c r="C57" s="539" t="s">
        <v>3216</v>
      </c>
      <c r="D57" s="539" t="s">
        <v>3061</v>
      </c>
      <c r="E57" s="540">
        <v>1</v>
      </c>
      <c r="F57" s="539" t="s">
        <v>4195</v>
      </c>
      <c r="G57" s="540" t="e">
        <f>D5+1</f>
        <v>#VALUE!</v>
      </c>
      <c r="H57" s="539" t="s">
        <v>288</v>
      </c>
      <c r="I57" s="539"/>
      <c r="J57" s="540">
        <v>0</v>
      </c>
      <c r="K57" s="540">
        <v>0</v>
      </c>
      <c r="L57" s="539" t="s">
        <v>4164</v>
      </c>
      <c r="M57" s="540">
        <v>0</v>
      </c>
    </row>
    <row r="58" spans="1:13" ht="32" x14ac:dyDescent="0.2">
      <c r="A58" s="539" t="s">
        <v>777</v>
      </c>
      <c r="B58" s="540">
        <v>18</v>
      </c>
      <c r="C58" s="539" t="s">
        <v>3216</v>
      </c>
      <c r="D58" s="539" t="s">
        <v>3061</v>
      </c>
      <c r="E58" s="540">
        <v>2</v>
      </c>
      <c r="F58" s="539" t="s">
        <v>4196</v>
      </c>
      <c r="G58" s="540" t="e">
        <f>D5+1</f>
        <v>#VALUE!</v>
      </c>
      <c r="H58" s="539" t="s">
        <v>288</v>
      </c>
      <c r="I58" s="539"/>
      <c r="J58" s="540">
        <v>0</v>
      </c>
      <c r="K58" s="540">
        <v>0</v>
      </c>
      <c r="L58" s="539" t="s">
        <v>4164</v>
      </c>
      <c r="M58" s="540">
        <v>0</v>
      </c>
    </row>
    <row r="59" spans="1:13" ht="32" x14ac:dyDescent="0.2">
      <c r="A59" s="539" t="s">
        <v>777</v>
      </c>
      <c r="B59" s="540">
        <v>18</v>
      </c>
      <c r="C59" s="539" t="s">
        <v>3216</v>
      </c>
      <c r="D59" s="539" t="s">
        <v>3061</v>
      </c>
      <c r="E59" s="540">
        <v>3</v>
      </c>
      <c r="F59" s="539" t="s">
        <v>4197</v>
      </c>
      <c r="G59" s="540" t="e">
        <f>D5+1</f>
        <v>#VALUE!</v>
      </c>
      <c r="H59" s="539" t="s">
        <v>288</v>
      </c>
      <c r="I59" s="539"/>
      <c r="J59" s="540">
        <v>0</v>
      </c>
      <c r="K59" s="540">
        <v>0</v>
      </c>
      <c r="L59" s="539" t="s">
        <v>4164</v>
      </c>
      <c r="M59" s="540">
        <v>0</v>
      </c>
    </row>
    <row r="60" spans="1:13" ht="32" x14ac:dyDescent="0.2">
      <c r="A60" s="539" t="s">
        <v>777</v>
      </c>
      <c r="B60" s="540">
        <v>18</v>
      </c>
      <c r="C60" s="539" t="s">
        <v>3216</v>
      </c>
      <c r="D60" s="539" t="s">
        <v>3061</v>
      </c>
      <c r="E60" s="540">
        <v>4</v>
      </c>
      <c r="F60" s="539" t="s">
        <v>4198</v>
      </c>
      <c r="G60" s="540" t="e">
        <f>D5+1</f>
        <v>#VALUE!</v>
      </c>
      <c r="H60" s="539" t="s">
        <v>288</v>
      </c>
      <c r="I60" s="539"/>
      <c r="J60" s="540">
        <v>0</v>
      </c>
      <c r="K60" s="540">
        <v>0</v>
      </c>
      <c r="L60" s="539" t="s">
        <v>4164</v>
      </c>
      <c r="M60" s="540">
        <v>0</v>
      </c>
    </row>
    <row r="61" spans="1:13" ht="32" x14ac:dyDescent="0.2">
      <c r="A61" s="539" t="s">
        <v>777</v>
      </c>
      <c r="B61" s="540">
        <v>20</v>
      </c>
      <c r="C61" s="539" t="s">
        <v>4160</v>
      </c>
      <c r="D61" s="539" t="s">
        <v>3063</v>
      </c>
      <c r="E61" s="540">
        <v>1</v>
      </c>
      <c r="F61" s="539" t="s">
        <v>4199</v>
      </c>
      <c r="G61" s="540">
        <f>'BALANCE SHEET'!C4</f>
        <v>2019</v>
      </c>
      <c r="H61" s="539" t="s">
        <v>290</v>
      </c>
      <c r="I61" s="539"/>
      <c r="J61" s="540">
        <v>275000000</v>
      </c>
      <c r="K61" s="540">
        <v>137500000</v>
      </c>
      <c r="L61" s="539" t="s">
        <v>4164</v>
      </c>
      <c r="M61" s="540">
        <v>0</v>
      </c>
    </row>
    <row r="62" spans="1:13" ht="32" x14ac:dyDescent="0.2">
      <c r="A62" s="539" t="s">
        <v>777</v>
      </c>
      <c r="B62" s="540">
        <v>20</v>
      </c>
      <c r="C62" s="539" t="s">
        <v>4160</v>
      </c>
      <c r="D62" s="539" t="s">
        <v>3063</v>
      </c>
      <c r="E62" s="540">
        <v>2</v>
      </c>
      <c r="F62" s="539" t="s">
        <v>4200</v>
      </c>
      <c r="G62" s="540">
        <f>'BALANCE SHEET'!C4</f>
        <v>2019</v>
      </c>
      <c r="H62" s="539" t="s">
        <v>290</v>
      </c>
      <c r="I62" s="539"/>
      <c r="J62" s="540">
        <v>275000000</v>
      </c>
      <c r="K62" s="540">
        <v>137500000</v>
      </c>
      <c r="L62" s="539" t="s">
        <v>4164</v>
      </c>
      <c r="M62" s="540">
        <v>0</v>
      </c>
    </row>
    <row r="63" spans="1:13" ht="32" x14ac:dyDescent="0.2">
      <c r="A63" s="539" t="s">
        <v>777</v>
      </c>
      <c r="B63" s="540">
        <v>20</v>
      </c>
      <c r="C63" s="539" t="s">
        <v>4160</v>
      </c>
      <c r="D63" s="539" t="s">
        <v>3063</v>
      </c>
      <c r="E63" s="540">
        <v>1</v>
      </c>
      <c r="F63" s="539" t="s">
        <v>4199</v>
      </c>
      <c r="G63" s="540" t="e">
        <f>C5+1</f>
        <v>#VALUE!</v>
      </c>
      <c r="H63" s="539" t="s">
        <v>292</v>
      </c>
      <c r="I63" s="539"/>
      <c r="J63" s="540">
        <v>147500000</v>
      </c>
      <c r="K63" s="540">
        <v>73750000</v>
      </c>
      <c r="L63" s="539" t="s">
        <v>4164</v>
      </c>
      <c r="M63" s="540">
        <v>0</v>
      </c>
    </row>
    <row r="64" spans="1:13" ht="32" x14ac:dyDescent="0.2">
      <c r="A64" s="539" t="s">
        <v>777</v>
      </c>
      <c r="B64" s="540">
        <v>20</v>
      </c>
      <c r="C64" s="539" t="s">
        <v>4160</v>
      </c>
      <c r="D64" s="539" t="s">
        <v>3063</v>
      </c>
      <c r="E64" s="540">
        <v>2</v>
      </c>
      <c r="F64" s="539" t="s">
        <v>4200</v>
      </c>
      <c r="G64" s="540" t="e">
        <f>C5+1</f>
        <v>#VALUE!</v>
      </c>
      <c r="H64" s="539" t="s">
        <v>292</v>
      </c>
      <c r="I64" s="539"/>
      <c r="J64" s="540">
        <v>147500000</v>
      </c>
      <c r="K64" s="540">
        <v>73750000</v>
      </c>
      <c r="L64" s="539" t="s">
        <v>4164</v>
      </c>
      <c r="M64" s="540">
        <v>0</v>
      </c>
    </row>
    <row r="65" spans="1:13" ht="32" x14ac:dyDescent="0.2">
      <c r="A65" s="539" t="s">
        <v>777</v>
      </c>
      <c r="B65" s="540">
        <v>20</v>
      </c>
      <c r="C65" s="539" t="s">
        <v>4160</v>
      </c>
      <c r="D65" s="539" t="s">
        <v>3063</v>
      </c>
      <c r="E65" s="540">
        <v>1</v>
      </c>
      <c r="F65" s="539" t="s">
        <v>4199</v>
      </c>
      <c r="G65" s="540" t="e">
        <f>D5+1</f>
        <v>#VALUE!</v>
      </c>
      <c r="H65" s="539" t="s">
        <v>294</v>
      </c>
      <c r="I65" s="539"/>
      <c r="J65" s="540">
        <v>0</v>
      </c>
      <c r="K65" s="540">
        <v>0</v>
      </c>
      <c r="L65" s="539" t="s">
        <v>4164</v>
      </c>
      <c r="M65" s="540">
        <v>0</v>
      </c>
    </row>
    <row r="66" spans="1:13" ht="32" x14ac:dyDescent="0.2">
      <c r="A66" s="539" t="s">
        <v>777</v>
      </c>
      <c r="B66" s="540">
        <v>20</v>
      </c>
      <c r="C66" s="539" t="s">
        <v>4160</v>
      </c>
      <c r="D66" s="539" t="s">
        <v>3063</v>
      </c>
      <c r="E66" s="540">
        <v>2</v>
      </c>
      <c r="F66" s="539" t="s">
        <v>4200</v>
      </c>
      <c r="G66" s="540" t="e">
        <f>D5+1</f>
        <v>#VALUE!</v>
      </c>
      <c r="H66" s="539" t="s">
        <v>294</v>
      </c>
      <c r="I66" s="539"/>
      <c r="J66" s="540">
        <v>0</v>
      </c>
      <c r="K66" s="540">
        <v>0</v>
      </c>
      <c r="L66" s="539" t="s">
        <v>4164</v>
      </c>
      <c r="M66" s="540">
        <v>0</v>
      </c>
    </row>
    <row r="67" spans="1:13" ht="32" x14ac:dyDescent="0.2">
      <c r="A67" s="539" t="s">
        <v>777</v>
      </c>
      <c r="B67" s="540">
        <v>21</v>
      </c>
      <c r="C67" s="539" t="s">
        <v>4162</v>
      </c>
      <c r="D67" s="539" t="s">
        <v>3064</v>
      </c>
      <c r="E67" s="540">
        <v>1</v>
      </c>
      <c r="F67" s="539" t="s">
        <v>4201</v>
      </c>
      <c r="G67" s="540">
        <f>'BALANCE SHEET'!C4</f>
        <v>2019</v>
      </c>
      <c r="H67" s="539" t="s">
        <v>4203</v>
      </c>
      <c r="I67" s="539"/>
      <c r="J67" s="540">
        <v>6424709610</v>
      </c>
      <c r="K67" s="540">
        <v>3212354805</v>
      </c>
      <c r="L67" s="539" t="s">
        <v>4164</v>
      </c>
      <c r="M67" s="540">
        <v>0</v>
      </c>
    </row>
    <row r="68" spans="1:13" ht="32" x14ac:dyDescent="0.2">
      <c r="A68" s="539" t="s">
        <v>777</v>
      </c>
      <c r="B68" s="540">
        <v>21</v>
      </c>
      <c r="C68" s="539" t="s">
        <v>4162</v>
      </c>
      <c r="D68" s="539" t="s">
        <v>3064</v>
      </c>
      <c r="E68" s="540">
        <v>2</v>
      </c>
      <c r="F68" s="539" t="s">
        <v>4202</v>
      </c>
      <c r="G68" s="540">
        <f>'BALANCE SHEET'!C4</f>
        <v>2019</v>
      </c>
      <c r="H68" s="539" t="s">
        <v>4203</v>
      </c>
      <c r="I68" s="539"/>
      <c r="J68" s="540">
        <v>6424709610</v>
      </c>
      <c r="K68" s="540">
        <v>3212354805</v>
      </c>
      <c r="L68" s="539" t="s">
        <v>4164</v>
      </c>
      <c r="M68" s="540">
        <v>0</v>
      </c>
    </row>
    <row r="69" spans="1:13" ht="32" x14ac:dyDescent="0.2">
      <c r="A69" s="539" t="s">
        <v>777</v>
      </c>
      <c r="B69" s="540">
        <v>21</v>
      </c>
      <c r="C69" s="539" t="s">
        <v>4162</v>
      </c>
      <c r="D69" s="539" t="s">
        <v>3064</v>
      </c>
      <c r="E69" s="540">
        <v>1</v>
      </c>
      <c r="F69" s="539" t="s">
        <v>4201</v>
      </c>
      <c r="G69" s="540" t="e">
        <f>C5+1</f>
        <v>#VALUE!</v>
      </c>
      <c r="H69" s="539" t="s">
        <v>385</v>
      </c>
      <c r="I69" s="539"/>
      <c r="J69" s="540">
        <v>0</v>
      </c>
      <c r="K69" s="540">
        <v>0</v>
      </c>
      <c r="L69" s="539" t="s">
        <v>4164</v>
      </c>
      <c r="M69" s="540">
        <v>0</v>
      </c>
    </row>
    <row r="70" spans="1:13" ht="32" x14ac:dyDescent="0.2">
      <c r="A70" s="539" t="s">
        <v>777</v>
      </c>
      <c r="B70" s="540">
        <v>21</v>
      </c>
      <c r="C70" s="539" t="s">
        <v>4162</v>
      </c>
      <c r="D70" s="539" t="s">
        <v>3064</v>
      </c>
      <c r="E70" s="540">
        <v>2</v>
      </c>
      <c r="F70" s="539" t="s">
        <v>4202</v>
      </c>
      <c r="G70" s="540" t="e">
        <f>C5+1</f>
        <v>#VALUE!</v>
      </c>
      <c r="H70" s="539" t="s">
        <v>385</v>
      </c>
      <c r="I70" s="539"/>
      <c r="J70" s="540">
        <v>0</v>
      </c>
      <c r="K70" s="540">
        <v>0</v>
      </c>
      <c r="L70" s="539" t="s">
        <v>4164</v>
      </c>
      <c r="M70" s="540">
        <v>0</v>
      </c>
    </row>
    <row r="71" spans="1:13" ht="32" x14ac:dyDescent="0.2">
      <c r="A71" s="539" t="s">
        <v>777</v>
      </c>
      <c r="B71" s="540">
        <v>21</v>
      </c>
      <c r="C71" s="539" t="s">
        <v>4162</v>
      </c>
      <c r="D71" s="539" t="s">
        <v>3064</v>
      </c>
      <c r="E71" s="540">
        <v>1</v>
      </c>
      <c r="F71" s="539" t="s">
        <v>4201</v>
      </c>
      <c r="G71" s="540" t="e">
        <f>D5+1</f>
        <v>#VALUE!</v>
      </c>
      <c r="H71" s="539" t="s">
        <v>4204</v>
      </c>
      <c r="I71" s="539"/>
      <c r="J71" s="540">
        <v>0</v>
      </c>
      <c r="K71" s="540">
        <v>0</v>
      </c>
      <c r="L71" s="539" t="s">
        <v>4164</v>
      </c>
      <c r="M71" s="540">
        <v>0</v>
      </c>
    </row>
    <row r="72" spans="1:13" ht="32" x14ac:dyDescent="0.2">
      <c r="A72" s="539" t="s">
        <v>777</v>
      </c>
      <c r="B72" s="540">
        <v>21</v>
      </c>
      <c r="C72" s="539" t="s">
        <v>4162</v>
      </c>
      <c r="D72" s="539" t="s">
        <v>3064</v>
      </c>
      <c r="E72" s="540">
        <v>2</v>
      </c>
      <c r="F72" s="539" t="s">
        <v>4202</v>
      </c>
      <c r="G72" s="540" t="e">
        <f>D5+1</f>
        <v>#VALUE!</v>
      </c>
      <c r="H72" s="539" t="s">
        <v>4204</v>
      </c>
      <c r="I72" s="539"/>
      <c r="J72" s="540">
        <v>0</v>
      </c>
      <c r="K72" s="540">
        <v>0</v>
      </c>
      <c r="L72" s="539" t="s">
        <v>4164</v>
      </c>
      <c r="M72" s="540">
        <v>0</v>
      </c>
    </row>
    <row r="73" spans="1:13" ht="32" x14ac:dyDescent="0.2">
      <c r="A73" s="539" t="s">
        <v>777</v>
      </c>
      <c r="B73" s="540">
        <v>26</v>
      </c>
      <c r="C73" s="539" t="s">
        <v>3215</v>
      </c>
      <c r="D73" s="539" t="s">
        <v>3059</v>
      </c>
      <c r="E73" s="540">
        <v>1</v>
      </c>
      <c r="F73" s="539" t="s">
        <v>4192</v>
      </c>
      <c r="G73" s="540">
        <f>'BALANCE SHEET'!C4</f>
        <v>2019</v>
      </c>
      <c r="H73" s="539" t="s">
        <v>4205</v>
      </c>
      <c r="I73" s="540" t="e">
        <f>+C8+C17</f>
        <v>#VALUE!</v>
      </c>
      <c r="J73" s="540">
        <v>7817274315</v>
      </c>
      <c r="K73" s="540">
        <v>3908637157.5</v>
      </c>
      <c r="L73" s="539" t="s">
        <v>4165</v>
      </c>
      <c r="M73" s="540">
        <v>0</v>
      </c>
    </row>
    <row r="74" spans="1:13" ht="32" x14ac:dyDescent="0.2">
      <c r="A74" s="539" t="s">
        <v>777</v>
      </c>
      <c r="B74" s="540">
        <v>26</v>
      </c>
      <c r="C74" s="539" t="s">
        <v>3215</v>
      </c>
      <c r="D74" s="539" t="s">
        <v>3059</v>
      </c>
      <c r="E74" s="540">
        <v>2</v>
      </c>
      <c r="F74" s="539" t="s">
        <v>4193</v>
      </c>
      <c r="G74" s="540">
        <f>'BALANCE SHEET'!C4</f>
        <v>2019</v>
      </c>
      <c r="H74" s="539" t="s">
        <v>4205</v>
      </c>
      <c r="I74" s="540" t="e">
        <f>+C8+C17</f>
        <v>#VALUE!</v>
      </c>
      <c r="J74" s="540">
        <v>7817274315</v>
      </c>
      <c r="K74" s="540">
        <v>3908637157.5</v>
      </c>
      <c r="L74" s="539" t="s">
        <v>4165</v>
      </c>
      <c r="M74" s="540">
        <v>0</v>
      </c>
    </row>
    <row r="75" spans="1:13" ht="32" x14ac:dyDescent="0.2">
      <c r="A75" s="539" t="s">
        <v>777</v>
      </c>
      <c r="B75" s="540">
        <v>26</v>
      </c>
      <c r="C75" s="539" t="s">
        <v>3215</v>
      </c>
      <c r="D75" s="539" t="s">
        <v>3059</v>
      </c>
      <c r="E75" s="540">
        <v>1</v>
      </c>
      <c r="F75" s="539" t="s">
        <v>4192</v>
      </c>
      <c r="G75" s="540" t="e">
        <f>C5+1</f>
        <v>#VALUE!</v>
      </c>
      <c r="H75" s="539" t="s">
        <v>4206</v>
      </c>
      <c r="I75" s="540" t="e">
        <f>+D8+D17</f>
        <v>#VALUE!</v>
      </c>
      <c r="J75" s="540">
        <v>7817274315</v>
      </c>
      <c r="K75" s="540">
        <v>3908637157.5</v>
      </c>
      <c r="L75" s="539" t="s">
        <v>4165</v>
      </c>
      <c r="M75" s="540">
        <v>0</v>
      </c>
    </row>
    <row r="76" spans="1:13" ht="32" x14ac:dyDescent="0.2">
      <c r="A76" s="539" t="s">
        <v>777</v>
      </c>
      <c r="B76" s="540">
        <v>26</v>
      </c>
      <c r="C76" s="539" t="s">
        <v>3215</v>
      </c>
      <c r="D76" s="539" t="s">
        <v>3059</v>
      </c>
      <c r="E76" s="540">
        <v>2</v>
      </c>
      <c r="F76" s="539" t="s">
        <v>4193</v>
      </c>
      <c r="G76" s="540" t="e">
        <f>C5+1</f>
        <v>#VALUE!</v>
      </c>
      <c r="H76" s="539" t="s">
        <v>4206</v>
      </c>
      <c r="I76" s="540" t="e">
        <f>+D8+D17</f>
        <v>#VALUE!</v>
      </c>
      <c r="J76" s="540">
        <v>7817274315</v>
      </c>
      <c r="K76" s="540">
        <v>3908637157.5</v>
      </c>
      <c r="L76" s="539" t="s">
        <v>4165</v>
      </c>
      <c r="M76" s="540">
        <v>0</v>
      </c>
    </row>
    <row r="77" spans="1:13" ht="32" x14ac:dyDescent="0.2">
      <c r="A77" s="539" t="s">
        <v>777</v>
      </c>
      <c r="B77" s="540">
        <v>26</v>
      </c>
      <c r="C77" s="539" t="s">
        <v>3215</v>
      </c>
      <c r="D77" s="539" t="s">
        <v>3059</v>
      </c>
      <c r="E77" s="540">
        <v>1</v>
      </c>
      <c r="F77" s="539" t="s">
        <v>4192</v>
      </c>
      <c r="G77" s="540" t="e">
        <f>D5+1</f>
        <v>#VALUE!</v>
      </c>
      <c r="H77" s="539" t="s">
        <v>4207</v>
      </c>
      <c r="I77" s="540">
        <f>+E8+E17</f>
        <v>5</v>
      </c>
      <c r="J77" s="540">
        <v>7817274315</v>
      </c>
      <c r="K77" s="540">
        <v>3908637157.5</v>
      </c>
      <c r="L77" s="539" t="s">
        <v>4165</v>
      </c>
      <c r="M77" s="540">
        <v>0</v>
      </c>
    </row>
    <row r="78" spans="1:13" ht="32" x14ac:dyDescent="0.2">
      <c r="A78" s="539" t="s">
        <v>777</v>
      </c>
      <c r="B78" s="540">
        <v>26</v>
      </c>
      <c r="C78" s="539" t="s">
        <v>3215</v>
      </c>
      <c r="D78" s="539" t="s">
        <v>3059</v>
      </c>
      <c r="E78" s="540">
        <v>2</v>
      </c>
      <c r="F78" s="539" t="s">
        <v>4193</v>
      </c>
      <c r="G78" s="540" t="e">
        <f>D5+1</f>
        <v>#VALUE!</v>
      </c>
      <c r="H78" s="539" t="s">
        <v>4207</v>
      </c>
      <c r="I78" s="540">
        <f>+E8+E17</f>
        <v>5</v>
      </c>
      <c r="J78" s="540">
        <v>7817274315</v>
      </c>
      <c r="K78" s="540">
        <v>3908637157.5</v>
      </c>
      <c r="L78" s="539" t="s">
        <v>4165</v>
      </c>
      <c r="M78" s="540">
        <v>0</v>
      </c>
    </row>
    <row r="79" spans="1:13" ht="32" x14ac:dyDescent="0.2">
      <c r="A79" s="539" t="s">
        <v>777</v>
      </c>
      <c r="B79" s="540">
        <v>27</v>
      </c>
      <c r="C79" s="539" t="s">
        <v>3216</v>
      </c>
      <c r="D79" s="539" t="s">
        <v>3061</v>
      </c>
      <c r="E79" s="540">
        <v>1</v>
      </c>
      <c r="F79" s="539" t="s">
        <v>4195</v>
      </c>
      <c r="G79" s="540">
        <f>'BALANCE SHEET'!C4</f>
        <v>2019</v>
      </c>
      <c r="H79" s="539" t="s">
        <v>656</v>
      </c>
      <c r="I79" s="540" t="e">
        <f>+C9+C18</f>
        <v>#VALUE!</v>
      </c>
      <c r="J79" s="540">
        <v>651512951</v>
      </c>
      <c r="K79" s="540">
        <v>162878237.75</v>
      </c>
      <c r="L79" s="539" t="s">
        <v>4165</v>
      </c>
      <c r="M79" s="540">
        <v>0</v>
      </c>
    </row>
    <row r="80" spans="1:13" ht="32" x14ac:dyDescent="0.2">
      <c r="A80" s="539" t="s">
        <v>777</v>
      </c>
      <c r="B80" s="540">
        <v>27</v>
      </c>
      <c r="C80" s="539" t="s">
        <v>3216</v>
      </c>
      <c r="D80" s="539" t="s">
        <v>3061</v>
      </c>
      <c r="E80" s="540">
        <v>2</v>
      </c>
      <c r="F80" s="539" t="s">
        <v>4196</v>
      </c>
      <c r="G80" s="540">
        <f>'BALANCE SHEET'!C4</f>
        <v>2019</v>
      </c>
      <c r="H80" s="539" t="s">
        <v>656</v>
      </c>
      <c r="I80" s="540" t="e">
        <f>+C9+C18</f>
        <v>#VALUE!</v>
      </c>
      <c r="J80" s="540">
        <v>651512951</v>
      </c>
      <c r="K80" s="540">
        <v>162878237.75</v>
      </c>
      <c r="L80" s="539" t="s">
        <v>4165</v>
      </c>
      <c r="M80" s="540">
        <v>0</v>
      </c>
    </row>
    <row r="81" spans="1:13" ht="32" x14ac:dyDescent="0.2">
      <c r="A81" s="539" t="s">
        <v>777</v>
      </c>
      <c r="B81" s="540">
        <v>27</v>
      </c>
      <c r="C81" s="539" t="s">
        <v>3216</v>
      </c>
      <c r="D81" s="539" t="s">
        <v>3061</v>
      </c>
      <c r="E81" s="540">
        <v>3</v>
      </c>
      <c r="F81" s="539" t="s">
        <v>4197</v>
      </c>
      <c r="G81" s="540">
        <f>'BALANCE SHEET'!C4</f>
        <v>2019</v>
      </c>
      <c r="H81" s="539" t="s">
        <v>656</v>
      </c>
      <c r="I81" s="540" t="e">
        <f>+C9+C18</f>
        <v>#VALUE!</v>
      </c>
      <c r="J81" s="540">
        <v>651512951</v>
      </c>
      <c r="K81" s="540">
        <v>162878237.75</v>
      </c>
      <c r="L81" s="539" t="s">
        <v>4165</v>
      </c>
      <c r="M81" s="540">
        <v>0</v>
      </c>
    </row>
    <row r="82" spans="1:13" ht="32" x14ac:dyDescent="0.2">
      <c r="A82" s="539" t="s">
        <v>777</v>
      </c>
      <c r="B82" s="540">
        <v>27</v>
      </c>
      <c r="C82" s="539" t="s">
        <v>3216</v>
      </c>
      <c r="D82" s="539" t="s">
        <v>3061</v>
      </c>
      <c r="E82" s="540">
        <v>4</v>
      </c>
      <c r="F82" s="539" t="s">
        <v>4198</v>
      </c>
      <c r="G82" s="540">
        <f>'BALANCE SHEET'!C4</f>
        <v>2019</v>
      </c>
      <c r="H82" s="539" t="s">
        <v>656</v>
      </c>
      <c r="I82" s="540" t="e">
        <f>+C9+C18</f>
        <v>#VALUE!</v>
      </c>
      <c r="J82" s="540">
        <v>651512951</v>
      </c>
      <c r="K82" s="540">
        <v>162878237.75</v>
      </c>
      <c r="L82" s="539" t="s">
        <v>4165</v>
      </c>
      <c r="M82" s="540">
        <v>0</v>
      </c>
    </row>
    <row r="83" spans="1:13" ht="32" x14ac:dyDescent="0.2">
      <c r="A83" s="539" t="s">
        <v>777</v>
      </c>
      <c r="B83" s="540">
        <v>27</v>
      </c>
      <c r="C83" s="539" t="s">
        <v>3216</v>
      </c>
      <c r="D83" s="539" t="s">
        <v>3061</v>
      </c>
      <c r="E83" s="540">
        <v>1</v>
      </c>
      <c r="F83" s="539" t="s">
        <v>4195</v>
      </c>
      <c r="G83" s="540" t="e">
        <f>C5+1</f>
        <v>#VALUE!</v>
      </c>
      <c r="H83" s="539" t="s">
        <v>394</v>
      </c>
      <c r="I83" s="540" t="e">
        <f>+D9+D18</f>
        <v>#VALUE!</v>
      </c>
      <c r="J83" s="540">
        <v>653687951</v>
      </c>
      <c r="K83" s="540">
        <v>163421987.75</v>
      </c>
      <c r="L83" s="539" t="s">
        <v>4165</v>
      </c>
      <c r="M83" s="540">
        <v>0</v>
      </c>
    </row>
    <row r="84" spans="1:13" ht="32" x14ac:dyDescent="0.2">
      <c r="A84" s="539" t="s">
        <v>777</v>
      </c>
      <c r="B84" s="540">
        <v>27</v>
      </c>
      <c r="C84" s="539" t="s">
        <v>3216</v>
      </c>
      <c r="D84" s="539" t="s">
        <v>3061</v>
      </c>
      <c r="E84" s="540">
        <v>2</v>
      </c>
      <c r="F84" s="539" t="s">
        <v>4196</v>
      </c>
      <c r="G84" s="540" t="e">
        <f>C5+1</f>
        <v>#VALUE!</v>
      </c>
      <c r="H84" s="539" t="s">
        <v>394</v>
      </c>
      <c r="I84" s="540" t="e">
        <f>+D9+D18</f>
        <v>#VALUE!</v>
      </c>
      <c r="J84" s="540">
        <v>653687951</v>
      </c>
      <c r="K84" s="540">
        <v>163421987.75</v>
      </c>
      <c r="L84" s="539" t="s">
        <v>4165</v>
      </c>
      <c r="M84" s="540">
        <v>0</v>
      </c>
    </row>
    <row r="85" spans="1:13" ht="32" x14ac:dyDescent="0.2">
      <c r="A85" s="539" t="s">
        <v>777</v>
      </c>
      <c r="B85" s="540">
        <v>27</v>
      </c>
      <c r="C85" s="539" t="s">
        <v>3216</v>
      </c>
      <c r="D85" s="539" t="s">
        <v>3061</v>
      </c>
      <c r="E85" s="540">
        <v>3</v>
      </c>
      <c r="F85" s="539" t="s">
        <v>4197</v>
      </c>
      <c r="G85" s="540" t="e">
        <f>C5+1</f>
        <v>#VALUE!</v>
      </c>
      <c r="H85" s="539" t="s">
        <v>394</v>
      </c>
      <c r="I85" s="540" t="e">
        <f>+D9+D18</f>
        <v>#VALUE!</v>
      </c>
      <c r="J85" s="540">
        <v>653687951</v>
      </c>
      <c r="K85" s="540">
        <v>163421987.75</v>
      </c>
      <c r="L85" s="539" t="s">
        <v>4165</v>
      </c>
      <c r="M85" s="540">
        <v>0</v>
      </c>
    </row>
    <row r="86" spans="1:13" ht="32" x14ac:dyDescent="0.2">
      <c r="A86" s="539" t="s">
        <v>777</v>
      </c>
      <c r="B86" s="540">
        <v>27</v>
      </c>
      <c r="C86" s="539" t="s">
        <v>3216</v>
      </c>
      <c r="D86" s="539" t="s">
        <v>3061</v>
      </c>
      <c r="E86" s="540">
        <v>4</v>
      </c>
      <c r="F86" s="539" t="s">
        <v>4198</v>
      </c>
      <c r="G86" s="540" t="e">
        <f>C5+1</f>
        <v>#VALUE!</v>
      </c>
      <c r="H86" s="539" t="s">
        <v>394</v>
      </c>
      <c r="I86" s="540" t="e">
        <f>+D9+D18</f>
        <v>#VALUE!</v>
      </c>
      <c r="J86" s="540">
        <v>653687951</v>
      </c>
      <c r="K86" s="540">
        <v>163421987.75</v>
      </c>
      <c r="L86" s="539" t="s">
        <v>4165</v>
      </c>
      <c r="M86" s="540">
        <v>0</v>
      </c>
    </row>
    <row r="87" spans="1:13" ht="32" x14ac:dyDescent="0.2">
      <c r="A87" s="539" t="s">
        <v>777</v>
      </c>
      <c r="B87" s="540">
        <v>27</v>
      </c>
      <c r="C87" s="539" t="s">
        <v>3216</v>
      </c>
      <c r="D87" s="539" t="s">
        <v>3061</v>
      </c>
      <c r="E87" s="540">
        <v>1</v>
      </c>
      <c r="F87" s="539" t="s">
        <v>4195</v>
      </c>
      <c r="G87" s="540" t="e">
        <f>D5+1</f>
        <v>#VALUE!</v>
      </c>
      <c r="H87" s="539" t="s">
        <v>4208</v>
      </c>
      <c r="I87" s="540">
        <f>+E9+E18</f>
        <v>5</v>
      </c>
      <c r="J87" s="540">
        <v>653687951</v>
      </c>
      <c r="K87" s="540">
        <v>163421987.75</v>
      </c>
      <c r="L87" s="539" t="s">
        <v>4165</v>
      </c>
      <c r="M87" s="540">
        <v>0</v>
      </c>
    </row>
    <row r="88" spans="1:13" ht="32" x14ac:dyDescent="0.2">
      <c r="A88" s="539" t="s">
        <v>777</v>
      </c>
      <c r="B88" s="540">
        <v>27</v>
      </c>
      <c r="C88" s="539" t="s">
        <v>3216</v>
      </c>
      <c r="D88" s="539" t="s">
        <v>3061</v>
      </c>
      <c r="E88" s="540">
        <v>2</v>
      </c>
      <c r="F88" s="539" t="s">
        <v>4196</v>
      </c>
      <c r="G88" s="540" t="e">
        <f>D5+1</f>
        <v>#VALUE!</v>
      </c>
      <c r="H88" s="539" t="s">
        <v>4208</v>
      </c>
      <c r="I88" s="540">
        <f>+E9+E18</f>
        <v>5</v>
      </c>
      <c r="J88" s="540">
        <v>653687951</v>
      </c>
      <c r="K88" s="540">
        <v>163421987.75</v>
      </c>
      <c r="L88" s="539" t="s">
        <v>4165</v>
      </c>
      <c r="M88" s="540">
        <v>0</v>
      </c>
    </row>
    <row r="89" spans="1:13" ht="32" x14ac:dyDescent="0.2">
      <c r="A89" s="539" t="s">
        <v>777</v>
      </c>
      <c r="B89" s="540">
        <v>27</v>
      </c>
      <c r="C89" s="539" t="s">
        <v>3216</v>
      </c>
      <c r="D89" s="539" t="s">
        <v>3061</v>
      </c>
      <c r="E89" s="540">
        <v>3</v>
      </c>
      <c r="F89" s="539" t="s">
        <v>4197</v>
      </c>
      <c r="G89" s="540" t="e">
        <f>D5+1</f>
        <v>#VALUE!</v>
      </c>
      <c r="H89" s="539" t="s">
        <v>4208</v>
      </c>
      <c r="I89" s="540">
        <f>+E9+E18</f>
        <v>5</v>
      </c>
      <c r="J89" s="540">
        <v>653687951</v>
      </c>
      <c r="K89" s="540">
        <v>163421987.75</v>
      </c>
      <c r="L89" s="539" t="s">
        <v>4165</v>
      </c>
      <c r="M89" s="540">
        <v>0</v>
      </c>
    </row>
    <row r="90" spans="1:13" ht="32" x14ac:dyDescent="0.2">
      <c r="A90" s="539" t="s">
        <v>777</v>
      </c>
      <c r="B90" s="540">
        <v>27</v>
      </c>
      <c r="C90" s="539" t="s">
        <v>3216</v>
      </c>
      <c r="D90" s="539" t="s">
        <v>3061</v>
      </c>
      <c r="E90" s="540">
        <v>4</v>
      </c>
      <c r="F90" s="539" t="s">
        <v>4198</v>
      </c>
      <c r="G90" s="540" t="e">
        <f>D5+1</f>
        <v>#VALUE!</v>
      </c>
      <c r="H90" s="539" t="s">
        <v>4208</v>
      </c>
      <c r="I90" s="540">
        <f>+E9+E18</f>
        <v>5</v>
      </c>
      <c r="J90" s="540">
        <v>653687951</v>
      </c>
      <c r="K90" s="540">
        <v>163421987.75</v>
      </c>
      <c r="L90" s="539" t="s">
        <v>4165</v>
      </c>
      <c r="M90" s="540">
        <v>0</v>
      </c>
    </row>
    <row r="91" spans="1:13" ht="32" x14ac:dyDescent="0.2">
      <c r="A91" s="539" t="s">
        <v>777</v>
      </c>
      <c r="B91" s="540">
        <v>29</v>
      </c>
      <c r="C91" s="539" t="s">
        <v>4160</v>
      </c>
      <c r="D91" s="539" t="s">
        <v>3063</v>
      </c>
      <c r="E91" s="540">
        <v>1</v>
      </c>
      <c r="F91" s="539" t="s">
        <v>4199</v>
      </c>
      <c r="G91" s="540">
        <f>'BALANCE SHEET'!C4</f>
        <v>2019</v>
      </c>
      <c r="H91" s="539" t="s">
        <v>665</v>
      </c>
      <c r="I91" s="540" t="e">
        <f>+C11+C20</f>
        <v>#VALUE!</v>
      </c>
      <c r="J91" s="540">
        <v>2060472728</v>
      </c>
      <c r="K91" s="540">
        <v>1030236364</v>
      </c>
      <c r="L91" s="539" t="s">
        <v>4165</v>
      </c>
      <c r="M91" s="540">
        <v>0</v>
      </c>
    </row>
    <row r="92" spans="1:13" ht="32" x14ac:dyDescent="0.2">
      <c r="A92" s="539" t="s">
        <v>777</v>
      </c>
      <c r="B92" s="540">
        <v>29</v>
      </c>
      <c r="C92" s="539" t="s">
        <v>4160</v>
      </c>
      <c r="D92" s="539" t="s">
        <v>3063</v>
      </c>
      <c r="E92" s="540">
        <v>2</v>
      </c>
      <c r="F92" s="539" t="s">
        <v>4200</v>
      </c>
      <c r="G92" s="540">
        <f>'BALANCE SHEET'!C4</f>
        <v>2019</v>
      </c>
      <c r="H92" s="539" t="s">
        <v>665</v>
      </c>
      <c r="I92" s="540" t="e">
        <f>+C11+C20</f>
        <v>#VALUE!</v>
      </c>
      <c r="J92" s="540">
        <v>2060472728</v>
      </c>
      <c r="K92" s="540">
        <v>1030236364</v>
      </c>
      <c r="L92" s="539" t="s">
        <v>4165</v>
      </c>
      <c r="M92" s="540">
        <v>0</v>
      </c>
    </row>
    <row r="93" spans="1:13" ht="32" x14ac:dyDescent="0.2">
      <c r="A93" s="539" t="s">
        <v>777</v>
      </c>
      <c r="B93" s="540">
        <v>29</v>
      </c>
      <c r="C93" s="539" t="s">
        <v>4160</v>
      </c>
      <c r="D93" s="539" t="s">
        <v>3063</v>
      </c>
      <c r="E93" s="540">
        <v>1</v>
      </c>
      <c r="F93" s="539" t="s">
        <v>4199</v>
      </c>
      <c r="G93" s="540" t="e">
        <f>C5+1</f>
        <v>#VALUE!</v>
      </c>
      <c r="H93" s="539" t="s">
        <v>402</v>
      </c>
      <c r="I93" s="540" t="e">
        <f>+D11+D20</f>
        <v>#VALUE!</v>
      </c>
      <c r="J93" s="540">
        <v>2207972728</v>
      </c>
      <c r="K93" s="540">
        <v>1103986364</v>
      </c>
      <c r="L93" s="539" t="s">
        <v>4165</v>
      </c>
      <c r="M93" s="540">
        <v>0</v>
      </c>
    </row>
    <row r="94" spans="1:13" ht="32" x14ac:dyDescent="0.2">
      <c r="A94" s="539" t="s">
        <v>777</v>
      </c>
      <c r="B94" s="540">
        <v>29</v>
      </c>
      <c r="C94" s="539" t="s">
        <v>4160</v>
      </c>
      <c r="D94" s="539" t="s">
        <v>3063</v>
      </c>
      <c r="E94" s="540">
        <v>2</v>
      </c>
      <c r="F94" s="539" t="s">
        <v>4200</v>
      </c>
      <c r="G94" s="540" t="e">
        <f>C5+1</f>
        <v>#VALUE!</v>
      </c>
      <c r="H94" s="539" t="s">
        <v>402</v>
      </c>
      <c r="I94" s="540" t="e">
        <f>+D11+D20</f>
        <v>#VALUE!</v>
      </c>
      <c r="J94" s="540">
        <v>2207972728</v>
      </c>
      <c r="K94" s="540">
        <v>1103986364</v>
      </c>
      <c r="L94" s="539" t="s">
        <v>4165</v>
      </c>
      <c r="M94" s="540">
        <v>0</v>
      </c>
    </row>
    <row r="95" spans="1:13" ht="32" x14ac:dyDescent="0.2">
      <c r="A95" s="539" t="s">
        <v>777</v>
      </c>
      <c r="B95" s="540">
        <v>29</v>
      </c>
      <c r="C95" s="539" t="s">
        <v>4160</v>
      </c>
      <c r="D95" s="539" t="s">
        <v>3063</v>
      </c>
      <c r="E95" s="540">
        <v>1</v>
      </c>
      <c r="F95" s="539" t="s">
        <v>4199</v>
      </c>
      <c r="G95" s="540" t="e">
        <f>D5+1</f>
        <v>#VALUE!</v>
      </c>
      <c r="H95" s="539" t="s">
        <v>4209</v>
      </c>
      <c r="I95" s="540">
        <f>+E11+E20</f>
        <v>3</v>
      </c>
      <c r="J95" s="540">
        <v>2207972728</v>
      </c>
      <c r="K95" s="540">
        <v>1103986364</v>
      </c>
      <c r="L95" s="539" t="s">
        <v>4165</v>
      </c>
      <c r="M95" s="540">
        <v>0</v>
      </c>
    </row>
    <row r="96" spans="1:13" ht="32" x14ac:dyDescent="0.2">
      <c r="A96" s="539" t="s">
        <v>777</v>
      </c>
      <c r="B96" s="540">
        <v>29</v>
      </c>
      <c r="C96" s="539" t="s">
        <v>4160</v>
      </c>
      <c r="D96" s="539" t="s">
        <v>3063</v>
      </c>
      <c r="E96" s="540">
        <v>2</v>
      </c>
      <c r="F96" s="539" t="s">
        <v>4200</v>
      </c>
      <c r="G96" s="540" t="e">
        <f>D5+1</f>
        <v>#VALUE!</v>
      </c>
      <c r="H96" s="539" t="s">
        <v>4209</v>
      </c>
      <c r="I96" s="540">
        <f>+E11+E20</f>
        <v>3</v>
      </c>
      <c r="J96" s="540">
        <v>2207972728</v>
      </c>
      <c r="K96" s="540">
        <v>1103986364</v>
      </c>
      <c r="L96" s="539" t="s">
        <v>4165</v>
      </c>
      <c r="M96" s="540">
        <v>0</v>
      </c>
    </row>
    <row r="97" spans="1:13" ht="32" x14ac:dyDescent="0.2">
      <c r="A97" s="539" t="s">
        <v>777</v>
      </c>
      <c r="B97" s="540">
        <v>30</v>
      </c>
      <c r="C97" s="539" t="s">
        <v>4162</v>
      </c>
      <c r="D97" s="539" t="s">
        <v>3064</v>
      </c>
      <c r="E97" s="540">
        <v>1</v>
      </c>
      <c r="F97" s="539" t="s">
        <v>4201</v>
      </c>
      <c r="G97" s="540">
        <f>'BALANCE SHEET'!C4</f>
        <v>2019</v>
      </c>
      <c r="H97" s="539" t="s">
        <v>263</v>
      </c>
      <c r="I97" s="540" t="e">
        <f>+C12+C21</f>
        <v>#VALUE!</v>
      </c>
      <c r="J97" s="540">
        <v>10145509610</v>
      </c>
      <c r="K97" s="540">
        <v>5072754805</v>
      </c>
      <c r="L97" s="539" t="s">
        <v>4165</v>
      </c>
      <c r="M97" s="540">
        <v>0</v>
      </c>
    </row>
    <row r="98" spans="1:13" ht="32" x14ac:dyDescent="0.2">
      <c r="A98" s="539" t="s">
        <v>777</v>
      </c>
      <c r="B98" s="540">
        <v>30</v>
      </c>
      <c r="C98" s="539" t="s">
        <v>4162</v>
      </c>
      <c r="D98" s="539" t="s">
        <v>3064</v>
      </c>
      <c r="E98" s="540">
        <v>2</v>
      </c>
      <c r="F98" s="539" t="s">
        <v>4202</v>
      </c>
      <c r="G98" s="540">
        <f>'BALANCE SHEET'!C4</f>
        <v>2019</v>
      </c>
      <c r="H98" s="539" t="s">
        <v>263</v>
      </c>
      <c r="I98" s="540" t="e">
        <f>+C12+C21</f>
        <v>#VALUE!</v>
      </c>
      <c r="J98" s="540">
        <v>10145509610</v>
      </c>
      <c r="K98" s="540">
        <v>5072754805</v>
      </c>
      <c r="L98" s="539" t="s">
        <v>4165</v>
      </c>
      <c r="M98" s="540">
        <v>0</v>
      </c>
    </row>
    <row r="99" spans="1:13" ht="32" x14ac:dyDescent="0.2">
      <c r="A99" s="539" t="s">
        <v>777</v>
      </c>
      <c r="B99" s="540">
        <v>30</v>
      </c>
      <c r="C99" s="539" t="s">
        <v>4162</v>
      </c>
      <c r="D99" s="539" t="s">
        <v>3064</v>
      </c>
      <c r="E99" s="540">
        <v>1</v>
      </c>
      <c r="F99" s="539" t="s">
        <v>4201</v>
      </c>
      <c r="G99" s="540" t="e">
        <f>C5+1</f>
        <v>#VALUE!</v>
      </c>
      <c r="H99" s="539" t="s">
        <v>265</v>
      </c>
      <c r="I99" s="540" t="e">
        <f>+D12+D21</f>
        <v>#VALUE!</v>
      </c>
      <c r="J99" s="540">
        <v>10145509610</v>
      </c>
      <c r="K99" s="540">
        <v>5072754805</v>
      </c>
      <c r="L99" s="539" t="s">
        <v>4165</v>
      </c>
      <c r="M99" s="540">
        <v>0</v>
      </c>
    </row>
    <row r="100" spans="1:13" ht="32" x14ac:dyDescent="0.2">
      <c r="A100" s="539" t="s">
        <v>777</v>
      </c>
      <c r="B100" s="540">
        <v>30</v>
      </c>
      <c r="C100" s="539" t="s">
        <v>4162</v>
      </c>
      <c r="D100" s="539" t="s">
        <v>3064</v>
      </c>
      <c r="E100" s="540">
        <v>2</v>
      </c>
      <c r="F100" s="539" t="s">
        <v>4202</v>
      </c>
      <c r="G100" s="540" t="e">
        <f>C5+1</f>
        <v>#VALUE!</v>
      </c>
      <c r="H100" s="539" t="s">
        <v>265</v>
      </c>
      <c r="I100" s="540" t="e">
        <f>+D12+D21</f>
        <v>#VALUE!</v>
      </c>
      <c r="J100" s="540">
        <v>10145509610</v>
      </c>
      <c r="K100" s="540">
        <v>5072754805</v>
      </c>
      <c r="L100" s="539" t="s">
        <v>4165</v>
      </c>
      <c r="M100" s="540">
        <v>0</v>
      </c>
    </row>
    <row r="101" spans="1:13" ht="32" x14ac:dyDescent="0.2">
      <c r="A101" s="539" t="s">
        <v>777</v>
      </c>
      <c r="B101" s="540">
        <v>30</v>
      </c>
      <c r="C101" s="539" t="s">
        <v>4162</v>
      </c>
      <c r="D101" s="539" t="s">
        <v>3064</v>
      </c>
      <c r="E101" s="540">
        <v>1</v>
      </c>
      <c r="F101" s="539" t="s">
        <v>4201</v>
      </c>
      <c r="G101" s="540" t="e">
        <f>D5+1</f>
        <v>#VALUE!</v>
      </c>
      <c r="H101" s="539" t="s">
        <v>267</v>
      </c>
      <c r="I101" s="540">
        <f>+E12+E21</f>
        <v>5</v>
      </c>
      <c r="J101" s="540">
        <v>10145509610</v>
      </c>
      <c r="K101" s="540">
        <v>5072754805</v>
      </c>
      <c r="L101" s="539" t="s">
        <v>4165</v>
      </c>
      <c r="M101" s="540">
        <v>0</v>
      </c>
    </row>
    <row r="102" spans="1:13" ht="32" x14ac:dyDescent="0.2">
      <c r="A102" s="539" t="s">
        <v>777</v>
      </c>
      <c r="B102" s="540">
        <v>30</v>
      </c>
      <c r="C102" s="539" t="s">
        <v>4162</v>
      </c>
      <c r="D102" s="539" t="s">
        <v>3064</v>
      </c>
      <c r="E102" s="540">
        <v>2</v>
      </c>
      <c r="F102" s="539" t="s">
        <v>4202</v>
      </c>
      <c r="G102" s="540" t="e">
        <f>D5+1</f>
        <v>#VALUE!</v>
      </c>
      <c r="H102" s="539" t="s">
        <v>267</v>
      </c>
      <c r="I102" s="540">
        <f>+E12+E21</f>
        <v>5</v>
      </c>
      <c r="J102" s="540">
        <v>10145509610</v>
      </c>
      <c r="K102" s="540">
        <v>5072754805</v>
      </c>
      <c r="L102" s="539" t="s">
        <v>4165</v>
      </c>
      <c r="M102" s="540">
        <v>0</v>
      </c>
    </row>
    <row r="103" spans="1:13" ht="32" x14ac:dyDescent="0.2">
      <c r="A103" s="539" t="s">
        <v>777</v>
      </c>
      <c r="B103" s="540">
        <v>36</v>
      </c>
      <c r="C103" s="539" t="s">
        <v>3215</v>
      </c>
      <c r="D103" s="539" t="s">
        <v>3059</v>
      </c>
      <c r="E103" s="540">
        <v>1</v>
      </c>
      <c r="F103" s="539" t="s">
        <v>4192</v>
      </c>
      <c r="G103" s="540">
        <f>'BALANCE SHEET'!C4</f>
        <v>2019</v>
      </c>
      <c r="H103" s="539" t="s">
        <v>689</v>
      </c>
      <c r="I103" s="539"/>
      <c r="J103" s="540">
        <v>0</v>
      </c>
      <c r="K103" s="540">
        <v>0</v>
      </c>
      <c r="L103" s="539" t="s">
        <v>4164</v>
      </c>
      <c r="M103" s="540">
        <v>0</v>
      </c>
    </row>
    <row r="104" spans="1:13" ht="32" x14ac:dyDescent="0.2">
      <c r="A104" s="539" t="s">
        <v>777</v>
      </c>
      <c r="B104" s="540">
        <v>36</v>
      </c>
      <c r="C104" s="539" t="s">
        <v>3215</v>
      </c>
      <c r="D104" s="539" t="s">
        <v>3059</v>
      </c>
      <c r="E104" s="540">
        <v>2</v>
      </c>
      <c r="F104" s="539" t="s">
        <v>4193</v>
      </c>
      <c r="G104" s="540">
        <f>'BALANCE SHEET'!C4</f>
        <v>2019</v>
      </c>
      <c r="H104" s="539" t="s">
        <v>689</v>
      </c>
      <c r="I104" s="539"/>
      <c r="J104" s="540">
        <v>0</v>
      </c>
      <c r="K104" s="540">
        <v>0</v>
      </c>
      <c r="L104" s="539" t="s">
        <v>4164</v>
      </c>
      <c r="M104" s="540">
        <v>0</v>
      </c>
    </row>
    <row r="105" spans="1:13" ht="32" x14ac:dyDescent="0.2">
      <c r="A105" s="539" t="s">
        <v>777</v>
      </c>
      <c r="B105" s="540">
        <v>36</v>
      </c>
      <c r="C105" s="539" t="s">
        <v>3215</v>
      </c>
      <c r="D105" s="539" t="s">
        <v>3059</v>
      </c>
      <c r="E105" s="540">
        <v>1</v>
      </c>
      <c r="F105" s="539" t="s">
        <v>4192</v>
      </c>
      <c r="G105" s="540" t="e">
        <f>C5+1</f>
        <v>#VALUE!</v>
      </c>
      <c r="H105" s="539" t="s">
        <v>433</v>
      </c>
      <c r="I105" s="540" t="str">
        <f>C54</f>
        <v>Building</v>
      </c>
      <c r="J105" s="540">
        <v>0</v>
      </c>
      <c r="K105" s="540">
        <v>0</v>
      </c>
      <c r="L105" s="539" t="s">
        <v>4165</v>
      </c>
      <c r="M105" s="540">
        <v>0</v>
      </c>
    </row>
    <row r="106" spans="1:13" ht="32" x14ac:dyDescent="0.2">
      <c r="A106" s="539" t="s">
        <v>777</v>
      </c>
      <c r="B106" s="540">
        <v>36</v>
      </c>
      <c r="C106" s="539" t="s">
        <v>3215</v>
      </c>
      <c r="D106" s="539" t="s">
        <v>3059</v>
      </c>
      <c r="E106" s="540">
        <v>2</v>
      </c>
      <c r="F106" s="539" t="s">
        <v>4193</v>
      </c>
      <c r="G106" s="540" t="e">
        <f>C5+1</f>
        <v>#VALUE!</v>
      </c>
      <c r="H106" s="539" t="s">
        <v>433</v>
      </c>
      <c r="I106" s="540" t="str">
        <f>C54</f>
        <v>Building</v>
      </c>
      <c r="J106" s="540">
        <v>0</v>
      </c>
      <c r="K106" s="540">
        <v>0</v>
      </c>
      <c r="L106" s="539" t="s">
        <v>4165</v>
      </c>
      <c r="M106" s="540">
        <v>0</v>
      </c>
    </row>
    <row r="107" spans="1:13" ht="32" x14ac:dyDescent="0.2">
      <c r="A107" s="539" t="s">
        <v>777</v>
      </c>
      <c r="B107" s="540">
        <v>36</v>
      </c>
      <c r="C107" s="539" t="s">
        <v>3215</v>
      </c>
      <c r="D107" s="539" t="s">
        <v>3059</v>
      </c>
      <c r="E107" s="540">
        <v>1</v>
      </c>
      <c r="F107" s="539" t="s">
        <v>4192</v>
      </c>
      <c r="G107" s="540" t="e">
        <f>D5+1</f>
        <v>#VALUE!</v>
      </c>
      <c r="H107" s="539" t="s">
        <v>4210</v>
      </c>
      <c r="I107" s="540" t="str">
        <f>D54</f>
        <v>Building (Bangunan Mess/Barak + Bangunan Mess/Barak (TA) + Lapangan + Kantor)</v>
      </c>
      <c r="J107" s="540">
        <v>0</v>
      </c>
      <c r="K107" s="540">
        <v>0</v>
      </c>
      <c r="L107" s="539" t="s">
        <v>4165</v>
      </c>
      <c r="M107" s="540">
        <v>0</v>
      </c>
    </row>
    <row r="108" spans="1:13" ht="32" x14ac:dyDescent="0.2">
      <c r="A108" s="539" t="s">
        <v>777</v>
      </c>
      <c r="B108" s="540">
        <v>36</v>
      </c>
      <c r="C108" s="539" t="s">
        <v>3215</v>
      </c>
      <c r="D108" s="539" t="s">
        <v>3059</v>
      </c>
      <c r="E108" s="540">
        <v>2</v>
      </c>
      <c r="F108" s="539" t="s">
        <v>4193</v>
      </c>
      <c r="G108" s="540" t="e">
        <f>D5+1</f>
        <v>#VALUE!</v>
      </c>
      <c r="H108" s="539" t="s">
        <v>4210</v>
      </c>
      <c r="I108" s="540" t="str">
        <f>D54</f>
        <v>Building (Bangunan Mess/Barak + Bangunan Mess/Barak (TA) + Lapangan + Kantor)</v>
      </c>
      <c r="J108" s="540">
        <v>0</v>
      </c>
      <c r="K108" s="540">
        <v>0</v>
      </c>
      <c r="L108" s="539" t="s">
        <v>4165</v>
      </c>
      <c r="M108" s="540">
        <v>0</v>
      </c>
    </row>
    <row r="109" spans="1:13" ht="32" x14ac:dyDescent="0.2">
      <c r="A109" s="539" t="s">
        <v>777</v>
      </c>
      <c r="B109" s="540">
        <v>37</v>
      </c>
      <c r="C109" s="539" t="s">
        <v>3216</v>
      </c>
      <c r="D109" s="539" t="s">
        <v>3061</v>
      </c>
      <c r="E109" s="540">
        <v>1</v>
      </c>
      <c r="F109" s="539" t="s">
        <v>4195</v>
      </c>
      <c r="G109" s="540">
        <f>'BALANCE SHEET'!C4</f>
        <v>2019</v>
      </c>
      <c r="H109" s="539" t="s">
        <v>437</v>
      </c>
      <c r="I109" s="539"/>
      <c r="J109" s="540">
        <v>203967215</v>
      </c>
      <c r="K109" s="540">
        <v>50991803.75</v>
      </c>
      <c r="L109" s="539" t="s">
        <v>4164</v>
      </c>
      <c r="M109" s="540">
        <v>0</v>
      </c>
    </row>
    <row r="110" spans="1:13" ht="32" x14ac:dyDescent="0.2">
      <c r="A110" s="539" t="s">
        <v>777</v>
      </c>
      <c r="B110" s="540">
        <v>37</v>
      </c>
      <c r="C110" s="539" t="s">
        <v>3216</v>
      </c>
      <c r="D110" s="539" t="s">
        <v>3061</v>
      </c>
      <c r="E110" s="540">
        <v>2</v>
      </c>
      <c r="F110" s="539" t="s">
        <v>4196</v>
      </c>
      <c r="G110" s="540">
        <f>'BALANCE SHEET'!C4</f>
        <v>2019</v>
      </c>
      <c r="H110" s="539" t="s">
        <v>437</v>
      </c>
      <c r="I110" s="539"/>
      <c r="J110" s="540">
        <v>203967215</v>
      </c>
      <c r="K110" s="540">
        <v>50991803.75</v>
      </c>
      <c r="L110" s="539" t="s">
        <v>4164</v>
      </c>
      <c r="M110" s="540">
        <v>0</v>
      </c>
    </row>
    <row r="111" spans="1:13" ht="32" x14ac:dyDescent="0.2">
      <c r="A111" s="539" t="s">
        <v>777</v>
      </c>
      <c r="B111" s="540">
        <v>37</v>
      </c>
      <c r="C111" s="539" t="s">
        <v>3216</v>
      </c>
      <c r="D111" s="539" t="s">
        <v>3061</v>
      </c>
      <c r="E111" s="540">
        <v>3</v>
      </c>
      <c r="F111" s="539" t="s">
        <v>4197</v>
      </c>
      <c r="G111" s="540">
        <f>'BALANCE SHEET'!C4</f>
        <v>2019</v>
      </c>
      <c r="H111" s="539" t="s">
        <v>437</v>
      </c>
      <c r="I111" s="539"/>
      <c r="J111" s="540">
        <v>203967215</v>
      </c>
      <c r="K111" s="540">
        <v>50991803.75</v>
      </c>
      <c r="L111" s="539" t="s">
        <v>4164</v>
      </c>
      <c r="M111" s="540">
        <v>0</v>
      </c>
    </row>
    <row r="112" spans="1:13" ht="32" x14ac:dyDescent="0.2">
      <c r="A112" s="539" t="s">
        <v>777</v>
      </c>
      <c r="B112" s="540">
        <v>37</v>
      </c>
      <c r="C112" s="539" t="s">
        <v>3216</v>
      </c>
      <c r="D112" s="539" t="s">
        <v>3061</v>
      </c>
      <c r="E112" s="540">
        <v>4</v>
      </c>
      <c r="F112" s="539" t="s">
        <v>4198</v>
      </c>
      <c r="G112" s="540">
        <f>'BALANCE SHEET'!C4</f>
        <v>2019</v>
      </c>
      <c r="H112" s="539" t="s">
        <v>437</v>
      </c>
      <c r="I112" s="539"/>
      <c r="J112" s="540">
        <v>203967215</v>
      </c>
      <c r="K112" s="540">
        <v>50991803.75</v>
      </c>
      <c r="L112" s="539" t="s">
        <v>4164</v>
      </c>
      <c r="M112" s="540">
        <v>0</v>
      </c>
    </row>
    <row r="113" spans="1:13" ht="32" x14ac:dyDescent="0.2">
      <c r="A113" s="539" t="s">
        <v>777</v>
      </c>
      <c r="B113" s="540">
        <v>37</v>
      </c>
      <c r="C113" s="539" t="s">
        <v>3216</v>
      </c>
      <c r="D113" s="539" t="s">
        <v>3061</v>
      </c>
      <c r="E113" s="540">
        <v>1</v>
      </c>
      <c r="F113" s="539" t="s">
        <v>4195</v>
      </c>
      <c r="G113" s="540" t="e">
        <f>C5+1</f>
        <v>#VALUE!</v>
      </c>
      <c r="H113" s="539" t="s">
        <v>188</v>
      </c>
      <c r="I113" s="540" t="str">
        <f>C55</f>
        <v>Building</v>
      </c>
      <c r="J113" s="540">
        <v>242886427</v>
      </c>
      <c r="K113" s="540">
        <v>60721606.75</v>
      </c>
      <c r="L113" s="539" t="s">
        <v>4165</v>
      </c>
      <c r="M113" s="540">
        <v>0</v>
      </c>
    </row>
    <row r="114" spans="1:13" ht="32" x14ac:dyDescent="0.2">
      <c r="A114" s="539" t="s">
        <v>777</v>
      </c>
      <c r="B114" s="540">
        <v>37</v>
      </c>
      <c r="C114" s="539" t="s">
        <v>3216</v>
      </c>
      <c r="D114" s="539" t="s">
        <v>3061</v>
      </c>
      <c r="E114" s="540">
        <v>2</v>
      </c>
      <c r="F114" s="539" t="s">
        <v>4196</v>
      </c>
      <c r="G114" s="540" t="e">
        <f>C5+1</f>
        <v>#VALUE!</v>
      </c>
      <c r="H114" s="539" t="s">
        <v>188</v>
      </c>
      <c r="I114" s="540" t="str">
        <f>C55</f>
        <v>Building</v>
      </c>
      <c r="J114" s="540">
        <v>242886427</v>
      </c>
      <c r="K114" s="540">
        <v>60721606.75</v>
      </c>
      <c r="L114" s="539" t="s">
        <v>4165</v>
      </c>
      <c r="M114" s="540">
        <v>0</v>
      </c>
    </row>
    <row r="115" spans="1:13" ht="32" x14ac:dyDescent="0.2">
      <c r="A115" s="539" t="s">
        <v>777</v>
      </c>
      <c r="B115" s="540">
        <v>37</v>
      </c>
      <c r="C115" s="539" t="s">
        <v>3216</v>
      </c>
      <c r="D115" s="539" t="s">
        <v>3061</v>
      </c>
      <c r="E115" s="540">
        <v>3</v>
      </c>
      <c r="F115" s="539" t="s">
        <v>4197</v>
      </c>
      <c r="G115" s="540" t="e">
        <f>C5+1</f>
        <v>#VALUE!</v>
      </c>
      <c r="H115" s="539" t="s">
        <v>188</v>
      </c>
      <c r="I115" s="540" t="str">
        <f>C55</f>
        <v>Building</v>
      </c>
      <c r="J115" s="540">
        <v>242886427</v>
      </c>
      <c r="K115" s="540">
        <v>60721606.75</v>
      </c>
      <c r="L115" s="539" t="s">
        <v>4165</v>
      </c>
      <c r="M115" s="540">
        <v>0</v>
      </c>
    </row>
    <row r="116" spans="1:13" ht="32" x14ac:dyDescent="0.2">
      <c r="A116" s="539" t="s">
        <v>777</v>
      </c>
      <c r="B116" s="540">
        <v>37</v>
      </c>
      <c r="C116" s="539" t="s">
        <v>3216</v>
      </c>
      <c r="D116" s="539" t="s">
        <v>3061</v>
      </c>
      <c r="E116" s="540">
        <v>4</v>
      </c>
      <c r="F116" s="539" t="s">
        <v>4198</v>
      </c>
      <c r="G116" s="540" t="e">
        <f>C5+1</f>
        <v>#VALUE!</v>
      </c>
      <c r="H116" s="539" t="s">
        <v>188</v>
      </c>
      <c r="I116" s="540" t="str">
        <f>C55</f>
        <v>Building</v>
      </c>
      <c r="J116" s="540">
        <v>242886427</v>
      </c>
      <c r="K116" s="540">
        <v>60721606.75</v>
      </c>
      <c r="L116" s="539" t="s">
        <v>4165</v>
      </c>
      <c r="M116" s="540">
        <v>0</v>
      </c>
    </row>
    <row r="117" spans="1:13" ht="32" x14ac:dyDescent="0.2">
      <c r="A117" s="539" t="s">
        <v>777</v>
      </c>
      <c r="B117" s="540">
        <v>37</v>
      </c>
      <c r="C117" s="539" t="s">
        <v>3216</v>
      </c>
      <c r="D117" s="539" t="s">
        <v>3061</v>
      </c>
      <c r="E117" s="540">
        <v>1</v>
      </c>
      <c r="F117" s="539" t="s">
        <v>4195</v>
      </c>
      <c r="G117" s="540" t="e">
        <f>D5+1</f>
        <v>#VALUE!</v>
      </c>
      <c r="H117" s="539" t="s">
        <v>192</v>
      </c>
      <c r="I117" s="540" t="str">
        <f>D55</f>
        <v>Building (Bangunan Mess/Barak + Bangunan Mess/Barak (TA) + Lapangan + Kantor)</v>
      </c>
      <c r="J117" s="540">
        <v>276895183</v>
      </c>
      <c r="K117" s="540">
        <v>69223795.75</v>
      </c>
      <c r="L117" s="539" t="s">
        <v>4165</v>
      </c>
      <c r="M117" s="540">
        <v>0</v>
      </c>
    </row>
    <row r="118" spans="1:13" ht="32" x14ac:dyDescent="0.2">
      <c r="A118" s="539" t="s">
        <v>777</v>
      </c>
      <c r="B118" s="540">
        <v>37</v>
      </c>
      <c r="C118" s="539" t="s">
        <v>3216</v>
      </c>
      <c r="D118" s="539" t="s">
        <v>3061</v>
      </c>
      <c r="E118" s="540">
        <v>2</v>
      </c>
      <c r="F118" s="539" t="s">
        <v>4196</v>
      </c>
      <c r="G118" s="540" t="e">
        <f>D5+1</f>
        <v>#VALUE!</v>
      </c>
      <c r="H118" s="539" t="s">
        <v>192</v>
      </c>
      <c r="I118" s="540" t="str">
        <f>D55</f>
        <v>Building (Bangunan Mess/Barak + Bangunan Mess/Barak (TA) + Lapangan + Kantor)</v>
      </c>
      <c r="J118" s="540">
        <v>276895183</v>
      </c>
      <c r="K118" s="540">
        <v>69223795.75</v>
      </c>
      <c r="L118" s="539" t="s">
        <v>4165</v>
      </c>
      <c r="M118" s="540">
        <v>0</v>
      </c>
    </row>
    <row r="119" spans="1:13" ht="32" x14ac:dyDescent="0.2">
      <c r="A119" s="539" t="s">
        <v>777</v>
      </c>
      <c r="B119" s="540">
        <v>37</v>
      </c>
      <c r="C119" s="539" t="s">
        <v>3216</v>
      </c>
      <c r="D119" s="539" t="s">
        <v>3061</v>
      </c>
      <c r="E119" s="540">
        <v>3</v>
      </c>
      <c r="F119" s="539" t="s">
        <v>4197</v>
      </c>
      <c r="G119" s="540" t="e">
        <f>D5+1</f>
        <v>#VALUE!</v>
      </c>
      <c r="H119" s="539" t="s">
        <v>192</v>
      </c>
      <c r="I119" s="540" t="str">
        <f>D55</f>
        <v>Building (Bangunan Mess/Barak + Bangunan Mess/Barak (TA) + Lapangan + Kantor)</v>
      </c>
      <c r="J119" s="540">
        <v>276895183</v>
      </c>
      <c r="K119" s="540">
        <v>69223795.75</v>
      </c>
      <c r="L119" s="539" t="s">
        <v>4165</v>
      </c>
      <c r="M119" s="540">
        <v>0</v>
      </c>
    </row>
    <row r="120" spans="1:13" ht="32" x14ac:dyDescent="0.2">
      <c r="A120" s="539" t="s">
        <v>777</v>
      </c>
      <c r="B120" s="540">
        <v>37</v>
      </c>
      <c r="C120" s="539" t="s">
        <v>3216</v>
      </c>
      <c r="D120" s="539" t="s">
        <v>3061</v>
      </c>
      <c r="E120" s="540">
        <v>4</v>
      </c>
      <c r="F120" s="539" t="s">
        <v>4198</v>
      </c>
      <c r="G120" s="540" t="e">
        <f>D5+1</f>
        <v>#VALUE!</v>
      </c>
      <c r="H120" s="539" t="s">
        <v>192</v>
      </c>
      <c r="I120" s="540" t="str">
        <f>D55</f>
        <v>Building (Bangunan Mess/Barak + Bangunan Mess/Barak (TA) + Lapangan + Kantor)</v>
      </c>
      <c r="J120" s="540">
        <v>276895183</v>
      </c>
      <c r="K120" s="540">
        <v>69223795.75</v>
      </c>
      <c r="L120" s="539" t="s">
        <v>4165</v>
      </c>
      <c r="M120" s="540">
        <v>0</v>
      </c>
    </row>
    <row r="121" spans="1:13" ht="32" x14ac:dyDescent="0.2">
      <c r="A121" s="539" t="s">
        <v>777</v>
      </c>
      <c r="B121" s="540">
        <v>39</v>
      </c>
      <c r="C121" s="539" t="s">
        <v>4160</v>
      </c>
      <c r="D121" s="539" t="s">
        <v>3063</v>
      </c>
      <c r="E121" s="540">
        <v>1</v>
      </c>
      <c r="F121" s="539" t="s">
        <v>4199</v>
      </c>
      <c r="G121" s="540">
        <f>'BALANCE SHEET'!C4</f>
        <v>2019</v>
      </c>
      <c r="H121" s="539" t="s">
        <v>703</v>
      </c>
      <c r="I121" s="539"/>
      <c r="J121" s="540">
        <v>1433114708</v>
      </c>
      <c r="K121" s="540">
        <v>716557354</v>
      </c>
      <c r="L121" s="539" t="s">
        <v>4164</v>
      </c>
      <c r="M121" s="540">
        <v>0</v>
      </c>
    </row>
    <row r="122" spans="1:13" ht="32" x14ac:dyDescent="0.2">
      <c r="A122" s="539" t="s">
        <v>777</v>
      </c>
      <c r="B122" s="540">
        <v>39</v>
      </c>
      <c r="C122" s="539" t="s">
        <v>4160</v>
      </c>
      <c r="D122" s="539" t="s">
        <v>3063</v>
      </c>
      <c r="E122" s="540">
        <v>2</v>
      </c>
      <c r="F122" s="539" t="s">
        <v>4200</v>
      </c>
      <c r="G122" s="540">
        <f>'BALANCE SHEET'!C4</f>
        <v>2019</v>
      </c>
      <c r="H122" s="539" t="s">
        <v>703</v>
      </c>
      <c r="I122" s="539"/>
      <c r="J122" s="540">
        <v>1433114708</v>
      </c>
      <c r="K122" s="540">
        <v>716557354</v>
      </c>
      <c r="L122" s="539" t="s">
        <v>4164</v>
      </c>
      <c r="M122" s="540">
        <v>0</v>
      </c>
    </row>
    <row r="123" spans="1:13" ht="32" x14ac:dyDescent="0.2">
      <c r="A123" s="539" t="s">
        <v>777</v>
      </c>
      <c r="B123" s="540">
        <v>39</v>
      </c>
      <c r="C123" s="539" t="s">
        <v>4160</v>
      </c>
      <c r="D123" s="539" t="s">
        <v>3063</v>
      </c>
      <c r="E123" s="540">
        <v>1</v>
      </c>
      <c r="F123" s="539" t="s">
        <v>4199</v>
      </c>
      <c r="G123" s="540" t="e">
        <f>C5+1</f>
        <v>#VALUE!</v>
      </c>
      <c r="H123" s="539" t="s">
        <v>196</v>
      </c>
      <c r="I123" s="540" t="str">
        <f>C57</f>
        <v>Building</v>
      </c>
      <c r="J123" s="540">
        <v>1637977421</v>
      </c>
      <c r="K123" s="540">
        <v>818988710.5</v>
      </c>
      <c r="L123" s="539" t="s">
        <v>4165</v>
      </c>
      <c r="M123" s="540">
        <v>0</v>
      </c>
    </row>
    <row r="124" spans="1:13" ht="32" x14ac:dyDescent="0.2">
      <c r="A124" s="539" t="s">
        <v>777</v>
      </c>
      <c r="B124" s="540">
        <v>39</v>
      </c>
      <c r="C124" s="539" t="s">
        <v>4160</v>
      </c>
      <c r="D124" s="539" t="s">
        <v>3063</v>
      </c>
      <c r="E124" s="540">
        <v>2</v>
      </c>
      <c r="F124" s="539" t="s">
        <v>4200</v>
      </c>
      <c r="G124" s="540" t="e">
        <f>C5+1</f>
        <v>#VALUE!</v>
      </c>
      <c r="H124" s="539" t="s">
        <v>196</v>
      </c>
      <c r="I124" s="540" t="str">
        <f>C57</f>
        <v>Building</v>
      </c>
      <c r="J124" s="540">
        <v>1637977421</v>
      </c>
      <c r="K124" s="540">
        <v>818988710.5</v>
      </c>
      <c r="L124" s="539" t="s">
        <v>4165</v>
      </c>
      <c r="M124" s="540">
        <v>0</v>
      </c>
    </row>
    <row r="125" spans="1:13" ht="32" x14ac:dyDescent="0.2">
      <c r="A125" s="539" t="s">
        <v>777</v>
      </c>
      <c r="B125" s="540">
        <v>39</v>
      </c>
      <c r="C125" s="539" t="s">
        <v>4160</v>
      </c>
      <c r="D125" s="539" t="s">
        <v>3063</v>
      </c>
      <c r="E125" s="540">
        <v>1</v>
      </c>
      <c r="F125" s="539" t="s">
        <v>4199</v>
      </c>
      <c r="G125" s="540" t="e">
        <f>D5+1</f>
        <v>#VALUE!</v>
      </c>
      <c r="H125" s="539" t="s">
        <v>198</v>
      </c>
      <c r="I125" s="540" t="str">
        <f>D57</f>
        <v>Building (Bangunan Mess/Barak + Bangunan Mess/Barak (TA) + Lapangan + Kantor)</v>
      </c>
      <c r="J125" s="540">
        <v>1826348345</v>
      </c>
      <c r="K125" s="540">
        <v>913174172.5</v>
      </c>
      <c r="L125" s="539" t="s">
        <v>4165</v>
      </c>
      <c r="M125" s="540">
        <v>0</v>
      </c>
    </row>
    <row r="126" spans="1:13" ht="32" x14ac:dyDescent="0.2">
      <c r="A126" s="539" t="s">
        <v>777</v>
      </c>
      <c r="B126" s="540">
        <v>39</v>
      </c>
      <c r="C126" s="539" t="s">
        <v>4160</v>
      </c>
      <c r="D126" s="539" t="s">
        <v>3063</v>
      </c>
      <c r="E126" s="540">
        <v>2</v>
      </c>
      <c r="F126" s="539" t="s">
        <v>4200</v>
      </c>
      <c r="G126" s="540" t="e">
        <f>D5+1</f>
        <v>#VALUE!</v>
      </c>
      <c r="H126" s="539" t="s">
        <v>198</v>
      </c>
      <c r="I126" s="540" t="str">
        <f>D57</f>
        <v>Building (Bangunan Mess/Barak + Bangunan Mess/Barak (TA) + Lapangan + Kantor)</v>
      </c>
      <c r="J126" s="540">
        <v>1826348345</v>
      </c>
      <c r="K126" s="540">
        <v>913174172.5</v>
      </c>
      <c r="L126" s="539" t="s">
        <v>4165</v>
      </c>
      <c r="M126" s="540">
        <v>0</v>
      </c>
    </row>
    <row r="127" spans="1:13" ht="32" x14ac:dyDescent="0.2">
      <c r="A127" s="539" t="s">
        <v>777</v>
      </c>
      <c r="B127" s="540">
        <v>40</v>
      </c>
      <c r="C127" s="539" t="s">
        <v>4162</v>
      </c>
      <c r="D127" s="539" t="s">
        <v>3064</v>
      </c>
      <c r="E127" s="540">
        <v>1</v>
      </c>
      <c r="F127" s="539" t="s">
        <v>4201</v>
      </c>
      <c r="G127" s="540">
        <f>'BALANCE SHEET'!C4</f>
        <v>2019</v>
      </c>
      <c r="H127" s="539" t="s">
        <v>707</v>
      </c>
      <c r="I127" s="539"/>
      <c r="J127" s="540">
        <v>754572077</v>
      </c>
      <c r="K127" s="540">
        <v>377286038.5</v>
      </c>
      <c r="L127" s="539" t="s">
        <v>4164</v>
      </c>
      <c r="M127" s="540">
        <v>0</v>
      </c>
    </row>
    <row r="128" spans="1:13" ht="32" x14ac:dyDescent="0.2">
      <c r="A128" s="539" t="s">
        <v>777</v>
      </c>
      <c r="B128" s="540">
        <v>40</v>
      </c>
      <c r="C128" s="539" t="s">
        <v>4162</v>
      </c>
      <c r="D128" s="539" t="s">
        <v>3064</v>
      </c>
      <c r="E128" s="540">
        <v>2</v>
      </c>
      <c r="F128" s="539" t="s">
        <v>4202</v>
      </c>
      <c r="G128" s="540">
        <f>'BALANCE SHEET'!C4</f>
        <v>2019</v>
      </c>
      <c r="H128" s="539" t="s">
        <v>707</v>
      </c>
      <c r="I128" s="539"/>
      <c r="J128" s="540">
        <v>754572077</v>
      </c>
      <c r="K128" s="540">
        <v>377286038.5</v>
      </c>
      <c r="L128" s="539" t="s">
        <v>4164</v>
      </c>
      <c r="M128" s="540">
        <v>0</v>
      </c>
    </row>
    <row r="129" spans="1:13" ht="32" x14ac:dyDescent="0.2">
      <c r="A129" s="539" t="s">
        <v>777</v>
      </c>
      <c r="B129" s="540">
        <v>40</v>
      </c>
      <c r="C129" s="539" t="s">
        <v>4162</v>
      </c>
      <c r="D129" s="539" t="s">
        <v>3064</v>
      </c>
      <c r="E129" s="540">
        <v>1</v>
      </c>
      <c r="F129" s="539" t="s">
        <v>4201</v>
      </c>
      <c r="G129" s="540" t="e">
        <f>C5+1</f>
        <v>#VALUE!</v>
      </c>
      <c r="H129" s="539" t="s">
        <v>446</v>
      </c>
      <c r="I129" s="540" t="str">
        <f>C58</f>
        <v>Building</v>
      </c>
      <c r="J129" s="540">
        <v>851107950</v>
      </c>
      <c r="K129" s="540">
        <v>425553975</v>
      </c>
      <c r="L129" s="539" t="s">
        <v>4165</v>
      </c>
      <c r="M129" s="540">
        <v>0</v>
      </c>
    </row>
    <row r="130" spans="1:13" ht="32" x14ac:dyDescent="0.2">
      <c r="A130" s="539" t="s">
        <v>777</v>
      </c>
      <c r="B130" s="540">
        <v>40</v>
      </c>
      <c r="C130" s="539" t="s">
        <v>4162</v>
      </c>
      <c r="D130" s="539" t="s">
        <v>3064</v>
      </c>
      <c r="E130" s="540">
        <v>2</v>
      </c>
      <c r="F130" s="539" t="s">
        <v>4202</v>
      </c>
      <c r="G130" s="540" t="e">
        <f>C5+1</f>
        <v>#VALUE!</v>
      </c>
      <c r="H130" s="539" t="s">
        <v>446</v>
      </c>
      <c r="I130" s="540" t="str">
        <f>C58</f>
        <v>Building</v>
      </c>
      <c r="J130" s="540">
        <v>851107950</v>
      </c>
      <c r="K130" s="540">
        <v>425553975</v>
      </c>
      <c r="L130" s="539" t="s">
        <v>4165</v>
      </c>
      <c r="M130" s="540">
        <v>0</v>
      </c>
    </row>
    <row r="131" spans="1:13" ht="32" x14ac:dyDescent="0.2">
      <c r="A131" s="539" t="s">
        <v>777</v>
      </c>
      <c r="B131" s="540">
        <v>40</v>
      </c>
      <c r="C131" s="539" t="s">
        <v>4162</v>
      </c>
      <c r="D131" s="539" t="s">
        <v>3064</v>
      </c>
      <c r="E131" s="540">
        <v>1</v>
      </c>
      <c r="F131" s="539" t="s">
        <v>4201</v>
      </c>
      <c r="G131" s="540" t="e">
        <f>D5+1</f>
        <v>#VALUE!</v>
      </c>
      <c r="H131" s="539" t="s">
        <v>4211</v>
      </c>
      <c r="I131" s="540" t="str">
        <f>D58</f>
        <v>Building (Bangunan Mess/Barak + Bangunan Mess/Barak (TA) + Lapangan + Kantor)</v>
      </c>
      <c r="J131" s="540">
        <v>1738665546</v>
      </c>
      <c r="K131" s="540">
        <v>869332773</v>
      </c>
      <c r="L131" s="539" t="s">
        <v>4165</v>
      </c>
      <c r="M131" s="540">
        <v>0</v>
      </c>
    </row>
    <row r="132" spans="1:13" ht="32" x14ac:dyDescent="0.2">
      <c r="A132" s="539" t="s">
        <v>777</v>
      </c>
      <c r="B132" s="540">
        <v>40</v>
      </c>
      <c r="C132" s="539" t="s">
        <v>4162</v>
      </c>
      <c r="D132" s="539" t="s">
        <v>3064</v>
      </c>
      <c r="E132" s="540">
        <v>2</v>
      </c>
      <c r="F132" s="539" t="s">
        <v>4202</v>
      </c>
      <c r="G132" s="540" t="e">
        <f>D5+1</f>
        <v>#VALUE!</v>
      </c>
      <c r="H132" s="539" t="s">
        <v>4211</v>
      </c>
      <c r="I132" s="540" t="str">
        <f>D58</f>
        <v>Building (Bangunan Mess/Barak + Bangunan Mess/Barak (TA) + Lapangan + Kantor)</v>
      </c>
      <c r="J132" s="540">
        <v>1738665546</v>
      </c>
      <c r="K132" s="540">
        <v>869332773</v>
      </c>
      <c r="L132" s="539" t="s">
        <v>4165</v>
      </c>
      <c r="M132" s="540">
        <v>0</v>
      </c>
    </row>
    <row r="133" spans="1:13" ht="32" x14ac:dyDescent="0.2">
      <c r="A133" s="539" t="s">
        <v>777</v>
      </c>
      <c r="B133" s="540">
        <v>45</v>
      </c>
      <c r="C133" s="539" t="s">
        <v>3215</v>
      </c>
      <c r="D133" s="539" t="s">
        <v>3059</v>
      </c>
      <c r="E133" s="540">
        <v>1</v>
      </c>
      <c r="F133" s="539" t="s">
        <v>4192</v>
      </c>
      <c r="G133" s="540">
        <f>'BALANCE SHEET'!C4</f>
        <v>2019</v>
      </c>
      <c r="H133" s="539" t="s">
        <v>4212</v>
      </c>
      <c r="I133" s="539"/>
      <c r="J133" s="540">
        <v>0</v>
      </c>
      <c r="K133" s="540">
        <v>0</v>
      </c>
      <c r="L133" s="539" t="s">
        <v>4164</v>
      </c>
      <c r="M133" s="540">
        <v>0</v>
      </c>
    </row>
    <row r="134" spans="1:13" ht="32" x14ac:dyDescent="0.2">
      <c r="A134" s="539" t="s">
        <v>777</v>
      </c>
      <c r="B134" s="540">
        <v>45</v>
      </c>
      <c r="C134" s="539" t="s">
        <v>3215</v>
      </c>
      <c r="D134" s="539" t="s">
        <v>3059</v>
      </c>
      <c r="E134" s="540">
        <v>2</v>
      </c>
      <c r="F134" s="539" t="s">
        <v>4193</v>
      </c>
      <c r="G134" s="540">
        <f>'BALANCE SHEET'!C4</f>
        <v>2019</v>
      </c>
      <c r="H134" s="539" t="s">
        <v>4212</v>
      </c>
      <c r="I134" s="539"/>
      <c r="J134" s="540">
        <v>0</v>
      </c>
      <c r="K134" s="540">
        <v>0</v>
      </c>
      <c r="L134" s="539" t="s">
        <v>4164</v>
      </c>
      <c r="M134" s="540">
        <v>0</v>
      </c>
    </row>
    <row r="135" spans="1:13" ht="32" x14ac:dyDescent="0.2">
      <c r="A135" s="539" t="s">
        <v>777</v>
      </c>
      <c r="B135" s="540">
        <v>45</v>
      </c>
      <c r="C135" s="539" t="s">
        <v>3215</v>
      </c>
      <c r="D135" s="539" t="s">
        <v>3059</v>
      </c>
      <c r="E135" s="540">
        <v>1</v>
      </c>
      <c r="F135" s="539" t="s">
        <v>4192</v>
      </c>
      <c r="G135" s="540" t="e">
        <f>C5+1</f>
        <v>#VALUE!</v>
      </c>
      <c r="H135" s="539" t="s">
        <v>463</v>
      </c>
      <c r="I135" s="539"/>
      <c r="J135" s="540">
        <v>0</v>
      </c>
      <c r="K135" s="540">
        <v>0</v>
      </c>
      <c r="L135" s="539" t="s">
        <v>4164</v>
      </c>
      <c r="M135" s="540">
        <v>0</v>
      </c>
    </row>
    <row r="136" spans="1:13" ht="32" x14ac:dyDescent="0.2">
      <c r="A136" s="539" t="s">
        <v>777</v>
      </c>
      <c r="B136" s="540">
        <v>45</v>
      </c>
      <c r="C136" s="539" t="s">
        <v>3215</v>
      </c>
      <c r="D136" s="539" t="s">
        <v>3059</v>
      </c>
      <c r="E136" s="540">
        <v>2</v>
      </c>
      <c r="F136" s="539" t="s">
        <v>4193</v>
      </c>
      <c r="G136" s="540" t="e">
        <f>C5+1</f>
        <v>#VALUE!</v>
      </c>
      <c r="H136" s="539" t="s">
        <v>463</v>
      </c>
      <c r="I136" s="539"/>
      <c r="J136" s="540">
        <v>0</v>
      </c>
      <c r="K136" s="540">
        <v>0</v>
      </c>
      <c r="L136" s="539" t="s">
        <v>4164</v>
      </c>
      <c r="M136" s="540">
        <v>0</v>
      </c>
    </row>
    <row r="137" spans="1:13" ht="32" x14ac:dyDescent="0.2">
      <c r="A137" s="539" t="s">
        <v>777</v>
      </c>
      <c r="B137" s="540">
        <v>45</v>
      </c>
      <c r="C137" s="539" t="s">
        <v>3215</v>
      </c>
      <c r="D137" s="539" t="s">
        <v>3059</v>
      </c>
      <c r="E137" s="540">
        <v>1</v>
      </c>
      <c r="F137" s="539" t="s">
        <v>4192</v>
      </c>
      <c r="G137" s="540" t="e">
        <f>D5+1</f>
        <v>#VALUE!</v>
      </c>
      <c r="H137" s="539" t="s">
        <v>4213</v>
      </c>
      <c r="I137" s="539"/>
      <c r="J137" s="540">
        <v>0</v>
      </c>
      <c r="K137" s="540">
        <v>0</v>
      </c>
      <c r="L137" s="539" t="s">
        <v>4164</v>
      </c>
      <c r="M137" s="540">
        <v>0</v>
      </c>
    </row>
    <row r="138" spans="1:13" ht="32" x14ac:dyDescent="0.2">
      <c r="A138" s="539" t="s">
        <v>777</v>
      </c>
      <c r="B138" s="540">
        <v>45</v>
      </c>
      <c r="C138" s="539" t="s">
        <v>3215</v>
      </c>
      <c r="D138" s="539" t="s">
        <v>3059</v>
      </c>
      <c r="E138" s="540">
        <v>2</v>
      </c>
      <c r="F138" s="539" t="s">
        <v>4193</v>
      </c>
      <c r="G138" s="540" t="e">
        <f>D5+1</f>
        <v>#VALUE!</v>
      </c>
      <c r="H138" s="539" t="s">
        <v>4213</v>
      </c>
      <c r="I138" s="539"/>
      <c r="J138" s="540">
        <v>0</v>
      </c>
      <c r="K138" s="540">
        <v>0</v>
      </c>
      <c r="L138" s="539" t="s">
        <v>4164</v>
      </c>
      <c r="M138" s="540">
        <v>0</v>
      </c>
    </row>
    <row r="139" spans="1:13" ht="32" x14ac:dyDescent="0.2">
      <c r="A139" s="539" t="s">
        <v>777</v>
      </c>
      <c r="B139" s="540">
        <v>46</v>
      </c>
      <c r="C139" s="539" t="s">
        <v>3216</v>
      </c>
      <c r="D139" s="539" t="s">
        <v>3061</v>
      </c>
      <c r="E139" s="540">
        <v>1</v>
      </c>
      <c r="F139" s="539" t="s">
        <v>4195</v>
      </c>
      <c r="G139" s="540">
        <f>'BALANCE SHEET'!C4</f>
        <v>2019</v>
      </c>
      <c r="H139" s="539" t="s">
        <v>60</v>
      </c>
      <c r="I139" s="540">
        <f>10790628+12359737+15768847</f>
        <v>38919212</v>
      </c>
      <c r="J139" s="540">
        <v>38919212</v>
      </c>
      <c r="K139" s="540">
        <v>10790628</v>
      </c>
      <c r="L139" s="539" t="s">
        <v>4178</v>
      </c>
      <c r="M139" s="540">
        <v>0</v>
      </c>
    </row>
    <row r="140" spans="1:13" ht="32" x14ac:dyDescent="0.2">
      <c r="A140" s="539" t="s">
        <v>777</v>
      </c>
      <c r="B140" s="540">
        <v>46</v>
      </c>
      <c r="C140" s="539" t="s">
        <v>3216</v>
      </c>
      <c r="D140" s="539" t="s">
        <v>3061</v>
      </c>
      <c r="E140" s="540">
        <v>2</v>
      </c>
      <c r="F140" s="539" t="s">
        <v>4196</v>
      </c>
      <c r="G140" s="540">
        <f>'BALANCE SHEET'!C4</f>
        <v>2019</v>
      </c>
      <c r="H140" s="539" t="s">
        <v>60</v>
      </c>
      <c r="I140" s="540">
        <f>10790628+12359737+15768847</f>
        <v>38919212</v>
      </c>
      <c r="J140" s="540">
        <v>38919212</v>
      </c>
      <c r="K140" s="540">
        <v>12359737</v>
      </c>
      <c r="L140" s="539" t="s">
        <v>4178</v>
      </c>
      <c r="M140" s="540">
        <v>0</v>
      </c>
    </row>
    <row r="141" spans="1:13" ht="32" x14ac:dyDescent="0.2">
      <c r="A141" s="539" t="s">
        <v>777</v>
      </c>
      <c r="B141" s="540">
        <v>46</v>
      </c>
      <c r="C141" s="539" t="s">
        <v>3216</v>
      </c>
      <c r="D141" s="539" t="s">
        <v>3061</v>
      </c>
      <c r="E141" s="540">
        <v>3</v>
      </c>
      <c r="F141" s="539" t="s">
        <v>4197</v>
      </c>
      <c r="G141" s="540">
        <f>'BALANCE SHEET'!C4</f>
        <v>2019</v>
      </c>
      <c r="H141" s="539" t="s">
        <v>60</v>
      </c>
      <c r="I141" s="540">
        <f>10790628+12359737+15768847</f>
        <v>38919212</v>
      </c>
      <c r="J141" s="540">
        <v>38919212</v>
      </c>
      <c r="K141" s="540">
        <v>15768847</v>
      </c>
      <c r="L141" s="539" t="s">
        <v>4178</v>
      </c>
      <c r="M141" s="540">
        <v>0</v>
      </c>
    </row>
    <row r="142" spans="1:13" ht="32" x14ac:dyDescent="0.2">
      <c r="A142" s="539" t="s">
        <v>777</v>
      </c>
      <c r="B142" s="540">
        <v>46</v>
      </c>
      <c r="C142" s="539" t="s">
        <v>3216</v>
      </c>
      <c r="D142" s="539" t="s">
        <v>3061</v>
      </c>
      <c r="E142" s="540">
        <v>4</v>
      </c>
      <c r="F142" s="539" t="s">
        <v>4198</v>
      </c>
      <c r="G142" s="540">
        <f>'BALANCE SHEET'!C4</f>
        <v>2019</v>
      </c>
      <c r="H142" s="539" t="s">
        <v>60</v>
      </c>
      <c r="I142" s="540">
        <f>10790628+12359737+15768847</f>
        <v>38919212</v>
      </c>
      <c r="J142" s="540">
        <v>38919212</v>
      </c>
      <c r="K142" s="540">
        <v>0</v>
      </c>
      <c r="L142" s="539" t="s">
        <v>4178</v>
      </c>
      <c r="M142" s="540">
        <v>0</v>
      </c>
    </row>
    <row r="143" spans="1:13" ht="32" x14ac:dyDescent="0.2">
      <c r="A143" s="539" t="s">
        <v>777</v>
      </c>
      <c r="B143" s="540">
        <v>46</v>
      </c>
      <c r="C143" s="539" t="s">
        <v>3216</v>
      </c>
      <c r="D143" s="539" t="s">
        <v>3061</v>
      </c>
      <c r="E143" s="540">
        <v>1</v>
      </c>
      <c r="F143" s="539" t="s">
        <v>4195</v>
      </c>
      <c r="G143" s="540" t="e">
        <f>C5+1</f>
        <v>#VALUE!</v>
      </c>
      <c r="H143" s="539" t="s">
        <v>65</v>
      </c>
      <c r="I143" s="540">
        <f>8279196+15529644+10199916</f>
        <v>34008756</v>
      </c>
      <c r="J143" s="540">
        <v>34008756</v>
      </c>
      <c r="K143" s="540">
        <v>8279196</v>
      </c>
      <c r="L143" s="539" t="s">
        <v>4178</v>
      </c>
      <c r="M143" s="540">
        <v>0</v>
      </c>
    </row>
    <row r="144" spans="1:13" ht="32" x14ac:dyDescent="0.2">
      <c r="A144" s="539" t="s">
        <v>777</v>
      </c>
      <c r="B144" s="540">
        <v>46</v>
      </c>
      <c r="C144" s="539" t="s">
        <v>3216</v>
      </c>
      <c r="D144" s="539" t="s">
        <v>3061</v>
      </c>
      <c r="E144" s="540">
        <v>2</v>
      </c>
      <c r="F144" s="539" t="s">
        <v>4196</v>
      </c>
      <c r="G144" s="540" t="e">
        <f>C5+1</f>
        <v>#VALUE!</v>
      </c>
      <c r="H144" s="539" t="s">
        <v>65</v>
      </c>
      <c r="I144" s="540">
        <f>8279196+15529644+10199916</f>
        <v>34008756</v>
      </c>
      <c r="J144" s="540">
        <v>34008756</v>
      </c>
      <c r="K144" s="540">
        <v>15529644</v>
      </c>
      <c r="L144" s="539" t="s">
        <v>4178</v>
      </c>
      <c r="M144" s="540">
        <v>0</v>
      </c>
    </row>
    <row r="145" spans="1:13" ht="32" x14ac:dyDescent="0.2">
      <c r="A145" s="539" t="s">
        <v>777</v>
      </c>
      <c r="B145" s="540">
        <v>46</v>
      </c>
      <c r="C145" s="539" t="s">
        <v>3216</v>
      </c>
      <c r="D145" s="539" t="s">
        <v>3061</v>
      </c>
      <c r="E145" s="540">
        <v>3</v>
      </c>
      <c r="F145" s="539" t="s">
        <v>4197</v>
      </c>
      <c r="G145" s="540" t="e">
        <f>C5+1</f>
        <v>#VALUE!</v>
      </c>
      <c r="H145" s="539" t="s">
        <v>65</v>
      </c>
      <c r="I145" s="540">
        <f>8279196+15529644+10199916</f>
        <v>34008756</v>
      </c>
      <c r="J145" s="540">
        <v>34008756</v>
      </c>
      <c r="K145" s="540">
        <v>10199916</v>
      </c>
      <c r="L145" s="539" t="s">
        <v>4178</v>
      </c>
      <c r="M145" s="540">
        <v>0</v>
      </c>
    </row>
    <row r="146" spans="1:13" ht="32" x14ac:dyDescent="0.2">
      <c r="A146" s="539" t="s">
        <v>777</v>
      </c>
      <c r="B146" s="540">
        <v>46</v>
      </c>
      <c r="C146" s="539" t="s">
        <v>3216</v>
      </c>
      <c r="D146" s="539" t="s">
        <v>3061</v>
      </c>
      <c r="E146" s="540">
        <v>4</v>
      </c>
      <c r="F146" s="539" t="s">
        <v>4198</v>
      </c>
      <c r="G146" s="540" t="e">
        <f>C5+1</f>
        <v>#VALUE!</v>
      </c>
      <c r="H146" s="539" t="s">
        <v>65</v>
      </c>
      <c r="I146" s="540">
        <f>8279196+15529644+10199916</f>
        <v>34008756</v>
      </c>
      <c r="J146" s="540">
        <v>34008756</v>
      </c>
      <c r="K146" s="540">
        <v>0</v>
      </c>
      <c r="L146" s="539" t="s">
        <v>4178</v>
      </c>
      <c r="M146" s="540">
        <v>0</v>
      </c>
    </row>
    <row r="147" spans="1:13" ht="32" x14ac:dyDescent="0.2">
      <c r="A147" s="539" t="s">
        <v>777</v>
      </c>
      <c r="B147" s="540">
        <v>46</v>
      </c>
      <c r="C147" s="539" t="s">
        <v>3216</v>
      </c>
      <c r="D147" s="539" t="s">
        <v>3061</v>
      </c>
      <c r="E147" s="540">
        <v>1</v>
      </c>
      <c r="F147" s="539" t="s">
        <v>4195</v>
      </c>
      <c r="G147" s="540" t="e">
        <f>D5+1</f>
        <v>#VALUE!</v>
      </c>
      <c r="H147" s="539" t="s">
        <v>68</v>
      </c>
      <c r="I147" s="539"/>
      <c r="J147" s="540">
        <v>36224681</v>
      </c>
      <c r="K147" s="540">
        <v>9056170.25</v>
      </c>
      <c r="L147" s="539" t="s">
        <v>4164</v>
      </c>
      <c r="M147" s="540">
        <v>0</v>
      </c>
    </row>
    <row r="148" spans="1:13" ht="32" x14ac:dyDescent="0.2">
      <c r="A148" s="539" t="s">
        <v>777</v>
      </c>
      <c r="B148" s="540">
        <v>46</v>
      </c>
      <c r="C148" s="539" t="s">
        <v>3216</v>
      </c>
      <c r="D148" s="539" t="s">
        <v>3061</v>
      </c>
      <c r="E148" s="540">
        <v>2</v>
      </c>
      <c r="F148" s="539" t="s">
        <v>4196</v>
      </c>
      <c r="G148" s="540" t="e">
        <f>D5+1</f>
        <v>#VALUE!</v>
      </c>
      <c r="H148" s="539" t="s">
        <v>68</v>
      </c>
      <c r="I148" s="539"/>
      <c r="J148" s="540">
        <v>36224681</v>
      </c>
      <c r="K148" s="540">
        <v>9056170.25</v>
      </c>
      <c r="L148" s="539" t="s">
        <v>4164</v>
      </c>
      <c r="M148" s="540">
        <v>0</v>
      </c>
    </row>
    <row r="149" spans="1:13" ht="32" x14ac:dyDescent="0.2">
      <c r="A149" s="539" t="s">
        <v>777</v>
      </c>
      <c r="B149" s="540">
        <v>46</v>
      </c>
      <c r="C149" s="539" t="s">
        <v>3216</v>
      </c>
      <c r="D149" s="539" t="s">
        <v>3061</v>
      </c>
      <c r="E149" s="540">
        <v>3</v>
      </c>
      <c r="F149" s="539" t="s">
        <v>4197</v>
      </c>
      <c r="G149" s="540" t="e">
        <f>D5+1</f>
        <v>#VALUE!</v>
      </c>
      <c r="H149" s="539" t="s">
        <v>68</v>
      </c>
      <c r="I149" s="539"/>
      <c r="J149" s="540">
        <v>36224681</v>
      </c>
      <c r="K149" s="540">
        <v>9056170.25</v>
      </c>
      <c r="L149" s="539" t="s">
        <v>4164</v>
      </c>
      <c r="M149" s="540">
        <v>0</v>
      </c>
    </row>
    <row r="150" spans="1:13" ht="32" x14ac:dyDescent="0.2">
      <c r="A150" s="539" t="s">
        <v>777</v>
      </c>
      <c r="B150" s="540">
        <v>46</v>
      </c>
      <c r="C150" s="539" t="s">
        <v>3216</v>
      </c>
      <c r="D150" s="539" t="s">
        <v>3061</v>
      </c>
      <c r="E150" s="540">
        <v>4</v>
      </c>
      <c r="F150" s="539" t="s">
        <v>4198</v>
      </c>
      <c r="G150" s="540" t="e">
        <f>D5+1</f>
        <v>#VALUE!</v>
      </c>
      <c r="H150" s="539" t="s">
        <v>68</v>
      </c>
      <c r="I150" s="539"/>
      <c r="J150" s="540">
        <v>36224681</v>
      </c>
      <c r="K150" s="540">
        <v>9056170.25</v>
      </c>
      <c r="L150" s="539" t="s">
        <v>4164</v>
      </c>
      <c r="M150" s="540">
        <v>0</v>
      </c>
    </row>
    <row r="151" spans="1:13" ht="32" x14ac:dyDescent="0.2">
      <c r="A151" s="539" t="s">
        <v>777</v>
      </c>
      <c r="B151" s="540">
        <v>46</v>
      </c>
      <c r="C151" s="539" t="s">
        <v>3216</v>
      </c>
      <c r="D151" s="539" t="s">
        <v>3061</v>
      </c>
      <c r="E151" s="540">
        <v>1</v>
      </c>
      <c r="F151" s="539" t="s">
        <v>4195</v>
      </c>
      <c r="G151" s="539" t="s">
        <v>4194</v>
      </c>
      <c r="H151" s="539" t="s">
        <v>4214</v>
      </c>
      <c r="I151" s="540">
        <f>11972842+15529643+8722196</f>
        <v>36224681</v>
      </c>
      <c r="J151" s="540">
        <v>36224681</v>
      </c>
      <c r="K151" s="540">
        <v>11972842</v>
      </c>
      <c r="L151" s="539" t="s">
        <v>4178</v>
      </c>
      <c r="M151" s="540">
        <v>0</v>
      </c>
    </row>
    <row r="152" spans="1:13" ht="32" x14ac:dyDescent="0.2">
      <c r="A152" s="539" t="s">
        <v>777</v>
      </c>
      <c r="B152" s="540">
        <v>46</v>
      </c>
      <c r="C152" s="539" t="s">
        <v>3216</v>
      </c>
      <c r="D152" s="539" t="s">
        <v>3061</v>
      </c>
      <c r="E152" s="540">
        <v>2</v>
      </c>
      <c r="F152" s="539" t="s">
        <v>4196</v>
      </c>
      <c r="G152" s="539" t="s">
        <v>4194</v>
      </c>
      <c r="H152" s="539" t="s">
        <v>4214</v>
      </c>
      <c r="I152" s="540">
        <f>11972842+15529643+8722196</f>
        <v>36224681</v>
      </c>
      <c r="J152" s="540">
        <v>36224681</v>
      </c>
      <c r="K152" s="540">
        <v>15529643</v>
      </c>
      <c r="L152" s="539" t="s">
        <v>4178</v>
      </c>
      <c r="M152" s="540">
        <v>0</v>
      </c>
    </row>
    <row r="153" spans="1:13" ht="32" x14ac:dyDescent="0.2">
      <c r="A153" s="539" t="s">
        <v>777</v>
      </c>
      <c r="B153" s="540">
        <v>46</v>
      </c>
      <c r="C153" s="539" t="s">
        <v>3216</v>
      </c>
      <c r="D153" s="539" t="s">
        <v>3061</v>
      </c>
      <c r="E153" s="540">
        <v>3</v>
      </c>
      <c r="F153" s="539" t="s">
        <v>4197</v>
      </c>
      <c r="G153" s="539" t="s">
        <v>4194</v>
      </c>
      <c r="H153" s="539" t="s">
        <v>4214</v>
      </c>
      <c r="I153" s="540">
        <f>11972842+15529643+8722196</f>
        <v>36224681</v>
      </c>
      <c r="J153" s="540">
        <v>36224681</v>
      </c>
      <c r="K153" s="540">
        <v>8722196</v>
      </c>
      <c r="L153" s="539" t="s">
        <v>4178</v>
      </c>
      <c r="M153" s="540">
        <v>0</v>
      </c>
    </row>
    <row r="154" spans="1:13" ht="32" x14ac:dyDescent="0.2">
      <c r="A154" s="539" t="s">
        <v>777</v>
      </c>
      <c r="B154" s="540">
        <v>46</v>
      </c>
      <c r="C154" s="539" t="s">
        <v>3216</v>
      </c>
      <c r="D154" s="539" t="s">
        <v>3061</v>
      </c>
      <c r="E154" s="540">
        <v>4</v>
      </c>
      <c r="F154" s="539" t="s">
        <v>4198</v>
      </c>
      <c r="G154" s="539" t="s">
        <v>4194</v>
      </c>
      <c r="H154" s="539" t="s">
        <v>4214</v>
      </c>
      <c r="I154" s="540">
        <f>11972842+15529643+8722196</f>
        <v>36224681</v>
      </c>
      <c r="J154" s="540">
        <v>36224681</v>
      </c>
      <c r="K154" s="540">
        <v>0</v>
      </c>
      <c r="L154" s="539" t="s">
        <v>4178</v>
      </c>
      <c r="M154" s="540">
        <v>0</v>
      </c>
    </row>
    <row r="155" spans="1:13" ht="32" x14ac:dyDescent="0.2">
      <c r="A155" s="539" t="s">
        <v>777</v>
      </c>
      <c r="B155" s="540">
        <v>48</v>
      </c>
      <c r="C155" s="539" t="s">
        <v>4160</v>
      </c>
      <c r="D155" s="539" t="s">
        <v>3063</v>
      </c>
      <c r="E155" s="540">
        <v>1</v>
      </c>
      <c r="F155" s="539" t="s">
        <v>4199</v>
      </c>
      <c r="G155" s="540">
        <f>'BALANCE SHEET'!C4</f>
        <v>2019</v>
      </c>
      <c r="H155" s="539" t="s">
        <v>79</v>
      </c>
      <c r="I155" s="540">
        <f>136112713+68750000</f>
        <v>204862713</v>
      </c>
      <c r="J155" s="540">
        <v>204862713</v>
      </c>
      <c r="K155" s="540">
        <v>136112713</v>
      </c>
      <c r="L155" s="539" t="s">
        <v>4181</v>
      </c>
      <c r="M155" s="540">
        <v>0</v>
      </c>
    </row>
    <row r="156" spans="1:13" ht="32" x14ac:dyDescent="0.2">
      <c r="A156" s="539" t="s">
        <v>777</v>
      </c>
      <c r="B156" s="540">
        <v>48</v>
      </c>
      <c r="C156" s="539" t="s">
        <v>4160</v>
      </c>
      <c r="D156" s="539" t="s">
        <v>3063</v>
      </c>
      <c r="E156" s="540">
        <v>2</v>
      </c>
      <c r="F156" s="539" t="s">
        <v>4200</v>
      </c>
      <c r="G156" s="540">
        <f>'BALANCE SHEET'!C4</f>
        <v>2019</v>
      </c>
      <c r="H156" s="539" t="s">
        <v>79</v>
      </c>
      <c r="I156" s="540">
        <f>136112713+68750000</f>
        <v>204862713</v>
      </c>
      <c r="J156" s="540">
        <v>204862713</v>
      </c>
      <c r="K156" s="540">
        <v>68750000</v>
      </c>
      <c r="L156" s="539" t="s">
        <v>4181</v>
      </c>
      <c r="M156" s="540">
        <v>0</v>
      </c>
    </row>
    <row r="157" spans="1:13" ht="32" x14ac:dyDescent="0.2">
      <c r="A157" s="539" t="s">
        <v>777</v>
      </c>
      <c r="B157" s="540">
        <v>48</v>
      </c>
      <c r="C157" s="539" t="s">
        <v>4160</v>
      </c>
      <c r="D157" s="539" t="s">
        <v>3063</v>
      </c>
      <c r="E157" s="540">
        <v>1</v>
      </c>
      <c r="F157" s="539" t="s">
        <v>4199</v>
      </c>
      <c r="G157" s="540" t="e">
        <f>C5+1</f>
        <v>#VALUE!</v>
      </c>
      <c r="H157" s="539" t="s">
        <v>81</v>
      </c>
      <c r="I157" s="540">
        <f>136808424+51562500</f>
        <v>188370924</v>
      </c>
      <c r="J157" s="540">
        <v>188370924</v>
      </c>
      <c r="K157" s="540">
        <v>136808424</v>
      </c>
      <c r="L157" s="539" t="s">
        <v>4181</v>
      </c>
      <c r="M157" s="540">
        <v>0</v>
      </c>
    </row>
    <row r="158" spans="1:13" ht="32" x14ac:dyDescent="0.2">
      <c r="A158" s="539" t="s">
        <v>777</v>
      </c>
      <c r="B158" s="540">
        <v>48</v>
      </c>
      <c r="C158" s="539" t="s">
        <v>4160</v>
      </c>
      <c r="D158" s="539" t="s">
        <v>3063</v>
      </c>
      <c r="E158" s="540">
        <v>2</v>
      </c>
      <c r="F158" s="539" t="s">
        <v>4200</v>
      </c>
      <c r="G158" s="540" t="e">
        <f>C5+1</f>
        <v>#VALUE!</v>
      </c>
      <c r="H158" s="539" t="s">
        <v>81</v>
      </c>
      <c r="I158" s="540">
        <f>136808424+51562500</f>
        <v>188370924</v>
      </c>
      <c r="J158" s="540">
        <v>188370924</v>
      </c>
      <c r="K158" s="540">
        <v>51562500</v>
      </c>
      <c r="L158" s="539" t="s">
        <v>4181</v>
      </c>
      <c r="M158" s="540">
        <v>0</v>
      </c>
    </row>
    <row r="159" spans="1:13" ht="32" x14ac:dyDescent="0.2">
      <c r="A159" s="539" t="s">
        <v>777</v>
      </c>
      <c r="B159" s="540">
        <v>48</v>
      </c>
      <c r="C159" s="539" t="s">
        <v>4160</v>
      </c>
      <c r="D159" s="539" t="s">
        <v>3063</v>
      </c>
      <c r="E159" s="540">
        <v>1</v>
      </c>
      <c r="F159" s="539" t="s">
        <v>4199</v>
      </c>
      <c r="G159" s="540" t="e">
        <f>D5+1</f>
        <v>#VALUE!</v>
      </c>
      <c r="H159" s="539" t="s">
        <v>83</v>
      </c>
      <c r="I159" s="539"/>
      <c r="J159" s="540">
        <v>158340567</v>
      </c>
      <c r="K159" s="540">
        <v>79170283.5</v>
      </c>
      <c r="L159" s="539" t="s">
        <v>4164</v>
      </c>
      <c r="M159" s="540">
        <v>0</v>
      </c>
    </row>
    <row r="160" spans="1:13" ht="32" x14ac:dyDescent="0.2">
      <c r="A160" s="539" t="s">
        <v>777</v>
      </c>
      <c r="B160" s="540">
        <v>48</v>
      </c>
      <c r="C160" s="539" t="s">
        <v>4160</v>
      </c>
      <c r="D160" s="539" t="s">
        <v>3063</v>
      </c>
      <c r="E160" s="540">
        <v>2</v>
      </c>
      <c r="F160" s="539" t="s">
        <v>4200</v>
      </c>
      <c r="G160" s="540" t="e">
        <f>D5+1</f>
        <v>#VALUE!</v>
      </c>
      <c r="H160" s="539" t="s">
        <v>83</v>
      </c>
      <c r="I160" s="539"/>
      <c r="J160" s="540">
        <v>158340567</v>
      </c>
      <c r="K160" s="540">
        <v>79170283.5</v>
      </c>
      <c r="L160" s="539" t="s">
        <v>4164</v>
      </c>
      <c r="M160" s="540">
        <v>0</v>
      </c>
    </row>
    <row r="161" spans="1:13" ht="32" x14ac:dyDescent="0.2">
      <c r="A161" s="539" t="s">
        <v>777</v>
      </c>
      <c r="B161" s="540">
        <v>48</v>
      </c>
      <c r="C161" s="539" t="s">
        <v>4160</v>
      </c>
      <c r="D161" s="539" t="s">
        <v>3063</v>
      </c>
      <c r="E161" s="540">
        <v>1</v>
      </c>
      <c r="F161" s="539" t="s">
        <v>4199</v>
      </c>
      <c r="G161" s="539" t="s">
        <v>4194</v>
      </c>
      <c r="H161" s="539" t="s">
        <v>4215</v>
      </c>
      <c r="I161" s="540">
        <f>119668692+38671875</f>
        <v>158340567</v>
      </c>
      <c r="J161" s="540">
        <v>158340567</v>
      </c>
      <c r="K161" s="540">
        <v>119668692</v>
      </c>
      <c r="L161" s="539" t="s">
        <v>4181</v>
      </c>
      <c r="M161" s="540">
        <v>0</v>
      </c>
    </row>
    <row r="162" spans="1:13" ht="32" x14ac:dyDescent="0.2">
      <c r="A162" s="539" t="s">
        <v>777</v>
      </c>
      <c r="B162" s="540">
        <v>48</v>
      </c>
      <c r="C162" s="539" t="s">
        <v>4160</v>
      </c>
      <c r="D162" s="539" t="s">
        <v>3063</v>
      </c>
      <c r="E162" s="540">
        <v>2</v>
      </c>
      <c r="F162" s="539" t="s">
        <v>4200</v>
      </c>
      <c r="G162" s="539" t="s">
        <v>4194</v>
      </c>
      <c r="H162" s="539" t="s">
        <v>4215</v>
      </c>
      <c r="I162" s="540">
        <f>119668692+38671875</f>
        <v>158340567</v>
      </c>
      <c r="J162" s="540">
        <v>158340567</v>
      </c>
      <c r="K162" s="540">
        <v>38671875</v>
      </c>
      <c r="L162" s="539" t="s">
        <v>4181</v>
      </c>
      <c r="M162" s="540">
        <v>0</v>
      </c>
    </row>
    <row r="163" spans="1:13" ht="32" x14ac:dyDescent="0.2">
      <c r="A163" s="539" t="s">
        <v>777</v>
      </c>
      <c r="B163" s="540">
        <v>49</v>
      </c>
      <c r="C163" s="539" t="s">
        <v>4162</v>
      </c>
      <c r="D163" s="539" t="s">
        <v>3064</v>
      </c>
      <c r="E163" s="540">
        <v>1</v>
      </c>
      <c r="F163" s="539" t="s">
        <v>4201</v>
      </c>
      <c r="G163" s="540">
        <f>'BALANCE SHEET'!C4</f>
        <v>2019</v>
      </c>
      <c r="H163" s="539" t="s">
        <v>4216</v>
      </c>
      <c r="I163" s="539"/>
      <c r="J163" s="540">
        <v>96535873</v>
      </c>
      <c r="K163" s="540">
        <v>48267936.5</v>
      </c>
      <c r="L163" s="539" t="s">
        <v>4164</v>
      </c>
      <c r="M163" s="540">
        <v>0</v>
      </c>
    </row>
    <row r="164" spans="1:13" ht="32" x14ac:dyDescent="0.2">
      <c r="A164" s="539" t="s">
        <v>777</v>
      </c>
      <c r="B164" s="540">
        <v>49</v>
      </c>
      <c r="C164" s="539" t="s">
        <v>4162</v>
      </c>
      <c r="D164" s="539" t="s">
        <v>3064</v>
      </c>
      <c r="E164" s="540">
        <v>2</v>
      </c>
      <c r="F164" s="539" t="s">
        <v>4202</v>
      </c>
      <c r="G164" s="540">
        <f>'BALANCE SHEET'!C4</f>
        <v>2019</v>
      </c>
      <c r="H164" s="539" t="s">
        <v>4216</v>
      </c>
      <c r="I164" s="539"/>
      <c r="J164" s="540">
        <v>96535873</v>
      </c>
      <c r="K164" s="540">
        <v>48267936.5</v>
      </c>
      <c r="L164" s="539" t="s">
        <v>4164</v>
      </c>
      <c r="M164" s="540">
        <v>0</v>
      </c>
    </row>
    <row r="165" spans="1:13" ht="32" x14ac:dyDescent="0.2">
      <c r="A165" s="539" t="s">
        <v>777</v>
      </c>
      <c r="B165" s="540">
        <v>49</v>
      </c>
      <c r="C165" s="539" t="s">
        <v>4162</v>
      </c>
      <c r="D165" s="539" t="s">
        <v>3064</v>
      </c>
      <c r="E165" s="540">
        <v>1</v>
      </c>
      <c r="F165" s="539" t="s">
        <v>4201</v>
      </c>
      <c r="G165" s="540" t="e">
        <f>C5+1</f>
        <v>#VALUE!</v>
      </c>
      <c r="H165" s="539" t="s">
        <v>4217</v>
      </c>
      <c r="I165" s="539"/>
      <c r="J165" s="540">
        <v>887557596</v>
      </c>
      <c r="K165" s="540">
        <v>443778798</v>
      </c>
      <c r="L165" s="539" t="s">
        <v>4164</v>
      </c>
      <c r="M165" s="540">
        <v>0</v>
      </c>
    </row>
    <row r="166" spans="1:13" ht="32" x14ac:dyDescent="0.2">
      <c r="A166" s="539" t="s">
        <v>777</v>
      </c>
      <c r="B166" s="540">
        <v>49</v>
      </c>
      <c r="C166" s="539" t="s">
        <v>4162</v>
      </c>
      <c r="D166" s="539" t="s">
        <v>3064</v>
      </c>
      <c r="E166" s="540">
        <v>2</v>
      </c>
      <c r="F166" s="539" t="s">
        <v>4202</v>
      </c>
      <c r="G166" s="540" t="e">
        <f>C5+1</f>
        <v>#VALUE!</v>
      </c>
      <c r="H166" s="539" t="s">
        <v>4217</v>
      </c>
      <c r="I166" s="539"/>
      <c r="J166" s="540">
        <v>887557596</v>
      </c>
      <c r="K166" s="540">
        <v>443778798</v>
      </c>
      <c r="L166" s="539" t="s">
        <v>4164</v>
      </c>
      <c r="M166" s="540">
        <v>0</v>
      </c>
    </row>
    <row r="167" spans="1:13" ht="32" x14ac:dyDescent="0.2">
      <c r="A167" s="539" t="s">
        <v>777</v>
      </c>
      <c r="B167" s="540">
        <v>49</v>
      </c>
      <c r="C167" s="539" t="s">
        <v>4162</v>
      </c>
      <c r="D167" s="539" t="s">
        <v>3064</v>
      </c>
      <c r="E167" s="540">
        <v>1</v>
      </c>
      <c r="F167" s="539" t="s">
        <v>4201</v>
      </c>
      <c r="G167" s="540" t="e">
        <f>D5+1</f>
        <v>#VALUE!</v>
      </c>
      <c r="H167" s="539" t="s">
        <v>4218</v>
      </c>
      <c r="I167" s="539"/>
      <c r="J167" s="540">
        <v>776612890</v>
      </c>
      <c r="K167" s="540">
        <v>388306445</v>
      </c>
      <c r="L167" s="539" t="s">
        <v>4164</v>
      </c>
      <c r="M167" s="540">
        <v>0</v>
      </c>
    </row>
    <row r="168" spans="1:13" ht="32" x14ac:dyDescent="0.2">
      <c r="A168" s="539" t="s">
        <v>777</v>
      </c>
      <c r="B168" s="540">
        <v>49</v>
      </c>
      <c r="C168" s="539" t="s">
        <v>4162</v>
      </c>
      <c r="D168" s="539" t="s">
        <v>3064</v>
      </c>
      <c r="E168" s="540">
        <v>2</v>
      </c>
      <c r="F168" s="539" t="s">
        <v>4202</v>
      </c>
      <c r="G168" s="540" t="e">
        <f>D5+1</f>
        <v>#VALUE!</v>
      </c>
      <c r="H168" s="539" t="s">
        <v>4218</v>
      </c>
      <c r="I168" s="539"/>
      <c r="J168" s="540">
        <v>776612890</v>
      </c>
      <c r="K168" s="540">
        <v>388306445</v>
      </c>
      <c r="L168" s="539" t="s">
        <v>4164</v>
      </c>
      <c r="M168" s="540">
        <v>0</v>
      </c>
    </row>
    <row r="169" spans="1:13" ht="32" x14ac:dyDescent="0.2">
      <c r="A169" s="539" t="s">
        <v>777</v>
      </c>
      <c r="B169" s="540">
        <v>54</v>
      </c>
      <c r="C169" s="539" t="s">
        <v>3215</v>
      </c>
      <c r="D169" s="539" t="s">
        <v>3059</v>
      </c>
      <c r="E169" s="540">
        <v>1</v>
      </c>
      <c r="F169" s="539" t="s">
        <v>4192</v>
      </c>
      <c r="G169" s="540">
        <f>'BALANCE SHEET'!C4</f>
        <v>2019</v>
      </c>
      <c r="H169" s="539" t="s">
        <v>4219</v>
      </c>
      <c r="I169" s="540" t="e">
        <f>+C36+C45</f>
        <v>#VALUE!</v>
      </c>
      <c r="J169" s="540">
        <v>0</v>
      </c>
      <c r="K169" s="540">
        <v>0</v>
      </c>
      <c r="L169" s="539" t="s">
        <v>4165</v>
      </c>
      <c r="M169" s="540">
        <v>0</v>
      </c>
    </row>
    <row r="170" spans="1:13" ht="32" x14ac:dyDescent="0.2">
      <c r="A170" s="539" t="s">
        <v>777</v>
      </c>
      <c r="B170" s="540">
        <v>54</v>
      </c>
      <c r="C170" s="539" t="s">
        <v>3215</v>
      </c>
      <c r="D170" s="539" t="s">
        <v>3059</v>
      </c>
      <c r="E170" s="540">
        <v>2</v>
      </c>
      <c r="F170" s="539" t="s">
        <v>4193</v>
      </c>
      <c r="G170" s="540">
        <f>'BALANCE SHEET'!C4</f>
        <v>2019</v>
      </c>
      <c r="H170" s="539" t="s">
        <v>4219</v>
      </c>
      <c r="I170" s="540" t="e">
        <f>+C36+C45</f>
        <v>#VALUE!</v>
      </c>
      <c r="J170" s="540">
        <v>0</v>
      </c>
      <c r="K170" s="540">
        <v>0</v>
      </c>
      <c r="L170" s="539" t="s">
        <v>4165</v>
      </c>
      <c r="M170" s="540">
        <v>0</v>
      </c>
    </row>
    <row r="171" spans="1:13" ht="32" x14ac:dyDescent="0.2">
      <c r="A171" s="539" t="s">
        <v>777</v>
      </c>
      <c r="B171" s="540">
        <v>54</v>
      </c>
      <c r="C171" s="539" t="s">
        <v>3215</v>
      </c>
      <c r="D171" s="539" t="s">
        <v>3059</v>
      </c>
      <c r="E171" s="540">
        <v>1</v>
      </c>
      <c r="F171" s="539" t="s">
        <v>4192</v>
      </c>
      <c r="G171" s="540" t="e">
        <f>C5+1</f>
        <v>#VALUE!</v>
      </c>
      <c r="H171" s="539" t="s">
        <v>717</v>
      </c>
      <c r="I171" s="540" t="e">
        <f>+D36+D45</f>
        <v>#VALUE!</v>
      </c>
      <c r="J171" s="540">
        <v>0</v>
      </c>
      <c r="K171" s="540">
        <v>0</v>
      </c>
      <c r="L171" s="539" t="s">
        <v>4165</v>
      </c>
      <c r="M171" s="540">
        <v>0</v>
      </c>
    </row>
    <row r="172" spans="1:13" ht="32" x14ac:dyDescent="0.2">
      <c r="A172" s="539" t="s">
        <v>777</v>
      </c>
      <c r="B172" s="540">
        <v>54</v>
      </c>
      <c r="C172" s="539" t="s">
        <v>3215</v>
      </c>
      <c r="D172" s="539" t="s">
        <v>3059</v>
      </c>
      <c r="E172" s="540">
        <v>2</v>
      </c>
      <c r="F172" s="539" t="s">
        <v>4193</v>
      </c>
      <c r="G172" s="540" t="e">
        <f>C5+1</f>
        <v>#VALUE!</v>
      </c>
      <c r="H172" s="539" t="s">
        <v>717</v>
      </c>
      <c r="I172" s="540" t="e">
        <f>+D36+D45</f>
        <v>#VALUE!</v>
      </c>
      <c r="J172" s="540">
        <v>0</v>
      </c>
      <c r="K172" s="540">
        <v>0</v>
      </c>
      <c r="L172" s="539" t="s">
        <v>4165</v>
      </c>
      <c r="M172" s="540">
        <v>0</v>
      </c>
    </row>
    <row r="173" spans="1:13" ht="32" x14ac:dyDescent="0.2">
      <c r="A173" s="539" t="s">
        <v>777</v>
      </c>
      <c r="B173" s="540">
        <v>54</v>
      </c>
      <c r="C173" s="539" t="s">
        <v>3215</v>
      </c>
      <c r="D173" s="539" t="s">
        <v>3059</v>
      </c>
      <c r="E173" s="540">
        <v>1</v>
      </c>
      <c r="F173" s="539" t="s">
        <v>4192</v>
      </c>
      <c r="G173" s="540" t="e">
        <f>D5+1</f>
        <v>#VALUE!</v>
      </c>
      <c r="H173" s="539" t="s">
        <v>718</v>
      </c>
      <c r="I173" s="540">
        <f>+E36+E45</f>
        <v>3</v>
      </c>
      <c r="J173" s="540">
        <v>0</v>
      </c>
      <c r="K173" s="540">
        <v>0</v>
      </c>
      <c r="L173" s="539" t="s">
        <v>4165</v>
      </c>
      <c r="M173" s="540">
        <v>0</v>
      </c>
    </row>
    <row r="174" spans="1:13" ht="32" x14ac:dyDescent="0.2">
      <c r="A174" s="539" t="s">
        <v>777</v>
      </c>
      <c r="B174" s="540">
        <v>54</v>
      </c>
      <c r="C174" s="539" t="s">
        <v>3215</v>
      </c>
      <c r="D174" s="539" t="s">
        <v>3059</v>
      </c>
      <c r="E174" s="540">
        <v>2</v>
      </c>
      <c r="F174" s="539" t="s">
        <v>4193</v>
      </c>
      <c r="G174" s="540" t="e">
        <f>D5+1</f>
        <v>#VALUE!</v>
      </c>
      <c r="H174" s="539" t="s">
        <v>718</v>
      </c>
      <c r="I174" s="540">
        <f>+E36+E45</f>
        <v>3</v>
      </c>
      <c r="J174" s="540">
        <v>0</v>
      </c>
      <c r="K174" s="540">
        <v>0</v>
      </c>
      <c r="L174" s="539" t="s">
        <v>4165</v>
      </c>
      <c r="M174" s="540">
        <v>0</v>
      </c>
    </row>
    <row r="175" spans="1:13" ht="32" x14ac:dyDescent="0.2">
      <c r="A175" s="539" t="s">
        <v>777</v>
      </c>
      <c r="B175" s="540">
        <v>55</v>
      </c>
      <c r="C175" s="539" t="s">
        <v>3216</v>
      </c>
      <c r="D175" s="539" t="s">
        <v>3061</v>
      </c>
      <c r="E175" s="540">
        <v>1</v>
      </c>
      <c r="F175" s="539" t="s">
        <v>4195</v>
      </c>
      <c r="G175" s="540">
        <f>'BALANCE SHEET'!C4</f>
        <v>2019</v>
      </c>
      <c r="H175" s="539" t="s">
        <v>4220</v>
      </c>
      <c r="I175" s="540" t="e">
        <f>+C37+C46</f>
        <v>#VALUE!</v>
      </c>
      <c r="J175" s="540">
        <v>242886427</v>
      </c>
      <c r="K175" s="540">
        <v>60721606.75</v>
      </c>
      <c r="L175" s="539" t="s">
        <v>4165</v>
      </c>
      <c r="M175" s="540">
        <v>0</v>
      </c>
    </row>
    <row r="176" spans="1:13" ht="32" x14ac:dyDescent="0.2">
      <c r="A176" s="539" t="s">
        <v>777</v>
      </c>
      <c r="B176" s="540">
        <v>55</v>
      </c>
      <c r="C176" s="539" t="s">
        <v>3216</v>
      </c>
      <c r="D176" s="539" t="s">
        <v>3061</v>
      </c>
      <c r="E176" s="540">
        <v>2</v>
      </c>
      <c r="F176" s="539" t="s">
        <v>4196</v>
      </c>
      <c r="G176" s="540">
        <f>'BALANCE SHEET'!C4</f>
        <v>2019</v>
      </c>
      <c r="H176" s="539" t="s">
        <v>4220</v>
      </c>
      <c r="I176" s="540" t="e">
        <f>+C37+C46</f>
        <v>#VALUE!</v>
      </c>
      <c r="J176" s="540">
        <v>242886427</v>
      </c>
      <c r="K176" s="540">
        <v>60721606.75</v>
      </c>
      <c r="L176" s="539" t="s">
        <v>4165</v>
      </c>
      <c r="M176" s="540">
        <v>0</v>
      </c>
    </row>
    <row r="177" spans="1:13" ht="32" x14ac:dyDescent="0.2">
      <c r="A177" s="539" t="s">
        <v>777</v>
      </c>
      <c r="B177" s="540">
        <v>55</v>
      </c>
      <c r="C177" s="539" t="s">
        <v>3216</v>
      </c>
      <c r="D177" s="539" t="s">
        <v>3061</v>
      </c>
      <c r="E177" s="540">
        <v>3</v>
      </c>
      <c r="F177" s="539" t="s">
        <v>4197</v>
      </c>
      <c r="G177" s="540">
        <f>'BALANCE SHEET'!C4</f>
        <v>2019</v>
      </c>
      <c r="H177" s="539" t="s">
        <v>4220</v>
      </c>
      <c r="I177" s="540" t="e">
        <f>+C37+C46</f>
        <v>#VALUE!</v>
      </c>
      <c r="J177" s="540">
        <v>242886427</v>
      </c>
      <c r="K177" s="540">
        <v>60721606.75</v>
      </c>
      <c r="L177" s="539" t="s">
        <v>4165</v>
      </c>
      <c r="M177" s="540">
        <v>0</v>
      </c>
    </row>
    <row r="178" spans="1:13" ht="32" x14ac:dyDescent="0.2">
      <c r="A178" s="539" t="s">
        <v>777</v>
      </c>
      <c r="B178" s="540">
        <v>55</v>
      </c>
      <c r="C178" s="539" t="s">
        <v>3216</v>
      </c>
      <c r="D178" s="539" t="s">
        <v>3061</v>
      </c>
      <c r="E178" s="540">
        <v>4</v>
      </c>
      <c r="F178" s="539" t="s">
        <v>4198</v>
      </c>
      <c r="G178" s="540">
        <f>'BALANCE SHEET'!C4</f>
        <v>2019</v>
      </c>
      <c r="H178" s="539" t="s">
        <v>4220</v>
      </c>
      <c r="I178" s="540" t="e">
        <f>+C37+C46</f>
        <v>#VALUE!</v>
      </c>
      <c r="J178" s="540">
        <v>242886427</v>
      </c>
      <c r="K178" s="540">
        <v>60721606.75</v>
      </c>
      <c r="L178" s="539" t="s">
        <v>4165</v>
      </c>
      <c r="M178" s="540">
        <v>0</v>
      </c>
    </row>
    <row r="179" spans="1:13" ht="32" x14ac:dyDescent="0.2">
      <c r="A179" s="539" t="s">
        <v>777</v>
      </c>
      <c r="B179" s="540">
        <v>55</v>
      </c>
      <c r="C179" s="539" t="s">
        <v>3216</v>
      </c>
      <c r="D179" s="539" t="s">
        <v>3061</v>
      </c>
      <c r="E179" s="540">
        <v>1</v>
      </c>
      <c r="F179" s="539" t="s">
        <v>4195</v>
      </c>
      <c r="G179" s="540" t="e">
        <f>C5+1</f>
        <v>#VALUE!</v>
      </c>
      <c r="H179" s="539" t="s">
        <v>4221</v>
      </c>
      <c r="I179" s="540" t="e">
        <f>+D37+D46</f>
        <v>#VALUE!</v>
      </c>
      <c r="J179" s="540">
        <v>276895183</v>
      </c>
      <c r="K179" s="540">
        <v>69223795.75</v>
      </c>
      <c r="L179" s="539" t="s">
        <v>4165</v>
      </c>
      <c r="M179" s="540">
        <v>0</v>
      </c>
    </row>
    <row r="180" spans="1:13" ht="32" x14ac:dyDescent="0.2">
      <c r="A180" s="539" t="s">
        <v>777</v>
      </c>
      <c r="B180" s="540">
        <v>55</v>
      </c>
      <c r="C180" s="539" t="s">
        <v>3216</v>
      </c>
      <c r="D180" s="539" t="s">
        <v>3061</v>
      </c>
      <c r="E180" s="540">
        <v>2</v>
      </c>
      <c r="F180" s="539" t="s">
        <v>4196</v>
      </c>
      <c r="G180" s="540" t="e">
        <f>C5+1</f>
        <v>#VALUE!</v>
      </c>
      <c r="H180" s="539" t="s">
        <v>4221</v>
      </c>
      <c r="I180" s="540" t="e">
        <f>+D37+D46</f>
        <v>#VALUE!</v>
      </c>
      <c r="J180" s="540">
        <v>276895183</v>
      </c>
      <c r="K180" s="540">
        <v>69223795.75</v>
      </c>
      <c r="L180" s="539" t="s">
        <v>4165</v>
      </c>
      <c r="M180" s="540">
        <v>0</v>
      </c>
    </row>
    <row r="181" spans="1:13" ht="32" x14ac:dyDescent="0.2">
      <c r="A181" s="539" t="s">
        <v>777</v>
      </c>
      <c r="B181" s="540">
        <v>55</v>
      </c>
      <c r="C181" s="539" t="s">
        <v>3216</v>
      </c>
      <c r="D181" s="539" t="s">
        <v>3061</v>
      </c>
      <c r="E181" s="540">
        <v>3</v>
      </c>
      <c r="F181" s="539" t="s">
        <v>4197</v>
      </c>
      <c r="G181" s="540" t="e">
        <f>C5+1</f>
        <v>#VALUE!</v>
      </c>
      <c r="H181" s="539" t="s">
        <v>4221</v>
      </c>
      <c r="I181" s="540" t="e">
        <f>+D37+D46</f>
        <v>#VALUE!</v>
      </c>
      <c r="J181" s="540">
        <v>276895183</v>
      </c>
      <c r="K181" s="540">
        <v>69223795.75</v>
      </c>
      <c r="L181" s="539" t="s">
        <v>4165</v>
      </c>
      <c r="M181" s="540">
        <v>0</v>
      </c>
    </row>
    <row r="182" spans="1:13" ht="32" x14ac:dyDescent="0.2">
      <c r="A182" s="539" t="s">
        <v>777</v>
      </c>
      <c r="B182" s="540">
        <v>55</v>
      </c>
      <c r="C182" s="539" t="s">
        <v>3216</v>
      </c>
      <c r="D182" s="539" t="s">
        <v>3061</v>
      </c>
      <c r="E182" s="540">
        <v>4</v>
      </c>
      <c r="F182" s="539" t="s">
        <v>4198</v>
      </c>
      <c r="G182" s="540" t="e">
        <f>C5+1</f>
        <v>#VALUE!</v>
      </c>
      <c r="H182" s="539" t="s">
        <v>4221</v>
      </c>
      <c r="I182" s="540" t="e">
        <f>+D37+D46</f>
        <v>#VALUE!</v>
      </c>
      <c r="J182" s="540">
        <v>276895183</v>
      </c>
      <c r="K182" s="540">
        <v>69223795.75</v>
      </c>
      <c r="L182" s="539" t="s">
        <v>4165</v>
      </c>
      <c r="M182" s="540">
        <v>0</v>
      </c>
    </row>
    <row r="183" spans="1:13" ht="32" x14ac:dyDescent="0.2">
      <c r="A183" s="539" t="s">
        <v>777</v>
      </c>
      <c r="B183" s="540">
        <v>55</v>
      </c>
      <c r="C183" s="539" t="s">
        <v>3216</v>
      </c>
      <c r="D183" s="539" t="s">
        <v>3061</v>
      </c>
      <c r="E183" s="540">
        <v>1</v>
      </c>
      <c r="F183" s="539" t="s">
        <v>4195</v>
      </c>
      <c r="G183" s="540" t="e">
        <f>D5+1</f>
        <v>#VALUE!</v>
      </c>
      <c r="H183" s="539" t="s">
        <v>721</v>
      </c>
      <c r="I183" s="540">
        <f>+E37+E46</f>
        <v>3</v>
      </c>
      <c r="J183" s="540">
        <v>313119864</v>
      </c>
      <c r="K183" s="540">
        <v>78279966</v>
      </c>
      <c r="L183" s="539" t="s">
        <v>4165</v>
      </c>
      <c r="M183" s="540">
        <v>0</v>
      </c>
    </row>
    <row r="184" spans="1:13" ht="32" x14ac:dyDescent="0.2">
      <c r="A184" s="539" t="s">
        <v>777</v>
      </c>
      <c r="B184" s="540">
        <v>55</v>
      </c>
      <c r="C184" s="539" t="s">
        <v>3216</v>
      </c>
      <c r="D184" s="539" t="s">
        <v>3061</v>
      </c>
      <c r="E184" s="540">
        <v>2</v>
      </c>
      <c r="F184" s="539" t="s">
        <v>4196</v>
      </c>
      <c r="G184" s="540" t="e">
        <f>D5+1</f>
        <v>#VALUE!</v>
      </c>
      <c r="H184" s="539" t="s">
        <v>721</v>
      </c>
      <c r="I184" s="540">
        <f>+E37+E46</f>
        <v>3</v>
      </c>
      <c r="J184" s="540">
        <v>313119864</v>
      </c>
      <c r="K184" s="540">
        <v>78279966</v>
      </c>
      <c r="L184" s="539" t="s">
        <v>4165</v>
      </c>
      <c r="M184" s="540">
        <v>0</v>
      </c>
    </row>
    <row r="185" spans="1:13" ht="32" x14ac:dyDescent="0.2">
      <c r="A185" s="539" t="s">
        <v>777</v>
      </c>
      <c r="B185" s="540">
        <v>55</v>
      </c>
      <c r="C185" s="539" t="s">
        <v>3216</v>
      </c>
      <c r="D185" s="539" t="s">
        <v>3061</v>
      </c>
      <c r="E185" s="540">
        <v>3</v>
      </c>
      <c r="F185" s="539" t="s">
        <v>4197</v>
      </c>
      <c r="G185" s="540" t="e">
        <f>D5+1</f>
        <v>#VALUE!</v>
      </c>
      <c r="H185" s="539" t="s">
        <v>721</v>
      </c>
      <c r="I185" s="540">
        <f>+E37+E46</f>
        <v>3</v>
      </c>
      <c r="J185" s="540">
        <v>313119864</v>
      </c>
      <c r="K185" s="540">
        <v>78279966</v>
      </c>
      <c r="L185" s="539" t="s">
        <v>4165</v>
      </c>
      <c r="M185" s="540">
        <v>0</v>
      </c>
    </row>
    <row r="186" spans="1:13" ht="32" x14ac:dyDescent="0.2">
      <c r="A186" s="539" t="s">
        <v>777</v>
      </c>
      <c r="B186" s="540">
        <v>55</v>
      </c>
      <c r="C186" s="539" t="s">
        <v>3216</v>
      </c>
      <c r="D186" s="539" t="s">
        <v>3061</v>
      </c>
      <c r="E186" s="540">
        <v>4</v>
      </c>
      <c r="F186" s="539" t="s">
        <v>4198</v>
      </c>
      <c r="G186" s="540" t="e">
        <f>D5+1</f>
        <v>#VALUE!</v>
      </c>
      <c r="H186" s="539" t="s">
        <v>721</v>
      </c>
      <c r="I186" s="540">
        <f>+E37+E46</f>
        <v>3</v>
      </c>
      <c r="J186" s="540">
        <v>313119864</v>
      </c>
      <c r="K186" s="540">
        <v>78279966</v>
      </c>
      <c r="L186" s="539" t="s">
        <v>4165</v>
      </c>
      <c r="M186" s="540">
        <v>0</v>
      </c>
    </row>
    <row r="187" spans="1:13" ht="32" x14ac:dyDescent="0.2">
      <c r="A187" s="539" t="s">
        <v>777</v>
      </c>
      <c r="B187" s="540">
        <v>57</v>
      </c>
      <c r="C187" s="539" t="s">
        <v>4160</v>
      </c>
      <c r="D187" s="539" t="s">
        <v>3063</v>
      </c>
      <c r="E187" s="540">
        <v>1</v>
      </c>
      <c r="F187" s="539" t="s">
        <v>4199</v>
      </c>
      <c r="G187" s="540">
        <f>'BALANCE SHEET'!C4</f>
        <v>2019</v>
      </c>
      <c r="H187" s="539" t="s">
        <v>4222</v>
      </c>
      <c r="I187" s="540" t="e">
        <f>+C39+C48</f>
        <v>#VALUE!</v>
      </c>
      <c r="J187" s="540">
        <v>1637977421</v>
      </c>
      <c r="K187" s="540">
        <v>818988710.5</v>
      </c>
      <c r="L187" s="539" t="s">
        <v>4165</v>
      </c>
      <c r="M187" s="540">
        <v>0</v>
      </c>
    </row>
    <row r="188" spans="1:13" ht="32" x14ac:dyDescent="0.2">
      <c r="A188" s="539" t="s">
        <v>777</v>
      </c>
      <c r="B188" s="540">
        <v>57</v>
      </c>
      <c r="C188" s="539" t="s">
        <v>4160</v>
      </c>
      <c r="D188" s="539" t="s">
        <v>3063</v>
      </c>
      <c r="E188" s="540">
        <v>2</v>
      </c>
      <c r="F188" s="539" t="s">
        <v>4200</v>
      </c>
      <c r="G188" s="540">
        <f>'BALANCE SHEET'!C4</f>
        <v>2019</v>
      </c>
      <c r="H188" s="539" t="s">
        <v>4222</v>
      </c>
      <c r="I188" s="540" t="e">
        <f>+C39+C48</f>
        <v>#VALUE!</v>
      </c>
      <c r="J188" s="540">
        <v>1637977421</v>
      </c>
      <c r="K188" s="540">
        <v>818988710.5</v>
      </c>
      <c r="L188" s="539" t="s">
        <v>4165</v>
      </c>
      <c r="M188" s="540">
        <v>0</v>
      </c>
    </row>
    <row r="189" spans="1:13" ht="32" x14ac:dyDescent="0.2">
      <c r="A189" s="539" t="s">
        <v>777</v>
      </c>
      <c r="B189" s="540">
        <v>57</v>
      </c>
      <c r="C189" s="539" t="s">
        <v>4160</v>
      </c>
      <c r="D189" s="539" t="s">
        <v>3063</v>
      </c>
      <c r="E189" s="540">
        <v>1</v>
      </c>
      <c r="F189" s="539" t="s">
        <v>4199</v>
      </c>
      <c r="G189" s="540" t="e">
        <f>C5+1</f>
        <v>#VALUE!</v>
      </c>
      <c r="H189" s="539" t="s">
        <v>4223</v>
      </c>
      <c r="I189" s="540" t="e">
        <f>+D39+D48</f>
        <v>#VALUE!</v>
      </c>
      <c r="J189" s="540">
        <v>1826348345</v>
      </c>
      <c r="K189" s="540">
        <v>913174172.5</v>
      </c>
      <c r="L189" s="539" t="s">
        <v>4165</v>
      </c>
      <c r="M189" s="540">
        <v>0</v>
      </c>
    </row>
    <row r="190" spans="1:13" ht="32" x14ac:dyDescent="0.2">
      <c r="A190" s="539" t="s">
        <v>777</v>
      </c>
      <c r="B190" s="540">
        <v>57</v>
      </c>
      <c r="C190" s="539" t="s">
        <v>4160</v>
      </c>
      <c r="D190" s="539" t="s">
        <v>3063</v>
      </c>
      <c r="E190" s="540">
        <v>2</v>
      </c>
      <c r="F190" s="539" t="s">
        <v>4200</v>
      </c>
      <c r="G190" s="540" t="e">
        <f>C5+1</f>
        <v>#VALUE!</v>
      </c>
      <c r="H190" s="539" t="s">
        <v>4223</v>
      </c>
      <c r="I190" s="540" t="e">
        <f>+D39+D48</f>
        <v>#VALUE!</v>
      </c>
      <c r="J190" s="540">
        <v>1826348345</v>
      </c>
      <c r="K190" s="540">
        <v>913174172.5</v>
      </c>
      <c r="L190" s="539" t="s">
        <v>4165</v>
      </c>
      <c r="M190" s="540">
        <v>0</v>
      </c>
    </row>
    <row r="191" spans="1:13" ht="32" x14ac:dyDescent="0.2">
      <c r="A191" s="539" t="s">
        <v>777</v>
      </c>
      <c r="B191" s="540">
        <v>57</v>
      </c>
      <c r="C191" s="539" t="s">
        <v>4160</v>
      </c>
      <c r="D191" s="539" t="s">
        <v>3063</v>
      </c>
      <c r="E191" s="540">
        <v>1</v>
      </c>
      <c r="F191" s="539" t="s">
        <v>4199</v>
      </c>
      <c r="G191" s="540" t="e">
        <f>D5+1</f>
        <v>#VALUE!</v>
      </c>
      <c r="H191" s="539" t="s">
        <v>728</v>
      </c>
      <c r="I191" s="540">
        <f>+E39+E48</f>
        <v>3</v>
      </c>
      <c r="J191" s="540">
        <v>1984688912</v>
      </c>
      <c r="K191" s="540">
        <v>992344456</v>
      </c>
      <c r="L191" s="539" t="s">
        <v>4165</v>
      </c>
      <c r="M191" s="540">
        <v>0</v>
      </c>
    </row>
    <row r="192" spans="1:13" ht="32" x14ac:dyDescent="0.2">
      <c r="A192" s="539" t="s">
        <v>777</v>
      </c>
      <c r="B192" s="540">
        <v>57</v>
      </c>
      <c r="C192" s="539" t="s">
        <v>4160</v>
      </c>
      <c r="D192" s="539" t="s">
        <v>3063</v>
      </c>
      <c r="E192" s="540">
        <v>2</v>
      </c>
      <c r="F192" s="539" t="s">
        <v>4200</v>
      </c>
      <c r="G192" s="540" t="e">
        <f>D5+1</f>
        <v>#VALUE!</v>
      </c>
      <c r="H192" s="539" t="s">
        <v>728</v>
      </c>
      <c r="I192" s="540">
        <f>+E39+E48</f>
        <v>3</v>
      </c>
      <c r="J192" s="540">
        <v>1984688912</v>
      </c>
      <c r="K192" s="540">
        <v>992344456</v>
      </c>
      <c r="L192" s="539" t="s">
        <v>4165</v>
      </c>
      <c r="M192" s="540">
        <v>0</v>
      </c>
    </row>
    <row r="193" spans="1:13" ht="32" x14ac:dyDescent="0.2">
      <c r="A193" s="539" t="s">
        <v>777</v>
      </c>
      <c r="B193" s="540">
        <v>58</v>
      </c>
      <c r="C193" s="539" t="s">
        <v>4162</v>
      </c>
      <c r="D193" s="539" t="s">
        <v>3064</v>
      </c>
      <c r="E193" s="540">
        <v>1</v>
      </c>
      <c r="F193" s="539" t="s">
        <v>4201</v>
      </c>
      <c r="G193" s="540">
        <f>'BALANCE SHEET'!C4</f>
        <v>2019</v>
      </c>
      <c r="H193" s="539" t="s">
        <v>4224</v>
      </c>
      <c r="I193" s="540" t="e">
        <f>+C40+C49</f>
        <v>#VALUE!</v>
      </c>
      <c r="J193" s="540">
        <v>851107950</v>
      </c>
      <c r="K193" s="540">
        <v>425553975</v>
      </c>
      <c r="L193" s="539" t="s">
        <v>4165</v>
      </c>
      <c r="M193" s="540">
        <v>0</v>
      </c>
    </row>
    <row r="194" spans="1:13" ht="32" x14ac:dyDescent="0.2">
      <c r="A194" s="539" t="s">
        <v>777</v>
      </c>
      <c r="B194" s="540">
        <v>58</v>
      </c>
      <c r="C194" s="539" t="s">
        <v>4162</v>
      </c>
      <c r="D194" s="539" t="s">
        <v>3064</v>
      </c>
      <c r="E194" s="540">
        <v>2</v>
      </c>
      <c r="F194" s="539" t="s">
        <v>4202</v>
      </c>
      <c r="G194" s="540">
        <f>'BALANCE SHEET'!C4</f>
        <v>2019</v>
      </c>
      <c r="H194" s="539" t="s">
        <v>4224</v>
      </c>
      <c r="I194" s="540" t="e">
        <f>+C40+C49</f>
        <v>#VALUE!</v>
      </c>
      <c r="J194" s="540">
        <v>851107950</v>
      </c>
      <c r="K194" s="540">
        <v>425553975</v>
      </c>
      <c r="L194" s="539" t="s">
        <v>4165</v>
      </c>
      <c r="M194" s="540">
        <v>0</v>
      </c>
    </row>
    <row r="195" spans="1:13" ht="32" x14ac:dyDescent="0.2">
      <c r="A195" s="539" t="s">
        <v>777</v>
      </c>
      <c r="B195" s="540">
        <v>58</v>
      </c>
      <c r="C195" s="539" t="s">
        <v>4162</v>
      </c>
      <c r="D195" s="539" t="s">
        <v>3064</v>
      </c>
      <c r="E195" s="540">
        <v>1</v>
      </c>
      <c r="F195" s="539" t="s">
        <v>4201</v>
      </c>
      <c r="G195" s="540" t="e">
        <f>C5+1</f>
        <v>#VALUE!</v>
      </c>
      <c r="H195" s="539" t="s">
        <v>732</v>
      </c>
      <c r="I195" s="540" t="e">
        <f>+D40+D49</f>
        <v>#VALUE!</v>
      </c>
      <c r="J195" s="540">
        <v>1738665546</v>
      </c>
      <c r="K195" s="540">
        <v>869332773</v>
      </c>
      <c r="L195" s="539" t="s">
        <v>4165</v>
      </c>
      <c r="M195" s="540">
        <v>0</v>
      </c>
    </row>
    <row r="196" spans="1:13" ht="32" x14ac:dyDescent="0.2">
      <c r="A196" s="539" t="s">
        <v>777</v>
      </c>
      <c r="B196" s="540">
        <v>58</v>
      </c>
      <c r="C196" s="539" t="s">
        <v>4162</v>
      </c>
      <c r="D196" s="539" t="s">
        <v>3064</v>
      </c>
      <c r="E196" s="540">
        <v>2</v>
      </c>
      <c r="F196" s="539" t="s">
        <v>4202</v>
      </c>
      <c r="G196" s="540" t="e">
        <f>C5+1</f>
        <v>#VALUE!</v>
      </c>
      <c r="H196" s="539" t="s">
        <v>732</v>
      </c>
      <c r="I196" s="540" t="e">
        <f>+D40+D49</f>
        <v>#VALUE!</v>
      </c>
      <c r="J196" s="540">
        <v>1738665546</v>
      </c>
      <c r="K196" s="540">
        <v>869332773</v>
      </c>
      <c r="L196" s="539" t="s">
        <v>4165</v>
      </c>
      <c r="M196" s="540">
        <v>0</v>
      </c>
    </row>
    <row r="197" spans="1:13" ht="32" x14ac:dyDescent="0.2">
      <c r="A197" s="539" t="s">
        <v>777</v>
      </c>
      <c r="B197" s="540">
        <v>58</v>
      </c>
      <c r="C197" s="539" t="s">
        <v>4162</v>
      </c>
      <c r="D197" s="539" t="s">
        <v>3064</v>
      </c>
      <c r="E197" s="540">
        <v>1</v>
      </c>
      <c r="F197" s="539" t="s">
        <v>4201</v>
      </c>
      <c r="G197" s="540" t="e">
        <f>D5+1</f>
        <v>#VALUE!</v>
      </c>
      <c r="H197" s="539" t="s">
        <v>4225</v>
      </c>
      <c r="I197" s="540">
        <f>+E40+E49</f>
        <v>3</v>
      </c>
      <c r="J197" s="540">
        <v>2515278436</v>
      </c>
      <c r="K197" s="540">
        <v>1257639218</v>
      </c>
      <c r="L197" s="539" t="s">
        <v>4165</v>
      </c>
      <c r="M197" s="540">
        <v>0</v>
      </c>
    </row>
    <row r="198" spans="1:13" ht="32" x14ac:dyDescent="0.2">
      <c r="A198" s="539" t="s">
        <v>777</v>
      </c>
      <c r="B198" s="540">
        <v>58</v>
      </c>
      <c r="C198" s="539" t="s">
        <v>4162</v>
      </c>
      <c r="D198" s="539" t="s">
        <v>3064</v>
      </c>
      <c r="E198" s="540">
        <v>2</v>
      </c>
      <c r="F198" s="539" t="s">
        <v>4202</v>
      </c>
      <c r="G198" s="540" t="e">
        <f>D5+1</f>
        <v>#VALUE!</v>
      </c>
      <c r="H198" s="539" t="s">
        <v>4225</v>
      </c>
      <c r="I198" s="540">
        <f>+E40+E49</f>
        <v>3</v>
      </c>
      <c r="J198" s="540">
        <v>2515278436</v>
      </c>
      <c r="K198" s="540">
        <v>1257639218</v>
      </c>
      <c r="L198" s="539" t="s">
        <v>4165</v>
      </c>
      <c r="M198" s="540">
        <v>0</v>
      </c>
    </row>
    <row r="199" spans="1:13" ht="32" x14ac:dyDescent="0.2">
      <c r="A199" s="539" t="s">
        <v>777</v>
      </c>
      <c r="B199" s="540">
        <v>63</v>
      </c>
      <c r="C199" s="539" t="s">
        <v>3215</v>
      </c>
      <c r="D199" s="539" t="s">
        <v>3059</v>
      </c>
      <c r="E199" s="540">
        <v>1</v>
      </c>
      <c r="F199" s="539" t="s">
        <v>4192</v>
      </c>
      <c r="G199" s="540">
        <f>'BALANCE SHEET'!C4</f>
        <v>2019</v>
      </c>
      <c r="H199" s="539" t="s">
        <v>4226</v>
      </c>
      <c r="I199" s="540" t="e">
        <f>+C26-C54</f>
        <v>#VALUE!</v>
      </c>
      <c r="J199" s="540">
        <v>7817274315</v>
      </c>
      <c r="K199" s="540">
        <v>3908637157.5</v>
      </c>
      <c r="L199" s="539" t="s">
        <v>4165</v>
      </c>
      <c r="M199" s="540">
        <v>0</v>
      </c>
    </row>
    <row r="200" spans="1:13" ht="32" x14ac:dyDescent="0.2">
      <c r="A200" s="539" t="s">
        <v>777</v>
      </c>
      <c r="B200" s="540">
        <v>63</v>
      </c>
      <c r="C200" s="539" t="s">
        <v>3215</v>
      </c>
      <c r="D200" s="539" t="s">
        <v>3059</v>
      </c>
      <c r="E200" s="540">
        <v>2</v>
      </c>
      <c r="F200" s="539" t="s">
        <v>4193</v>
      </c>
      <c r="G200" s="540">
        <f>'BALANCE SHEET'!C4</f>
        <v>2019</v>
      </c>
      <c r="H200" s="539" t="s">
        <v>4226</v>
      </c>
      <c r="I200" s="540" t="e">
        <f>+C26-C54</f>
        <v>#VALUE!</v>
      </c>
      <c r="J200" s="540">
        <v>7817274315</v>
      </c>
      <c r="K200" s="540">
        <v>3908637157.5</v>
      </c>
      <c r="L200" s="539" t="s">
        <v>4165</v>
      </c>
      <c r="M200" s="540">
        <v>0</v>
      </c>
    </row>
    <row r="201" spans="1:13" ht="32" x14ac:dyDescent="0.2">
      <c r="A201" s="539" t="s">
        <v>777</v>
      </c>
      <c r="B201" s="540">
        <v>63</v>
      </c>
      <c r="C201" s="539" t="s">
        <v>3215</v>
      </c>
      <c r="D201" s="539" t="s">
        <v>3059</v>
      </c>
      <c r="E201" s="540">
        <v>1</v>
      </c>
      <c r="F201" s="539" t="s">
        <v>4192</v>
      </c>
      <c r="G201" s="540" t="e">
        <f>C5+1</f>
        <v>#VALUE!</v>
      </c>
      <c r="H201" s="539" t="s">
        <v>4227</v>
      </c>
      <c r="I201" s="540" t="e">
        <f>+D26-D54</f>
        <v>#VALUE!</v>
      </c>
      <c r="J201" s="540">
        <v>7817274315</v>
      </c>
      <c r="K201" s="540">
        <v>3908637157.5</v>
      </c>
      <c r="L201" s="539" t="s">
        <v>4165</v>
      </c>
      <c r="M201" s="540">
        <v>0</v>
      </c>
    </row>
    <row r="202" spans="1:13" ht="32" x14ac:dyDescent="0.2">
      <c r="A202" s="539" t="s">
        <v>777</v>
      </c>
      <c r="B202" s="540">
        <v>63</v>
      </c>
      <c r="C202" s="539" t="s">
        <v>3215</v>
      </c>
      <c r="D202" s="539" t="s">
        <v>3059</v>
      </c>
      <c r="E202" s="540">
        <v>2</v>
      </c>
      <c r="F202" s="539" t="s">
        <v>4193</v>
      </c>
      <c r="G202" s="540" t="e">
        <f>C5+1</f>
        <v>#VALUE!</v>
      </c>
      <c r="H202" s="539" t="s">
        <v>4227</v>
      </c>
      <c r="I202" s="540" t="e">
        <f>+D26-D54</f>
        <v>#VALUE!</v>
      </c>
      <c r="J202" s="540">
        <v>7817274315</v>
      </c>
      <c r="K202" s="540">
        <v>3908637157.5</v>
      </c>
      <c r="L202" s="539" t="s">
        <v>4165</v>
      </c>
      <c r="M202" s="540">
        <v>0</v>
      </c>
    </row>
    <row r="203" spans="1:13" ht="32" x14ac:dyDescent="0.2">
      <c r="A203" s="539" t="s">
        <v>777</v>
      </c>
      <c r="B203" s="540">
        <v>63</v>
      </c>
      <c r="C203" s="539" t="s">
        <v>3215</v>
      </c>
      <c r="D203" s="539" t="s">
        <v>3059</v>
      </c>
      <c r="E203" s="540">
        <v>1</v>
      </c>
      <c r="F203" s="539" t="s">
        <v>4192</v>
      </c>
      <c r="G203" s="540" t="e">
        <f>D5+1</f>
        <v>#VALUE!</v>
      </c>
      <c r="H203" s="539" t="s">
        <v>4228</v>
      </c>
      <c r="I203" s="540">
        <f>+E26-E54</f>
        <v>2</v>
      </c>
      <c r="J203" s="540">
        <v>7817274315</v>
      </c>
      <c r="K203" s="540">
        <v>3908637157.5</v>
      </c>
      <c r="L203" s="539" t="s">
        <v>4165</v>
      </c>
      <c r="M203" s="540">
        <v>0</v>
      </c>
    </row>
    <row r="204" spans="1:13" ht="32" x14ac:dyDescent="0.2">
      <c r="A204" s="539" t="s">
        <v>777</v>
      </c>
      <c r="B204" s="540">
        <v>63</v>
      </c>
      <c r="C204" s="539" t="s">
        <v>3215</v>
      </c>
      <c r="D204" s="539" t="s">
        <v>3059</v>
      </c>
      <c r="E204" s="540">
        <v>2</v>
      </c>
      <c r="F204" s="539" t="s">
        <v>4193</v>
      </c>
      <c r="G204" s="540" t="e">
        <f>D5+1</f>
        <v>#VALUE!</v>
      </c>
      <c r="H204" s="539" t="s">
        <v>4228</v>
      </c>
      <c r="I204" s="540">
        <f>+E26-E54</f>
        <v>2</v>
      </c>
      <c r="J204" s="540">
        <v>7817274315</v>
      </c>
      <c r="K204" s="540">
        <v>3908637157.5</v>
      </c>
      <c r="L204" s="539" t="s">
        <v>4165</v>
      </c>
      <c r="M204" s="540">
        <v>0</v>
      </c>
    </row>
    <row r="205" spans="1:13" ht="32" x14ac:dyDescent="0.2">
      <c r="A205" s="539" t="s">
        <v>777</v>
      </c>
      <c r="B205" s="540">
        <v>64</v>
      </c>
      <c r="C205" s="539" t="s">
        <v>3216</v>
      </c>
      <c r="D205" s="539" t="s">
        <v>3061</v>
      </c>
      <c r="E205" s="540">
        <v>1</v>
      </c>
      <c r="F205" s="539" t="s">
        <v>4195</v>
      </c>
      <c r="G205" s="540">
        <f>'BALANCE SHEET'!C4</f>
        <v>2019</v>
      </c>
      <c r="H205" s="539" t="s">
        <v>4229</v>
      </c>
      <c r="I205" s="540" t="e">
        <f>+C27-C55</f>
        <v>#VALUE!</v>
      </c>
      <c r="J205" s="540">
        <v>408626524</v>
      </c>
      <c r="K205" s="540">
        <v>102156631</v>
      </c>
      <c r="L205" s="539" t="s">
        <v>4165</v>
      </c>
      <c r="M205" s="540">
        <v>0</v>
      </c>
    </row>
    <row r="206" spans="1:13" ht="32" x14ac:dyDescent="0.2">
      <c r="A206" s="539" t="s">
        <v>777</v>
      </c>
      <c r="B206" s="540">
        <v>64</v>
      </c>
      <c r="C206" s="539" t="s">
        <v>3216</v>
      </c>
      <c r="D206" s="539" t="s">
        <v>3061</v>
      </c>
      <c r="E206" s="540">
        <v>2</v>
      </c>
      <c r="F206" s="539" t="s">
        <v>4196</v>
      </c>
      <c r="G206" s="540">
        <f>'BALANCE SHEET'!C4</f>
        <v>2019</v>
      </c>
      <c r="H206" s="539" t="s">
        <v>4229</v>
      </c>
      <c r="I206" s="540" t="e">
        <f>+C27-C55</f>
        <v>#VALUE!</v>
      </c>
      <c r="J206" s="540">
        <v>408626524</v>
      </c>
      <c r="K206" s="540">
        <v>102156631</v>
      </c>
      <c r="L206" s="539" t="s">
        <v>4165</v>
      </c>
      <c r="M206" s="540">
        <v>0</v>
      </c>
    </row>
    <row r="207" spans="1:13" ht="32" x14ac:dyDescent="0.2">
      <c r="A207" s="539" t="s">
        <v>777</v>
      </c>
      <c r="B207" s="540">
        <v>64</v>
      </c>
      <c r="C207" s="539" t="s">
        <v>3216</v>
      </c>
      <c r="D207" s="539" t="s">
        <v>3061</v>
      </c>
      <c r="E207" s="540">
        <v>3</v>
      </c>
      <c r="F207" s="539" t="s">
        <v>4197</v>
      </c>
      <c r="G207" s="540">
        <f>'BALANCE SHEET'!C4</f>
        <v>2019</v>
      </c>
      <c r="H207" s="539" t="s">
        <v>4229</v>
      </c>
      <c r="I207" s="540" t="e">
        <f>+C27-C55</f>
        <v>#VALUE!</v>
      </c>
      <c r="J207" s="540">
        <v>408626524</v>
      </c>
      <c r="K207" s="540">
        <v>102156631</v>
      </c>
      <c r="L207" s="539" t="s">
        <v>4165</v>
      </c>
      <c r="M207" s="540">
        <v>0</v>
      </c>
    </row>
    <row r="208" spans="1:13" ht="32" x14ac:dyDescent="0.2">
      <c r="A208" s="539" t="s">
        <v>777</v>
      </c>
      <c r="B208" s="540">
        <v>64</v>
      </c>
      <c r="C208" s="539" t="s">
        <v>3216</v>
      </c>
      <c r="D208" s="539" t="s">
        <v>3061</v>
      </c>
      <c r="E208" s="540">
        <v>4</v>
      </c>
      <c r="F208" s="539" t="s">
        <v>4198</v>
      </c>
      <c r="G208" s="540">
        <f>'BALANCE SHEET'!C4</f>
        <v>2019</v>
      </c>
      <c r="H208" s="539" t="s">
        <v>4229</v>
      </c>
      <c r="I208" s="540" t="e">
        <f>+C27-C55</f>
        <v>#VALUE!</v>
      </c>
      <c r="J208" s="540">
        <v>408626524</v>
      </c>
      <c r="K208" s="540">
        <v>102156631</v>
      </c>
      <c r="L208" s="539" t="s">
        <v>4165</v>
      </c>
      <c r="M208" s="540">
        <v>0</v>
      </c>
    </row>
    <row r="209" spans="1:13" ht="32" x14ac:dyDescent="0.2">
      <c r="A209" s="539" t="s">
        <v>777</v>
      </c>
      <c r="B209" s="540">
        <v>64</v>
      </c>
      <c r="C209" s="539" t="s">
        <v>3216</v>
      </c>
      <c r="D209" s="539" t="s">
        <v>3061</v>
      </c>
      <c r="E209" s="540">
        <v>1</v>
      </c>
      <c r="F209" s="539" t="s">
        <v>4195</v>
      </c>
      <c r="G209" s="540" t="e">
        <f>C5+1</f>
        <v>#VALUE!</v>
      </c>
      <c r="H209" s="539" t="s">
        <v>4230</v>
      </c>
      <c r="I209" s="540" t="e">
        <f>+D27-D55</f>
        <v>#VALUE!</v>
      </c>
      <c r="J209" s="540">
        <v>376792768</v>
      </c>
      <c r="K209" s="540">
        <v>94198192</v>
      </c>
      <c r="L209" s="539" t="s">
        <v>4165</v>
      </c>
      <c r="M209" s="540">
        <v>0</v>
      </c>
    </row>
    <row r="210" spans="1:13" ht="32" x14ac:dyDescent="0.2">
      <c r="A210" s="539" t="s">
        <v>777</v>
      </c>
      <c r="B210" s="540">
        <v>64</v>
      </c>
      <c r="C210" s="539" t="s">
        <v>3216</v>
      </c>
      <c r="D210" s="539" t="s">
        <v>3061</v>
      </c>
      <c r="E210" s="540">
        <v>2</v>
      </c>
      <c r="F210" s="539" t="s">
        <v>4196</v>
      </c>
      <c r="G210" s="540" t="e">
        <f>C5+1</f>
        <v>#VALUE!</v>
      </c>
      <c r="H210" s="539" t="s">
        <v>4230</v>
      </c>
      <c r="I210" s="540" t="e">
        <f>+D27-D55</f>
        <v>#VALUE!</v>
      </c>
      <c r="J210" s="540">
        <v>376792768</v>
      </c>
      <c r="K210" s="540">
        <v>94198192</v>
      </c>
      <c r="L210" s="539" t="s">
        <v>4165</v>
      </c>
      <c r="M210" s="540">
        <v>0</v>
      </c>
    </row>
    <row r="211" spans="1:13" ht="32" x14ac:dyDescent="0.2">
      <c r="A211" s="539" t="s">
        <v>777</v>
      </c>
      <c r="B211" s="540">
        <v>64</v>
      </c>
      <c r="C211" s="539" t="s">
        <v>3216</v>
      </c>
      <c r="D211" s="539" t="s">
        <v>3061</v>
      </c>
      <c r="E211" s="540">
        <v>3</v>
      </c>
      <c r="F211" s="539" t="s">
        <v>4197</v>
      </c>
      <c r="G211" s="540" t="e">
        <f>C5+1</f>
        <v>#VALUE!</v>
      </c>
      <c r="H211" s="539" t="s">
        <v>4230</v>
      </c>
      <c r="I211" s="540" t="e">
        <f>+D27-D55</f>
        <v>#VALUE!</v>
      </c>
      <c r="J211" s="540">
        <v>376792768</v>
      </c>
      <c r="K211" s="540">
        <v>94198192</v>
      </c>
      <c r="L211" s="539" t="s">
        <v>4165</v>
      </c>
      <c r="M211" s="540">
        <v>0</v>
      </c>
    </row>
    <row r="212" spans="1:13" ht="32" x14ac:dyDescent="0.2">
      <c r="A212" s="539" t="s">
        <v>777</v>
      </c>
      <c r="B212" s="540">
        <v>64</v>
      </c>
      <c r="C212" s="539" t="s">
        <v>3216</v>
      </c>
      <c r="D212" s="539" t="s">
        <v>3061</v>
      </c>
      <c r="E212" s="540">
        <v>4</v>
      </c>
      <c r="F212" s="539" t="s">
        <v>4198</v>
      </c>
      <c r="G212" s="540" t="e">
        <f>C5+1</f>
        <v>#VALUE!</v>
      </c>
      <c r="H212" s="539" t="s">
        <v>4230</v>
      </c>
      <c r="I212" s="540" t="e">
        <f>+D27-D55</f>
        <v>#VALUE!</v>
      </c>
      <c r="J212" s="540">
        <v>376792768</v>
      </c>
      <c r="K212" s="540">
        <v>94198192</v>
      </c>
      <c r="L212" s="539" t="s">
        <v>4165</v>
      </c>
      <c r="M212" s="540">
        <v>0</v>
      </c>
    </row>
    <row r="213" spans="1:13" ht="32" x14ac:dyDescent="0.2">
      <c r="A213" s="539" t="s">
        <v>777</v>
      </c>
      <c r="B213" s="540">
        <v>64</v>
      </c>
      <c r="C213" s="539" t="s">
        <v>3216</v>
      </c>
      <c r="D213" s="539" t="s">
        <v>3061</v>
      </c>
      <c r="E213" s="540">
        <v>1</v>
      </c>
      <c r="F213" s="539" t="s">
        <v>4195</v>
      </c>
      <c r="G213" s="540" t="e">
        <f>D5+1</f>
        <v>#VALUE!</v>
      </c>
      <c r="H213" s="539" t="s">
        <v>4231</v>
      </c>
      <c r="I213" s="540">
        <f>+E27-E55</f>
        <v>-2</v>
      </c>
      <c r="J213" s="540">
        <v>340568087</v>
      </c>
      <c r="K213" s="540">
        <v>85142021.75</v>
      </c>
      <c r="L213" s="539" t="s">
        <v>4165</v>
      </c>
      <c r="M213" s="540">
        <v>0</v>
      </c>
    </row>
    <row r="214" spans="1:13" ht="32" x14ac:dyDescent="0.2">
      <c r="A214" s="539" t="s">
        <v>777</v>
      </c>
      <c r="B214" s="540">
        <v>64</v>
      </c>
      <c r="C214" s="539" t="s">
        <v>3216</v>
      </c>
      <c r="D214" s="539" t="s">
        <v>3061</v>
      </c>
      <c r="E214" s="540">
        <v>2</v>
      </c>
      <c r="F214" s="539" t="s">
        <v>4196</v>
      </c>
      <c r="G214" s="540" t="e">
        <f>D5+1</f>
        <v>#VALUE!</v>
      </c>
      <c r="H214" s="539" t="s">
        <v>4231</v>
      </c>
      <c r="I214" s="540">
        <f>+E27-E55</f>
        <v>-2</v>
      </c>
      <c r="J214" s="540">
        <v>340568087</v>
      </c>
      <c r="K214" s="540">
        <v>85142021.75</v>
      </c>
      <c r="L214" s="539" t="s">
        <v>4165</v>
      </c>
      <c r="M214" s="540">
        <v>0</v>
      </c>
    </row>
    <row r="215" spans="1:13" ht="32" x14ac:dyDescent="0.2">
      <c r="A215" s="539" t="s">
        <v>777</v>
      </c>
      <c r="B215" s="540">
        <v>64</v>
      </c>
      <c r="C215" s="539" t="s">
        <v>3216</v>
      </c>
      <c r="D215" s="539" t="s">
        <v>3061</v>
      </c>
      <c r="E215" s="540">
        <v>3</v>
      </c>
      <c r="F215" s="539" t="s">
        <v>4197</v>
      </c>
      <c r="G215" s="540" t="e">
        <f>D5+1</f>
        <v>#VALUE!</v>
      </c>
      <c r="H215" s="539" t="s">
        <v>4231</v>
      </c>
      <c r="I215" s="540">
        <f>+E27-E55</f>
        <v>-2</v>
      </c>
      <c r="J215" s="540">
        <v>340568087</v>
      </c>
      <c r="K215" s="540">
        <v>85142021.75</v>
      </c>
      <c r="L215" s="539" t="s">
        <v>4165</v>
      </c>
      <c r="M215" s="540">
        <v>0</v>
      </c>
    </row>
    <row r="216" spans="1:13" ht="32" x14ac:dyDescent="0.2">
      <c r="A216" s="539" t="s">
        <v>777</v>
      </c>
      <c r="B216" s="540">
        <v>64</v>
      </c>
      <c r="C216" s="539" t="s">
        <v>3216</v>
      </c>
      <c r="D216" s="539" t="s">
        <v>3061</v>
      </c>
      <c r="E216" s="540">
        <v>4</v>
      </c>
      <c r="F216" s="539" t="s">
        <v>4198</v>
      </c>
      <c r="G216" s="540" t="e">
        <f>D5+1</f>
        <v>#VALUE!</v>
      </c>
      <c r="H216" s="539" t="s">
        <v>4231</v>
      </c>
      <c r="I216" s="540">
        <f>+E27-E55</f>
        <v>-2</v>
      </c>
      <c r="J216" s="540">
        <v>340568087</v>
      </c>
      <c r="K216" s="540">
        <v>85142021.75</v>
      </c>
      <c r="L216" s="539" t="s">
        <v>4165</v>
      </c>
      <c r="M216" s="540">
        <v>0</v>
      </c>
    </row>
    <row r="217" spans="1:13" ht="32" x14ac:dyDescent="0.2">
      <c r="A217" s="539" t="s">
        <v>777</v>
      </c>
      <c r="B217" s="540">
        <v>66</v>
      </c>
      <c r="C217" s="539" t="s">
        <v>4160</v>
      </c>
      <c r="D217" s="539" t="s">
        <v>3063</v>
      </c>
      <c r="E217" s="540">
        <v>1</v>
      </c>
      <c r="F217" s="539" t="s">
        <v>4199</v>
      </c>
      <c r="G217" s="540">
        <f>'BALANCE SHEET'!C4</f>
        <v>2019</v>
      </c>
      <c r="H217" s="539" t="s">
        <v>4232</v>
      </c>
      <c r="I217" s="540" t="e">
        <f>+C29-C57</f>
        <v>#VALUE!</v>
      </c>
      <c r="J217" s="540">
        <v>422495307</v>
      </c>
      <c r="K217" s="540">
        <v>211247653.5</v>
      </c>
      <c r="L217" s="539" t="s">
        <v>4165</v>
      </c>
      <c r="M217" s="540">
        <v>0</v>
      </c>
    </row>
    <row r="218" spans="1:13" ht="32" x14ac:dyDescent="0.2">
      <c r="A218" s="539" t="s">
        <v>777</v>
      </c>
      <c r="B218" s="540">
        <v>66</v>
      </c>
      <c r="C218" s="539" t="s">
        <v>4160</v>
      </c>
      <c r="D218" s="539" t="s">
        <v>3063</v>
      </c>
      <c r="E218" s="540">
        <v>2</v>
      </c>
      <c r="F218" s="539" t="s">
        <v>4200</v>
      </c>
      <c r="G218" s="540">
        <f>'BALANCE SHEET'!C4</f>
        <v>2019</v>
      </c>
      <c r="H218" s="539" t="s">
        <v>4232</v>
      </c>
      <c r="I218" s="540" t="e">
        <f>+C29-C57</f>
        <v>#VALUE!</v>
      </c>
      <c r="J218" s="540">
        <v>422495307</v>
      </c>
      <c r="K218" s="540">
        <v>211247653.5</v>
      </c>
      <c r="L218" s="539" t="s">
        <v>4165</v>
      </c>
      <c r="M218" s="540">
        <v>0</v>
      </c>
    </row>
    <row r="219" spans="1:13" ht="32" x14ac:dyDescent="0.2">
      <c r="A219" s="539" t="s">
        <v>777</v>
      </c>
      <c r="B219" s="540">
        <v>66</v>
      </c>
      <c r="C219" s="539" t="s">
        <v>4160</v>
      </c>
      <c r="D219" s="539" t="s">
        <v>3063</v>
      </c>
      <c r="E219" s="540">
        <v>1</v>
      </c>
      <c r="F219" s="539" t="s">
        <v>4199</v>
      </c>
      <c r="G219" s="540" t="e">
        <f>C5+1</f>
        <v>#VALUE!</v>
      </c>
      <c r="H219" s="539" t="s">
        <v>4233</v>
      </c>
      <c r="I219" s="540" t="e">
        <f>+D29-D57</f>
        <v>#VALUE!</v>
      </c>
      <c r="J219" s="540">
        <v>381624383</v>
      </c>
      <c r="K219" s="540">
        <v>190812191.5</v>
      </c>
      <c r="L219" s="539" t="s">
        <v>4165</v>
      </c>
      <c r="M219" s="540">
        <v>0</v>
      </c>
    </row>
    <row r="220" spans="1:13" ht="32" x14ac:dyDescent="0.2">
      <c r="A220" s="539" t="s">
        <v>777</v>
      </c>
      <c r="B220" s="540">
        <v>66</v>
      </c>
      <c r="C220" s="539" t="s">
        <v>4160</v>
      </c>
      <c r="D220" s="539" t="s">
        <v>3063</v>
      </c>
      <c r="E220" s="540">
        <v>2</v>
      </c>
      <c r="F220" s="539" t="s">
        <v>4200</v>
      </c>
      <c r="G220" s="540" t="e">
        <f>C5+1</f>
        <v>#VALUE!</v>
      </c>
      <c r="H220" s="539" t="s">
        <v>4233</v>
      </c>
      <c r="I220" s="540" t="e">
        <f>+D29-D57</f>
        <v>#VALUE!</v>
      </c>
      <c r="J220" s="540">
        <v>381624383</v>
      </c>
      <c r="K220" s="540">
        <v>190812191.5</v>
      </c>
      <c r="L220" s="539" t="s">
        <v>4165</v>
      </c>
      <c r="M220" s="540">
        <v>0</v>
      </c>
    </row>
    <row r="221" spans="1:13" ht="32" x14ac:dyDescent="0.2">
      <c r="A221" s="539" t="s">
        <v>777</v>
      </c>
      <c r="B221" s="540">
        <v>66</v>
      </c>
      <c r="C221" s="539" t="s">
        <v>4160</v>
      </c>
      <c r="D221" s="539" t="s">
        <v>3063</v>
      </c>
      <c r="E221" s="540">
        <v>1</v>
      </c>
      <c r="F221" s="539" t="s">
        <v>4199</v>
      </c>
      <c r="G221" s="540" t="e">
        <f>D5+1</f>
        <v>#VALUE!</v>
      </c>
      <c r="H221" s="539" t="s">
        <v>4234</v>
      </c>
      <c r="I221" s="540">
        <f>+E29-E57</f>
        <v>0</v>
      </c>
      <c r="J221" s="540">
        <v>223283816</v>
      </c>
      <c r="K221" s="540">
        <v>111641908</v>
      </c>
      <c r="L221" s="539" t="s">
        <v>4165</v>
      </c>
      <c r="M221" s="540">
        <v>0</v>
      </c>
    </row>
    <row r="222" spans="1:13" ht="32" x14ac:dyDescent="0.2">
      <c r="A222" s="539" t="s">
        <v>777</v>
      </c>
      <c r="B222" s="540">
        <v>66</v>
      </c>
      <c r="C222" s="539" t="s">
        <v>4160</v>
      </c>
      <c r="D222" s="539" t="s">
        <v>3063</v>
      </c>
      <c r="E222" s="540">
        <v>2</v>
      </c>
      <c r="F222" s="539" t="s">
        <v>4200</v>
      </c>
      <c r="G222" s="540" t="e">
        <f>D5+1</f>
        <v>#VALUE!</v>
      </c>
      <c r="H222" s="539" t="s">
        <v>4234</v>
      </c>
      <c r="I222" s="540">
        <f>+E29-E57</f>
        <v>0</v>
      </c>
      <c r="J222" s="540">
        <v>223283816</v>
      </c>
      <c r="K222" s="540">
        <v>111641908</v>
      </c>
      <c r="L222" s="539" t="s">
        <v>4165</v>
      </c>
      <c r="M222" s="540">
        <v>0</v>
      </c>
    </row>
    <row r="223" spans="1:13" ht="32" x14ac:dyDescent="0.2">
      <c r="A223" s="539" t="s">
        <v>777</v>
      </c>
      <c r="B223" s="540">
        <v>67</v>
      </c>
      <c r="C223" s="539" t="s">
        <v>4162</v>
      </c>
      <c r="D223" s="539" t="s">
        <v>3064</v>
      </c>
      <c r="E223" s="540">
        <v>1</v>
      </c>
      <c r="F223" s="539" t="s">
        <v>4201</v>
      </c>
      <c r="G223" s="540">
        <f>'BALANCE SHEET'!C4</f>
        <v>2019</v>
      </c>
      <c r="H223" s="539" t="s">
        <v>4235</v>
      </c>
      <c r="I223" s="540" t="e">
        <f>+C30-C58</f>
        <v>#VALUE!</v>
      </c>
      <c r="J223" s="540">
        <v>9294401660</v>
      </c>
      <c r="K223" s="540">
        <v>4647200830</v>
      </c>
      <c r="L223" s="539" t="s">
        <v>4165</v>
      </c>
      <c r="M223" s="540">
        <v>0</v>
      </c>
    </row>
    <row r="224" spans="1:13" ht="32" x14ac:dyDescent="0.2">
      <c r="A224" s="539" t="s">
        <v>777</v>
      </c>
      <c r="B224" s="540">
        <v>67</v>
      </c>
      <c r="C224" s="539" t="s">
        <v>4162</v>
      </c>
      <c r="D224" s="539" t="s">
        <v>3064</v>
      </c>
      <c r="E224" s="540">
        <v>2</v>
      </c>
      <c r="F224" s="539" t="s">
        <v>4202</v>
      </c>
      <c r="G224" s="540">
        <f>'BALANCE SHEET'!C4</f>
        <v>2019</v>
      </c>
      <c r="H224" s="539" t="s">
        <v>4235</v>
      </c>
      <c r="I224" s="540" t="e">
        <f>+C30-C58</f>
        <v>#VALUE!</v>
      </c>
      <c r="J224" s="540">
        <v>9294401660</v>
      </c>
      <c r="K224" s="540">
        <v>4647200830</v>
      </c>
      <c r="L224" s="539" t="s">
        <v>4165</v>
      </c>
      <c r="M224" s="540">
        <v>0</v>
      </c>
    </row>
    <row r="225" spans="1:13" ht="32" x14ac:dyDescent="0.2">
      <c r="A225" s="539" t="s">
        <v>777</v>
      </c>
      <c r="B225" s="540">
        <v>67</v>
      </c>
      <c r="C225" s="539" t="s">
        <v>4162</v>
      </c>
      <c r="D225" s="539" t="s">
        <v>3064</v>
      </c>
      <c r="E225" s="540">
        <v>1</v>
      </c>
      <c r="F225" s="539" t="s">
        <v>4201</v>
      </c>
      <c r="G225" s="540" t="e">
        <f>C5+1</f>
        <v>#VALUE!</v>
      </c>
      <c r="H225" s="539" t="s">
        <v>4236</v>
      </c>
      <c r="I225" s="540" t="e">
        <f>+D30-D58</f>
        <v>#VALUE!</v>
      </c>
      <c r="J225" s="540">
        <v>8406844064</v>
      </c>
      <c r="K225" s="540">
        <v>4203422032</v>
      </c>
      <c r="L225" s="539" t="s">
        <v>4165</v>
      </c>
      <c r="M225" s="540">
        <v>0</v>
      </c>
    </row>
    <row r="226" spans="1:13" ht="32" x14ac:dyDescent="0.2">
      <c r="A226" s="539" t="s">
        <v>777</v>
      </c>
      <c r="B226" s="540">
        <v>67</v>
      </c>
      <c r="C226" s="539" t="s">
        <v>4162</v>
      </c>
      <c r="D226" s="539" t="s">
        <v>3064</v>
      </c>
      <c r="E226" s="540">
        <v>2</v>
      </c>
      <c r="F226" s="539" t="s">
        <v>4202</v>
      </c>
      <c r="G226" s="540" t="e">
        <f>C5+1</f>
        <v>#VALUE!</v>
      </c>
      <c r="H226" s="539" t="s">
        <v>4236</v>
      </c>
      <c r="I226" s="540" t="e">
        <f>+D30-D58</f>
        <v>#VALUE!</v>
      </c>
      <c r="J226" s="540">
        <v>8406844064</v>
      </c>
      <c r="K226" s="540">
        <v>4203422032</v>
      </c>
      <c r="L226" s="539" t="s">
        <v>4165</v>
      </c>
      <c r="M226" s="540">
        <v>0</v>
      </c>
    </row>
    <row r="227" spans="1:13" ht="32" x14ac:dyDescent="0.2">
      <c r="A227" s="539" t="s">
        <v>777</v>
      </c>
      <c r="B227" s="540">
        <v>67</v>
      </c>
      <c r="C227" s="539" t="s">
        <v>4162</v>
      </c>
      <c r="D227" s="539" t="s">
        <v>3064</v>
      </c>
      <c r="E227" s="540">
        <v>1</v>
      </c>
      <c r="F227" s="539" t="s">
        <v>4201</v>
      </c>
      <c r="G227" s="540" t="e">
        <f>D5+1</f>
        <v>#VALUE!</v>
      </c>
      <c r="H227" s="539" t="s">
        <v>4237</v>
      </c>
      <c r="I227" s="540">
        <f>+E30-E58</f>
        <v>0</v>
      </c>
      <c r="J227" s="540">
        <v>7630231174</v>
      </c>
      <c r="K227" s="540">
        <v>3815115587</v>
      </c>
      <c r="L227" s="539" t="s">
        <v>4165</v>
      </c>
      <c r="M227" s="540">
        <v>0</v>
      </c>
    </row>
    <row r="228" spans="1:13" ht="32" x14ac:dyDescent="0.2">
      <c r="A228" s="539" t="s">
        <v>777</v>
      </c>
      <c r="B228" s="540">
        <v>67</v>
      </c>
      <c r="C228" s="539" t="s">
        <v>4162</v>
      </c>
      <c r="D228" s="539" t="s">
        <v>3064</v>
      </c>
      <c r="E228" s="540">
        <v>2</v>
      </c>
      <c r="F228" s="539" t="s">
        <v>4202</v>
      </c>
      <c r="G228" s="540" t="e">
        <f>D5+1</f>
        <v>#VALUE!</v>
      </c>
      <c r="H228" s="539" t="s">
        <v>4237</v>
      </c>
      <c r="I228" s="540">
        <f>+E30-E58</f>
        <v>0</v>
      </c>
      <c r="J228" s="540">
        <v>7630231174</v>
      </c>
      <c r="K228" s="540">
        <v>3815115587</v>
      </c>
      <c r="L228" s="539" t="s">
        <v>4165</v>
      </c>
      <c r="M228" s="540">
        <v>0</v>
      </c>
    </row>
    <row r="229" spans="1:13" ht="16" x14ac:dyDescent="0.2">
      <c r="A229" s="539" t="s">
        <v>53</v>
      </c>
      <c r="B229" s="540">
        <v>8</v>
      </c>
      <c r="C229" s="539" t="s">
        <v>3406</v>
      </c>
      <c r="D229" s="539" t="s">
        <v>3084</v>
      </c>
      <c r="E229" s="540">
        <v>1</v>
      </c>
      <c r="F229" s="539" t="s">
        <v>4169</v>
      </c>
      <c r="G229" s="540" t="e">
        <f>D4-1</f>
        <v>#VALUE!</v>
      </c>
      <c r="H229" s="539" t="s">
        <v>210</v>
      </c>
      <c r="I229" s="539"/>
      <c r="J229" s="540">
        <v>44887819</v>
      </c>
      <c r="K229" s="540">
        <v>22443909.5</v>
      </c>
      <c r="L229" s="539" t="s">
        <v>4164</v>
      </c>
      <c r="M229" s="540">
        <v>0</v>
      </c>
    </row>
    <row r="230" spans="1:13" ht="16" x14ac:dyDescent="0.2">
      <c r="A230" s="539" t="s">
        <v>53</v>
      </c>
      <c r="B230" s="540">
        <v>8</v>
      </c>
      <c r="C230" s="539" t="s">
        <v>3406</v>
      </c>
      <c r="D230" s="539" t="s">
        <v>3084</v>
      </c>
      <c r="E230" s="540">
        <v>2</v>
      </c>
      <c r="F230" s="539" t="s">
        <v>4169</v>
      </c>
      <c r="G230" s="540" t="e">
        <f>D4-1</f>
        <v>#VALUE!</v>
      </c>
      <c r="H230" s="539" t="s">
        <v>210</v>
      </c>
      <c r="I230" s="539"/>
      <c r="J230" s="540">
        <v>44887819</v>
      </c>
      <c r="K230" s="540">
        <v>22443909.5</v>
      </c>
      <c r="L230" s="539" t="s">
        <v>4164</v>
      </c>
      <c r="M230" s="540">
        <v>0</v>
      </c>
    </row>
    <row r="231" spans="1:13" ht="16" x14ac:dyDescent="0.2">
      <c r="A231" s="539" t="s">
        <v>53</v>
      </c>
      <c r="B231" s="540">
        <v>8</v>
      </c>
      <c r="C231" s="539" t="s">
        <v>3406</v>
      </c>
      <c r="D231" s="539" t="s">
        <v>3084</v>
      </c>
      <c r="E231" s="540">
        <v>1</v>
      </c>
      <c r="F231" s="539" t="s">
        <v>4169</v>
      </c>
      <c r="G231" s="540">
        <f>E4-1</f>
        <v>1</v>
      </c>
      <c r="H231" s="539" t="s">
        <v>215</v>
      </c>
      <c r="I231" s="540">
        <f>53472823+97995296</f>
        <v>151468119</v>
      </c>
      <c r="J231" s="540">
        <v>151468119</v>
      </c>
      <c r="K231" s="540">
        <v>53472823</v>
      </c>
      <c r="L231" s="539" t="s">
        <v>4181</v>
      </c>
      <c r="M231" s="540">
        <v>0</v>
      </c>
    </row>
    <row r="232" spans="1:13" ht="16" x14ac:dyDescent="0.2">
      <c r="A232" s="539" t="s">
        <v>53</v>
      </c>
      <c r="B232" s="540">
        <v>8</v>
      </c>
      <c r="C232" s="539" t="s">
        <v>3406</v>
      </c>
      <c r="D232" s="539" t="s">
        <v>3084</v>
      </c>
      <c r="E232" s="540">
        <v>2</v>
      </c>
      <c r="F232" s="539" t="s">
        <v>4169</v>
      </c>
      <c r="G232" s="540">
        <f>E4-1</f>
        <v>1</v>
      </c>
      <c r="H232" s="539" t="s">
        <v>215</v>
      </c>
      <c r="I232" s="540">
        <f>53472823+97995296</f>
        <v>151468119</v>
      </c>
      <c r="J232" s="540">
        <v>151468119</v>
      </c>
      <c r="K232" s="540">
        <v>97995296</v>
      </c>
      <c r="L232" s="539" t="s">
        <v>4181</v>
      </c>
      <c r="M232" s="540">
        <v>0</v>
      </c>
    </row>
    <row r="233" spans="1:13" ht="16" x14ac:dyDescent="0.2">
      <c r="A233" s="539" t="s">
        <v>53</v>
      </c>
      <c r="B233" s="540">
        <v>8</v>
      </c>
      <c r="C233" s="539" t="s">
        <v>3406</v>
      </c>
      <c r="D233" s="539" t="s">
        <v>3084</v>
      </c>
      <c r="E233" s="540">
        <v>1</v>
      </c>
      <c r="F233" s="539" t="s">
        <v>4169</v>
      </c>
      <c r="G233" s="540">
        <f>YEAR(HOME!B20)</f>
        <v>2021</v>
      </c>
      <c r="H233" s="539" t="s">
        <v>218</v>
      </c>
      <c r="I233" s="540">
        <f>82771246+635077549</f>
        <v>717848795</v>
      </c>
      <c r="J233" s="540">
        <v>717848795</v>
      </c>
      <c r="K233" s="540">
        <v>82771246</v>
      </c>
      <c r="L233" s="539" t="s">
        <v>4181</v>
      </c>
      <c r="M233" s="540">
        <v>0</v>
      </c>
    </row>
    <row r="234" spans="1:13" ht="16" x14ac:dyDescent="0.2">
      <c r="A234" s="539" t="s">
        <v>53</v>
      </c>
      <c r="B234" s="540">
        <v>8</v>
      </c>
      <c r="C234" s="539" t="s">
        <v>3406</v>
      </c>
      <c r="D234" s="539" t="s">
        <v>3084</v>
      </c>
      <c r="E234" s="540">
        <v>2</v>
      </c>
      <c r="F234" s="539" t="s">
        <v>4169</v>
      </c>
      <c r="G234" s="540">
        <f>YEAR(HOME!B20)</f>
        <v>2021</v>
      </c>
      <c r="H234" s="539" t="s">
        <v>218</v>
      </c>
      <c r="I234" s="540">
        <f>82771246+635077549</f>
        <v>717848795</v>
      </c>
      <c r="J234" s="540">
        <v>717848795</v>
      </c>
      <c r="K234" s="540">
        <v>635077549</v>
      </c>
      <c r="L234" s="539" t="s">
        <v>4181</v>
      </c>
      <c r="M234" s="540">
        <v>0</v>
      </c>
    </row>
    <row r="235" spans="1:13" ht="32" x14ac:dyDescent="0.2">
      <c r="A235" s="539" t="s">
        <v>53</v>
      </c>
      <c r="B235" s="540">
        <v>9</v>
      </c>
      <c r="C235" s="539" t="s">
        <v>4170</v>
      </c>
      <c r="D235" s="539" t="s">
        <v>3085</v>
      </c>
      <c r="E235" s="540">
        <v>1</v>
      </c>
      <c r="F235" s="539" t="s">
        <v>4238</v>
      </c>
      <c r="G235" s="540" t="e">
        <f>D4-1</f>
        <v>#VALUE!</v>
      </c>
      <c r="H235" s="539" t="s">
        <v>221</v>
      </c>
      <c r="I235" s="539"/>
      <c r="J235" s="540">
        <v>374140018</v>
      </c>
      <c r="K235" s="540">
        <v>187070009</v>
      </c>
      <c r="L235" s="539" t="s">
        <v>4164</v>
      </c>
      <c r="M235" s="540">
        <v>0</v>
      </c>
    </row>
    <row r="236" spans="1:13" ht="32" x14ac:dyDescent="0.2">
      <c r="A236" s="539" t="s">
        <v>53</v>
      </c>
      <c r="B236" s="540">
        <v>9</v>
      </c>
      <c r="C236" s="539" t="s">
        <v>4170</v>
      </c>
      <c r="D236" s="539" t="s">
        <v>3085</v>
      </c>
      <c r="E236" s="540">
        <v>2</v>
      </c>
      <c r="F236" s="539" t="s">
        <v>4239</v>
      </c>
      <c r="G236" s="540" t="e">
        <f>D4-1</f>
        <v>#VALUE!</v>
      </c>
      <c r="H236" s="539" t="s">
        <v>221</v>
      </c>
      <c r="I236" s="539"/>
      <c r="J236" s="540">
        <v>374140018</v>
      </c>
      <c r="K236" s="540">
        <v>187070009</v>
      </c>
      <c r="L236" s="539" t="s">
        <v>4164</v>
      </c>
      <c r="M236" s="540">
        <v>0</v>
      </c>
    </row>
    <row r="237" spans="1:13" ht="32" x14ac:dyDescent="0.2">
      <c r="A237" s="539" t="s">
        <v>53</v>
      </c>
      <c r="B237" s="540">
        <v>9</v>
      </c>
      <c r="C237" s="539" t="s">
        <v>4170</v>
      </c>
      <c r="D237" s="539" t="s">
        <v>3085</v>
      </c>
      <c r="E237" s="540">
        <v>1</v>
      </c>
      <c r="F237" s="539" t="s">
        <v>4238</v>
      </c>
      <c r="G237" s="540">
        <f>E4-1</f>
        <v>1</v>
      </c>
      <c r="H237" s="539" t="s">
        <v>226</v>
      </c>
      <c r="I237" s="539"/>
      <c r="J237" s="540">
        <v>572440850</v>
      </c>
      <c r="K237" s="540">
        <v>286220425</v>
      </c>
      <c r="L237" s="539" t="s">
        <v>4164</v>
      </c>
      <c r="M237" s="540">
        <v>0</v>
      </c>
    </row>
    <row r="238" spans="1:13" ht="32" x14ac:dyDescent="0.2">
      <c r="A238" s="539" t="s">
        <v>53</v>
      </c>
      <c r="B238" s="540">
        <v>9</v>
      </c>
      <c r="C238" s="539" t="s">
        <v>4170</v>
      </c>
      <c r="D238" s="539" t="s">
        <v>3085</v>
      </c>
      <c r="E238" s="540">
        <v>2</v>
      </c>
      <c r="F238" s="539" t="s">
        <v>4239</v>
      </c>
      <c r="G238" s="540">
        <f>E4-1</f>
        <v>1</v>
      </c>
      <c r="H238" s="539" t="s">
        <v>226</v>
      </c>
      <c r="I238" s="539"/>
      <c r="J238" s="540">
        <v>572440850</v>
      </c>
      <c r="K238" s="540">
        <v>286220425</v>
      </c>
      <c r="L238" s="539" t="s">
        <v>4164</v>
      </c>
      <c r="M238" s="540">
        <v>0</v>
      </c>
    </row>
    <row r="239" spans="1:13" ht="32" x14ac:dyDescent="0.2">
      <c r="A239" s="539" t="s">
        <v>53</v>
      </c>
      <c r="B239" s="540">
        <v>9</v>
      </c>
      <c r="C239" s="539" t="s">
        <v>4170</v>
      </c>
      <c r="D239" s="539" t="s">
        <v>3085</v>
      </c>
      <c r="E239" s="540">
        <v>1</v>
      </c>
      <c r="F239" s="539" t="s">
        <v>4238</v>
      </c>
      <c r="G239" s="540">
        <f>YEAR(HOME!B20)</f>
        <v>2021</v>
      </c>
      <c r="H239" s="539" t="s">
        <v>229</v>
      </c>
      <c r="I239" s="539"/>
      <c r="J239" s="540">
        <v>337031731</v>
      </c>
      <c r="K239" s="540">
        <v>168515865.5</v>
      </c>
      <c r="L239" s="539" t="s">
        <v>4164</v>
      </c>
      <c r="M239" s="540">
        <v>0</v>
      </c>
    </row>
    <row r="240" spans="1:13" ht="32" x14ac:dyDescent="0.2">
      <c r="A240" s="539" t="s">
        <v>53</v>
      </c>
      <c r="B240" s="540">
        <v>9</v>
      </c>
      <c r="C240" s="539" t="s">
        <v>4170</v>
      </c>
      <c r="D240" s="539" t="s">
        <v>3085</v>
      </c>
      <c r="E240" s="540">
        <v>2</v>
      </c>
      <c r="F240" s="539" t="s">
        <v>4239</v>
      </c>
      <c r="G240" s="540">
        <f>YEAR(HOME!B20)</f>
        <v>2021</v>
      </c>
      <c r="H240" s="539" t="s">
        <v>229</v>
      </c>
      <c r="I240" s="539"/>
      <c r="J240" s="540">
        <v>337031731</v>
      </c>
      <c r="K240" s="540">
        <v>168515865.5</v>
      </c>
      <c r="L240" s="539" t="s">
        <v>4164</v>
      </c>
      <c r="M240" s="540">
        <v>0</v>
      </c>
    </row>
    <row r="241" spans="1:13" ht="48" x14ac:dyDescent="0.2">
      <c r="A241" s="539" t="s">
        <v>53</v>
      </c>
      <c r="B241" s="540">
        <v>32</v>
      </c>
      <c r="C241" s="539" t="s">
        <v>3419</v>
      </c>
      <c r="D241" s="539" t="s">
        <v>3099</v>
      </c>
      <c r="E241" s="540">
        <v>1</v>
      </c>
      <c r="F241" s="539" t="s">
        <v>4240</v>
      </c>
      <c r="G241" s="540" t="e">
        <f>D4-1</f>
        <v>#VALUE!</v>
      </c>
      <c r="H241" s="539" t="s">
        <v>676</v>
      </c>
      <c r="I241" s="540">
        <f>20499268+7791190+71113530</f>
        <v>99403988</v>
      </c>
      <c r="J241" s="540">
        <v>99403988</v>
      </c>
      <c r="K241" s="540">
        <v>20499268</v>
      </c>
      <c r="L241" s="539" t="s">
        <v>4178</v>
      </c>
      <c r="M241" s="540">
        <v>0</v>
      </c>
    </row>
    <row r="242" spans="1:13" ht="48" x14ac:dyDescent="0.2">
      <c r="A242" s="539" t="s">
        <v>53</v>
      </c>
      <c r="B242" s="540">
        <v>32</v>
      </c>
      <c r="C242" s="539" t="s">
        <v>3419</v>
      </c>
      <c r="D242" s="539" t="s">
        <v>3099</v>
      </c>
      <c r="E242" s="540">
        <v>2</v>
      </c>
      <c r="F242" s="539" t="s">
        <v>4241</v>
      </c>
      <c r="G242" s="540" t="e">
        <f>D4-1</f>
        <v>#VALUE!</v>
      </c>
      <c r="H242" s="539" t="s">
        <v>676</v>
      </c>
      <c r="I242" s="540">
        <f>20499268+7791190+71113530</f>
        <v>99403988</v>
      </c>
      <c r="J242" s="540">
        <v>99403988</v>
      </c>
      <c r="K242" s="540">
        <v>7791190</v>
      </c>
      <c r="L242" s="539" t="s">
        <v>4178</v>
      </c>
      <c r="M242" s="540">
        <v>0</v>
      </c>
    </row>
    <row r="243" spans="1:13" ht="48" x14ac:dyDescent="0.2">
      <c r="A243" s="539" t="s">
        <v>53</v>
      </c>
      <c r="B243" s="540">
        <v>32</v>
      </c>
      <c r="C243" s="539" t="s">
        <v>3419</v>
      </c>
      <c r="D243" s="539" t="s">
        <v>3099</v>
      </c>
      <c r="E243" s="540">
        <v>3</v>
      </c>
      <c r="F243" s="539" t="s">
        <v>4242</v>
      </c>
      <c r="G243" s="540" t="e">
        <f>D4-1</f>
        <v>#VALUE!</v>
      </c>
      <c r="H243" s="539" t="s">
        <v>676</v>
      </c>
      <c r="I243" s="540">
        <f>20499268+7791190+71113530</f>
        <v>99403988</v>
      </c>
      <c r="J243" s="540">
        <v>99403988</v>
      </c>
      <c r="K243" s="540">
        <v>71113530</v>
      </c>
      <c r="L243" s="539" t="s">
        <v>4178</v>
      </c>
      <c r="M243" s="540">
        <v>0</v>
      </c>
    </row>
    <row r="244" spans="1:13" ht="48" x14ac:dyDescent="0.2">
      <c r="A244" s="539" t="s">
        <v>53</v>
      </c>
      <c r="B244" s="540">
        <v>32</v>
      </c>
      <c r="C244" s="539" t="s">
        <v>3419</v>
      </c>
      <c r="D244" s="539" t="s">
        <v>3099</v>
      </c>
      <c r="E244" s="540">
        <v>4</v>
      </c>
      <c r="F244" s="539" t="s">
        <v>4243</v>
      </c>
      <c r="G244" s="540" t="e">
        <f>D4-1</f>
        <v>#VALUE!</v>
      </c>
      <c r="H244" s="539" t="s">
        <v>676</v>
      </c>
      <c r="I244" s="540">
        <f>20499268+7791190+71113530</f>
        <v>99403988</v>
      </c>
      <c r="J244" s="540">
        <v>99403988</v>
      </c>
      <c r="K244" s="540">
        <v>0</v>
      </c>
      <c r="L244" s="539" t="s">
        <v>4178</v>
      </c>
      <c r="M244" s="540">
        <v>0</v>
      </c>
    </row>
    <row r="245" spans="1:13" ht="48" x14ac:dyDescent="0.2">
      <c r="A245" s="539" t="s">
        <v>53</v>
      </c>
      <c r="B245" s="540">
        <v>32</v>
      </c>
      <c r="C245" s="539" t="s">
        <v>3419</v>
      </c>
      <c r="D245" s="539" t="s">
        <v>3099</v>
      </c>
      <c r="E245" s="540">
        <v>5</v>
      </c>
      <c r="F245" s="539" t="s">
        <v>4244</v>
      </c>
      <c r="G245" s="540" t="e">
        <f>D4-1</f>
        <v>#VALUE!</v>
      </c>
      <c r="H245" s="539" t="s">
        <v>676</v>
      </c>
      <c r="I245" s="540">
        <f>20499268+7791190+71113530</f>
        <v>99403988</v>
      </c>
      <c r="J245" s="540">
        <v>99403988</v>
      </c>
      <c r="K245" s="540">
        <v>0</v>
      </c>
      <c r="L245" s="539" t="s">
        <v>4178</v>
      </c>
      <c r="M245" s="540">
        <v>0</v>
      </c>
    </row>
    <row r="246" spans="1:13" ht="48" x14ac:dyDescent="0.2">
      <c r="A246" s="539" t="s">
        <v>53</v>
      </c>
      <c r="B246" s="540">
        <v>32</v>
      </c>
      <c r="C246" s="539" t="s">
        <v>3419</v>
      </c>
      <c r="D246" s="539" t="s">
        <v>3099</v>
      </c>
      <c r="E246" s="540">
        <v>1</v>
      </c>
      <c r="F246" s="539" t="s">
        <v>4240</v>
      </c>
      <c r="G246" s="540">
        <f>E4-1</f>
        <v>1</v>
      </c>
      <c r="H246" s="539" t="s">
        <v>411</v>
      </c>
      <c r="I246" s="540">
        <f>28927903+9457631+2401280+70425650+139134936</f>
        <v>250347400</v>
      </c>
      <c r="J246" s="540">
        <v>250347400</v>
      </c>
      <c r="K246" s="540">
        <v>28927903</v>
      </c>
      <c r="L246" s="539" t="s">
        <v>4181</v>
      </c>
      <c r="M246" s="540">
        <v>0</v>
      </c>
    </row>
    <row r="247" spans="1:13" ht="48" x14ac:dyDescent="0.2">
      <c r="A247" s="539" t="s">
        <v>53</v>
      </c>
      <c r="B247" s="540">
        <v>32</v>
      </c>
      <c r="C247" s="539" t="s">
        <v>3419</v>
      </c>
      <c r="D247" s="539" t="s">
        <v>3099</v>
      </c>
      <c r="E247" s="540">
        <v>2</v>
      </c>
      <c r="F247" s="539" t="s">
        <v>4241</v>
      </c>
      <c r="G247" s="540">
        <f>E4-1</f>
        <v>1</v>
      </c>
      <c r="H247" s="539" t="s">
        <v>411</v>
      </c>
      <c r="I247" s="540">
        <f>28927903+9457631+2401280+70425650+139134936</f>
        <v>250347400</v>
      </c>
      <c r="J247" s="540">
        <v>250347400</v>
      </c>
      <c r="K247" s="540">
        <v>9457631</v>
      </c>
      <c r="L247" s="539" t="s">
        <v>4181</v>
      </c>
      <c r="M247" s="540">
        <v>0</v>
      </c>
    </row>
    <row r="248" spans="1:13" ht="48" x14ac:dyDescent="0.2">
      <c r="A248" s="539" t="s">
        <v>53</v>
      </c>
      <c r="B248" s="540">
        <v>32</v>
      </c>
      <c r="C248" s="539" t="s">
        <v>3419</v>
      </c>
      <c r="D248" s="539" t="s">
        <v>3099</v>
      </c>
      <c r="E248" s="540">
        <v>3</v>
      </c>
      <c r="F248" s="539" t="s">
        <v>4242</v>
      </c>
      <c r="G248" s="540">
        <f>E4-1</f>
        <v>1</v>
      </c>
      <c r="H248" s="539" t="s">
        <v>411</v>
      </c>
      <c r="I248" s="540">
        <f>28927903+9457631+2401280+70425650+139134936</f>
        <v>250347400</v>
      </c>
      <c r="J248" s="540">
        <v>250347400</v>
      </c>
      <c r="K248" s="540">
        <v>2401280</v>
      </c>
      <c r="L248" s="539" t="s">
        <v>4181</v>
      </c>
      <c r="M248" s="540">
        <v>0</v>
      </c>
    </row>
    <row r="249" spans="1:13" ht="48" x14ac:dyDescent="0.2">
      <c r="A249" s="539" t="s">
        <v>53</v>
      </c>
      <c r="B249" s="540">
        <v>32</v>
      </c>
      <c r="C249" s="539" t="s">
        <v>3419</v>
      </c>
      <c r="D249" s="539" t="s">
        <v>3099</v>
      </c>
      <c r="E249" s="540">
        <v>4</v>
      </c>
      <c r="F249" s="539" t="s">
        <v>4243</v>
      </c>
      <c r="G249" s="540">
        <f>E4-1</f>
        <v>1</v>
      </c>
      <c r="H249" s="539" t="s">
        <v>411</v>
      </c>
      <c r="I249" s="540">
        <f>28927903+9457631+2401280+70425650+139134936</f>
        <v>250347400</v>
      </c>
      <c r="J249" s="540">
        <v>250347400</v>
      </c>
      <c r="K249" s="540">
        <v>70425650</v>
      </c>
      <c r="L249" s="539" t="s">
        <v>4181</v>
      </c>
      <c r="M249" s="540">
        <v>0</v>
      </c>
    </row>
    <row r="250" spans="1:13" ht="48" x14ac:dyDescent="0.2">
      <c r="A250" s="539" t="s">
        <v>53</v>
      </c>
      <c r="B250" s="540">
        <v>32</v>
      </c>
      <c r="C250" s="539" t="s">
        <v>3419</v>
      </c>
      <c r="D250" s="539" t="s">
        <v>3099</v>
      </c>
      <c r="E250" s="540">
        <v>5</v>
      </c>
      <c r="F250" s="539" t="s">
        <v>4244</v>
      </c>
      <c r="G250" s="540">
        <f>E4-1</f>
        <v>1</v>
      </c>
      <c r="H250" s="539" t="s">
        <v>411</v>
      </c>
      <c r="I250" s="540">
        <f>28927903+9457631+2401280+70425650+139134936</f>
        <v>250347400</v>
      </c>
      <c r="J250" s="540">
        <v>250347400</v>
      </c>
      <c r="K250" s="540">
        <v>139134936</v>
      </c>
      <c r="L250" s="539" t="s">
        <v>4181</v>
      </c>
      <c r="M250" s="540">
        <v>0</v>
      </c>
    </row>
    <row r="251" spans="1:13" ht="48" x14ac:dyDescent="0.2">
      <c r="A251" s="539" t="s">
        <v>53</v>
      </c>
      <c r="B251" s="540">
        <v>32</v>
      </c>
      <c r="C251" s="539" t="s">
        <v>3419</v>
      </c>
      <c r="D251" s="539" t="s">
        <v>3099</v>
      </c>
      <c r="E251" s="540">
        <v>1</v>
      </c>
      <c r="F251" s="539" t="s">
        <v>4240</v>
      </c>
      <c r="G251" s="540">
        <f>YEAR(HOME!B20)</f>
        <v>2021</v>
      </c>
      <c r="H251" s="539" t="s">
        <v>4245</v>
      </c>
      <c r="I251" s="540">
        <f>263030563+11451679+81022+102761900+301193090</f>
        <v>678518254</v>
      </c>
      <c r="J251" s="540">
        <v>678518254</v>
      </c>
      <c r="K251" s="540">
        <v>263030563</v>
      </c>
      <c r="L251" s="539" t="s">
        <v>4181</v>
      </c>
      <c r="M251" s="540">
        <v>0</v>
      </c>
    </row>
    <row r="252" spans="1:13" ht="48" x14ac:dyDescent="0.2">
      <c r="A252" s="539" t="s">
        <v>53</v>
      </c>
      <c r="B252" s="540">
        <v>32</v>
      </c>
      <c r="C252" s="539" t="s">
        <v>3419</v>
      </c>
      <c r="D252" s="539" t="s">
        <v>3099</v>
      </c>
      <c r="E252" s="540">
        <v>2</v>
      </c>
      <c r="F252" s="539" t="s">
        <v>4241</v>
      </c>
      <c r="G252" s="540">
        <f>YEAR(HOME!B20)</f>
        <v>2021</v>
      </c>
      <c r="H252" s="539" t="s">
        <v>4245</v>
      </c>
      <c r="I252" s="540">
        <f>263030563+11451679+81022+102761900+301193090</f>
        <v>678518254</v>
      </c>
      <c r="J252" s="540">
        <v>678518254</v>
      </c>
      <c r="K252" s="540">
        <v>11451679</v>
      </c>
      <c r="L252" s="539" t="s">
        <v>4181</v>
      </c>
      <c r="M252" s="540">
        <v>0</v>
      </c>
    </row>
    <row r="253" spans="1:13" ht="48" x14ac:dyDescent="0.2">
      <c r="A253" s="539" t="s">
        <v>53</v>
      </c>
      <c r="B253" s="540">
        <v>32</v>
      </c>
      <c r="C253" s="539" t="s">
        <v>3419</v>
      </c>
      <c r="D253" s="539" t="s">
        <v>3099</v>
      </c>
      <c r="E253" s="540">
        <v>3</v>
      </c>
      <c r="F253" s="539" t="s">
        <v>4242</v>
      </c>
      <c r="G253" s="540">
        <f>YEAR(HOME!B20)</f>
        <v>2021</v>
      </c>
      <c r="H253" s="539" t="s">
        <v>4245</v>
      </c>
      <c r="I253" s="540">
        <f>263030563+11451679+81022+102761900+301193090</f>
        <v>678518254</v>
      </c>
      <c r="J253" s="540">
        <v>678518254</v>
      </c>
      <c r="K253" s="540">
        <v>81022</v>
      </c>
      <c r="L253" s="539" t="s">
        <v>4181</v>
      </c>
      <c r="M253" s="540">
        <v>0</v>
      </c>
    </row>
    <row r="254" spans="1:13" ht="48" x14ac:dyDescent="0.2">
      <c r="A254" s="539" t="s">
        <v>53</v>
      </c>
      <c r="B254" s="540">
        <v>32</v>
      </c>
      <c r="C254" s="539" t="s">
        <v>3419</v>
      </c>
      <c r="D254" s="539" t="s">
        <v>3099</v>
      </c>
      <c r="E254" s="540">
        <v>4</v>
      </c>
      <c r="F254" s="539" t="s">
        <v>4243</v>
      </c>
      <c r="G254" s="540">
        <f>YEAR(HOME!B20)</f>
        <v>2021</v>
      </c>
      <c r="H254" s="539" t="s">
        <v>4245</v>
      </c>
      <c r="I254" s="540">
        <f>263030563+11451679+81022+102761900+301193090</f>
        <v>678518254</v>
      </c>
      <c r="J254" s="540">
        <v>678518254</v>
      </c>
      <c r="K254" s="540">
        <v>102761900</v>
      </c>
      <c r="L254" s="539" t="s">
        <v>4181</v>
      </c>
      <c r="M254" s="540">
        <v>0</v>
      </c>
    </row>
    <row r="255" spans="1:13" ht="48" x14ac:dyDescent="0.2">
      <c r="A255" s="539" t="s">
        <v>53</v>
      </c>
      <c r="B255" s="540">
        <v>32</v>
      </c>
      <c r="C255" s="539" t="s">
        <v>3419</v>
      </c>
      <c r="D255" s="539" t="s">
        <v>3099</v>
      </c>
      <c r="E255" s="540">
        <v>5</v>
      </c>
      <c r="F255" s="539" t="s">
        <v>4244</v>
      </c>
      <c r="G255" s="540">
        <f>YEAR(HOME!B20)</f>
        <v>2021</v>
      </c>
      <c r="H255" s="539" t="s">
        <v>4245</v>
      </c>
      <c r="I255" s="540">
        <f>263030563+11451679+81022+102761900+301193090</f>
        <v>678518254</v>
      </c>
      <c r="J255" s="540">
        <v>678518254</v>
      </c>
      <c r="K255" s="540">
        <v>301193090</v>
      </c>
      <c r="L255" s="539" t="s">
        <v>4181</v>
      </c>
      <c r="M255" s="540">
        <v>0</v>
      </c>
    </row>
    <row r="256" spans="1:13" ht="32" x14ac:dyDescent="0.2">
      <c r="A256" s="539" t="s">
        <v>53</v>
      </c>
      <c r="B256" s="540">
        <v>45</v>
      </c>
      <c r="C256" s="539" t="s">
        <v>3422</v>
      </c>
      <c r="D256" s="539" t="s">
        <v>3109</v>
      </c>
      <c r="E256" s="540">
        <v>1</v>
      </c>
      <c r="F256" s="539" t="s">
        <v>4246</v>
      </c>
      <c r="G256" s="540" t="e">
        <f>D4-1</f>
        <v>#VALUE!</v>
      </c>
      <c r="H256" s="539" t="s">
        <v>4212</v>
      </c>
      <c r="I256" s="540">
        <f>5289183925+2085507326</f>
        <v>7374691251</v>
      </c>
      <c r="J256" s="540">
        <v>7374691251</v>
      </c>
      <c r="K256" s="540">
        <v>5289183925</v>
      </c>
      <c r="L256" s="539" t="s">
        <v>4178</v>
      </c>
      <c r="M256" s="540">
        <v>0</v>
      </c>
    </row>
    <row r="257" spans="1:13" ht="32" x14ac:dyDescent="0.2">
      <c r="A257" s="539" t="s">
        <v>53</v>
      </c>
      <c r="B257" s="540">
        <v>45</v>
      </c>
      <c r="C257" s="539" t="s">
        <v>3422</v>
      </c>
      <c r="D257" s="539" t="s">
        <v>3109</v>
      </c>
      <c r="E257" s="540">
        <v>2</v>
      </c>
      <c r="F257" s="539" t="s">
        <v>4247</v>
      </c>
      <c r="G257" s="540" t="e">
        <f>D4-1</f>
        <v>#VALUE!</v>
      </c>
      <c r="H257" s="539" t="s">
        <v>4212</v>
      </c>
      <c r="I257" s="540">
        <f>5289183925+2085507326</f>
        <v>7374691251</v>
      </c>
      <c r="J257" s="540">
        <v>7374691251</v>
      </c>
      <c r="K257" s="540">
        <v>2085507326</v>
      </c>
      <c r="L257" s="539" t="s">
        <v>4178</v>
      </c>
      <c r="M257" s="540">
        <v>0</v>
      </c>
    </row>
    <row r="258" spans="1:13" ht="32" x14ac:dyDescent="0.2">
      <c r="A258" s="539" t="s">
        <v>53</v>
      </c>
      <c r="B258" s="540">
        <v>45</v>
      </c>
      <c r="C258" s="539" t="s">
        <v>3422</v>
      </c>
      <c r="D258" s="539" t="s">
        <v>3109</v>
      </c>
      <c r="E258" s="540">
        <v>3</v>
      </c>
      <c r="F258" s="539" t="s">
        <v>4248</v>
      </c>
      <c r="G258" s="540" t="e">
        <f>D4-1</f>
        <v>#VALUE!</v>
      </c>
      <c r="H258" s="539" t="s">
        <v>4212</v>
      </c>
      <c r="I258" s="540">
        <f>5289183925+2085507326</f>
        <v>7374691251</v>
      </c>
      <c r="J258" s="540">
        <v>7374691251</v>
      </c>
      <c r="K258" s="540">
        <v>0</v>
      </c>
      <c r="L258" s="539" t="s">
        <v>4178</v>
      </c>
      <c r="M258" s="540">
        <v>0</v>
      </c>
    </row>
    <row r="259" spans="1:13" ht="32" x14ac:dyDescent="0.2">
      <c r="A259" s="539" t="s">
        <v>53</v>
      </c>
      <c r="B259" s="540">
        <v>45</v>
      </c>
      <c r="C259" s="539" t="s">
        <v>3422</v>
      </c>
      <c r="D259" s="539" t="s">
        <v>3109</v>
      </c>
      <c r="E259" s="540">
        <v>1</v>
      </c>
      <c r="F259" s="539" t="s">
        <v>4246</v>
      </c>
      <c r="G259" s="540">
        <f>E4-1</f>
        <v>1</v>
      </c>
      <c r="H259" s="539" t="s">
        <v>463</v>
      </c>
      <c r="I259" s="540">
        <f>5289183925+2705111011</f>
        <v>7994294936</v>
      </c>
      <c r="J259" s="540">
        <v>7994294936</v>
      </c>
      <c r="K259" s="540">
        <v>5289183925</v>
      </c>
      <c r="L259" s="539" t="s">
        <v>4178</v>
      </c>
      <c r="M259" s="540">
        <v>0</v>
      </c>
    </row>
    <row r="260" spans="1:13" ht="32" x14ac:dyDescent="0.2">
      <c r="A260" s="539" t="s">
        <v>53</v>
      </c>
      <c r="B260" s="540">
        <v>45</v>
      </c>
      <c r="C260" s="539" t="s">
        <v>3422</v>
      </c>
      <c r="D260" s="539" t="s">
        <v>3109</v>
      </c>
      <c r="E260" s="540">
        <v>2</v>
      </c>
      <c r="F260" s="539" t="s">
        <v>4247</v>
      </c>
      <c r="G260" s="540">
        <f>E4-1</f>
        <v>1</v>
      </c>
      <c r="H260" s="539" t="s">
        <v>463</v>
      </c>
      <c r="I260" s="540">
        <f>5289183925+2705111011</f>
        <v>7994294936</v>
      </c>
      <c r="J260" s="540">
        <v>7994294936</v>
      </c>
      <c r="K260" s="540">
        <v>2705111011</v>
      </c>
      <c r="L260" s="539" t="s">
        <v>4178</v>
      </c>
      <c r="M260" s="540">
        <v>0</v>
      </c>
    </row>
    <row r="261" spans="1:13" ht="32" x14ac:dyDescent="0.2">
      <c r="A261" s="539" t="s">
        <v>53</v>
      </c>
      <c r="B261" s="540">
        <v>45</v>
      </c>
      <c r="C261" s="539" t="s">
        <v>3422</v>
      </c>
      <c r="D261" s="539" t="s">
        <v>3109</v>
      </c>
      <c r="E261" s="540">
        <v>3</v>
      </c>
      <c r="F261" s="539" t="s">
        <v>4248</v>
      </c>
      <c r="G261" s="540">
        <f>E4-1</f>
        <v>1</v>
      </c>
      <c r="H261" s="539" t="s">
        <v>463</v>
      </c>
      <c r="I261" s="540">
        <f>5289183925+2705111011</f>
        <v>7994294936</v>
      </c>
      <c r="J261" s="540">
        <v>7994294936</v>
      </c>
      <c r="K261" s="540">
        <v>0</v>
      </c>
      <c r="L261" s="539" t="s">
        <v>4178</v>
      </c>
      <c r="M261" s="540">
        <v>0</v>
      </c>
    </row>
    <row r="262" spans="1:13" ht="32" x14ac:dyDescent="0.2">
      <c r="A262" s="539" t="s">
        <v>53</v>
      </c>
      <c r="B262" s="540">
        <v>45</v>
      </c>
      <c r="C262" s="539" t="s">
        <v>3422</v>
      </c>
      <c r="D262" s="539" t="s">
        <v>3109</v>
      </c>
      <c r="E262" s="540">
        <v>1</v>
      </c>
      <c r="F262" s="539" t="s">
        <v>4246</v>
      </c>
      <c r="G262" s="540">
        <f>YEAR(HOME!B20)</f>
        <v>2021</v>
      </c>
      <c r="H262" s="539" t="s">
        <v>4213</v>
      </c>
      <c r="I262" s="540">
        <f>5289183925+3909531302-2500000000</f>
        <v>6698715227</v>
      </c>
      <c r="J262" s="540">
        <v>6698715227</v>
      </c>
      <c r="K262" s="540">
        <v>5289183925</v>
      </c>
      <c r="L262" s="539" t="s">
        <v>4181</v>
      </c>
      <c r="M262" s="540">
        <v>0</v>
      </c>
    </row>
    <row r="263" spans="1:13" ht="32" x14ac:dyDescent="0.2">
      <c r="A263" s="539" t="s">
        <v>53</v>
      </c>
      <c r="B263" s="540">
        <v>45</v>
      </c>
      <c r="C263" s="539" t="s">
        <v>3422</v>
      </c>
      <c r="D263" s="539" t="s">
        <v>3109</v>
      </c>
      <c r="E263" s="540">
        <v>2</v>
      </c>
      <c r="F263" s="539" t="s">
        <v>4247</v>
      </c>
      <c r="G263" s="540">
        <f>YEAR(HOME!B20)</f>
        <v>2021</v>
      </c>
      <c r="H263" s="539" t="s">
        <v>4213</v>
      </c>
      <c r="I263" s="540">
        <f>5289183925+3909531302-2500000000</f>
        <v>6698715227</v>
      </c>
      <c r="J263" s="540">
        <v>6698715227</v>
      </c>
      <c r="K263" s="540">
        <v>3909531302</v>
      </c>
      <c r="L263" s="539" t="s">
        <v>4181</v>
      </c>
      <c r="M263" s="540">
        <v>0</v>
      </c>
    </row>
    <row r="264" spans="1:13" ht="32" x14ac:dyDescent="0.2">
      <c r="A264" s="539" t="s">
        <v>53</v>
      </c>
      <c r="B264" s="540">
        <v>45</v>
      </c>
      <c r="C264" s="539" t="s">
        <v>3422</v>
      </c>
      <c r="D264" s="539" t="s">
        <v>3109</v>
      </c>
      <c r="E264" s="540">
        <v>3</v>
      </c>
      <c r="F264" s="539" t="s">
        <v>4248</v>
      </c>
      <c r="G264" s="540">
        <f>YEAR(HOME!B20)</f>
        <v>2021</v>
      </c>
      <c r="H264" s="539" t="s">
        <v>4213</v>
      </c>
      <c r="I264" s="540">
        <f>5289183925+3909531302-2500000000</f>
        <v>6698715227</v>
      </c>
      <c r="J264" s="540">
        <v>6698715227</v>
      </c>
      <c r="K264" s="540">
        <v>-2500000000</v>
      </c>
      <c r="L264" s="539" t="s">
        <v>4181</v>
      </c>
      <c r="M264" s="540">
        <v>0</v>
      </c>
    </row>
    <row r="265" spans="1:13" ht="64" x14ac:dyDescent="0.2">
      <c r="A265" s="539" t="s">
        <v>4175</v>
      </c>
      <c r="B265" s="540">
        <v>7</v>
      </c>
      <c r="C265" s="539" t="s">
        <v>3396</v>
      </c>
      <c r="D265" s="539" t="s">
        <v>3115</v>
      </c>
      <c r="E265" s="540">
        <v>1</v>
      </c>
      <c r="F265" s="539" t="s">
        <v>4249</v>
      </c>
      <c r="G265" s="540" t="e">
        <f>D5-1</f>
        <v>#VALUE!</v>
      </c>
      <c r="H265" s="539" t="s">
        <v>494</v>
      </c>
      <c r="I265" s="540">
        <f t="shared" ref="I265:I271" si="0">(1341236655+237790000+532433990+60489260+4531901900+176756281)*-1</f>
        <v>-6880608086</v>
      </c>
      <c r="J265" s="540">
        <v>-6880608086</v>
      </c>
      <c r="K265" s="540">
        <v>-1341236655</v>
      </c>
      <c r="L265" s="539" t="s">
        <v>4178</v>
      </c>
      <c r="M265" s="540">
        <v>0</v>
      </c>
    </row>
    <row r="266" spans="1:13" ht="64" x14ac:dyDescent="0.2">
      <c r="A266" s="539" t="s">
        <v>4175</v>
      </c>
      <c r="B266" s="540">
        <v>7</v>
      </c>
      <c r="C266" s="539" t="s">
        <v>3396</v>
      </c>
      <c r="D266" s="539" t="s">
        <v>3115</v>
      </c>
      <c r="E266" s="540">
        <v>2</v>
      </c>
      <c r="F266" s="539" t="s">
        <v>4250</v>
      </c>
      <c r="G266" s="540" t="e">
        <f>D5-1</f>
        <v>#VALUE!</v>
      </c>
      <c r="H266" s="539" t="s">
        <v>494</v>
      </c>
      <c r="I266" s="540">
        <f t="shared" si="0"/>
        <v>-6880608086</v>
      </c>
      <c r="J266" s="540">
        <v>-6880608086</v>
      </c>
      <c r="K266" s="540">
        <v>-237790000</v>
      </c>
      <c r="L266" s="539" t="s">
        <v>4178</v>
      </c>
      <c r="M266" s="540">
        <v>0</v>
      </c>
    </row>
    <row r="267" spans="1:13" ht="64" x14ac:dyDescent="0.2">
      <c r="A267" s="539" t="s">
        <v>4175</v>
      </c>
      <c r="B267" s="540">
        <v>7</v>
      </c>
      <c r="C267" s="539" t="s">
        <v>3396</v>
      </c>
      <c r="D267" s="539" t="s">
        <v>3115</v>
      </c>
      <c r="E267" s="540">
        <v>3</v>
      </c>
      <c r="F267" s="539" t="s">
        <v>4251</v>
      </c>
      <c r="G267" s="540" t="e">
        <f>D5-1</f>
        <v>#VALUE!</v>
      </c>
      <c r="H267" s="539" t="s">
        <v>494</v>
      </c>
      <c r="I267" s="540">
        <f t="shared" si="0"/>
        <v>-6880608086</v>
      </c>
      <c r="J267" s="540">
        <v>-6880608086</v>
      </c>
      <c r="K267" s="540">
        <v>-532433990</v>
      </c>
      <c r="L267" s="539" t="s">
        <v>4178</v>
      </c>
      <c r="M267" s="540">
        <v>0</v>
      </c>
    </row>
    <row r="268" spans="1:13" ht="64" x14ac:dyDescent="0.2">
      <c r="A268" s="539" t="s">
        <v>4175</v>
      </c>
      <c r="B268" s="540">
        <v>7</v>
      </c>
      <c r="C268" s="539" t="s">
        <v>3396</v>
      </c>
      <c r="D268" s="539" t="s">
        <v>3115</v>
      </c>
      <c r="E268" s="540">
        <v>4</v>
      </c>
      <c r="F268" s="539" t="s">
        <v>4252</v>
      </c>
      <c r="G268" s="540" t="e">
        <f>D5-1</f>
        <v>#VALUE!</v>
      </c>
      <c r="H268" s="539" t="s">
        <v>494</v>
      </c>
      <c r="I268" s="540">
        <f t="shared" si="0"/>
        <v>-6880608086</v>
      </c>
      <c r="J268" s="540">
        <v>-6880608086</v>
      </c>
      <c r="K268" s="540">
        <v>-60489260</v>
      </c>
      <c r="L268" s="539" t="s">
        <v>4178</v>
      </c>
      <c r="M268" s="540">
        <v>0</v>
      </c>
    </row>
    <row r="269" spans="1:13" ht="64" x14ac:dyDescent="0.2">
      <c r="A269" s="539" t="s">
        <v>4175</v>
      </c>
      <c r="B269" s="540">
        <v>7</v>
      </c>
      <c r="C269" s="539" t="s">
        <v>3396</v>
      </c>
      <c r="D269" s="539" t="s">
        <v>3115</v>
      </c>
      <c r="E269" s="540">
        <v>5</v>
      </c>
      <c r="F269" s="539" t="s">
        <v>4253</v>
      </c>
      <c r="G269" s="540" t="e">
        <f>D5-1</f>
        <v>#VALUE!</v>
      </c>
      <c r="H269" s="539" t="s">
        <v>494</v>
      </c>
      <c r="I269" s="540">
        <f t="shared" si="0"/>
        <v>-6880608086</v>
      </c>
      <c r="J269" s="540">
        <v>-6880608086</v>
      </c>
      <c r="K269" s="540">
        <v>-4531901900</v>
      </c>
      <c r="L269" s="539" t="s">
        <v>4178</v>
      </c>
      <c r="M269" s="540">
        <v>0</v>
      </c>
    </row>
    <row r="270" spans="1:13" ht="64" x14ac:dyDescent="0.2">
      <c r="A270" s="539" t="s">
        <v>4175</v>
      </c>
      <c r="B270" s="540">
        <v>7</v>
      </c>
      <c r="C270" s="539" t="s">
        <v>3396</v>
      </c>
      <c r="D270" s="539" t="s">
        <v>3115</v>
      </c>
      <c r="E270" s="540">
        <v>6</v>
      </c>
      <c r="F270" s="539" t="s">
        <v>4254</v>
      </c>
      <c r="G270" s="540" t="e">
        <f>D5-1</f>
        <v>#VALUE!</v>
      </c>
      <c r="H270" s="539" t="s">
        <v>494</v>
      </c>
      <c r="I270" s="540">
        <f t="shared" si="0"/>
        <v>-6880608086</v>
      </c>
      <c r="J270" s="540">
        <v>-6880608086</v>
      </c>
      <c r="K270" s="540">
        <v>-176756281</v>
      </c>
      <c r="L270" s="539" t="s">
        <v>4178</v>
      </c>
      <c r="M270" s="540">
        <v>0</v>
      </c>
    </row>
    <row r="271" spans="1:13" ht="64" x14ac:dyDescent="0.2">
      <c r="A271" s="539" t="s">
        <v>4175</v>
      </c>
      <c r="B271" s="540">
        <v>7</v>
      </c>
      <c r="C271" s="539" t="s">
        <v>3396</v>
      </c>
      <c r="D271" s="539" t="s">
        <v>3115</v>
      </c>
      <c r="E271" s="540">
        <v>7</v>
      </c>
      <c r="F271" s="539" t="s">
        <v>4255</v>
      </c>
      <c r="G271" s="540" t="e">
        <f>D5-1</f>
        <v>#VALUE!</v>
      </c>
      <c r="H271" s="539" t="s">
        <v>494</v>
      </c>
      <c r="I271" s="540">
        <f t="shared" si="0"/>
        <v>-6880608086</v>
      </c>
      <c r="J271" s="540">
        <v>-6880608086</v>
      </c>
      <c r="K271" s="540">
        <v>0</v>
      </c>
      <c r="L271" s="539" t="s">
        <v>4178</v>
      </c>
      <c r="M271" s="540">
        <v>0</v>
      </c>
    </row>
    <row r="272" spans="1:13" ht="64" x14ac:dyDescent="0.2">
      <c r="A272" s="539" t="s">
        <v>4175</v>
      </c>
      <c r="B272" s="540">
        <v>7</v>
      </c>
      <c r="C272" s="539" t="s">
        <v>3396</v>
      </c>
      <c r="D272" s="539" t="s">
        <v>3115</v>
      </c>
      <c r="E272" s="540">
        <v>1</v>
      </c>
      <c r="F272" s="539" t="s">
        <v>4249</v>
      </c>
      <c r="G272" s="540">
        <f>E5-1</f>
        <v>0</v>
      </c>
      <c r="H272" s="539" t="s">
        <v>359</v>
      </c>
      <c r="I272" s="540">
        <f t="shared" ref="I272:I278" si="1">(1118290360+389785500+47250000+678881440+154953960+4984022900+192568750)*-1</f>
        <v>-7565752910</v>
      </c>
      <c r="J272" s="540">
        <v>-7565752910</v>
      </c>
      <c r="K272" s="540">
        <v>-1118290360</v>
      </c>
      <c r="L272" s="539" t="s">
        <v>4181</v>
      </c>
      <c r="M272" s="540">
        <v>0</v>
      </c>
    </row>
    <row r="273" spans="1:13" ht="64" x14ac:dyDescent="0.2">
      <c r="A273" s="539" t="s">
        <v>4175</v>
      </c>
      <c r="B273" s="540">
        <v>7</v>
      </c>
      <c r="C273" s="539" t="s">
        <v>3396</v>
      </c>
      <c r="D273" s="539" t="s">
        <v>3115</v>
      </c>
      <c r="E273" s="540">
        <v>2</v>
      </c>
      <c r="F273" s="539" t="s">
        <v>4250</v>
      </c>
      <c r="G273" s="540">
        <f>E5-1</f>
        <v>0</v>
      </c>
      <c r="H273" s="539" t="s">
        <v>359</v>
      </c>
      <c r="I273" s="540">
        <f t="shared" si="1"/>
        <v>-7565752910</v>
      </c>
      <c r="J273" s="540">
        <v>-7565752910</v>
      </c>
      <c r="K273" s="540">
        <v>-389785500</v>
      </c>
      <c r="L273" s="539" t="s">
        <v>4181</v>
      </c>
      <c r="M273" s="540">
        <v>0</v>
      </c>
    </row>
    <row r="274" spans="1:13" ht="64" x14ac:dyDescent="0.2">
      <c r="A274" s="539" t="s">
        <v>4175</v>
      </c>
      <c r="B274" s="540">
        <v>7</v>
      </c>
      <c r="C274" s="539" t="s">
        <v>3396</v>
      </c>
      <c r="D274" s="539" t="s">
        <v>3115</v>
      </c>
      <c r="E274" s="540">
        <v>3</v>
      </c>
      <c r="F274" s="539" t="s">
        <v>4251</v>
      </c>
      <c r="G274" s="540">
        <f>E5-1</f>
        <v>0</v>
      </c>
      <c r="H274" s="539" t="s">
        <v>359</v>
      </c>
      <c r="I274" s="540">
        <f t="shared" si="1"/>
        <v>-7565752910</v>
      </c>
      <c r="J274" s="540">
        <v>-7565752910</v>
      </c>
      <c r="K274" s="540">
        <v>-47250000</v>
      </c>
      <c r="L274" s="539" t="s">
        <v>4181</v>
      </c>
      <c r="M274" s="540">
        <v>0</v>
      </c>
    </row>
    <row r="275" spans="1:13" ht="64" x14ac:dyDescent="0.2">
      <c r="A275" s="539" t="s">
        <v>4175</v>
      </c>
      <c r="B275" s="540">
        <v>7</v>
      </c>
      <c r="C275" s="539" t="s">
        <v>3396</v>
      </c>
      <c r="D275" s="539" t="s">
        <v>3115</v>
      </c>
      <c r="E275" s="540">
        <v>4</v>
      </c>
      <c r="F275" s="539" t="s">
        <v>4252</v>
      </c>
      <c r="G275" s="540">
        <f>E5-1</f>
        <v>0</v>
      </c>
      <c r="H275" s="539" t="s">
        <v>359</v>
      </c>
      <c r="I275" s="540">
        <f t="shared" si="1"/>
        <v>-7565752910</v>
      </c>
      <c r="J275" s="540">
        <v>-7565752910</v>
      </c>
      <c r="K275" s="540">
        <v>-678881440</v>
      </c>
      <c r="L275" s="539" t="s">
        <v>4181</v>
      </c>
      <c r="M275" s="540">
        <v>0</v>
      </c>
    </row>
    <row r="276" spans="1:13" ht="64" x14ac:dyDescent="0.2">
      <c r="A276" s="539" t="s">
        <v>4175</v>
      </c>
      <c r="B276" s="540">
        <v>7</v>
      </c>
      <c r="C276" s="539" t="s">
        <v>3396</v>
      </c>
      <c r="D276" s="539" t="s">
        <v>3115</v>
      </c>
      <c r="E276" s="540">
        <v>5</v>
      </c>
      <c r="F276" s="539" t="s">
        <v>4253</v>
      </c>
      <c r="G276" s="540">
        <f>E5-1</f>
        <v>0</v>
      </c>
      <c r="H276" s="539" t="s">
        <v>359</v>
      </c>
      <c r="I276" s="540">
        <f t="shared" si="1"/>
        <v>-7565752910</v>
      </c>
      <c r="J276" s="540">
        <v>-7565752910</v>
      </c>
      <c r="K276" s="540">
        <v>-154953960</v>
      </c>
      <c r="L276" s="539" t="s">
        <v>4181</v>
      </c>
      <c r="M276" s="540">
        <v>0</v>
      </c>
    </row>
    <row r="277" spans="1:13" ht="64" x14ac:dyDescent="0.2">
      <c r="A277" s="539" t="s">
        <v>4175</v>
      </c>
      <c r="B277" s="540">
        <v>7</v>
      </c>
      <c r="C277" s="539" t="s">
        <v>3396</v>
      </c>
      <c r="D277" s="539" t="s">
        <v>3115</v>
      </c>
      <c r="E277" s="540">
        <v>6</v>
      </c>
      <c r="F277" s="539" t="s">
        <v>4254</v>
      </c>
      <c r="G277" s="540">
        <f>E5-1</f>
        <v>0</v>
      </c>
      <c r="H277" s="539" t="s">
        <v>359</v>
      </c>
      <c r="I277" s="540">
        <f t="shared" si="1"/>
        <v>-7565752910</v>
      </c>
      <c r="J277" s="540">
        <v>-7565752910</v>
      </c>
      <c r="K277" s="540">
        <v>-4984022900</v>
      </c>
      <c r="L277" s="539" t="s">
        <v>4181</v>
      </c>
      <c r="M277" s="540">
        <v>0</v>
      </c>
    </row>
    <row r="278" spans="1:13" ht="64" x14ac:dyDescent="0.2">
      <c r="A278" s="539" t="s">
        <v>4175</v>
      </c>
      <c r="B278" s="540">
        <v>7</v>
      </c>
      <c r="C278" s="539" t="s">
        <v>3396</v>
      </c>
      <c r="D278" s="539" t="s">
        <v>3115</v>
      </c>
      <c r="E278" s="540">
        <v>7</v>
      </c>
      <c r="F278" s="539" t="s">
        <v>4255</v>
      </c>
      <c r="G278" s="540">
        <f>E5-1</f>
        <v>0</v>
      </c>
      <c r="H278" s="539" t="s">
        <v>359</v>
      </c>
      <c r="I278" s="540">
        <f t="shared" si="1"/>
        <v>-7565752910</v>
      </c>
      <c r="J278" s="540">
        <v>-7565752910</v>
      </c>
      <c r="K278" s="540">
        <v>-192568750</v>
      </c>
      <c r="L278" s="539" t="s">
        <v>4181</v>
      </c>
      <c r="M278" s="540">
        <v>0</v>
      </c>
    </row>
    <row r="279" spans="1:13" ht="64" x14ac:dyDescent="0.2">
      <c r="A279" s="539" t="s">
        <v>4175</v>
      </c>
      <c r="B279" s="540">
        <v>7</v>
      </c>
      <c r="C279" s="539" t="s">
        <v>3396</v>
      </c>
      <c r="D279" s="539" t="s">
        <v>3115</v>
      </c>
      <c r="E279" s="540">
        <v>1</v>
      </c>
      <c r="F279" s="539" t="s">
        <v>4249</v>
      </c>
      <c r="G279" s="540">
        <f>YEAR(HOME!B20)</f>
        <v>2021</v>
      </c>
      <c r="H279" s="539" t="s">
        <v>537</v>
      </c>
      <c r="I279" s="540">
        <f t="shared" ref="I279:I285" si="2">(1868593447+567317727+806095500+470963990+6699039850+367647700)*-1</f>
        <v>-10779658214</v>
      </c>
      <c r="J279" s="540">
        <v>-10779658214</v>
      </c>
      <c r="K279" s="540">
        <v>-1868593447</v>
      </c>
      <c r="L279" s="539" t="s">
        <v>4178</v>
      </c>
      <c r="M279" s="540">
        <v>0</v>
      </c>
    </row>
    <row r="280" spans="1:13" ht="64" x14ac:dyDescent="0.2">
      <c r="A280" s="539" t="s">
        <v>4175</v>
      </c>
      <c r="B280" s="540">
        <v>7</v>
      </c>
      <c r="C280" s="539" t="s">
        <v>3396</v>
      </c>
      <c r="D280" s="539" t="s">
        <v>3115</v>
      </c>
      <c r="E280" s="540">
        <v>2</v>
      </c>
      <c r="F280" s="539" t="s">
        <v>4250</v>
      </c>
      <c r="G280" s="540">
        <f>YEAR(HOME!B20)</f>
        <v>2021</v>
      </c>
      <c r="H280" s="539" t="s">
        <v>537</v>
      </c>
      <c r="I280" s="540">
        <f t="shared" si="2"/>
        <v>-10779658214</v>
      </c>
      <c r="J280" s="540">
        <v>-10779658214</v>
      </c>
      <c r="K280" s="540">
        <v>-567317727</v>
      </c>
      <c r="L280" s="539" t="s">
        <v>4178</v>
      </c>
      <c r="M280" s="540">
        <v>0</v>
      </c>
    </row>
    <row r="281" spans="1:13" ht="64" x14ac:dyDescent="0.2">
      <c r="A281" s="539" t="s">
        <v>4175</v>
      </c>
      <c r="B281" s="540">
        <v>7</v>
      </c>
      <c r="C281" s="539" t="s">
        <v>3396</v>
      </c>
      <c r="D281" s="539" t="s">
        <v>3115</v>
      </c>
      <c r="E281" s="540">
        <v>3</v>
      </c>
      <c r="F281" s="539" t="s">
        <v>4251</v>
      </c>
      <c r="G281" s="540">
        <f>YEAR(HOME!B20)</f>
        <v>2021</v>
      </c>
      <c r="H281" s="539" t="s">
        <v>537</v>
      </c>
      <c r="I281" s="540">
        <f t="shared" si="2"/>
        <v>-10779658214</v>
      </c>
      <c r="J281" s="540">
        <v>-10779658214</v>
      </c>
      <c r="K281" s="540">
        <v>-806095500</v>
      </c>
      <c r="L281" s="539" t="s">
        <v>4178</v>
      </c>
      <c r="M281" s="540">
        <v>0</v>
      </c>
    </row>
    <row r="282" spans="1:13" ht="64" x14ac:dyDescent="0.2">
      <c r="A282" s="539" t="s">
        <v>4175</v>
      </c>
      <c r="B282" s="540">
        <v>7</v>
      </c>
      <c r="C282" s="539" t="s">
        <v>3396</v>
      </c>
      <c r="D282" s="539" t="s">
        <v>3115</v>
      </c>
      <c r="E282" s="540">
        <v>4</v>
      </c>
      <c r="F282" s="539" t="s">
        <v>4252</v>
      </c>
      <c r="G282" s="540">
        <f>YEAR(HOME!B20)</f>
        <v>2021</v>
      </c>
      <c r="H282" s="539" t="s">
        <v>537</v>
      </c>
      <c r="I282" s="540">
        <f t="shared" si="2"/>
        <v>-10779658214</v>
      </c>
      <c r="J282" s="540">
        <v>-10779658214</v>
      </c>
      <c r="K282" s="540">
        <v>-470963990</v>
      </c>
      <c r="L282" s="539" t="s">
        <v>4178</v>
      </c>
      <c r="M282" s="540">
        <v>0</v>
      </c>
    </row>
    <row r="283" spans="1:13" ht="64" x14ac:dyDescent="0.2">
      <c r="A283" s="539" t="s">
        <v>4175</v>
      </c>
      <c r="B283" s="540">
        <v>7</v>
      </c>
      <c r="C283" s="539" t="s">
        <v>3396</v>
      </c>
      <c r="D283" s="539" t="s">
        <v>3115</v>
      </c>
      <c r="E283" s="540">
        <v>5</v>
      </c>
      <c r="F283" s="539" t="s">
        <v>4253</v>
      </c>
      <c r="G283" s="540">
        <f>YEAR(HOME!B20)</f>
        <v>2021</v>
      </c>
      <c r="H283" s="539" t="s">
        <v>537</v>
      </c>
      <c r="I283" s="540">
        <f t="shared" si="2"/>
        <v>-10779658214</v>
      </c>
      <c r="J283" s="540">
        <v>-10779658214</v>
      </c>
      <c r="K283" s="540">
        <v>-6699039850</v>
      </c>
      <c r="L283" s="539" t="s">
        <v>4178</v>
      </c>
      <c r="M283" s="540">
        <v>0</v>
      </c>
    </row>
    <row r="284" spans="1:13" ht="64" x14ac:dyDescent="0.2">
      <c r="A284" s="539" t="s">
        <v>4175</v>
      </c>
      <c r="B284" s="540">
        <v>7</v>
      </c>
      <c r="C284" s="539" t="s">
        <v>3396</v>
      </c>
      <c r="D284" s="539" t="s">
        <v>3115</v>
      </c>
      <c r="E284" s="540">
        <v>6</v>
      </c>
      <c r="F284" s="539" t="s">
        <v>4254</v>
      </c>
      <c r="G284" s="540">
        <f>YEAR(HOME!B20)</f>
        <v>2021</v>
      </c>
      <c r="H284" s="539" t="s">
        <v>537</v>
      </c>
      <c r="I284" s="540">
        <f t="shared" si="2"/>
        <v>-10779658214</v>
      </c>
      <c r="J284" s="540">
        <v>-10779658214</v>
      </c>
      <c r="K284" s="540">
        <v>-367647700</v>
      </c>
      <c r="L284" s="539" t="s">
        <v>4178</v>
      </c>
      <c r="M284" s="540">
        <v>0</v>
      </c>
    </row>
    <row r="285" spans="1:13" ht="64" x14ac:dyDescent="0.2">
      <c r="A285" s="539" t="s">
        <v>4175</v>
      </c>
      <c r="B285" s="540">
        <v>7</v>
      </c>
      <c r="C285" s="539" t="s">
        <v>3396</v>
      </c>
      <c r="D285" s="539" t="s">
        <v>3115</v>
      </c>
      <c r="E285" s="540">
        <v>7</v>
      </c>
      <c r="F285" s="539" t="s">
        <v>4255</v>
      </c>
      <c r="G285" s="540">
        <f>YEAR(HOME!B20)</f>
        <v>2021</v>
      </c>
      <c r="H285" s="539" t="s">
        <v>537</v>
      </c>
      <c r="I285" s="540">
        <f t="shared" si="2"/>
        <v>-10779658214</v>
      </c>
      <c r="J285" s="540">
        <v>-10779658214</v>
      </c>
      <c r="K285" s="540">
        <v>0</v>
      </c>
      <c r="L285" s="539" t="s">
        <v>4178</v>
      </c>
      <c r="M285" s="540">
        <v>0</v>
      </c>
    </row>
    <row r="286" spans="1:13" ht="112" x14ac:dyDescent="0.2">
      <c r="A286" s="539" t="s">
        <v>4175</v>
      </c>
      <c r="B286" s="540">
        <v>13</v>
      </c>
      <c r="C286" s="539" t="s">
        <v>3397</v>
      </c>
      <c r="D286" s="539" t="s">
        <v>3119</v>
      </c>
      <c r="E286" s="540">
        <v>1</v>
      </c>
      <c r="F286" s="539" t="s">
        <v>4256</v>
      </c>
      <c r="G286" s="540" t="e">
        <f>D5-1</f>
        <v>#VALUE!</v>
      </c>
      <c r="H286" s="539" t="s">
        <v>112</v>
      </c>
      <c r="I286" s="540">
        <f t="shared" ref="I286:I299" si="3">(28989940+226329500+10176400+336574200+171636900+55010000+507006500+1505306+4000000+17133467+25364440+36857132)*-1</f>
        <v>-1420583785</v>
      </c>
      <c r="J286" s="540">
        <v>-1420583785</v>
      </c>
      <c r="K286" s="540">
        <v>-28989940</v>
      </c>
      <c r="L286" s="539" t="s">
        <v>4178</v>
      </c>
      <c r="M286" s="540">
        <v>0</v>
      </c>
    </row>
    <row r="287" spans="1:13" ht="112" x14ac:dyDescent="0.2">
      <c r="A287" s="539" t="s">
        <v>4175</v>
      </c>
      <c r="B287" s="540">
        <v>13</v>
      </c>
      <c r="C287" s="539" t="s">
        <v>3397</v>
      </c>
      <c r="D287" s="539" t="s">
        <v>3119</v>
      </c>
      <c r="E287" s="540">
        <v>2</v>
      </c>
      <c r="F287" s="539" t="s">
        <v>4257</v>
      </c>
      <c r="G287" s="540" t="e">
        <f>D5-1</f>
        <v>#VALUE!</v>
      </c>
      <c r="H287" s="539" t="s">
        <v>112</v>
      </c>
      <c r="I287" s="540">
        <f t="shared" si="3"/>
        <v>-1420583785</v>
      </c>
      <c r="J287" s="540">
        <v>-1420583785</v>
      </c>
      <c r="K287" s="540">
        <v>-226329500</v>
      </c>
      <c r="L287" s="539" t="s">
        <v>4178</v>
      </c>
      <c r="M287" s="540">
        <v>0</v>
      </c>
    </row>
    <row r="288" spans="1:13" ht="112" x14ac:dyDescent="0.2">
      <c r="A288" s="539" t="s">
        <v>4175</v>
      </c>
      <c r="B288" s="540">
        <v>13</v>
      </c>
      <c r="C288" s="539" t="s">
        <v>3397</v>
      </c>
      <c r="D288" s="539" t="s">
        <v>3119</v>
      </c>
      <c r="E288" s="540">
        <v>3</v>
      </c>
      <c r="F288" s="539" t="s">
        <v>4258</v>
      </c>
      <c r="G288" s="540" t="e">
        <f>D5-1</f>
        <v>#VALUE!</v>
      </c>
      <c r="H288" s="539" t="s">
        <v>112</v>
      </c>
      <c r="I288" s="540">
        <f t="shared" si="3"/>
        <v>-1420583785</v>
      </c>
      <c r="J288" s="540">
        <v>-1420583785</v>
      </c>
      <c r="K288" s="540">
        <v>-10176400</v>
      </c>
      <c r="L288" s="539" t="s">
        <v>4178</v>
      </c>
      <c r="M288" s="540">
        <v>0</v>
      </c>
    </row>
    <row r="289" spans="1:13" ht="112" x14ac:dyDescent="0.2">
      <c r="A289" s="539" t="s">
        <v>4175</v>
      </c>
      <c r="B289" s="540">
        <v>13</v>
      </c>
      <c r="C289" s="539" t="s">
        <v>3397</v>
      </c>
      <c r="D289" s="539" t="s">
        <v>3119</v>
      </c>
      <c r="E289" s="540">
        <v>4</v>
      </c>
      <c r="F289" s="539" t="s">
        <v>4259</v>
      </c>
      <c r="G289" s="540" t="e">
        <f>D5-1</f>
        <v>#VALUE!</v>
      </c>
      <c r="H289" s="539" t="s">
        <v>112</v>
      </c>
      <c r="I289" s="540">
        <f t="shared" si="3"/>
        <v>-1420583785</v>
      </c>
      <c r="J289" s="540">
        <v>-1420583785</v>
      </c>
      <c r="K289" s="540">
        <v>-336574200</v>
      </c>
      <c r="L289" s="539" t="s">
        <v>4178</v>
      </c>
      <c r="M289" s="540">
        <v>0</v>
      </c>
    </row>
    <row r="290" spans="1:13" ht="112" x14ac:dyDescent="0.2">
      <c r="A290" s="539" t="s">
        <v>4175</v>
      </c>
      <c r="B290" s="540">
        <v>13</v>
      </c>
      <c r="C290" s="539" t="s">
        <v>3397</v>
      </c>
      <c r="D290" s="539" t="s">
        <v>3119</v>
      </c>
      <c r="E290" s="540">
        <v>5</v>
      </c>
      <c r="F290" s="539" t="s">
        <v>4260</v>
      </c>
      <c r="G290" s="540" t="e">
        <f>D5-1</f>
        <v>#VALUE!</v>
      </c>
      <c r="H290" s="539" t="s">
        <v>112</v>
      </c>
      <c r="I290" s="540">
        <f t="shared" si="3"/>
        <v>-1420583785</v>
      </c>
      <c r="J290" s="540">
        <v>-1420583785</v>
      </c>
      <c r="K290" s="540">
        <v>-171636900</v>
      </c>
      <c r="L290" s="539" t="s">
        <v>4178</v>
      </c>
      <c r="M290" s="540">
        <v>0</v>
      </c>
    </row>
    <row r="291" spans="1:13" ht="112" x14ac:dyDescent="0.2">
      <c r="A291" s="539" t="s">
        <v>4175</v>
      </c>
      <c r="B291" s="540">
        <v>13</v>
      </c>
      <c r="C291" s="539" t="s">
        <v>3397</v>
      </c>
      <c r="D291" s="539" t="s">
        <v>3119</v>
      </c>
      <c r="E291" s="540">
        <v>6</v>
      </c>
      <c r="F291" s="539" t="s">
        <v>4261</v>
      </c>
      <c r="G291" s="540" t="e">
        <f>D5-1</f>
        <v>#VALUE!</v>
      </c>
      <c r="H291" s="539" t="s">
        <v>112</v>
      </c>
      <c r="I291" s="540">
        <f t="shared" si="3"/>
        <v>-1420583785</v>
      </c>
      <c r="J291" s="540">
        <v>-1420583785</v>
      </c>
      <c r="K291" s="540">
        <v>-55010000</v>
      </c>
      <c r="L291" s="539" t="s">
        <v>4178</v>
      </c>
      <c r="M291" s="540">
        <v>0</v>
      </c>
    </row>
    <row r="292" spans="1:13" ht="112" x14ac:dyDescent="0.2">
      <c r="A292" s="539" t="s">
        <v>4175</v>
      </c>
      <c r="B292" s="540">
        <v>13</v>
      </c>
      <c r="C292" s="539" t="s">
        <v>3397</v>
      </c>
      <c r="D292" s="539" t="s">
        <v>3119</v>
      </c>
      <c r="E292" s="540">
        <v>7</v>
      </c>
      <c r="F292" s="539" t="s">
        <v>4262</v>
      </c>
      <c r="G292" s="540" t="e">
        <f>D5-1</f>
        <v>#VALUE!</v>
      </c>
      <c r="H292" s="539" t="s">
        <v>112</v>
      </c>
      <c r="I292" s="540">
        <f t="shared" si="3"/>
        <v>-1420583785</v>
      </c>
      <c r="J292" s="540">
        <v>-1420583785</v>
      </c>
      <c r="K292" s="540">
        <v>-507006500</v>
      </c>
      <c r="L292" s="539" t="s">
        <v>4178</v>
      </c>
      <c r="M292" s="540">
        <v>0</v>
      </c>
    </row>
    <row r="293" spans="1:13" ht="112" x14ac:dyDescent="0.2">
      <c r="A293" s="539" t="s">
        <v>4175</v>
      </c>
      <c r="B293" s="540">
        <v>13</v>
      </c>
      <c r="C293" s="539" t="s">
        <v>3397</v>
      </c>
      <c r="D293" s="539" t="s">
        <v>3119</v>
      </c>
      <c r="E293" s="540">
        <v>8</v>
      </c>
      <c r="F293" s="539" t="s">
        <v>4263</v>
      </c>
      <c r="G293" s="540" t="e">
        <f>D5-1</f>
        <v>#VALUE!</v>
      </c>
      <c r="H293" s="539" t="s">
        <v>112</v>
      </c>
      <c r="I293" s="540">
        <f t="shared" si="3"/>
        <v>-1420583785</v>
      </c>
      <c r="J293" s="540">
        <v>-1420583785</v>
      </c>
      <c r="K293" s="540">
        <v>-1505306</v>
      </c>
      <c r="L293" s="539" t="s">
        <v>4178</v>
      </c>
      <c r="M293" s="540">
        <v>0</v>
      </c>
    </row>
    <row r="294" spans="1:13" ht="112" x14ac:dyDescent="0.2">
      <c r="A294" s="539" t="s">
        <v>4175</v>
      </c>
      <c r="B294" s="540">
        <v>13</v>
      </c>
      <c r="C294" s="539" t="s">
        <v>3397</v>
      </c>
      <c r="D294" s="539" t="s">
        <v>3119</v>
      </c>
      <c r="E294" s="540">
        <v>9</v>
      </c>
      <c r="F294" s="539" t="s">
        <v>4264</v>
      </c>
      <c r="G294" s="540" t="e">
        <f>D5-1</f>
        <v>#VALUE!</v>
      </c>
      <c r="H294" s="539" t="s">
        <v>112</v>
      </c>
      <c r="I294" s="540">
        <f t="shared" si="3"/>
        <v>-1420583785</v>
      </c>
      <c r="J294" s="540">
        <v>-1420583785</v>
      </c>
      <c r="K294" s="540">
        <v>-4000000</v>
      </c>
      <c r="L294" s="539" t="s">
        <v>4178</v>
      </c>
      <c r="M294" s="540">
        <v>0</v>
      </c>
    </row>
    <row r="295" spans="1:13" ht="112" x14ac:dyDescent="0.2">
      <c r="A295" s="539" t="s">
        <v>4175</v>
      </c>
      <c r="B295" s="540">
        <v>13</v>
      </c>
      <c r="C295" s="539" t="s">
        <v>3397</v>
      </c>
      <c r="D295" s="539" t="s">
        <v>3119</v>
      </c>
      <c r="E295" s="540">
        <v>10</v>
      </c>
      <c r="F295" s="539" t="s">
        <v>4265</v>
      </c>
      <c r="G295" s="540" t="e">
        <f>D5-1</f>
        <v>#VALUE!</v>
      </c>
      <c r="H295" s="539" t="s">
        <v>112</v>
      </c>
      <c r="I295" s="540">
        <f t="shared" si="3"/>
        <v>-1420583785</v>
      </c>
      <c r="J295" s="540">
        <v>-1420583785</v>
      </c>
      <c r="K295" s="540">
        <v>-17133467</v>
      </c>
      <c r="L295" s="539" t="s">
        <v>4178</v>
      </c>
      <c r="M295" s="540">
        <v>0</v>
      </c>
    </row>
    <row r="296" spans="1:13" ht="112" x14ac:dyDescent="0.2">
      <c r="A296" s="539" t="s">
        <v>4175</v>
      </c>
      <c r="B296" s="540">
        <v>13</v>
      </c>
      <c r="C296" s="539" t="s">
        <v>3397</v>
      </c>
      <c r="D296" s="539" t="s">
        <v>3119</v>
      </c>
      <c r="E296" s="540">
        <v>11</v>
      </c>
      <c r="F296" s="539" t="s">
        <v>4266</v>
      </c>
      <c r="G296" s="540" t="e">
        <f>D5-1</f>
        <v>#VALUE!</v>
      </c>
      <c r="H296" s="539" t="s">
        <v>112</v>
      </c>
      <c r="I296" s="540">
        <f t="shared" si="3"/>
        <v>-1420583785</v>
      </c>
      <c r="J296" s="540">
        <v>-1420583785</v>
      </c>
      <c r="K296" s="540">
        <v>-25364440</v>
      </c>
      <c r="L296" s="539" t="s">
        <v>4178</v>
      </c>
      <c r="M296" s="540">
        <v>0</v>
      </c>
    </row>
    <row r="297" spans="1:13" ht="112" x14ac:dyDescent="0.2">
      <c r="A297" s="539" t="s">
        <v>4175</v>
      </c>
      <c r="B297" s="540">
        <v>13</v>
      </c>
      <c r="C297" s="539" t="s">
        <v>3397</v>
      </c>
      <c r="D297" s="539" t="s">
        <v>3119</v>
      </c>
      <c r="E297" s="540">
        <v>12</v>
      </c>
      <c r="F297" s="539" t="s">
        <v>4267</v>
      </c>
      <c r="G297" s="540" t="e">
        <f>D5-1</f>
        <v>#VALUE!</v>
      </c>
      <c r="H297" s="539" t="s">
        <v>112</v>
      </c>
      <c r="I297" s="540">
        <f t="shared" si="3"/>
        <v>-1420583785</v>
      </c>
      <c r="J297" s="540">
        <v>-1420583785</v>
      </c>
      <c r="K297" s="540">
        <v>-36857132</v>
      </c>
      <c r="L297" s="539" t="s">
        <v>4178</v>
      </c>
      <c r="M297" s="540">
        <v>0</v>
      </c>
    </row>
    <row r="298" spans="1:13" ht="112" x14ac:dyDescent="0.2">
      <c r="A298" s="539" t="s">
        <v>4175</v>
      </c>
      <c r="B298" s="540">
        <v>13</v>
      </c>
      <c r="C298" s="539" t="s">
        <v>3397</v>
      </c>
      <c r="D298" s="539" t="s">
        <v>3119</v>
      </c>
      <c r="E298" s="540">
        <v>13</v>
      </c>
      <c r="F298" s="539" t="s">
        <v>4268</v>
      </c>
      <c r="G298" s="540" t="e">
        <f>D5-1</f>
        <v>#VALUE!</v>
      </c>
      <c r="H298" s="539" t="s">
        <v>112</v>
      </c>
      <c r="I298" s="540">
        <f t="shared" si="3"/>
        <v>-1420583785</v>
      </c>
      <c r="J298" s="540">
        <v>-1420583785</v>
      </c>
      <c r="K298" s="540">
        <v>0</v>
      </c>
      <c r="L298" s="539" t="s">
        <v>4178</v>
      </c>
      <c r="M298" s="540">
        <v>0</v>
      </c>
    </row>
    <row r="299" spans="1:13" ht="112" x14ac:dyDescent="0.2">
      <c r="A299" s="539" t="s">
        <v>4175</v>
      </c>
      <c r="B299" s="540">
        <v>13</v>
      </c>
      <c r="C299" s="539" t="s">
        <v>3397</v>
      </c>
      <c r="D299" s="539" t="s">
        <v>3119</v>
      </c>
      <c r="E299" s="540">
        <v>14</v>
      </c>
      <c r="F299" s="539" t="s">
        <v>4269</v>
      </c>
      <c r="G299" s="540" t="e">
        <f>D5-1</f>
        <v>#VALUE!</v>
      </c>
      <c r="H299" s="539" t="s">
        <v>112</v>
      </c>
      <c r="I299" s="540">
        <f t="shared" si="3"/>
        <v>-1420583785</v>
      </c>
      <c r="J299" s="540">
        <v>-1420583785</v>
      </c>
      <c r="K299" s="540">
        <v>0</v>
      </c>
      <c r="L299" s="539" t="s">
        <v>4178</v>
      </c>
      <c r="M299" s="540">
        <v>0</v>
      </c>
    </row>
    <row r="300" spans="1:13" ht="112" x14ac:dyDescent="0.2">
      <c r="A300" s="539" t="s">
        <v>4175</v>
      </c>
      <c r="B300" s="540">
        <v>13</v>
      </c>
      <c r="C300" s="539" t="s">
        <v>3397</v>
      </c>
      <c r="D300" s="539" t="s">
        <v>3119</v>
      </c>
      <c r="E300" s="540">
        <v>1</v>
      </c>
      <c r="F300" s="539" t="s">
        <v>4256</v>
      </c>
      <c r="G300" s="540">
        <f>E5-1</f>
        <v>0</v>
      </c>
      <c r="H300" s="539" t="s">
        <v>134</v>
      </c>
      <c r="I300" s="540">
        <f t="shared" ref="I300:I313" si="4">(39888220+388515583+12543000+475888200+19685000+331373500+445539100+1477600+22156200+14335851+58476654)*-1</f>
        <v>-1809878908</v>
      </c>
      <c r="J300" s="540">
        <v>-1809878908</v>
      </c>
      <c r="K300" s="540">
        <v>-39888220</v>
      </c>
      <c r="L300" s="539" t="s">
        <v>4178</v>
      </c>
      <c r="M300" s="540">
        <v>0</v>
      </c>
    </row>
    <row r="301" spans="1:13" ht="112" x14ac:dyDescent="0.2">
      <c r="A301" s="539" t="s">
        <v>4175</v>
      </c>
      <c r="B301" s="540">
        <v>13</v>
      </c>
      <c r="C301" s="539" t="s">
        <v>3397</v>
      </c>
      <c r="D301" s="539" t="s">
        <v>3119</v>
      </c>
      <c r="E301" s="540">
        <v>2</v>
      </c>
      <c r="F301" s="539" t="s">
        <v>4257</v>
      </c>
      <c r="G301" s="540">
        <f>E5-1</f>
        <v>0</v>
      </c>
      <c r="H301" s="539" t="s">
        <v>134</v>
      </c>
      <c r="I301" s="540">
        <f t="shared" si="4"/>
        <v>-1809878908</v>
      </c>
      <c r="J301" s="540">
        <v>-1809878908</v>
      </c>
      <c r="K301" s="540">
        <v>-388515583</v>
      </c>
      <c r="L301" s="539" t="s">
        <v>4178</v>
      </c>
      <c r="M301" s="540">
        <v>0</v>
      </c>
    </row>
    <row r="302" spans="1:13" ht="112" x14ac:dyDescent="0.2">
      <c r="A302" s="539" t="s">
        <v>4175</v>
      </c>
      <c r="B302" s="540">
        <v>13</v>
      </c>
      <c r="C302" s="539" t="s">
        <v>3397</v>
      </c>
      <c r="D302" s="539" t="s">
        <v>3119</v>
      </c>
      <c r="E302" s="540">
        <v>3</v>
      </c>
      <c r="F302" s="539" t="s">
        <v>4258</v>
      </c>
      <c r="G302" s="540">
        <f>E5-1</f>
        <v>0</v>
      </c>
      <c r="H302" s="539" t="s">
        <v>134</v>
      </c>
      <c r="I302" s="540">
        <f t="shared" si="4"/>
        <v>-1809878908</v>
      </c>
      <c r="J302" s="540">
        <v>-1809878908</v>
      </c>
      <c r="K302" s="540">
        <v>-12543000</v>
      </c>
      <c r="L302" s="539" t="s">
        <v>4178</v>
      </c>
      <c r="M302" s="540">
        <v>0</v>
      </c>
    </row>
    <row r="303" spans="1:13" ht="112" x14ac:dyDescent="0.2">
      <c r="A303" s="539" t="s">
        <v>4175</v>
      </c>
      <c r="B303" s="540">
        <v>13</v>
      </c>
      <c r="C303" s="539" t="s">
        <v>3397</v>
      </c>
      <c r="D303" s="539" t="s">
        <v>3119</v>
      </c>
      <c r="E303" s="540">
        <v>4</v>
      </c>
      <c r="F303" s="539" t="s">
        <v>4259</v>
      </c>
      <c r="G303" s="540">
        <f>E5-1</f>
        <v>0</v>
      </c>
      <c r="H303" s="539" t="s">
        <v>134</v>
      </c>
      <c r="I303" s="540">
        <f t="shared" si="4"/>
        <v>-1809878908</v>
      </c>
      <c r="J303" s="540">
        <v>-1809878908</v>
      </c>
      <c r="K303" s="540">
        <v>-475888200</v>
      </c>
      <c r="L303" s="539" t="s">
        <v>4178</v>
      </c>
      <c r="M303" s="540">
        <v>0</v>
      </c>
    </row>
    <row r="304" spans="1:13" ht="112" x14ac:dyDescent="0.2">
      <c r="A304" s="539" t="s">
        <v>4175</v>
      </c>
      <c r="B304" s="540">
        <v>13</v>
      </c>
      <c r="C304" s="539" t="s">
        <v>3397</v>
      </c>
      <c r="D304" s="539" t="s">
        <v>3119</v>
      </c>
      <c r="E304" s="540">
        <v>5</v>
      </c>
      <c r="F304" s="539" t="s">
        <v>4260</v>
      </c>
      <c r="G304" s="540">
        <f>E5-1</f>
        <v>0</v>
      </c>
      <c r="H304" s="539" t="s">
        <v>134</v>
      </c>
      <c r="I304" s="540">
        <f t="shared" si="4"/>
        <v>-1809878908</v>
      </c>
      <c r="J304" s="540">
        <v>-1809878908</v>
      </c>
      <c r="K304" s="540">
        <v>-19685000</v>
      </c>
      <c r="L304" s="539" t="s">
        <v>4178</v>
      </c>
      <c r="M304" s="540">
        <v>0</v>
      </c>
    </row>
    <row r="305" spans="1:13" ht="112" x14ac:dyDescent="0.2">
      <c r="A305" s="539" t="s">
        <v>4175</v>
      </c>
      <c r="B305" s="540">
        <v>13</v>
      </c>
      <c r="C305" s="539" t="s">
        <v>3397</v>
      </c>
      <c r="D305" s="539" t="s">
        <v>3119</v>
      </c>
      <c r="E305" s="540">
        <v>6</v>
      </c>
      <c r="F305" s="539" t="s">
        <v>4261</v>
      </c>
      <c r="G305" s="540">
        <f>E5-1</f>
        <v>0</v>
      </c>
      <c r="H305" s="539" t="s">
        <v>134</v>
      </c>
      <c r="I305" s="540">
        <f t="shared" si="4"/>
        <v>-1809878908</v>
      </c>
      <c r="J305" s="540">
        <v>-1809878908</v>
      </c>
      <c r="K305" s="540">
        <v>-331373500</v>
      </c>
      <c r="L305" s="539" t="s">
        <v>4178</v>
      </c>
      <c r="M305" s="540">
        <v>0</v>
      </c>
    </row>
    <row r="306" spans="1:13" ht="112" x14ac:dyDescent="0.2">
      <c r="A306" s="539" t="s">
        <v>4175</v>
      </c>
      <c r="B306" s="540">
        <v>13</v>
      </c>
      <c r="C306" s="539" t="s">
        <v>3397</v>
      </c>
      <c r="D306" s="539" t="s">
        <v>3119</v>
      </c>
      <c r="E306" s="540">
        <v>7</v>
      </c>
      <c r="F306" s="539" t="s">
        <v>4262</v>
      </c>
      <c r="G306" s="540">
        <f>E5-1</f>
        <v>0</v>
      </c>
      <c r="H306" s="539" t="s">
        <v>134</v>
      </c>
      <c r="I306" s="540">
        <f t="shared" si="4"/>
        <v>-1809878908</v>
      </c>
      <c r="J306" s="540">
        <v>-1809878908</v>
      </c>
      <c r="K306" s="540">
        <v>-445539100</v>
      </c>
      <c r="L306" s="539" t="s">
        <v>4178</v>
      </c>
      <c r="M306" s="540">
        <v>0</v>
      </c>
    </row>
    <row r="307" spans="1:13" ht="112" x14ac:dyDescent="0.2">
      <c r="A307" s="539" t="s">
        <v>4175</v>
      </c>
      <c r="B307" s="540">
        <v>13</v>
      </c>
      <c r="C307" s="539" t="s">
        <v>3397</v>
      </c>
      <c r="D307" s="539" t="s">
        <v>3119</v>
      </c>
      <c r="E307" s="540">
        <v>8</v>
      </c>
      <c r="F307" s="539" t="s">
        <v>4263</v>
      </c>
      <c r="G307" s="540">
        <f>E5-1</f>
        <v>0</v>
      </c>
      <c r="H307" s="539" t="s">
        <v>134</v>
      </c>
      <c r="I307" s="540">
        <f t="shared" si="4"/>
        <v>-1809878908</v>
      </c>
      <c r="J307" s="540">
        <v>-1809878908</v>
      </c>
      <c r="K307" s="540">
        <v>-1477600</v>
      </c>
      <c r="L307" s="539" t="s">
        <v>4178</v>
      </c>
      <c r="M307" s="540">
        <v>0</v>
      </c>
    </row>
    <row r="308" spans="1:13" ht="112" x14ac:dyDescent="0.2">
      <c r="A308" s="539" t="s">
        <v>4175</v>
      </c>
      <c r="B308" s="540">
        <v>13</v>
      </c>
      <c r="C308" s="539" t="s">
        <v>3397</v>
      </c>
      <c r="D308" s="539" t="s">
        <v>3119</v>
      </c>
      <c r="E308" s="540">
        <v>9</v>
      </c>
      <c r="F308" s="539" t="s">
        <v>4264</v>
      </c>
      <c r="G308" s="540">
        <f>E5-1</f>
        <v>0</v>
      </c>
      <c r="H308" s="539" t="s">
        <v>134</v>
      </c>
      <c r="I308" s="540">
        <f t="shared" si="4"/>
        <v>-1809878908</v>
      </c>
      <c r="J308" s="540">
        <v>-1809878908</v>
      </c>
      <c r="K308" s="540">
        <v>-22156200</v>
      </c>
      <c r="L308" s="539" t="s">
        <v>4178</v>
      </c>
      <c r="M308" s="540">
        <v>0</v>
      </c>
    </row>
    <row r="309" spans="1:13" ht="112" x14ac:dyDescent="0.2">
      <c r="A309" s="539" t="s">
        <v>4175</v>
      </c>
      <c r="B309" s="540">
        <v>13</v>
      </c>
      <c r="C309" s="539" t="s">
        <v>3397</v>
      </c>
      <c r="D309" s="539" t="s">
        <v>3119</v>
      </c>
      <c r="E309" s="540">
        <v>10</v>
      </c>
      <c r="F309" s="539" t="s">
        <v>4265</v>
      </c>
      <c r="G309" s="540">
        <f>E5-1</f>
        <v>0</v>
      </c>
      <c r="H309" s="539" t="s">
        <v>134</v>
      </c>
      <c r="I309" s="540">
        <f t="shared" si="4"/>
        <v>-1809878908</v>
      </c>
      <c r="J309" s="540">
        <v>-1809878908</v>
      </c>
      <c r="K309" s="540">
        <v>-14335851</v>
      </c>
      <c r="L309" s="539" t="s">
        <v>4178</v>
      </c>
      <c r="M309" s="540">
        <v>0</v>
      </c>
    </row>
    <row r="310" spans="1:13" ht="112" x14ac:dyDescent="0.2">
      <c r="A310" s="539" t="s">
        <v>4175</v>
      </c>
      <c r="B310" s="540">
        <v>13</v>
      </c>
      <c r="C310" s="539" t="s">
        <v>3397</v>
      </c>
      <c r="D310" s="539" t="s">
        <v>3119</v>
      </c>
      <c r="E310" s="540">
        <v>11</v>
      </c>
      <c r="F310" s="539" t="s">
        <v>4266</v>
      </c>
      <c r="G310" s="540">
        <f>E5-1</f>
        <v>0</v>
      </c>
      <c r="H310" s="539" t="s">
        <v>134</v>
      </c>
      <c r="I310" s="540">
        <f t="shared" si="4"/>
        <v>-1809878908</v>
      </c>
      <c r="J310" s="540">
        <v>-1809878908</v>
      </c>
      <c r="K310" s="540">
        <v>-58476654</v>
      </c>
      <c r="L310" s="539" t="s">
        <v>4178</v>
      </c>
      <c r="M310" s="540">
        <v>0</v>
      </c>
    </row>
    <row r="311" spans="1:13" ht="112" x14ac:dyDescent="0.2">
      <c r="A311" s="539" t="s">
        <v>4175</v>
      </c>
      <c r="B311" s="540">
        <v>13</v>
      </c>
      <c r="C311" s="539" t="s">
        <v>3397</v>
      </c>
      <c r="D311" s="539" t="s">
        <v>3119</v>
      </c>
      <c r="E311" s="540">
        <v>12</v>
      </c>
      <c r="F311" s="539" t="s">
        <v>4267</v>
      </c>
      <c r="G311" s="540">
        <f>E5-1</f>
        <v>0</v>
      </c>
      <c r="H311" s="539" t="s">
        <v>134</v>
      </c>
      <c r="I311" s="540">
        <f t="shared" si="4"/>
        <v>-1809878908</v>
      </c>
      <c r="J311" s="540">
        <v>-1809878908</v>
      </c>
      <c r="K311" s="540">
        <v>0</v>
      </c>
      <c r="L311" s="539" t="s">
        <v>4178</v>
      </c>
      <c r="M311" s="540">
        <v>0</v>
      </c>
    </row>
    <row r="312" spans="1:13" ht="112" x14ac:dyDescent="0.2">
      <c r="A312" s="539" t="s">
        <v>4175</v>
      </c>
      <c r="B312" s="540">
        <v>13</v>
      </c>
      <c r="C312" s="539" t="s">
        <v>3397</v>
      </c>
      <c r="D312" s="539" t="s">
        <v>3119</v>
      </c>
      <c r="E312" s="540">
        <v>13</v>
      </c>
      <c r="F312" s="539" t="s">
        <v>4268</v>
      </c>
      <c r="G312" s="540">
        <f>E5-1</f>
        <v>0</v>
      </c>
      <c r="H312" s="539" t="s">
        <v>134</v>
      </c>
      <c r="I312" s="540">
        <f t="shared" si="4"/>
        <v>-1809878908</v>
      </c>
      <c r="J312" s="540">
        <v>-1809878908</v>
      </c>
      <c r="K312" s="540">
        <v>0</v>
      </c>
      <c r="L312" s="539" t="s">
        <v>4178</v>
      </c>
      <c r="M312" s="540">
        <v>0</v>
      </c>
    </row>
    <row r="313" spans="1:13" ht="112" x14ac:dyDescent="0.2">
      <c r="A313" s="539" t="s">
        <v>4175</v>
      </c>
      <c r="B313" s="540">
        <v>13</v>
      </c>
      <c r="C313" s="539" t="s">
        <v>3397</v>
      </c>
      <c r="D313" s="539" t="s">
        <v>3119</v>
      </c>
      <c r="E313" s="540">
        <v>14</v>
      </c>
      <c r="F313" s="539" t="s">
        <v>4269</v>
      </c>
      <c r="G313" s="540">
        <f>E5-1</f>
        <v>0</v>
      </c>
      <c r="H313" s="539" t="s">
        <v>134</v>
      </c>
      <c r="I313" s="540">
        <f t="shared" si="4"/>
        <v>-1809878908</v>
      </c>
      <c r="J313" s="540">
        <v>-1809878908</v>
      </c>
      <c r="K313" s="540">
        <v>0</v>
      </c>
      <c r="L313" s="539" t="s">
        <v>4178</v>
      </c>
      <c r="M313" s="540">
        <v>0</v>
      </c>
    </row>
    <row r="314" spans="1:13" ht="112" x14ac:dyDescent="0.2">
      <c r="A314" s="539" t="s">
        <v>4175</v>
      </c>
      <c r="B314" s="540">
        <v>13</v>
      </c>
      <c r="C314" s="539" t="s">
        <v>3397</v>
      </c>
      <c r="D314" s="539" t="s">
        <v>3119</v>
      </c>
      <c r="E314" s="540">
        <v>1</v>
      </c>
      <c r="F314" s="539" t="s">
        <v>4256</v>
      </c>
      <c r="G314" s="540">
        <f>YEAR(HOME!B20)</f>
        <v>2021</v>
      </c>
      <c r="H314" s="539" t="s">
        <v>147</v>
      </c>
      <c r="I314" s="540">
        <f t="shared" ref="I314:I327" si="5">(10290500+543625269+10767100+809649273+146537000+507940000+449519500+1418500+24268976+37800600+34972298+64306088)*-1</f>
        <v>-2641095104</v>
      </c>
      <c r="J314" s="540">
        <v>-2641095104</v>
      </c>
      <c r="K314" s="540">
        <v>-10290500</v>
      </c>
      <c r="L314" s="539" t="s">
        <v>4178</v>
      </c>
      <c r="M314" s="540">
        <v>0</v>
      </c>
    </row>
    <row r="315" spans="1:13" ht="112" x14ac:dyDescent="0.2">
      <c r="A315" s="539" t="s">
        <v>4175</v>
      </c>
      <c r="B315" s="540">
        <v>13</v>
      </c>
      <c r="C315" s="539" t="s">
        <v>3397</v>
      </c>
      <c r="D315" s="539" t="s">
        <v>3119</v>
      </c>
      <c r="E315" s="540">
        <v>2</v>
      </c>
      <c r="F315" s="539" t="s">
        <v>4257</v>
      </c>
      <c r="G315" s="540">
        <f>YEAR(HOME!B20)</f>
        <v>2021</v>
      </c>
      <c r="H315" s="539" t="s">
        <v>147</v>
      </c>
      <c r="I315" s="540">
        <f t="shared" si="5"/>
        <v>-2641095104</v>
      </c>
      <c r="J315" s="540">
        <v>-2641095104</v>
      </c>
      <c r="K315" s="540">
        <v>-543625269</v>
      </c>
      <c r="L315" s="539" t="s">
        <v>4178</v>
      </c>
      <c r="M315" s="540">
        <v>0</v>
      </c>
    </row>
    <row r="316" spans="1:13" ht="112" x14ac:dyDescent="0.2">
      <c r="A316" s="539" t="s">
        <v>4175</v>
      </c>
      <c r="B316" s="540">
        <v>13</v>
      </c>
      <c r="C316" s="539" t="s">
        <v>3397</v>
      </c>
      <c r="D316" s="539" t="s">
        <v>3119</v>
      </c>
      <c r="E316" s="540">
        <v>3</v>
      </c>
      <c r="F316" s="539" t="s">
        <v>4258</v>
      </c>
      <c r="G316" s="540">
        <f>YEAR(HOME!B20)</f>
        <v>2021</v>
      </c>
      <c r="H316" s="539" t="s">
        <v>147</v>
      </c>
      <c r="I316" s="540">
        <f t="shared" si="5"/>
        <v>-2641095104</v>
      </c>
      <c r="J316" s="540">
        <v>-2641095104</v>
      </c>
      <c r="K316" s="540">
        <v>-10767100</v>
      </c>
      <c r="L316" s="539" t="s">
        <v>4178</v>
      </c>
      <c r="M316" s="540">
        <v>0</v>
      </c>
    </row>
    <row r="317" spans="1:13" ht="112" x14ac:dyDescent="0.2">
      <c r="A317" s="539" t="s">
        <v>4175</v>
      </c>
      <c r="B317" s="540">
        <v>13</v>
      </c>
      <c r="C317" s="539" t="s">
        <v>3397</v>
      </c>
      <c r="D317" s="539" t="s">
        <v>3119</v>
      </c>
      <c r="E317" s="540">
        <v>4</v>
      </c>
      <c r="F317" s="539" t="s">
        <v>4259</v>
      </c>
      <c r="G317" s="540">
        <f>YEAR(HOME!B20)</f>
        <v>2021</v>
      </c>
      <c r="H317" s="539" t="s">
        <v>147</v>
      </c>
      <c r="I317" s="540">
        <f t="shared" si="5"/>
        <v>-2641095104</v>
      </c>
      <c r="J317" s="540">
        <v>-2641095104</v>
      </c>
      <c r="K317" s="540">
        <v>-809649273</v>
      </c>
      <c r="L317" s="539" t="s">
        <v>4178</v>
      </c>
      <c r="M317" s="540">
        <v>0</v>
      </c>
    </row>
    <row r="318" spans="1:13" ht="112" x14ac:dyDescent="0.2">
      <c r="A318" s="539" t="s">
        <v>4175</v>
      </c>
      <c r="B318" s="540">
        <v>13</v>
      </c>
      <c r="C318" s="539" t="s">
        <v>3397</v>
      </c>
      <c r="D318" s="539" t="s">
        <v>3119</v>
      </c>
      <c r="E318" s="540">
        <v>5</v>
      </c>
      <c r="F318" s="539" t="s">
        <v>4260</v>
      </c>
      <c r="G318" s="540">
        <f>YEAR(HOME!B20)</f>
        <v>2021</v>
      </c>
      <c r="H318" s="539" t="s">
        <v>147</v>
      </c>
      <c r="I318" s="540">
        <f t="shared" si="5"/>
        <v>-2641095104</v>
      </c>
      <c r="J318" s="540">
        <v>-2641095104</v>
      </c>
      <c r="K318" s="540">
        <v>-146537000</v>
      </c>
      <c r="L318" s="539" t="s">
        <v>4178</v>
      </c>
      <c r="M318" s="540">
        <v>0</v>
      </c>
    </row>
    <row r="319" spans="1:13" ht="112" x14ac:dyDescent="0.2">
      <c r="A319" s="539" t="s">
        <v>4175</v>
      </c>
      <c r="B319" s="540">
        <v>13</v>
      </c>
      <c r="C319" s="539" t="s">
        <v>3397</v>
      </c>
      <c r="D319" s="539" t="s">
        <v>3119</v>
      </c>
      <c r="E319" s="540">
        <v>6</v>
      </c>
      <c r="F319" s="539" t="s">
        <v>4261</v>
      </c>
      <c r="G319" s="540">
        <f>YEAR(HOME!B20)</f>
        <v>2021</v>
      </c>
      <c r="H319" s="539" t="s">
        <v>147</v>
      </c>
      <c r="I319" s="540">
        <f t="shared" si="5"/>
        <v>-2641095104</v>
      </c>
      <c r="J319" s="540">
        <v>-2641095104</v>
      </c>
      <c r="K319" s="540">
        <v>-507940000</v>
      </c>
      <c r="L319" s="539" t="s">
        <v>4178</v>
      </c>
      <c r="M319" s="540">
        <v>0</v>
      </c>
    </row>
    <row r="320" spans="1:13" ht="112" x14ac:dyDescent="0.2">
      <c r="A320" s="539" t="s">
        <v>4175</v>
      </c>
      <c r="B320" s="540">
        <v>13</v>
      </c>
      <c r="C320" s="539" t="s">
        <v>3397</v>
      </c>
      <c r="D320" s="539" t="s">
        <v>3119</v>
      </c>
      <c r="E320" s="540">
        <v>7</v>
      </c>
      <c r="F320" s="539" t="s">
        <v>4262</v>
      </c>
      <c r="G320" s="540">
        <f>YEAR(HOME!B20)</f>
        <v>2021</v>
      </c>
      <c r="H320" s="539" t="s">
        <v>147</v>
      </c>
      <c r="I320" s="540">
        <f t="shared" si="5"/>
        <v>-2641095104</v>
      </c>
      <c r="J320" s="540">
        <v>-2641095104</v>
      </c>
      <c r="K320" s="540">
        <v>-449519500</v>
      </c>
      <c r="L320" s="539" t="s">
        <v>4178</v>
      </c>
      <c r="M320" s="540">
        <v>0</v>
      </c>
    </row>
    <row r="321" spans="1:13" ht="112" x14ac:dyDescent="0.2">
      <c r="A321" s="539" t="s">
        <v>4175</v>
      </c>
      <c r="B321" s="540">
        <v>13</v>
      </c>
      <c r="C321" s="539" t="s">
        <v>3397</v>
      </c>
      <c r="D321" s="539" t="s">
        <v>3119</v>
      </c>
      <c r="E321" s="540">
        <v>8</v>
      </c>
      <c r="F321" s="539" t="s">
        <v>4263</v>
      </c>
      <c r="G321" s="540">
        <f>YEAR(HOME!B20)</f>
        <v>2021</v>
      </c>
      <c r="H321" s="539" t="s">
        <v>147</v>
      </c>
      <c r="I321" s="540">
        <f t="shared" si="5"/>
        <v>-2641095104</v>
      </c>
      <c r="J321" s="540">
        <v>-2641095104</v>
      </c>
      <c r="K321" s="540">
        <v>-1418500</v>
      </c>
      <c r="L321" s="539" t="s">
        <v>4178</v>
      </c>
      <c r="M321" s="540">
        <v>0</v>
      </c>
    </row>
    <row r="322" spans="1:13" ht="112" x14ac:dyDescent="0.2">
      <c r="A322" s="539" t="s">
        <v>4175</v>
      </c>
      <c r="B322" s="540">
        <v>13</v>
      </c>
      <c r="C322" s="539" t="s">
        <v>3397</v>
      </c>
      <c r="D322" s="539" t="s">
        <v>3119</v>
      </c>
      <c r="E322" s="540">
        <v>9</v>
      </c>
      <c r="F322" s="539" t="s">
        <v>4264</v>
      </c>
      <c r="G322" s="540">
        <f>YEAR(HOME!B20)</f>
        <v>2021</v>
      </c>
      <c r="H322" s="539" t="s">
        <v>147</v>
      </c>
      <c r="I322" s="540">
        <f t="shared" si="5"/>
        <v>-2641095104</v>
      </c>
      <c r="J322" s="540">
        <v>-2641095104</v>
      </c>
      <c r="K322" s="540">
        <v>-24268976</v>
      </c>
      <c r="L322" s="539" t="s">
        <v>4178</v>
      </c>
      <c r="M322" s="540">
        <v>0</v>
      </c>
    </row>
    <row r="323" spans="1:13" ht="112" x14ac:dyDescent="0.2">
      <c r="A323" s="539" t="s">
        <v>4175</v>
      </c>
      <c r="B323" s="540">
        <v>13</v>
      </c>
      <c r="C323" s="539" t="s">
        <v>3397</v>
      </c>
      <c r="D323" s="539" t="s">
        <v>3119</v>
      </c>
      <c r="E323" s="540">
        <v>10</v>
      </c>
      <c r="F323" s="539" t="s">
        <v>4265</v>
      </c>
      <c r="G323" s="540">
        <f>YEAR(HOME!B20)</f>
        <v>2021</v>
      </c>
      <c r="H323" s="539" t="s">
        <v>147</v>
      </c>
      <c r="I323" s="540">
        <f t="shared" si="5"/>
        <v>-2641095104</v>
      </c>
      <c r="J323" s="540">
        <v>-2641095104</v>
      </c>
      <c r="K323" s="540">
        <v>-37800600</v>
      </c>
      <c r="L323" s="539" t="s">
        <v>4178</v>
      </c>
      <c r="M323" s="540">
        <v>0</v>
      </c>
    </row>
    <row r="324" spans="1:13" ht="112" x14ac:dyDescent="0.2">
      <c r="A324" s="539" t="s">
        <v>4175</v>
      </c>
      <c r="B324" s="540">
        <v>13</v>
      </c>
      <c r="C324" s="539" t="s">
        <v>3397</v>
      </c>
      <c r="D324" s="539" t="s">
        <v>3119</v>
      </c>
      <c r="E324" s="540">
        <v>11</v>
      </c>
      <c r="F324" s="539" t="s">
        <v>4266</v>
      </c>
      <c r="G324" s="540">
        <f>YEAR(HOME!B20)</f>
        <v>2021</v>
      </c>
      <c r="H324" s="539" t="s">
        <v>147</v>
      </c>
      <c r="I324" s="540">
        <f t="shared" si="5"/>
        <v>-2641095104</v>
      </c>
      <c r="J324" s="540">
        <v>-2641095104</v>
      </c>
      <c r="K324" s="540">
        <v>-34972298</v>
      </c>
      <c r="L324" s="539" t="s">
        <v>4178</v>
      </c>
      <c r="M324" s="540">
        <v>0</v>
      </c>
    </row>
    <row r="325" spans="1:13" ht="112" x14ac:dyDescent="0.2">
      <c r="A325" s="539" t="s">
        <v>4175</v>
      </c>
      <c r="B325" s="540">
        <v>13</v>
      </c>
      <c r="C325" s="539" t="s">
        <v>3397</v>
      </c>
      <c r="D325" s="539" t="s">
        <v>3119</v>
      </c>
      <c r="E325" s="540">
        <v>12</v>
      </c>
      <c r="F325" s="539" t="s">
        <v>4267</v>
      </c>
      <c r="G325" s="540">
        <f>YEAR(HOME!B20)</f>
        <v>2021</v>
      </c>
      <c r="H325" s="539" t="s">
        <v>147</v>
      </c>
      <c r="I325" s="540">
        <f t="shared" si="5"/>
        <v>-2641095104</v>
      </c>
      <c r="J325" s="540">
        <v>-2641095104</v>
      </c>
      <c r="K325" s="540">
        <v>-64306088</v>
      </c>
      <c r="L325" s="539" t="s">
        <v>4178</v>
      </c>
      <c r="M325" s="540">
        <v>0</v>
      </c>
    </row>
    <row r="326" spans="1:13" ht="112" x14ac:dyDescent="0.2">
      <c r="A326" s="539" t="s">
        <v>4175</v>
      </c>
      <c r="B326" s="540">
        <v>13</v>
      </c>
      <c r="C326" s="539" t="s">
        <v>3397</v>
      </c>
      <c r="D326" s="539" t="s">
        <v>3119</v>
      </c>
      <c r="E326" s="540">
        <v>13</v>
      </c>
      <c r="F326" s="539" t="s">
        <v>4268</v>
      </c>
      <c r="G326" s="540">
        <f>YEAR(HOME!B20)</f>
        <v>2021</v>
      </c>
      <c r="H326" s="539" t="s">
        <v>147</v>
      </c>
      <c r="I326" s="540">
        <f t="shared" si="5"/>
        <v>-2641095104</v>
      </c>
      <c r="J326" s="540">
        <v>-2641095104</v>
      </c>
      <c r="K326" s="540">
        <v>0</v>
      </c>
      <c r="L326" s="539" t="s">
        <v>4178</v>
      </c>
      <c r="M326" s="540">
        <v>0</v>
      </c>
    </row>
    <row r="327" spans="1:13" ht="112" x14ac:dyDescent="0.2">
      <c r="A327" s="539" t="s">
        <v>4175</v>
      </c>
      <c r="B327" s="540">
        <v>13</v>
      </c>
      <c r="C327" s="539" t="s">
        <v>3397</v>
      </c>
      <c r="D327" s="539" t="s">
        <v>3119</v>
      </c>
      <c r="E327" s="540">
        <v>14</v>
      </c>
      <c r="F327" s="539" t="s">
        <v>4269</v>
      </c>
      <c r="G327" s="540">
        <f>YEAR(HOME!B20)</f>
        <v>2021</v>
      </c>
      <c r="H327" s="539" t="s">
        <v>147</v>
      </c>
      <c r="I327" s="540">
        <f t="shared" si="5"/>
        <v>-2641095104</v>
      </c>
      <c r="J327" s="540">
        <v>-2641095104</v>
      </c>
      <c r="K327" s="540">
        <v>0</v>
      </c>
      <c r="L327" s="539" t="s">
        <v>4178</v>
      </c>
      <c r="M327" s="540">
        <v>0</v>
      </c>
    </row>
    <row r="328" spans="1:13" ht="48" x14ac:dyDescent="0.2">
      <c r="A328" s="539" t="s">
        <v>4175</v>
      </c>
      <c r="B328" s="540">
        <v>26</v>
      </c>
      <c r="C328" s="539" t="s">
        <v>16</v>
      </c>
      <c r="D328" s="539" t="s">
        <v>3127</v>
      </c>
      <c r="E328" s="540">
        <v>1</v>
      </c>
      <c r="F328" s="539" t="s">
        <v>4270</v>
      </c>
      <c r="G328" s="540" t="e">
        <f>D5-1</f>
        <v>#VALUE!</v>
      </c>
      <c r="H328" s="539" t="s">
        <v>4205</v>
      </c>
      <c r="I328" s="540">
        <f>7222836+74171233</f>
        <v>81394069</v>
      </c>
      <c r="J328" s="540">
        <v>81394069</v>
      </c>
      <c r="K328" s="540">
        <v>7222836</v>
      </c>
      <c r="L328" s="539" t="s">
        <v>4178</v>
      </c>
      <c r="M328" s="540">
        <v>0</v>
      </c>
    </row>
    <row r="329" spans="1:13" ht="48" x14ac:dyDescent="0.2">
      <c r="A329" s="539" t="s">
        <v>4175</v>
      </c>
      <c r="B329" s="540">
        <v>26</v>
      </c>
      <c r="C329" s="539" t="s">
        <v>16</v>
      </c>
      <c r="D329" s="539" t="s">
        <v>3127</v>
      </c>
      <c r="E329" s="540">
        <v>2</v>
      </c>
      <c r="F329" s="539" t="s">
        <v>4271</v>
      </c>
      <c r="G329" s="540" t="e">
        <f>D5-1</f>
        <v>#VALUE!</v>
      </c>
      <c r="H329" s="539" t="s">
        <v>4205</v>
      </c>
      <c r="I329" s="540">
        <f>7222836+74171233</f>
        <v>81394069</v>
      </c>
      <c r="J329" s="540">
        <v>81394069</v>
      </c>
      <c r="K329" s="540">
        <v>74171233</v>
      </c>
      <c r="L329" s="539" t="s">
        <v>4178</v>
      </c>
      <c r="M329" s="540">
        <v>0</v>
      </c>
    </row>
    <row r="330" spans="1:13" ht="48" x14ac:dyDescent="0.2">
      <c r="A330" s="539" t="s">
        <v>4175</v>
      </c>
      <c r="B330" s="540">
        <v>26</v>
      </c>
      <c r="C330" s="539" t="s">
        <v>16</v>
      </c>
      <c r="D330" s="539" t="s">
        <v>3127</v>
      </c>
      <c r="E330" s="540">
        <v>3</v>
      </c>
      <c r="F330" s="539" t="s">
        <v>4272</v>
      </c>
      <c r="G330" s="540" t="e">
        <f>D5-1</f>
        <v>#VALUE!</v>
      </c>
      <c r="H330" s="539" t="s">
        <v>4205</v>
      </c>
      <c r="I330" s="540">
        <f>7222836+74171233</f>
        <v>81394069</v>
      </c>
      <c r="J330" s="540">
        <v>81394069</v>
      </c>
      <c r="K330" s="540">
        <v>0</v>
      </c>
      <c r="L330" s="539" t="s">
        <v>4178</v>
      </c>
      <c r="M330" s="540">
        <v>0</v>
      </c>
    </row>
    <row r="331" spans="1:13" ht="48" x14ac:dyDescent="0.2">
      <c r="A331" s="539" t="s">
        <v>4175</v>
      </c>
      <c r="B331" s="540">
        <v>26</v>
      </c>
      <c r="C331" s="539" t="s">
        <v>16</v>
      </c>
      <c r="D331" s="539" t="s">
        <v>3127</v>
      </c>
      <c r="E331" s="540">
        <v>1</v>
      </c>
      <c r="F331" s="539" t="s">
        <v>4270</v>
      </c>
      <c r="G331" s="540">
        <f>E5-1</f>
        <v>0</v>
      </c>
      <c r="H331" s="539" t="s">
        <v>4206</v>
      </c>
      <c r="I331" s="540">
        <f>6803933+5000000</f>
        <v>11803933</v>
      </c>
      <c r="J331" s="540">
        <v>11803933</v>
      </c>
      <c r="K331" s="540">
        <v>6803933</v>
      </c>
      <c r="L331" s="539" t="s">
        <v>4178</v>
      </c>
      <c r="M331" s="540">
        <v>0</v>
      </c>
    </row>
    <row r="332" spans="1:13" ht="48" x14ac:dyDescent="0.2">
      <c r="A332" s="539" t="s">
        <v>4175</v>
      </c>
      <c r="B332" s="540">
        <v>26</v>
      </c>
      <c r="C332" s="539" t="s">
        <v>16</v>
      </c>
      <c r="D332" s="539" t="s">
        <v>3127</v>
      </c>
      <c r="E332" s="540">
        <v>2</v>
      </c>
      <c r="F332" s="539" t="s">
        <v>4271</v>
      </c>
      <c r="G332" s="540">
        <f>E5-1</f>
        <v>0</v>
      </c>
      <c r="H332" s="539" t="s">
        <v>4206</v>
      </c>
      <c r="I332" s="540">
        <f>6803933+5000000</f>
        <v>11803933</v>
      </c>
      <c r="J332" s="540">
        <v>11803933</v>
      </c>
      <c r="K332" s="540">
        <v>5000000</v>
      </c>
      <c r="L332" s="539" t="s">
        <v>4178</v>
      </c>
      <c r="M332" s="540">
        <v>0</v>
      </c>
    </row>
    <row r="333" spans="1:13" ht="48" x14ac:dyDescent="0.2">
      <c r="A333" s="539" t="s">
        <v>4175</v>
      </c>
      <c r="B333" s="540">
        <v>26</v>
      </c>
      <c r="C333" s="539" t="s">
        <v>16</v>
      </c>
      <c r="D333" s="539" t="s">
        <v>3127</v>
      </c>
      <c r="E333" s="540">
        <v>3</v>
      </c>
      <c r="F333" s="539" t="s">
        <v>4272</v>
      </c>
      <c r="G333" s="540">
        <f>E5-1</f>
        <v>0</v>
      </c>
      <c r="H333" s="539" t="s">
        <v>4206</v>
      </c>
      <c r="I333" s="540">
        <f>6803933+5000000</f>
        <v>11803933</v>
      </c>
      <c r="J333" s="540">
        <v>11803933</v>
      </c>
      <c r="K333" s="540">
        <v>0</v>
      </c>
      <c r="L333" s="539" t="s">
        <v>4178</v>
      </c>
      <c r="M333" s="540">
        <v>0</v>
      </c>
    </row>
    <row r="334" spans="1:13" ht="48" x14ac:dyDescent="0.2">
      <c r="A334" s="539" t="s">
        <v>4175</v>
      </c>
      <c r="B334" s="540">
        <v>26</v>
      </c>
      <c r="C334" s="539" t="s">
        <v>16</v>
      </c>
      <c r="D334" s="539" t="s">
        <v>3127</v>
      </c>
      <c r="E334" s="540">
        <v>1</v>
      </c>
      <c r="F334" s="539" t="s">
        <v>4270</v>
      </c>
      <c r="G334" s="540">
        <f>YEAR(HOME!B20)</f>
        <v>2021</v>
      </c>
      <c r="H334" s="539" t="s">
        <v>4207</v>
      </c>
      <c r="I334" s="540">
        <f>(2443706+2266459+9247176)</f>
        <v>13957341</v>
      </c>
      <c r="J334" s="540">
        <v>13957341</v>
      </c>
      <c r="K334" s="540">
        <v>2443706</v>
      </c>
      <c r="L334" s="539" t="s">
        <v>4181</v>
      </c>
      <c r="M334" s="540">
        <v>0</v>
      </c>
    </row>
    <row r="335" spans="1:13" ht="48" x14ac:dyDescent="0.2">
      <c r="A335" s="539" t="s">
        <v>4175</v>
      </c>
      <c r="B335" s="540">
        <v>26</v>
      </c>
      <c r="C335" s="539" t="s">
        <v>16</v>
      </c>
      <c r="D335" s="539" t="s">
        <v>3127</v>
      </c>
      <c r="E335" s="540">
        <v>2</v>
      </c>
      <c r="F335" s="539" t="s">
        <v>4271</v>
      </c>
      <c r="G335" s="540">
        <f>YEAR(HOME!B20)</f>
        <v>2021</v>
      </c>
      <c r="H335" s="539" t="s">
        <v>4207</v>
      </c>
      <c r="I335" s="540">
        <f>(2443706+2266459+9247176)</f>
        <v>13957341</v>
      </c>
      <c r="J335" s="540">
        <v>13957341</v>
      </c>
      <c r="K335" s="540">
        <v>2266459</v>
      </c>
      <c r="L335" s="539" t="s">
        <v>4181</v>
      </c>
      <c r="M335" s="540">
        <v>0</v>
      </c>
    </row>
    <row r="336" spans="1:13" ht="48" x14ac:dyDescent="0.2">
      <c r="A336" s="539" t="s">
        <v>4175</v>
      </c>
      <c r="B336" s="540">
        <v>26</v>
      </c>
      <c r="C336" s="539" t="s">
        <v>16</v>
      </c>
      <c r="D336" s="539" t="s">
        <v>3127</v>
      </c>
      <c r="E336" s="540">
        <v>3</v>
      </c>
      <c r="F336" s="539" t="s">
        <v>4272</v>
      </c>
      <c r="G336" s="540">
        <f>YEAR(HOME!B20)</f>
        <v>2021</v>
      </c>
      <c r="H336" s="539" t="s">
        <v>4207</v>
      </c>
      <c r="I336" s="540">
        <f>(2443706+2266459+9247176)</f>
        <v>13957341</v>
      </c>
      <c r="J336" s="540">
        <v>13957341</v>
      </c>
      <c r="K336" s="540">
        <v>9247176</v>
      </c>
      <c r="L336" s="539" t="s">
        <v>4181</v>
      </c>
      <c r="M336" s="540">
        <v>0</v>
      </c>
    </row>
    <row r="337" spans="1:13" ht="32" x14ac:dyDescent="0.2">
      <c r="A337" s="539" t="s">
        <v>4175</v>
      </c>
      <c r="B337" s="540">
        <v>27</v>
      </c>
      <c r="C337" s="539" t="s">
        <v>15</v>
      </c>
      <c r="D337" s="539" t="s">
        <v>3128</v>
      </c>
      <c r="E337" s="540">
        <v>1</v>
      </c>
      <c r="F337" s="539" t="s">
        <v>4273</v>
      </c>
      <c r="G337" s="540" t="e">
        <f>D5-1</f>
        <v>#VALUE!</v>
      </c>
      <c r="H337" s="539" t="s">
        <v>656</v>
      </c>
      <c r="I337" s="540">
        <f>(1444567+14834247)*-1</f>
        <v>-16278814</v>
      </c>
      <c r="J337" s="540">
        <v>-16278814</v>
      </c>
      <c r="K337" s="540">
        <v>-1444567</v>
      </c>
      <c r="L337" s="539" t="s">
        <v>4181</v>
      </c>
      <c r="M337" s="540">
        <v>0</v>
      </c>
    </row>
    <row r="338" spans="1:13" ht="32" x14ac:dyDescent="0.2">
      <c r="A338" s="539" t="s">
        <v>4175</v>
      </c>
      <c r="B338" s="540">
        <v>27</v>
      </c>
      <c r="C338" s="539" t="s">
        <v>15</v>
      </c>
      <c r="D338" s="539" t="s">
        <v>3128</v>
      </c>
      <c r="E338" s="540">
        <v>2</v>
      </c>
      <c r="F338" s="539" t="s">
        <v>4274</v>
      </c>
      <c r="G338" s="540" t="e">
        <f>D5-1</f>
        <v>#VALUE!</v>
      </c>
      <c r="H338" s="539" t="s">
        <v>656</v>
      </c>
      <c r="I338" s="540">
        <f>(1444567+14834247)*-1</f>
        <v>-16278814</v>
      </c>
      <c r="J338" s="540">
        <v>-16278814</v>
      </c>
      <c r="K338" s="540">
        <v>-14834247</v>
      </c>
      <c r="L338" s="539" t="s">
        <v>4181</v>
      </c>
      <c r="M338" s="540">
        <v>0</v>
      </c>
    </row>
    <row r="339" spans="1:13" ht="32" x14ac:dyDescent="0.2">
      <c r="A339" s="539" t="s">
        <v>4175</v>
      </c>
      <c r="B339" s="540">
        <v>27</v>
      </c>
      <c r="C339" s="539" t="s">
        <v>15</v>
      </c>
      <c r="D339" s="539" t="s">
        <v>3128</v>
      </c>
      <c r="E339" s="540">
        <v>1</v>
      </c>
      <c r="F339" s="539" t="s">
        <v>4273</v>
      </c>
      <c r="G339" s="540">
        <f>E5-1</f>
        <v>0</v>
      </c>
      <c r="H339" s="539" t="s">
        <v>394</v>
      </c>
      <c r="I339" s="540">
        <f>(1360787+341)*-1</f>
        <v>-1361128</v>
      </c>
      <c r="J339" s="540">
        <v>-1361128</v>
      </c>
      <c r="K339" s="540">
        <v>-1360787</v>
      </c>
      <c r="L339" s="539" t="s">
        <v>4181</v>
      </c>
      <c r="M339" s="540">
        <v>0</v>
      </c>
    </row>
    <row r="340" spans="1:13" ht="32" x14ac:dyDescent="0.2">
      <c r="A340" s="539" t="s">
        <v>4175</v>
      </c>
      <c r="B340" s="540">
        <v>27</v>
      </c>
      <c r="C340" s="539" t="s">
        <v>15</v>
      </c>
      <c r="D340" s="539" t="s">
        <v>3128</v>
      </c>
      <c r="E340" s="540">
        <v>2</v>
      </c>
      <c r="F340" s="539" t="s">
        <v>4274</v>
      </c>
      <c r="G340" s="540">
        <f>E5-1</f>
        <v>0</v>
      </c>
      <c r="H340" s="539" t="s">
        <v>394</v>
      </c>
      <c r="I340" s="540">
        <f>(1360787+341)*-1</f>
        <v>-1361128</v>
      </c>
      <c r="J340" s="540">
        <v>-1361128</v>
      </c>
      <c r="K340" s="540">
        <v>-341</v>
      </c>
      <c r="L340" s="539" t="s">
        <v>4181</v>
      </c>
      <c r="M340" s="540">
        <v>0</v>
      </c>
    </row>
    <row r="341" spans="1:13" ht="32" x14ac:dyDescent="0.2">
      <c r="A341" s="539" t="s">
        <v>4175</v>
      </c>
      <c r="B341" s="540">
        <v>27</v>
      </c>
      <c r="C341" s="539" t="s">
        <v>15</v>
      </c>
      <c r="D341" s="539" t="s">
        <v>3128</v>
      </c>
      <c r="E341" s="540">
        <v>1</v>
      </c>
      <c r="F341" s="539" t="s">
        <v>4273</v>
      </c>
      <c r="G341" s="540">
        <f>YEAR(HOME!B20)</f>
        <v>2021</v>
      </c>
      <c r="H341" s="539" t="s">
        <v>4208</v>
      </c>
      <c r="I341" s="540">
        <f>(488741+453292)*-1</f>
        <v>-942033</v>
      </c>
      <c r="J341" s="540">
        <v>-942033</v>
      </c>
      <c r="K341" s="540">
        <v>-488741</v>
      </c>
      <c r="L341" s="539" t="s">
        <v>4181</v>
      </c>
      <c r="M341" s="540">
        <v>0</v>
      </c>
    </row>
    <row r="342" spans="1:13" ht="32" x14ac:dyDescent="0.2">
      <c r="A342" s="539" t="s">
        <v>4175</v>
      </c>
      <c r="B342" s="540">
        <v>27</v>
      </c>
      <c r="C342" s="539" t="s">
        <v>15</v>
      </c>
      <c r="D342" s="539" t="s">
        <v>3128</v>
      </c>
      <c r="E342" s="540">
        <v>2</v>
      </c>
      <c r="F342" s="539" t="s">
        <v>4274</v>
      </c>
      <c r="G342" s="540">
        <f>YEAR(HOME!B20)</f>
        <v>2021</v>
      </c>
      <c r="H342" s="539" t="s">
        <v>4208</v>
      </c>
      <c r="I342" s="540">
        <f>(488741+453292)*-1</f>
        <v>-942033</v>
      </c>
      <c r="J342" s="540">
        <v>-942033</v>
      </c>
      <c r="K342" s="540">
        <v>-453292</v>
      </c>
      <c r="L342" s="539" t="s">
        <v>4181</v>
      </c>
      <c r="M342" s="540">
        <v>0</v>
      </c>
    </row>
    <row r="343" spans="1:13" ht="32" x14ac:dyDescent="0.2">
      <c r="A343" s="539" t="s">
        <v>4175</v>
      </c>
      <c r="B343" s="540">
        <v>30</v>
      </c>
      <c r="C343" s="539" t="s">
        <v>3221</v>
      </c>
      <c r="D343" s="539" t="s">
        <v>3130</v>
      </c>
      <c r="E343" s="540">
        <v>1</v>
      </c>
      <c r="F343" s="539" t="s">
        <v>4275</v>
      </c>
      <c r="G343" s="540" t="e">
        <f>D5-1</f>
        <v>#VALUE!</v>
      </c>
      <c r="H343" s="539" t="s">
        <v>263</v>
      </c>
      <c r="I343" s="539"/>
      <c r="J343" s="540">
        <v>0</v>
      </c>
      <c r="K343" s="540">
        <v>0</v>
      </c>
      <c r="L343" s="539" t="s">
        <v>4164</v>
      </c>
      <c r="M343" s="540">
        <v>0</v>
      </c>
    </row>
    <row r="344" spans="1:13" ht="32" x14ac:dyDescent="0.2">
      <c r="A344" s="539" t="s">
        <v>4175</v>
      </c>
      <c r="B344" s="540">
        <v>30</v>
      </c>
      <c r="C344" s="539" t="s">
        <v>3221</v>
      </c>
      <c r="D344" s="539" t="s">
        <v>3130</v>
      </c>
      <c r="E344" s="540">
        <v>2</v>
      </c>
      <c r="F344" s="539" t="s">
        <v>4274</v>
      </c>
      <c r="G344" s="540" t="e">
        <f>D5-1</f>
        <v>#VALUE!</v>
      </c>
      <c r="H344" s="539" t="s">
        <v>263</v>
      </c>
      <c r="I344" s="539"/>
      <c r="J344" s="540">
        <v>0</v>
      </c>
      <c r="K344" s="540">
        <v>0</v>
      </c>
      <c r="L344" s="539" t="s">
        <v>4164</v>
      </c>
      <c r="M344" s="540">
        <v>0</v>
      </c>
    </row>
    <row r="345" spans="1:13" ht="32" x14ac:dyDescent="0.2">
      <c r="A345" s="539" t="s">
        <v>4175</v>
      </c>
      <c r="B345" s="540">
        <v>30</v>
      </c>
      <c r="C345" s="539" t="s">
        <v>3221</v>
      </c>
      <c r="D345" s="539" t="s">
        <v>3130</v>
      </c>
      <c r="E345" s="540">
        <v>1</v>
      </c>
      <c r="F345" s="539" t="s">
        <v>4275</v>
      </c>
      <c r="G345" s="540">
        <f>E5-1</f>
        <v>0</v>
      </c>
      <c r="H345" s="539" t="s">
        <v>265</v>
      </c>
      <c r="I345" s="539"/>
      <c r="J345" s="540">
        <v>0</v>
      </c>
      <c r="K345" s="540">
        <v>0</v>
      </c>
      <c r="L345" s="539" t="s">
        <v>4164</v>
      </c>
      <c r="M345" s="540">
        <v>0</v>
      </c>
    </row>
    <row r="346" spans="1:13" ht="32" x14ac:dyDescent="0.2">
      <c r="A346" s="539" t="s">
        <v>4175</v>
      </c>
      <c r="B346" s="540">
        <v>30</v>
      </c>
      <c r="C346" s="539" t="s">
        <v>3221</v>
      </c>
      <c r="D346" s="539" t="s">
        <v>3130</v>
      </c>
      <c r="E346" s="540">
        <v>2</v>
      </c>
      <c r="F346" s="539" t="s">
        <v>4274</v>
      </c>
      <c r="G346" s="540">
        <f>E5-1</f>
        <v>0</v>
      </c>
      <c r="H346" s="539" t="s">
        <v>265</v>
      </c>
      <c r="I346" s="539"/>
      <c r="J346" s="540">
        <v>0</v>
      </c>
      <c r="K346" s="540">
        <v>0</v>
      </c>
      <c r="L346" s="539" t="s">
        <v>4164</v>
      </c>
      <c r="M346" s="540">
        <v>0</v>
      </c>
    </row>
    <row r="347" spans="1:13" ht="32" x14ac:dyDescent="0.2">
      <c r="A347" s="539" t="s">
        <v>4175</v>
      </c>
      <c r="B347" s="540">
        <v>30</v>
      </c>
      <c r="C347" s="539" t="s">
        <v>3221</v>
      </c>
      <c r="D347" s="539" t="s">
        <v>3130</v>
      </c>
      <c r="E347" s="540">
        <v>1</v>
      </c>
      <c r="F347" s="539" t="s">
        <v>4275</v>
      </c>
      <c r="G347" s="540">
        <f>YEAR(HOME!B20)</f>
        <v>2021</v>
      </c>
      <c r="H347" s="539" t="s">
        <v>267</v>
      </c>
      <c r="I347" s="540">
        <f>(12125-225000)</f>
        <v>-212875</v>
      </c>
      <c r="J347" s="540">
        <v>-212875</v>
      </c>
      <c r="K347" s="540">
        <v>12125</v>
      </c>
      <c r="L347" s="539" t="s">
        <v>4181</v>
      </c>
      <c r="M347" s="540">
        <v>0</v>
      </c>
    </row>
    <row r="348" spans="1:13" ht="32" x14ac:dyDescent="0.2">
      <c r="A348" s="539" t="s">
        <v>4175</v>
      </c>
      <c r="B348" s="540">
        <v>30</v>
      </c>
      <c r="C348" s="539" t="s">
        <v>3221</v>
      </c>
      <c r="D348" s="539" t="s">
        <v>3130</v>
      </c>
      <c r="E348" s="540">
        <v>2</v>
      </c>
      <c r="F348" s="539" t="s">
        <v>4274</v>
      </c>
      <c r="G348" s="540">
        <f>YEAR(HOME!B20)</f>
        <v>2021</v>
      </c>
      <c r="H348" s="539" t="s">
        <v>267</v>
      </c>
      <c r="I348" s="540">
        <f>(12125-225000)</f>
        <v>-212875</v>
      </c>
      <c r="J348" s="540">
        <v>-212875</v>
      </c>
      <c r="K348" s="540">
        <v>-225000</v>
      </c>
      <c r="L348" s="539" t="s">
        <v>4181</v>
      </c>
      <c r="M348" s="540">
        <v>0</v>
      </c>
    </row>
  </sheetData>
  <pageMargins left="0.75" right="0.75" top="1" bottom="1" header="0.5" footer="0.5"/>
  <pageSetup paperSize="9" orientation="portrait" horizontalDpi="0" verticalDpi="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72"/>
  <sheetViews>
    <sheetView showGridLines="0" workbookViewId="0">
      <pane ySplit="2" topLeftCell="A3" activePane="bottomLeft" state="frozen"/>
      <selection pane="bottomLeft"/>
    </sheetView>
  </sheetViews>
  <sheetFormatPr baseColWidth="10" defaultColWidth="8.83203125" defaultRowHeight="15" x14ac:dyDescent="0.2"/>
  <cols>
    <col min="1" max="1" width="10" customWidth="1"/>
    <col min="2" max="2" width="34" customWidth="1"/>
    <col min="3" max="3" width="38" customWidth="1"/>
    <col min="4" max="4" width="34" customWidth="1"/>
    <col min="5" max="8" width="18" customWidth="1"/>
    <col min="9" max="9" width="34" customWidth="1"/>
  </cols>
  <sheetData>
    <row r="1" spans="1:9" ht="72" x14ac:dyDescent="0.2">
      <c r="A1" s="537" t="s">
        <v>4276</v>
      </c>
    </row>
    <row r="2" spans="1:9" ht="32" x14ac:dyDescent="0.2">
      <c r="A2" s="538" t="s">
        <v>4277</v>
      </c>
      <c r="B2" s="538" t="s">
        <v>4153</v>
      </c>
      <c r="C2" s="538" t="s">
        <v>4186</v>
      </c>
      <c r="D2" s="538" t="s">
        <v>4184</v>
      </c>
      <c r="E2" s="538" t="s">
        <v>4278</v>
      </c>
      <c r="F2" s="538" t="s">
        <v>4279</v>
      </c>
      <c r="G2" s="538" t="s">
        <v>4280</v>
      </c>
      <c r="H2" s="538" t="s">
        <v>4194</v>
      </c>
      <c r="I2" s="538" t="s">
        <v>4191</v>
      </c>
    </row>
    <row r="3" spans="1:9" ht="32" x14ac:dyDescent="0.2">
      <c r="A3" s="540">
        <v>8</v>
      </c>
      <c r="B3" s="539" t="s">
        <v>3215</v>
      </c>
      <c r="C3" s="539" t="s">
        <v>4192</v>
      </c>
      <c r="D3" s="539" t="s">
        <v>3059</v>
      </c>
      <c r="E3" s="540">
        <v>1267580000</v>
      </c>
      <c r="F3" s="540">
        <v>3908637157.5</v>
      </c>
      <c r="G3" s="540">
        <v>3908637157.5</v>
      </c>
      <c r="H3" s="540">
        <v>4633090390</v>
      </c>
      <c r="I3" s="539" t="s">
        <v>4158</v>
      </c>
    </row>
    <row r="4" spans="1:9" ht="32" x14ac:dyDescent="0.2">
      <c r="A4" s="540">
        <v>8</v>
      </c>
      <c r="B4" s="539" t="s">
        <v>3215</v>
      </c>
      <c r="C4" s="539" t="s">
        <v>4193</v>
      </c>
      <c r="D4" s="539" t="s">
        <v>3059</v>
      </c>
      <c r="E4" s="540">
        <v>3184183925</v>
      </c>
      <c r="F4" s="540">
        <v>3908637157.5</v>
      </c>
      <c r="G4" s="540">
        <v>3908637157.5</v>
      </c>
      <c r="H4" s="540">
        <v>3184183925</v>
      </c>
      <c r="I4" s="539" t="s">
        <v>4158</v>
      </c>
    </row>
    <row r="5" spans="1:9" ht="48" x14ac:dyDescent="0.2">
      <c r="A5" s="540">
        <v>9</v>
      </c>
      <c r="B5" s="539" t="s">
        <v>3216</v>
      </c>
      <c r="C5" s="539" t="s">
        <v>4195</v>
      </c>
      <c r="D5" s="539" t="s">
        <v>3061</v>
      </c>
      <c r="E5" s="540">
        <v>200592860</v>
      </c>
      <c r="F5" s="540">
        <v>162878237.75</v>
      </c>
      <c r="G5" s="540">
        <v>163421987.75</v>
      </c>
      <c r="H5" s="540">
        <v>310592860</v>
      </c>
      <c r="I5" s="539" t="s">
        <v>4158</v>
      </c>
    </row>
    <row r="6" spans="1:9" ht="48" x14ac:dyDescent="0.2">
      <c r="A6" s="540">
        <v>9</v>
      </c>
      <c r="B6" s="539" t="s">
        <v>3216</v>
      </c>
      <c r="C6" s="539" t="s">
        <v>4196</v>
      </c>
      <c r="D6" s="539" t="s">
        <v>3061</v>
      </c>
      <c r="E6" s="540">
        <v>105000000</v>
      </c>
      <c r="F6" s="540">
        <v>162878237.75</v>
      </c>
      <c r="G6" s="540">
        <v>163421987.75</v>
      </c>
      <c r="H6" s="540">
        <v>105000000</v>
      </c>
      <c r="I6" s="539" t="s">
        <v>4158</v>
      </c>
    </row>
    <row r="7" spans="1:9" ht="48" x14ac:dyDescent="0.2">
      <c r="A7" s="540">
        <v>9</v>
      </c>
      <c r="B7" s="539" t="s">
        <v>3216</v>
      </c>
      <c r="C7" s="539" t="s">
        <v>4197</v>
      </c>
      <c r="D7" s="539" t="s">
        <v>3061</v>
      </c>
      <c r="E7" s="540">
        <v>131056000</v>
      </c>
      <c r="F7" s="540">
        <v>162878237.75</v>
      </c>
      <c r="G7" s="540">
        <v>163421987.75</v>
      </c>
      <c r="H7" s="540">
        <v>131056000</v>
      </c>
      <c r="I7" s="539" t="s">
        <v>4158</v>
      </c>
    </row>
    <row r="8" spans="1:9" ht="48" x14ac:dyDescent="0.2">
      <c r="A8" s="540">
        <v>9</v>
      </c>
      <c r="B8" s="539" t="s">
        <v>3216</v>
      </c>
      <c r="C8" s="539" t="s">
        <v>4198</v>
      </c>
      <c r="D8" s="539" t="s">
        <v>3061</v>
      </c>
      <c r="E8" s="540">
        <v>104864091</v>
      </c>
      <c r="F8" s="540">
        <v>162878237.75</v>
      </c>
      <c r="G8" s="540">
        <v>163421987.75</v>
      </c>
      <c r="H8" s="540">
        <v>107039091</v>
      </c>
      <c r="I8" s="539" t="s">
        <v>4158</v>
      </c>
    </row>
    <row r="9" spans="1:9" ht="32" x14ac:dyDescent="0.2">
      <c r="A9" s="540">
        <v>11</v>
      </c>
      <c r="B9" s="539" t="s">
        <v>4160</v>
      </c>
      <c r="C9" s="539" t="s">
        <v>4199</v>
      </c>
      <c r="D9" s="539" t="s">
        <v>3063</v>
      </c>
      <c r="E9" s="540">
        <v>350000000</v>
      </c>
      <c r="F9" s="540">
        <v>1030236364</v>
      </c>
      <c r="G9" s="540">
        <v>1103986364</v>
      </c>
      <c r="H9" s="540">
        <v>625000000</v>
      </c>
      <c r="I9" s="539" t="s">
        <v>4158</v>
      </c>
    </row>
    <row r="10" spans="1:9" ht="32" x14ac:dyDescent="0.2">
      <c r="A10" s="540">
        <v>11</v>
      </c>
      <c r="B10" s="539" t="s">
        <v>4160</v>
      </c>
      <c r="C10" s="539" t="s">
        <v>4200</v>
      </c>
      <c r="D10" s="539" t="s">
        <v>3063</v>
      </c>
      <c r="E10" s="540">
        <v>1435472728</v>
      </c>
      <c r="F10" s="540">
        <v>1030236364</v>
      </c>
      <c r="G10" s="540">
        <v>1103986364</v>
      </c>
      <c r="H10" s="540">
        <v>1582972728</v>
      </c>
      <c r="I10" s="539" t="s">
        <v>4158</v>
      </c>
    </row>
    <row r="11" spans="1:9" ht="32" x14ac:dyDescent="0.2">
      <c r="A11" s="540">
        <v>12</v>
      </c>
      <c r="B11" s="539" t="s">
        <v>4162</v>
      </c>
      <c r="C11" s="539" t="s">
        <v>4201</v>
      </c>
      <c r="D11" s="539" t="s">
        <v>3064</v>
      </c>
      <c r="E11" s="540">
        <v>1720800000</v>
      </c>
      <c r="F11" s="540">
        <v>5072754805</v>
      </c>
      <c r="G11" s="540">
        <v>5072754805</v>
      </c>
      <c r="H11" s="540">
        <v>8145509610</v>
      </c>
      <c r="I11" s="539" t="s">
        <v>4158</v>
      </c>
    </row>
    <row r="12" spans="1:9" ht="32" x14ac:dyDescent="0.2">
      <c r="A12" s="540">
        <v>12</v>
      </c>
      <c r="B12" s="539" t="s">
        <v>4162</v>
      </c>
      <c r="C12" s="539" t="s">
        <v>4202</v>
      </c>
      <c r="D12" s="539" t="s">
        <v>3064</v>
      </c>
      <c r="E12" s="540">
        <v>2000000000</v>
      </c>
      <c r="F12" s="540">
        <v>5072754805</v>
      </c>
      <c r="G12" s="540">
        <v>5072754805</v>
      </c>
      <c r="H12" s="540">
        <v>2000000000</v>
      </c>
      <c r="I12" s="539" t="s">
        <v>4158</v>
      </c>
    </row>
    <row r="13" spans="1:9" ht="32" x14ac:dyDescent="0.2">
      <c r="A13" s="540">
        <v>17</v>
      </c>
      <c r="B13" s="539" t="s">
        <v>3215</v>
      </c>
      <c r="C13" s="539" t="s">
        <v>4192</v>
      </c>
      <c r="D13" s="539" t="s">
        <v>3059</v>
      </c>
      <c r="E13" s="540">
        <v>1682755195</v>
      </c>
      <c r="F13" s="540">
        <v>0</v>
      </c>
      <c r="G13" s="540">
        <v>0</v>
      </c>
      <c r="H13" s="540">
        <v>0</v>
      </c>
      <c r="I13" s="539" t="s">
        <v>4164</v>
      </c>
    </row>
    <row r="14" spans="1:9" ht="32" x14ac:dyDescent="0.2">
      <c r="A14" s="540">
        <v>17</v>
      </c>
      <c r="B14" s="539" t="s">
        <v>3215</v>
      </c>
      <c r="C14" s="539" t="s">
        <v>4193</v>
      </c>
      <c r="D14" s="539" t="s">
        <v>3059</v>
      </c>
      <c r="E14" s="540">
        <v>1682755195</v>
      </c>
      <c r="F14" s="540">
        <v>0</v>
      </c>
      <c r="G14" s="540">
        <v>0</v>
      </c>
      <c r="H14" s="540">
        <v>0</v>
      </c>
      <c r="I14" s="539" t="s">
        <v>4164</v>
      </c>
    </row>
    <row r="15" spans="1:9" ht="48" x14ac:dyDescent="0.2">
      <c r="A15" s="540">
        <v>18</v>
      </c>
      <c r="B15" s="539" t="s">
        <v>3216</v>
      </c>
      <c r="C15" s="539" t="s">
        <v>4195</v>
      </c>
      <c r="D15" s="539" t="s">
        <v>3061</v>
      </c>
      <c r="E15" s="540">
        <v>27500000</v>
      </c>
      <c r="F15" s="540">
        <v>543750</v>
      </c>
      <c r="G15" s="540">
        <v>0</v>
      </c>
      <c r="H15" s="540">
        <v>0</v>
      </c>
      <c r="I15" s="539" t="s">
        <v>4164</v>
      </c>
    </row>
    <row r="16" spans="1:9" ht="48" x14ac:dyDescent="0.2">
      <c r="A16" s="540">
        <v>18</v>
      </c>
      <c r="B16" s="539" t="s">
        <v>3216</v>
      </c>
      <c r="C16" s="539" t="s">
        <v>4196</v>
      </c>
      <c r="D16" s="539" t="s">
        <v>3061</v>
      </c>
      <c r="E16" s="540">
        <v>27500000</v>
      </c>
      <c r="F16" s="540">
        <v>543750</v>
      </c>
      <c r="G16" s="540">
        <v>0</v>
      </c>
      <c r="H16" s="540">
        <v>0</v>
      </c>
      <c r="I16" s="539" t="s">
        <v>4164</v>
      </c>
    </row>
    <row r="17" spans="1:9" ht="48" x14ac:dyDescent="0.2">
      <c r="A17" s="540">
        <v>18</v>
      </c>
      <c r="B17" s="539" t="s">
        <v>3216</v>
      </c>
      <c r="C17" s="539" t="s">
        <v>4197</v>
      </c>
      <c r="D17" s="539" t="s">
        <v>3061</v>
      </c>
      <c r="E17" s="540">
        <v>27500000</v>
      </c>
      <c r="F17" s="540">
        <v>543750</v>
      </c>
      <c r="G17" s="540">
        <v>0</v>
      </c>
      <c r="H17" s="540">
        <v>0</v>
      </c>
      <c r="I17" s="539" t="s">
        <v>4164</v>
      </c>
    </row>
    <row r="18" spans="1:9" ht="48" x14ac:dyDescent="0.2">
      <c r="A18" s="540">
        <v>18</v>
      </c>
      <c r="B18" s="539" t="s">
        <v>3216</v>
      </c>
      <c r="C18" s="539" t="s">
        <v>4198</v>
      </c>
      <c r="D18" s="539" t="s">
        <v>3061</v>
      </c>
      <c r="E18" s="540">
        <v>27500000</v>
      </c>
      <c r="F18" s="540">
        <v>543750</v>
      </c>
      <c r="G18" s="540">
        <v>0</v>
      </c>
      <c r="H18" s="540">
        <v>0</v>
      </c>
      <c r="I18" s="539" t="s">
        <v>4164</v>
      </c>
    </row>
    <row r="19" spans="1:9" ht="32" x14ac:dyDescent="0.2">
      <c r="A19" s="540">
        <v>20</v>
      </c>
      <c r="B19" s="539" t="s">
        <v>4160</v>
      </c>
      <c r="C19" s="539" t="s">
        <v>4199</v>
      </c>
      <c r="D19" s="539" t="s">
        <v>3063</v>
      </c>
      <c r="E19" s="540">
        <v>137500000</v>
      </c>
      <c r="F19" s="540">
        <v>73750000</v>
      </c>
      <c r="G19" s="540">
        <v>0</v>
      </c>
      <c r="H19" s="540">
        <v>0</v>
      </c>
      <c r="I19" s="539" t="s">
        <v>4164</v>
      </c>
    </row>
    <row r="20" spans="1:9" ht="32" x14ac:dyDescent="0.2">
      <c r="A20" s="540">
        <v>20</v>
      </c>
      <c r="B20" s="539" t="s">
        <v>4160</v>
      </c>
      <c r="C20" s="539" t="s">
        <v>4200</v>
      </c>
      <c r="D20" s="539" t="s">
        <v>3063</v>
      </c>
      <c r="E20" s="540">
        <v>137500000</v>
      </c>
      <c r="F20" s="540">
        <v>73750000</v>
      </c>
      <c r="G20" s="540">
        <v>0</v>
      </c>
      <c r="H20" s="540">
        <v>0</v>
      </c>
      <c r="I20" s="539" t="s">
        <v>4164</v>
      </c>
    </row>
    <row r="21" spans="1:9" ht="32" x14ac:dyDescent="0.2">
      <c r="A21" s="540">
        <v>21</v>
      </c>
      <c r="B21" s="539" t="s">
        <v>4162</v>
      </c>
      <c r="C21" s="539" t="s">
        <v>4201</v>
      </c>
      <c r="D21" s="539" t="s">
        <v>3064</v>
      </c>
      <c r="E21" s="540">
        <v>3212354805</v>
      </c>
      <c r="F21" s="540">
        <v>0</v>
      </c>
      <c r="G21" s="540">
        <v>0</v>
      </c>
      <c r="H21" s="540">
        <v>0</v>
      </c>
      <c r="I21" s="539" t="s">
        <v>4164</v>
      </c>
    </row>
    <row r="22" spans="1:9" ht="32" x14ac:dyDescent="0.2">
      <c r="A22" s="540">
        <v>21</v>
      </c>
      <c r="B22" s="539" t="s">
        <v>4162</v>
      </c>
      <c r="C22" s="539" t="s">
        <v>4202</v>
      </c>
      <c r="D22" s="539" t="s">
        <v>3064</v>
      </c>
      <c r="E22" s="540">
        <v>3212354805</v>
      </c>
      <c r="F22" s="540">
        <v>0</v>
      </c>
      <c r="G22" s="540">
        <v>0</v>
      </c>
      <c r="H22" s="540">
        <v>0</v>
      </c>
      <c r="I22" s="539" t="s">
        <v>4164</v>
      </c>
    </row>
    <row r="23" spans="1:9" ht="32" x14ac:dyDescent="0.2">
      <c r="A23" s="540">
        <v>26</v>
      </c>
      <c r="B23" s="539" t="s">
        <v>3215</v>
      </c>
      <c r="C23" s="539" t="s">
        <v>4192</v>
      </c>
      <c r="D23" s="539" t="s">
        <v>3059</v>
      </c>
      <c r="E23" s="540">
        <v>3908637157.5</v>
      </c>
      <c r="F23" s="540">
        <v>3908637157.5</v>
      </c>
      <c r="G23" s="540">
        <v>3908637157.5</v>
      </c>
      <c r="H23" s="540">
        <v>0</v>
      </c>
      <c r="I23" s="539" t="s">
        <v>4165</v>
      </c>
    </row>
    <row r="24" spans="1:9" ht="32" x14ac:dyDescent="0.2">
      <c r="A24" s="540">
        <v>26</v>
      </c>
      <c r="B24" s="539" t="s">
        <v>3215</v>
      </c>
      <c r="C24" s="539" t="s">
        <v>4193</v>
      </c>
      <c r="D24" s="539" t="s">
        <v>3059</v>
      </c>
      <c r="E24" s="540">
        <v>3908637157.5</v>
      </c>
      <c r="F24" s="540">
        <v>3908637157.5</v>
      </c>
      <c r="G24" s="540">
        <v>3908637157.5</v>
      </c>
      <c r="H24" s="540">
        <v>0</v>
      </c>
      <c r="I24" s="539" t="s">
        <v>4165</v>
      </c>
    </row>
    <row r="25" spans="1:9" ht="48" x14ac:dyDescent="0.2">
      <c r="A25" s="540">
        <v>27</v>
      </c>
      <c r="B25" s="539" t="s">
        <v>3216</v>
      </c>
      <c r="C25" s="539" t="s">
        <v>4195</v>
      </c>
      <c r="D25" s="539" t="s">
        <v>3061</v>
      </c>
      <c r="E25" s="540">
        <v>162878237.75</v>
      </c>
      <c r="F25" s="540">
        <v>163421987.75</v>
      </c>
      <c r="G25" s="540">
        <v>163421987.75</v>
      </c>
      <c r="H25" s="540">
        <v>0</v>
      </c>
      <c r="I25" s="539" t="s">
        <v>4165</v>
      </c>
    </row>
    <row r="26" spans="1:9" ht="48" x14ac:dyDescent="0.2">
      <c r="A26" s="540">
        <v>27</v>
      </c>
      <c r="B26" s="539" t="s">
        <v>3216</v>
      </c>
      <c r="C26" s="539" t="s">
        <v>4196</v>
      </c>
      <c r="D26" s="539" t="s">
        <v>3061</v>
      </c>
      <c r="E26" s="540">
        <v>162878237.75</v>
      </c>
      <c r="F26" s="540">
        <v>163421987.75</v>
      </c>
      <c r="G26" s="540">
        <v>163421987.75</v>
      </c>
      <c r="H26" s="540">
        <v>0</v>
      </c>
      <c r="I26" s="539" t="s">
        <v>4165</v>
      </c>
    </row>
    <row r="27" spans="1:9" ht="48" x14ac:dyDescent="0.2">
      <c r="A27" s="540">
        <v>27</v>
      </c>
      <c r="B27" s="539" t="s">
        <v>3216</v>
      </c>
      <c r="C27" s="539" t="s">
        <v>4197</v>
      </c>
      <c r="D27" s="539" t="s">
        <v>3061</v>
      </c>
      <c r="E27" s="540">
        <v>162878237.75</v>
      </c>
      <c r="F27" s="540">
        <v>163421987.75</v>
      </c>
      <c r="G27" s="540">
        <v>163421987.75</v>
      </c>
      <c r="H27" s="540">
        <v>0</v>
      </c>
      <c r="I27" s="539" t="s">
        <v>4165</v>
      </c>
    </row>
    <row r="28" spans="1:9" ht="48" x14ac:dyDescent="0.2">
      <c r="A28" s="540">
        <v>27</v>
      </c>
      <c r="B28" s="539" t="s">
        <v>3216</v>
      </c>
      <c r="C28" s="539" t="s">
        <v>4198</v>
      </c>
      <c r="D28" s="539" t="s">
        <v>3061</v>
      </c>
      <c r="E28" s="540">
        <v>162878237.75</v>
      </c>
      <c r="F28" s="540">
        <v>163421987.75</v>
      </c>
      <c r="G28" s="540">
        <v>163421987.75</v>
      </c>
      <c r="H28" s="540">
        <v>0</v>
      </c>
      <c r="I28" s="539" t="s">
        <v>4165</v>
      </c>
    </row>
    <row r="29" spans="1:9" ht="32" x14ac:dyDescent="0.2">
      <c r="A29" s="540">
        <v>29</v>
      </c>
      <c r="B29" s="539" t="s">
        <v>4160</v>
      </c>
      <c r="C29" s="539" t="s">
        <v>4199</v>
      </c>
      <c r="D29" s="539" t="s">
        <v>3063</v>
      </c>
      <c r="E29" s="540">
        <v>1030236364</v>
      </c>
      <c r="F29" s="540">
        <v>1103986364</v>
      </c>
      <c r="G29" s="540">
        <v>1103986364</v>
      </c>
      <c r="H29" s="540">
        <v>0</v>
      </c>
      <c r="I29" s="539" t="s">
        <v>4165</v>
      </c>
    </row>
    <row r="30" spans="1:9" ht="32" x14ac:dyDescent="0.2">
      <c r="A30" s="540">
        <v>29</v>
      </c>
      <c r="B30" s="539" t="s">
        <v>4160</v>
      </c>
      <c r="C30" s="539" t="s">
        <v>4200</v>
      </c>
      <c r="D30" s="539" t="s">
        <v>3063</v>
      </c>
      <c r="E30" s="540">
        <v>1030236364</v>
      </c>
      <c r="F30" s="540">
        <v>1103986364</v>
      </c>
      <c r="G30" s="540">
        <v>1103986364</v>
      </c>
      <c r="H30" s="540">
        <v>0</v>
      </c>
      <c r="I30" s="539" t="s">
        <v>4165</v>
      </c>
    </row>
    <row r="31" spans="1:9" ht="32" x14ac:dyDescent="0.2">
      <c r="A31" s="540">
        <v>30</v>
      </c>
      <c r="B31" s="539" t="s">
        <v>4162</v>
      </c>
      <c r="C31" s="539" t="s">
        <v>4201</v>
      </c>
      <c r="D31" s="539" t="s">
        <v>3064</v>
      </c>
      <c r="E31" s="540">
        <v>5072754805</v>
      </c>
      <c r="F31" s="540">
        <v>5072754805</v>
      </c>
      <c r="G31" s="540">
        <v>5072754805</v>
      </c>
      <c r="H31" s="540">
        <v>0</v>
      </c>
      <c r="I31" s="539" t="s">
        <v>4165</v>
      </c>
    </row>
    <row r="32" spans="1:9" ht="32" x14ac:dyDescent="0.2">
      <c r="A32" s="540">
        <v>30</v>
      </c>
      <c r="B32" s="539" t="s">
        <v>4162</v>
      </c>
      <c r="C32" s="539" t="s">
        <v>4202</v>
      </c>
      <c r="D32" s="539" t="s">
        <v>3064</v>
      </c>
      <c r="E32" s="540">
        <v>5072754805</v>
      </c>
      <c r="F32" s="540">
        <v>5072754805</v>
      </c>
      <c r="G32" s="540">
        <v>5072754805</v>
      </c>
      <c r="H32" s="540">
        <v>0</v>
      </c>
      <c r="I32" s="539" t="s">
        <v>4165</v>
      </c>
    </row>
    <row r="33" spans="1:9" ht="32" x14ac:dyDescent="0.2">
      <c r="A33" s="540">
        <v>36</v>
      </c>
      <c r="B33" s="539" t="s">
        <v>3215</v>
      </c>
      <c r="C33" s="539" t="s">
        <v>4192</v>
      </c>
      <c r="D33" s="539" t="s">
        <v>3059</v>
      </c>
      <c r="E33" s="540">
        <v>0</v>
      </c>
      <c r="F33" s="540">
        <v>0</v>
      </c>
      <c r="G33" s="540">
        <v>0</v>
      </c>
      <c r="H33" s="540">
        <v>0</v>
      </c>
      <c r="I33" s="539" t="s">
        <v>4166</v>
      </c>
    </row>
    <row r="34" spans="1:9" ht="32" x14ac:dyDescent="0.2">
      <c r="A34" s="540">
        <v>36</v>
      </c>
      <c r="B34" s="539" t="s">
        <v>3215</v>
      </c>
      <c r="C34" s="539" t="s">
        <v>4193</v>
      </c>
      <c r="D34" s="539" t="s">
        <v>3059</v>
      </c>
      <c r="E34" s="540">
        <v>0</v>
      </c>
      <c r="F34" s="540">
        <v>0</v>
      </c>
      <c r="G34" s="540">
        <v>0</v>
      </c>
      <c r="H34" s="540">
        <v>0</v>
      </c>
      <c r="I34" s="539" t="s">
        <v>4166</v>
      </c>
    </row>
    <row r="35" spans="1:9" ht="48" x14ac:dyDescent="0.2">
      <c r="A35" s="540">
        <v>37</v>
      </c>
      <c r="B35" s="539" t="s">
        <v>3216</v>
      </c>
      <c r="C35" s="539" t="s">
        <v>4195</v>
      </c>
      <c r="D35" s="539" t="s">
        <v>3061</v>
      </c>
      <c r="E35" s="540">
        <v>50991803.75</v>
      </c>
      <c r="F35" s="540">
        <v>60721606.75</v>
      </c>
      <c r="G35" s="540">
        <v>69223795.75</v>
      </c>
      <c r="H35" s="540">
        <v>0</v>
      </c>
      <c r="I35" s="539" t="s">
        <v>4166</v>
      </c>
    </row>
    <row r="36" spans="1:9" ht="48" x14ac:dyDescent="0.2">
      <c r="A36" s="540">
        <v>37</v>
      </c>
      <c r="B36" s="539" t="s">
        <v>3216</v>
      </c>
      <c r="C36" s="539" t="s">
        <v>4196</v>
      </c>
      <c r="D36" s="539" t="s">
        <v>3061</v>
      </c>
      <c r="E36" s="540">
        <v>50991803.75</v>
      </c>
      <c r="F36" s="540">
        <v>60721606.75</v>
      </c>
      <c r="G36" s="540">
        <v>69223795.75</v>
      </c>
      <c r="H36" s="540">
        <v>0</v>
      </c>
      <c r="I36" s="539" t="s">
        <v>4166</v>
      </c>
    </row>
    <row r="37" spans="1:9" ht="48" x14ac:dyDescent="0.2">
      <c r="A37" s="540">
        <v>37</v>
      </c>
      <c r="B37" s="539" t="s">
        <v>3216</v>
      </c>
      <c r="C37" s="539" t="s">
        <v>4197</v>
      </c>
      <c r="D37" s="539" t="s">
        <v>3061</v>
      </c>
      <c r="E37" s="540">
        <v>50991803.75</v>
      </c>
      <c r="F37" s="540">
        <v>60721606.75</v>
      </c>
      <c r="G37" s="540">
        <v>69223795.75</v>
      </c>
      <c r="H37" s="540">
        <v>0</v>
      </c>
      <c r="I37" s="539" t="s">
        <v>4166</v>
      </c>
    </row>
    <row r="38" spans="1:9" ht="48" x14ac:dyDescent="0.2">
      <c r="A38" s="540">
        <v>37</v>
      </c>
      <c r="B38" s="539" t="s">
        <v>3216</v>
      </c>
      <c r="C38" s="539" t="s">
        <v>4198</v>
      </c>
      <c r="D38" s="539" t="s">
        <v>3061</v>
      </c>
      <c r="E38" s="540">
        <v>50991803.75</v>
      </c>
      <c r="F38" s="540">
        <v>60721606.75</v>
      </c>
      <c r="G38" s="540">
        <v>69223795.75</v>
      </c>
      <c r="H38" s="540">
        <v>0</v>
      </c>
      <c r="I38" s="539" t="s">
        <v>4166</v>
      </c>
    </row>
    <row r="39" spans="1:9" ht="32" x14ac:dyDescent="0.2">
      <c r="A39" s="540">
        <v>39</v>
      </c>
      <c r="B39" s="539" t="s">
        <v>4160</v>
      </c>
      <c r="C39" s="539" t="s">
        <v>4199</v>
      </c>
      <c r="D39" s="539" t="s">
        <v>3063</v>
      </c>
      <c r="E39" s="540">
        <v>716557354</v>
      </c>
      <c r="F39" s="540">
        <v>818988710.5</v>
      </c>
      <c r="G39" s="540">
        <v>913174172.5</v>
      </c>
      <c r="H39" s="540">
        <v>0</v>
      </c>
      <c r="I39" s="539" t="s">
        <v>4166</v>
      </c>
    </row>
    <row r="40" spans="1:9" ht="32" x14ac:dyDescent="0.2">
      <c r="A40" s="540">
        <v>39</v>
      </c>
      <c r="B40" s="539" t="s">
        <v>4160</v>
      </c>
      <c r="C40" s="539" t="s">
        <v>4200</v>
      </c>
      <c r="D40" s="539" t="s">
        <v>3063</v>
      </c>
      <c r="E40" s="540">
        <v>716557354</v>
      </c>
      <c r="F40" s="540">
        <v>818988710.5</v>
      </c>
      <c r="G40" s="540">
        <v>913174172.5</v>
      </c>
      <c r="H40" s="540">
        <v>0</v>
      </c>
      <c r="I40" s="539" t="s">
        <v>4166</v>
      </c>
    </row>
    <row r="41" spans="1:9" ht="32" x14ac:dyDescent="0.2">
      <c r="A41" s="540">
        <v>40</v>
      </c>
      <c r="B41" s="539" t="s">
        <v>4162</v>
      </c>
      <c r="C41" s="539" t="s">
        <v>4201</v>
      </c>
      <c r="D41" s="539" t="s">
        <v>3064</v>
      </c>
      <c r="E41" s="540">
        <v>377286038.5</v>
      </c>
      <c r="F41" s="540">
        <v>425553975</v>
      </c>
      <c r="G41" s="540">
        <v>869332773</v>
      </c>
      <c r="H41" s="540">
        <v>0</v>
      </c>
      <c r="I41" s="539" t="s">
        <v>4166</v>
      </c>
    </row>
    <row r="42" spans="1:9" ht="32" x14ac:dyDescent="0.2">
      <c r="A42" s="540">
        <v>40</v>
      </c>
      <c r="B42" s="539" t="s">
        <v>4162</v>
      </c>
      <c r="C42" s="539" t="s">
        <v>4202</v>
      </c>
      <c r="D42" s="539" t="s">
        <v>3064</v>
      </c>
      <c r="E42" s="540">
        <v>377286038.5</v>
      </c>
      <c r="F42" s="540">
        <v>425553975</v>
      </c>
      <c r="G42" s="540">
        <v>869332773</v>
      </c>
      <c r="H42" s="540">
        <v>0</v>
      </c>
      <c r="I42" s="539" t="s">
        <v>4166</v>
      </c>
    </row>
    <row r="43" spans="1:9" ht="32" x14ac:dyDescent="0.2">
      <c r="A43" s="540">
        <v>45</v>
      </c>
      <c r="B43" s="539" t="s">
        <v>3215</v>
      </c>
      <c r="C43" s="539" t="s">
        <v>4192</v>
      </c>
      <c r="D43" s="539" t="s">
        <v>3059</v>
      </c>
      <c r="E43" s="540">
        <v>0</v>
      </c>
      <c r="F43" s="540">
        <v>0</v>
      </c>
      <c r="G43" s="540">
        <v>0</v>
      </c>
      <c r="H43" s="540">
        <v>0</v>
      </c>
      <c r="I43" s="539" t="s">
        <v>4164</v>
      </c>
    </row>
    <row r="44" spans="1:9" ht="32" x14ac:dyDescent="0.2">
      <c r="A44" s="540">
        <v>45</v>
      </c>
      <c r="B44" s="539" t="s">
        <v>3215</v>
      </c>
      <c r="C44" s="539" t="s">
        <v>4193</v>
      </c>
      <c r="D44" s="539" t="s">
        <v>3059</v>
      </c>
      <c r="E44" s="540">
        <v>0</v>
      </c>
      <c r="F44" s="540">
        <v>0</v>
      </c>
      <c r="G44" s="540">
        <v>0</v>
      </c>
      <c r="H44" s="540">
        <v>0</v>
      </c>
      <c r="I44" s="539" t="s">
        <v>4164</v>
      </c>
    </row>
    <row r="45" spans="1:9" ht="48" x14ac:dyDescent="0.2">
      <c r="A45" s="540">
        <v>46</v>
      </c>
      <c r="B45" s="539" t="s">
        <v>3216</v>
      </c>
      <c r="C45" s="539" t="s">
        <v>4195</v>
      </c>
      <c r="D45" s="539" t="s">
        <v>3061</v>
      </c>
      <c r="E45" s="540">
        <v>10790628</v>
      </c>
      <c r="F45" s="540">
        <v>8279196</v>
      </c>
      <c r="G45" s="540">
        <v>9056170.25</v>
      </c>
      <c r="H45" s="540">
        <v>11972842</v>
      </c>
      <c r="I45" s="539" t="s">
        <v>4167</v>
      </c>
    </row>
    <row r="46" spans="1:9" ht="48" x14ac:dyDescent="0.2">
      <c r="A46" s="540">
        <v>46</v>
      </c>
      <c r="B46" s="539" t="s">
        <v>3216</v>
      </c>
      <c r="C46" s="539" t="s">
        <v>4196</v>
      </c>
      <c r="D46" s="539" t="s">
        <v>3061</v>
      </c>
      <c r="E46" s="540">
        <v>12359737</v>
      </c>
      <c r="F46" s="540">
        <v>15529644</v>
      </c>
      <c r="G46" s="540">
        <v>9056170.25</v>
      </c>
      <c r="H46" s="540">
        <v>15529643</v>
      </c>
      <c r="I46" s="539" t="s">
        <v>4167</v>
      </c>
    </row>
    <row r="47" spans="1:9" ht="48" x14ac:dyDescent="0.2">
      <c r="A47" s="540">
        <v>46</v>
      </c>
      <c r="B47" s="539" t="s">
        <v>3216</v>
      </c>
      <c r="C47" s="539" t="s">
        <v>4197</v>
      </c>
      <c r="D47" s="539" t="s">
        <v>3061</v>
      </c>
      <c r="E47" s="540">
        <v>15768847</v>
      </c>
      <c r="F47" s="540">
        <v>10199916</v>
      </c>
      <c r="G47" s="540">
        <v>9056170.25</v>
      </c>
      <c r="H47" s="540">
        <v>8722196</v>
      </c>
      <c r="I47" s="539" t="s">
        <v>4167</v>
      </c>
    </row>
    <row r="48" spans="1:9" ht="48" x14ac:dyDescent="0.2">
      <c r="A48" s="540">
        <v>46</v>
      </c>
      <c r="B48" s="539" t="s">
        <v>3216</v>
      </c>
      <c r="C48" s="539" t="s">
        <v>4198</v>
      </c>
      <c r="D48" s="539" t="s">
        <v>3061</v>
      </c>
      <c r="E48" s="540">
        <v>0</v>
      </c>
      <c r="F48" s="540">
        <v>0</v>
      </c>
      <c r="G48" s="540">
        <v>9056170.25</v>
      </c>
      <c r="H48" s="540">
        <v>0</v>
      </c>
      <c r="I48" s="539" t="s">
        <v>4167</v>
      </c>
    </row>
    <row r="49" spans="1:9" ht="32" x14ac:dyDescent="0.2">
      <c r="A49" s="540">
        <v>48</v>
      </c>
      <c r="B49" s="539" t="s">
        <v>4160</v>
      </c>
      <c r="C49" s="539" t="s">
        <v>4199</v>
      </c>
      <c r="D49" s="539" t="s">
        <v>3063</v>
      </c>
      <c r="E49" s="540">
        <v>136112713</v>
      </c>
      <c r="F49" s="540">
        <v>136808424</v>
      </c>
      <c r="G49" s="540">
        <v>79170283.5</v>
      </c>
      <c r="H49" s="540">
        <v>119668692</v>
      </c>
      <c r="I49" s="539" t="s">
        <v>4168</v>
      </c>
    </row>
    <row r="50" spans="1:9" ht="32" x14ac:dyDescent="0.2">
      <c r="A50" s="540">
        <v>48</v>
      </c>
      <c r="B50" s="539" t="s">
        <v>4160</v>
      </c>
      <c r="C50" s="539" t="s">
        <v>4200</v>
      </c>
      <c r="D50" s="539" t="s">
        <v>3063</v>
      </c>
      <c r="E50" s="540">
        <v>68750000</v>
      </c>
      <c r="F50" s="540">
        <v>51562500</v>
      </c>
      <c r="G50" s="540">
        <v>79170283.5</v>
      </c>
      <c r="H50" s="540">
        <v>38671875</v>
      </c>
      <c r="I50" s="539" t="s">
        <v>4168</v>
      </c>
    </row>
    <row r="51" spans="1:9" ht="32" x14ac:dyDescent="0.2">
      <c r="A51" s="540">
        <v>49</v>
      </c>
      <c r="B51" s="539" t="s">
        <v>4162</v>
      </c>
      <c r="C51" s="539" t="s">
        <v>4201</v>
      </c>
      <c r="D51" s="539" t="s">
        <v>3064</v>
      </c>
      <c r="E51" s="540">
        <v>48267936.5</v>
      </c>
      <c r="F51" s="540">
        <v>443778798</v>
      </c>
      <c r="G51" s="540">
        <v>388306445</v>
      </c>
      <c r="H51" s="540">
        <v>0</v>
      </c>
      <c r="I51" s="539" t="s">
        <v>4164</v>
      </c>
    </row>
    <row r="52" spans="1:9" ht="32" x14ac:dyDescent="0.2">
      <c r="A52" s="540">
        <v>49</v>
      </c>
      <c r="B52" s="539" t="s">
        <v>4162</v>
      </c>
      <c r="C52" s="539" t="s">
        <v>4202</v>
      </c>
      <c r="D52" s="539" t="s">
        <v>3064</v>
      </c>
      <c r="E52" s="540">
        <v>48267936.5</v>
      </c>
      <c r="F52" s="540">
        <v>443778798</v>
      </c>
      <c r="G52" s="540">
        <v>388306445</v>
      </c>
      <c r="H52" s="540">
        <v>0</v>
      </c>
      <c r="I52" s="539" t="s">
        <v>4164</v>
      </c>
    </row>
    <row r="53" spans="1:9" ht="32" x14ac:dyDescent="0.2">
      <c r="A53" s="540">
        <v>54</v>
      </c>
      <c r="B53" s="539" t="s">
        <v>3215</v>
      </c>
      <c r="C53" s="539" t="s">
        <v>4192</v>
      </c>
      <c r="D53" s="539" t="s">
        <v>3059</v>
      </c>
      <c r="E53" s="540">
        <v>0</v>
      </c>
      <c r="F53" s="540">
        <v>0</v>
      </c>
      <c r="G53" s="540">
        <v>0</v>
      </c>
      <c r="H53" s="540">
        <v>0</v>
      </c>
      <c r="I53" s="539" t="s">
        <v>4165</v>
      </c>
    </row>
    <row r="54" spans="1:9" ht="32" x14ac:dyDescent="0.2">
      <c r="A54" s="540">
        <v>54</v>
      </c>
      <c r="B54" s="539" t="s">
        <v>3215</v>
      </c>
      <c r="C54" s="539" t="s">
        <v>4193</v>
      </c>
      <c r="D54" s="539" t="s">
        <v>3059</v>
      </c>
      <c r="E54" s="540">
        <v>0</v>
      </c>
      <c r="F54" s="540">
        <v>0</v>
      </c>
      <c r="G54" s="540">
        <v>0</v>
      </c>
      <c r="H54" s="540">
        <v>0</v>
      </c>
      <c r="I54" s="539" t="s">
        <v>4165</v>
      </c>
    </row>
    <row r="55" spans="1:9" ht="48" x14ac:dyDescent="0.2">
      <c r="A55" s="540">
        <v>55</v>
      </c>
      <c r="B55" s="539" t="s">
        <v>3216</v>
      </c>
      <c r="C55" s="539" t="s">
        <v>4195</v>
      </c>
      <c r="D55" s="539" t="s">
        <v>3061</v>
      </c>
      <c r="E55" s="540">
        <v>60721606.75</v>
      </c>
      <c r="F55" s="540">
        <v>69223795.75</v>
      </c>
      <c r="G55" s="540">
        <v>78279966</v>
      </c>
      <c r="H55" s="540">
        <v>0</v>
      </c>
      <c r="I55" s="539" t="s">
        <v>4165</v>
      </c>
    </row>
    <row r="56" spans="1:9" ht="48" x14ac:dyDescent="0.2">
      <c r="A56" s="540">
        <v>55</v>
      </c>
      <c r="B56" s="539" t="s">
        <v>3216</v>
      </c>
      <c r="C56" s="539" t="s">
        <v>4196</v>
      </c>
      <c r="D56" s="539" t="s">
        <v>3061</v>
      </c>
      <c r="E56" s="540">
        <v>60721606.75</v>
      </c>
      <c r="F56" s="540">
        <v>69223795.75</v>
      </c>
      <c r="G56" s="540">
        <v>78279966</v>
      </c>
      <c r="H56" s="540">
        <v>0</v>
      </c>
      <c r="I56" s="539" t="s">
        <v>4165</v>
      </c>
    </row>
    <row r="57" spans="1:9" ht="48" x14ac:dyDescent="0.2">
      <c r="A57" s="540">
        <v>55</v>
      </c>
      <c r="B57" s="539" t="s">
        <v>3216</v>
      </c>
      <c r="C57" s="539" t="s">
        <v>4197</v>
      </c>
      <c r="D57" s="539" t="s">
        <v>3061</v>
      </c>
      <c r="E57" s="540">
        <v>60721606.75</v>
      </c>
      <c r="F57" s="540">
        <v>69223795.75</v>
      </c>
      <c r="G57" s="540">
        <v>78279966</v>
      </c>
      <c r="H57" s="540">
        <v>0</v>
      </c>
      <c r="I57" s="539" t="s">
        <v>4165</v>
      </c>
    </row>
    <row r="58" spans="1:9" ht="48" x14ac:dyDescent="0.2">
      <c r="A58" s="540">
        <v>55</v>
      </c>
      <c r="B58" s="539" t="s">
        <v>3216</v>
      </c>
      <c r="C58" s="539" t="s">
        <v>4198</v>
      </c>
      <c r="D58" s="539" t="s">
        <v>3061</v>
      </c>
      <c r="E58" s="540">
        <v>60721606.75</v>
      </c>
      <c r="F58" s="540">
        <v>69223795.75</v>
      </c>
      <c r="G58" s="540">
        <v>78279966</v>
      </c>
      <c r="H58" s="540">
        <v>0</v>
      </c>
      <c r="I58" s="539" t="s">
        <v>4165</v>
      </c>
    </row>
    <row r="59" spans="1:9" ht="32" x14ac:dyDescent="0.2">
      <c r="A59" s="540">
        <v>57</v>
      </c>
      <c r="B59" s="539" t="s">
        <v>4160</v>
      </c>
      <c r="C59" s="539" t="s">
        <v>4199</v>
      </c>
      <c r="D59" s="539" t="s">
        <v>3063</v>
      </c>
      <c r="E59" s="540">
        <v>818988710.5</v>
      </c>
      <c r="F59" s="540">
        <v>913174172.5</v>
      </c>
      <c r="G59" s="540">
        <v>992344456</v>
      </c>
      <c r="H59" s="540">
        <v>0</v>
      </c>
      <c r="I59" s="539" t="s">
        <v>4165</v>
      </c>
    </row>
    <row r="60" spans="1:9" ht="32" x14ac:dyDescent="0.2">
      <c r="A60" s="540">
        <v>57</v>
      </c>
      <c r="B60" s="539" t="s">
        <v>4160</v>
      </c>
      <c r="C60" s="539" t="s">
        <v>4200</v>
      </c>
      <c r="D60" s="539" t="s">
        <v>3063</v>
      </c>
      <c r="E60" s="540">
        <v>818988710.5</v>
      </c>
      <c r="F60" s="540">
        <v>913174172.5</v>
      </c>
      <c r="G60" s="540">
        <v>992344456</v>
      </c>
      <c r="H60" s="540">
        <v>0</v>
      </c>
      <c r="I60" s="539" t="s">
        <v>4165</v>
      </c>
    </row>
    <row r="61" spans="1:9" ht="32" x14ac:dyDescent="0.2">
      <c r="A61" s="540">
        <v>58</v>
      </c>
      <c r="B61" s="539" t="s">
        <v>4162</v>
      </c>
      <c r="C61" s="539" t="s">
        <v>4201</v>
      </c>
      <c r="D61" s="539" t="s">
        <v>3064</v>
      </c>
      <c r="E61" s="540">
        <v>425553975</v>
      </c>
      <c r="F61" s="540">
        <v>869332773</v>
      </c>
      <c r="G61" s="540">
        <v>1257639218</v>
      </c>
      <c r="H61" s="540">
        <v>0</v>
      </c>
      <c r="I61" s="539" t="s">
        <v>4165</v>
      </c>
    </row>
    <row r="62" spans="1:9" ht="32" x14ac:dyDescent="0.2">
      <c r="A62" s="540">
        <v>58</v>
      </c>
      <c r="B62" s="539" t="s">
        <v>4162</v>
      </c>
      <c r="C62" s="539" t="s">
        <v>4202</v>
      </c>
      <c r="D62" s="539" t="s">
        <v>3064</v>
      </c>
      <c r="E62" s="540">
        <v>425553975</v>
      </c>
      <c r="F62" s="540">
        <v>869332773</v>
      </c>
      <c r="G62" s="540">
        <v>1257639218</v>
      </c>
      <c r="H62" s="540">
        <v>0</v>
      </c>
      <c r="I62" s="539" t="s">
        <v>4165</v>
      </c>
    </row>
    <row r="63" spans="1:9" ht="32" x14ac:dyDescent="0.2">
      <c r="A63" s="540">
        <v>63</v>
      </c>
      <c r="B63" s="539" t="s">
        <v>3215</v>
      </c>
      <c r="C63" s="539" t="s">
        <v>4192</v>
      </c>
      <c r="D63" s="539" t="s">
        <v>3059</v>
      </c>
      <c r="E63" s="540">
        <v>3908637157.5</v>
      </c>
      <c r="F63" s="540">
        <v>3908637157.5</v>
      </c>
      <c r="G63" s="540">
        <v>3908637157.5</v>
      </c>
      <c r="H63" s="540">
        <v>0</v>
      </c>
      <c r="I63" s="539" t="s">
        <v>4165</v>
      </c>
    </row>
    <row r="64" spans="1:9" ht="32" x14ac:dyDescent="0.2">
      <c r="A64" s="540">
        <v>63</v>
      </c>
      <c r="B64" s="539" t="s">
        <v>3215</v>
      </c>
      <c r="C64" s="539" t="s">
        <v>4193</v>
      </c>
      <c r="D64" s="539" t="s">
        <v>3059</v>
      </c>
      <c r="E64" s="540">
        <v>3908637157.5</v>
      </c>
      <c r="F64" s="540">
        <v>3908637157.5</v>
      </c>
      <c r="G64" s="540">
        <v>3908637157.5</v>
      </c>
      <c r="H64" s="540">
        <v>0</v>
      </c>
      <c r="I64" s="539" t="s">
        <v>4165</v>
      </c>
    </row>
    <row r="65" spans="1:9" ht="48" x14ac:dyDescent="0.2">
      <c r="A65" s="540">
        <v>64</v>
      </c>
      <c r="B65" s="539" t="s">
        <v>3216</v>
      </c>
      <c r="C65" s="539" t="s">
        <v>4195</v>
      </c>
      <c r="D65" s="539" t="s">
        <v>3061</v>
      </c>
      <c r="E65" s="540">
        <v>102156631</v>
      </c>
      <c r="F65" s="540">
        <v>94198192</v>
      </c>
      <c r="G65" s="540">
        <v>85142021.75</v>
      </c>
      <c r="H65" s="540">
        <v>0</v>
      </c>
      <c r="I65" s="539" t="s">
        <v>4165</v>
      </c>
    </row>
    <row r="66" spans="1:9" ht="48" x14ac:dyDescent="0.2">
      <c r="A66" s="540">
        <v>64</v>
      </c>
      <c r="B66" s="539" t="s">
        <v>3216</v>
      </c>
      <c r="C66" s="539" t="s">
        <v>4196</v>
      </c>
      <c r="D66" s="539" t="s">
        <v>3061</v>
      </c>
      <c r="E66" s="540">
        <v>102156631</v>
      </c>
      <c r="F66" s="540">
        <v>94198192</v>
      </c>
      <c r="G66" s="540">
        <v>85142021.75</v>
      </c>
      <c r="H66" s="540">
        <v>0</v>
      </c>
      <c r="I66" s="539" t="s">
        <v>4165</v>
      </c>
    </row>
    <row r="67" spans="1:9" ht="48" x14ac:dyDescent="0.2">
      <c r="A67" s="540">
        <v>64</v>
      </c>
      <c r="B67" s="539" t="s">
        <v>3216</v>
      </c>
      <c r="C67" s="539" t="s">
        <v>4197</v>
      </c>
      <c r="D67" s="539" t="s">
        <v>3061</v>
      </c>
      <c r="E67" s="540">
        <v>102156631</v>
      </c>
      <c r="F67" s="540">
        <v>94198192</v>
      </c>
      <c r="G67" s="540">
        <v>85142021.75</v>
      </c>
      <c r="H67" s="540">
        <v>0</v>
      </c>
      <c r="I67" s="539" t="s">
        <v>4165</v>
      </c>
    </row>
    <row r="68" spans="1:9" ht="48" x14ac:dyDescent="0.2">
      <c r="A68" s="540">
        <v>64</v>
      </c>
      <c r="B68" s="539" t="s">
        <v>3216</v>
      </c>
      <c r="C68" s="539" t="s">
        <v>4198</v>
      </c>
      <c r="D68" s="539" t="s">
        <v>3061</v>
      </c>
      <c r="E68" s="540">
        <v>102156631</v>
      </c>
      <c r="F68" s="540">
        <v>94198192</v>
      </c>
      <c r="G68" s="540">
        <v>85142021.75</v>
      </c>
      <c r="H68" s="540">
        <v>0</v>
      </c>
      <c r="I68" s="539" t="s">
        <v>4165</v>
      </c>
    </row>
    <row r="69" spans="1:9" ht="32" x14ac:dyDescent="0.2">
      <c r="A69" s="540">
        <v>66</v>
      </c>
      <c r="B69" s="539" t="s">
        <v>4160</v>
      </c>
      <c r="C69" s="539" t="s">
        <v>4199</v>
      </c>
      <c r="D69" s="539" t="s">
        <v>3063</v>
      </c>
      <c r="E69" s="540">
        <v>211247653.5</v>
      </c>
      <c r="F69" s="540">
        <v>190812191.5</v>
      </c>
      <c r="G69" s="540">
        <v>111641908</v>
      </c>
      <c r="H69" s="540">
        <v>0</v>
      </c>
      <c r="I69" s="539" t="s">
        <v>4165</v>
      </c>
    </row>
    <row r="70" spans="1:9" ht="32" x14ac:dyDescent="0.2">
      <c r="A70" s="540">
        <v>66</v>
      </c>
      <c r="B70" s="539" t="s">
        <v>4160</v>
      </c>
      <c r="C70" s="539" t="s">
        <v>4200</v>
      </c>
      <c r="D70" s="539" t="s">
        <v>3063</v>
      </c>
      <c r="E70" s="540">
        <v>211247653.5</v>
      </c>
      <c r="F70" s="540">
        <v>190812191.5</v>
      </c>
      <c r="G70" s="540">
        <v>111641908</v>
      </c>
      <c r="H70" s="540">
        <v>0</v>
      </c>
      <c r="I70" s="539" t="s">
        <v>4165</v>
      </c>
    </row>
    <row r="71" spans="1:9" ht="32" x14ac:dyDescent="0.2">
      <c r="A71" s="540">
        <v>67</v>
      </c>
      <c r="B71" s="539" t="s">
        <v>4162</v>
      </c>
      <c r="C71" s="539" t="s">
        <v>4201</v>
      </c>
      <c r="D71" s="539" t="s">
        <v>3064</v>
      </c>
      <c r="E71" s="540">
        <v>4647200830</v>
      </c>
      <c r="F71" s="540">
        <v>4203422032</v>
      </c>
      <c r="G71" s="540">
        <v>3815115587</v>
      </c>
      <c r="H71" s="540">
        <v>0</v>
      </c>
      <c r="I71" s="539" t="s">
        <v>4165</v>
      </c>
    </row>
    <row r="72" spans="1:9" ht="32" x14ac:dyDescent="0.2">
      <c r="A72" s="540">
        <v>67</v>
      </c>
      <c r="B72" s="539" t="s">
        <v>4162</v>
      </c>
      <c r="C72" s="539" t="s">
        <v>4202</v>
      </c>
      <c r="D72" s="539" t="s">
        <v>3064</v>
      </c>
      <c r="E72" s="540">
        <v>4647200830</v>
      </c>
      <c r="F72" s="540">
        <v>4203422032</v>
      </c>
      <c r="G72" s="540">
        <v>3815115587</v>
      </c>
      <c r="H72" s="540">
        <v>0</v>
      </c>
      <c r="I72" s="539" t="s">
        <v>4165</v>
      </c>
    </row>
  </sheetData>
  <pageMargins left="0.75" right="0.75" top="1" bottom="1" header="0.5" footer="0.5"/>
  <pageSetup paperSize="9" orientation="portrait" horizontalDpi="0" verticalDpi="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4"/>
  <sheetViews>
    <sheetView showGridLines="0" workbookViewId="0">
      <pane ySplit="2" topLeftCell="A3" activePane="bottomLeft" state="frozen"/>
      <selection pane="bottomLeft"/>
    </sheetView>
  </sheetViews>
  <sheetFormatPr baseColWidth="10" defaultColWidth="8.83203125" defaultRowHeight="15" x14ac:dyDescent="0.2"/>
  <cols>
    <col min="1" max="1" width="10" customWidth="1"/>
    <col min="2" max="2" width="34" customWidth="1"/>
    <col min="3" max="3" width="38" customWidth="1"/>
    <col min="4" max="4" width="34" customWidth="1"/>
    <col min="5" max="8" width="18" customWidth="1"/>
    <col min="9" max="9" width="34" customWidth="1"/>
  </cols>
  <sheetData>
    <row r="1" spans="1:8" ht="72" x14ac:dyDescent="0.2">
      <c r="A1" s="537" t="s">
        <v>4281</v>
      </c>
    </row>
    <row r="2" spans="1:8" ht="32" x14ac:dyDescent="0.2">
      <c r="A2" s="538" t="s">
        <v>4277</v>
      </c>
      <c r="B2" s="538" t="s">
        <v>4153</v>
      </c>
      <c r="C2" s="538" t="s">
        <v>4186</v>
      </c>
      <c r="D2" s="538" t="s">
        <v>4184</v>
      </c>
      <c r="E2" s="538" t="s">
        <v>4278</v>
      </c>
      <c r="F2" s="538" t="s">
        <v>4279</v>
      </c>
      <c r="G2" s="538" t="s">
        <v>4280</v>
      </c>
      <c r="H2" s="538" t="s">
        <v>4191</v>
      </c>
    </row>
    <row r="3" spans="1:8" ht="32" x14ac:dyDescent="0.2">
      <c r="A3" s="540">
        <v>8</v>
      </c>
      <c r="B3" s="539" t="s">
        <v>3406</v>
      </c>
      <c r="C3" s="539" t="s">
        <v>4169</v>
      </c>
      <c r="D3" s="539" t="s">
        <v>3084</v>
      </c>
      <c r="E3" s="540">
        <v>22443909.5</v>
      </c>
      <c r="F3" s="540">
        <v>53472823</v>
      </c>
      <c r="G3" s="540">
        <v>82771246</v>
      </c>
      <c r="H3" s="539" t="s">
        <v>4168</v>
      </c>
    </row>
    <row r="4" spans="1:8" ht="32" x14ac:dyDescent="0.2">
      <c r="A4" s="540">
        <v>8</v>
      </c>
      <c r="B4" s="539" t="s">
        <v>3406</v>
      </c>
      <c r="C4" s="539" t="s">
        <v>4169</v>
      </c>
      <c r="D4" s="539" t="s">
        <v>3084</v>
      </c>
      <c r="E4" s="540">
        <v>22443909.5</v>
      </c>
      <c r="F4" s="540">
        <v>97995296</v>
      </c>
      <c r="G4" s="540">
        <v>635077549</v>
      </c>
      <c r="H4" s="539" t="s">
        <v>4168</v>
      </c>
    </row>
    <row r="5" spans="1:8" ht="48" x14ac:dyDescent="0.2">
      <c r="A5" s="540">
        <v>9</v>
      </c>
      <c r="B5" s="539" t="s">
        <v>4170</v>
      </c>
      <c r="C5" s="539" t="s">
        <v>4238</v>
      </c>
      <c r="D5" s="539" t="s">
        <v>3085</v>
      </c>
      <c r="E5" s="540">
        <v>187070009</v>
      </c>
      <c r="F5" s="540">
        <v>286220425</v>
      </c>
      <c r="G5" s="540">
        <v>168515865.5</v>
      </c>
      <c r="H5" s="539" t="s">
        <v>4164</v>
      </c>
    </row>
    <row r="6" spans="1:8" ht="48" x14ac:dyDescent="0.2">
      <c r="A6" s="540">
        <v>9</v>
      </c>
      <c r="B6" s="539" t="s">
        <v>4170</v>
      </c>
      <c r="C6" s="539" t="s">
        <v>4239</v>
      </c>
      <c r="D6" s="539" t="s">
        <v>3085</v>
      </c>
      <c r="E6" s="540">
        <v>187070009</v>
      </c>
      <c r="F6" s="540">
        <v>286220425</v>
      </c>
      <c r="G6" s="540">
        <v>168515865.5</v>
      </c>
      <c r="H6" s="539" t="s">
        <v>4164</v>
      </c>
    </row>
    <row r="7" spans="1:8" ht="80" x14ac:dyDescent="0.2">
      <c r="A7" s="540">
        <v>32</v>
      </c>
      <c r="B7" s="539" t="s">
        <v>3419</v>
      </c>
      <c r="C7" s="539" t="s">
        <v>4240</v>
      </c>
      <c r="D7" s="539" t="s">
        <v>3099</v>
      </c>
      <c r="E7" s="540">
        <v>20499268</v>
      </c>
      <c r="F7" s="540">
        <v>28927903</v>
      </c>
      <c r="G7" s="540">
        <v>263030563</v>
      </c>
      <c r="H7" s="539" t="s">
        <v>4173</v>
      </c>
    </row>
    <row r="8" spans="1:8" ht="80" x14ac:dyDescent="0.2">
      <c r="A8" s="540">
        <v>32</v>
      </c>
      <c r="B8" s="539" t="s">
        <v>3419</v>
      </c>
      <c r="C8" s="539" t="s">
        <v>4241</v>
      </c>
      <c r="D8" s="539" t="s">
        <v>3099</v>
      </c>
      <c r="E8" s="540">
        <v>7791190</v>
      </c>
      <c r="F8" s="540">
        <v>9457631</v>
      </c>
      <c r="G8" s="540">
        <v>11451679</v>
      </c>
      <c r="H8" s="539" t="s">
        <v>4173</v>
      </c>
    </row>
    <row r="9" spans="1:8" ht="80" x14ac:dyDescent="0.2">
      <c r="A9" s="540">
        <v>32</v>
      </c>
      <c r="B9" s="539" t="s">
        <v>3419</v>
      </c>
      <c r="C9" s="539" t="s">
        <v>4242</v>
      </c>
      <c r="D9" s="539" t="s">
        <v>3099</v>
      </c>
      <c r="E9" s="540">
        <v>71113530</v>
      </c>
      <c r="F9" s="540">
        <v>2401280</v>
      </c>
      <c r="G9" s="540">
        <v>81022</v>
      </c>
      <c r="H9" s="539" t="s">
        <v>4173</v>
      </c>
    </row>
    <row r="10" spans="1:8" ht="80" x14ac:dyDescent="0.2">
      <c r="A10" s="540">
        <v>32</v>
      </c>
      <c r="B10" s="539" t="s">
        <v>3419</v>
      </c>
      <c r="C10" s="539" t="s">
        <v>4243</v>
      </c>
      <c r="D10" s="539" t="s">
        <v>3099</v>
      </c>
      <c r="E10" s="540">
        <v>0</v>
      </c>
      <c r="F10" s="540">
        <v>70425650</v>
      </c>
      <c r="G10" s="540">
        <v>102761900</v>
      </c>
      <c r="H10" s="539" t="s">
        <v>4173</v>
      </c>
    </row>
    <row r="11" spans="1:8" ht="80" x14ac:dyDescent="0.2">
      <c r="A11" s="540">
        <v>32</v>
      </c>
      <c r="B11" s="539" t="s">
        <v>3419</v>
      </c>
      <c r="C11" s="539" t="s">
        <v>4244</v>
      </c>
      <c r="D11" s="539" t="s">
        <v>3099</v>
      </c>
      <c r="E11" s="540">
        <v>0</v>
      </c>
      <c r="F11" s="540">
        <v>139134936</v>
      </c>
      <c r="G11" s="540">
        <v>301193090</v>
      </c>
      <c r="H11" s="539" t="s">
        <v>4173</v>
      </c>
    </row>
    <row r="12" spans="1:8" ht="80" x14ac:dyDescent="0.2">
      <c r="A12" s="540">
        <v>45</v>
      </c>
      <c r="B12" s="539" t="s">
        <v>3422</v>
      </c>
      <c r="C12" s="539" t="s">
        <v>4246</v>
      </c>
      <c r="D12" s="539" t="s">
        <v>3109</v>
      </c>
      <c r="E12" s="540">
        <v>5289183925</v>
      </c>
      <c r="F12" s="540">
        <v>5289183925</v>
      </c>
      <c r="G12" s="540">
        <v>5289183925</v>
      </c>
      <c r="H12" s="539" t="s">
        <v>4173</v>
      </c>
    </row>
    <row r="13" spans="1:8" ht="80" x14ac:dyDescent="0.2">
      <c r="A13" s="540">
        <v>45</v>
      </c>
      <c r="B13" s="539" t="s">
        <v>3422</v>
      </c>
      <c r="C13" s="539" t="s">
        <v>4247</v>
      </c>
      <c r="D13" s="539" t="s">
        <v>3109</v>
      </c>
      <c r="E13" s="540">
        <v>2085507326</v>
      </c>
      <c r="F13" s="540">
        <v>2705111011</v>
      </c>
      <c r="G13" s="540">
        <v>3909531302</v>
      </c>
      <c r="H13" s="539" t="s">
        <v>4173</v>
      </c>
    </row>
    <row r="14" spans="1:8" ht="80" x14ac:dyDescent="0.2">
      <c r="A14" s="540">
        <v>45</v>
      </c>
      <c r="B14" s="539" t="s">
        <v>3422</v>
      </c>
      <c r="C14" s="539" t="s">
        <v>4248</v>
      </c>
      <c r="D14" s="539" t="s">
        <v>3109</v>
      </c>
      <c r="E14" s="540">
        <v>0</v>
      </c>
      <c r="F14" s="540">
        <v>0</v>
      </c>
      <c r="G14" s="540">
        <v>-2500000000</v>
      </c>
      <c r="H14" s="539" t="s">
        <v>4173</v>
      </c>
    </row>
  </sheetData>
  <pageMargins left="0.75" right="0.75" top="1" bottom="1" header="0.5" footer="0.5"/>
  <pageSetup paperSize="9" orientation="portrait" horizontalDpi="0" verticalDpi="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30"/>
  <sheetViews>
    <sheetView showGridLines="0" workbookViewId="0">
      <pane ySplit="2" topLeftCell="A3" activePane="bottomLeft" state="frozen"/>
      <selection pane="bottomLeft"/>
    </sheetView>
  </sheetViews>
  <sheetFormatPr baseColWidth="10" defaultColWidth="8.83203125" defaultRowHeight="15" x14ac:dyDescent="0.2"/>
  <cols>
    <col min="1" max="1" width="10" customWidth="1"/>
    <col min="2" max="2" width="34" customWidth="1"/>
    <col min="3" max="3" width="38" customWidth="1"/>
    <col min="4" max="4" width="34" customWidth="1"/>
    <col min="5" max="8" width="18" customWidth="1"/>
    <col min="9" max="9" width="34" customWidth="1"/>
  </cols>
  <sheetData>
    <row r="1" spans="1:8" ht="90" x14ac:dyDescent="0.2">
      <c r="A1" s="537" t="s">
        <v>4282</v>
      </c>
    </row>
    <row r="2" spans="1:8" ht="32" x14ac:dyDescent="0.2">
      <c r="A2" s="538" t="s">
        <v>4277</v>
      </c>
      <c r="B2" s="538" t="s">
        <v>4153</v>
      </c>
      <c r="C2" s="538" t="s">
        <v>4186</v>
      </c>
      <c r="D2" s="538" t="s">
        <v>4184</v>
      </c>
      <c r="E2" s="538" t="s">
        <v>4278</v>
      </c>
      <c r="F2" s="538" t="s">
        <v>4279</v>
      </c>
      <c r="G2" s="538" t="s">
        <v>4280</v>
      </c>
      <c r="H2" s="538" t="s">
        <v>4191</v>
      </c>
    </row>
    <row r="3" spans="1:8" ht="80" x14ac:dyDescent="0.2">
      <c r="A3" s="540">
        <v>7</v>
      </c>
      <c r="B3" s="539" t="s">
        <v>3396</v>
      </c>
      <c r="C3" s="539" t="s">
        <v>4249</v>
      </c>
      <c r="D3" s="539" t="s">
        <v>3115</v>
      </c>
      <c r="E3" s="540">
        <v>-1341236655</v>
      </c>
      <c r="F3" s="540">
        <v>-1118290360</v>
      </c>
      <c r="G3" s="540">
        <v>-1868593447</v>
      </c>
      <c r="H3" s="539" t="s">
        <v>4173</v>
      </c>
    </row>
    <row r="4" spans="1:8" ht="80" x14ac:dyDescent="0.2">
      <c r="A4" s="540">
        <v>7</v>
      </c>
      <c r="B4" s="539" t="s">
        <v>3396</v>
      </c>
      <c r="C4" s="539" t="s">
        <v>4250</v>
      </c>
      <c r="D4" s="539" t="s">
        <v>3115</v>
      </c>
      <c r="E4" s="540">
        <v>-237790000</v>
      </c>
      <c r="F4" s="540">
        <v>-389785500</v>
      </c>
      <c r="G4" s="540">
        <v>-567317727</v>
      </c>
      <c r="H4" s="539" t="s">
        <v>4173</v>
      </c>
    </row>
    <row r="5" spans="1:8" ht="80" x14ac:dyDescent="0.2">
      <c r="A5" s="540">
        <v>7</v>
      </c>
      <c r="B5" s="539" t="s">
        <v>3396</v>
      </c>
      <c r="C5" s="539" t="s">
        <v>4251</v>
      </c>
      <c r="D5" s="539" t="s">
        <v>3115</v>
      </c>
      <c r="E5" s="540">
        <v>-532433990</v>
      </c>
      <c r="F5" s="540">
        <v>-47250000</v>
      </c>
      <c r="G5" s="540">
        <v>-806095500</v>
      </c>
      <c r="H5" s="539" t="s">
        <v>4173</v>
      </c>
    </row>
    <row r="6" spans="1:8" ht="80" x14ac:dyDescent="0.2">
      <c r="A6" s="540">
        <v>7</v>
      </c>
      <c r="B6" s="539" t="s">
        <v>3396</v>
      </c>
      <c r="C6" s="539" t="s">
        <v>4252</v>
      </c>
      <c r="D6" s="539" t="s">
        <v>3115</v>
      </c>
      <c r="E6" s="540">
        <v>-60489260</v>
      </c>
      <c r="F6" s="540">
        <v>-678881440</v>
      </c>
      <c r="G6" s="540">
        <v>-470963990</v>
      </c>
      <c r="H6" s="539" t="s">
        <v>4173</v>
      </c>
    </row>
    <row r="7" spans="1:8" ht="80" x14ac:dyDescent="0.2">
      <c r="A7" s="540">
        <v>7</v>
      </c>
      <c r="B7" s="539" t="s">
        <v>3396</v>
      </c>
      <c r="C7" s="539" t="s">
        <v>4253</v>
      </c>
      <c r="D7" s="539" t="s">
        <v>3115</v>
      </c>
      <c r="E7" s="540">
        <v>-4531901900</v>
      </c>
      <c r="F7" s="540">
        <v>-154953960</v>
      </c>
      <c r="G7" s="540">
        <v>-6699039850</v>
      </c>
      <c r="H7" s="539" t="s">
        <v>4173</v>
      </c>
    </row>
    <row r="8" spans="1:8" ht="80" x14ac:dyDescent="0.2">
      <c r="A8" s="540">
        <v>7</v>
      </c>
      <c r="B8" s="539" t="s">
        <v>3396</v>
      </c>
      <c r="C8" s="539" t="s">
        <v>4254</v>
      </c>
      <c r="D8" s="539" t="s">
        <v>3115</v>
      </c>
      <c r="E8" s="540">
        <v>-176756281</v>
      </c>
      <c r="F8" s="540">
        <v>-4984022900</v>
      </c>
      <c r="G8" s="540">
        <v>-367647700</v>
      </c>
      <c r="H8" s="539" t="s">
        <v>4173</v>
      </c>
    </row>
    <row r="9" spans="1:8" ht="80" x14ac:dyDescent="0.2">
      <c r="A9" s="540">
        <v>7</v>
      </c>
      <c r="B9" s="539" t="s">
        <v>3396</v>
      </c>
      <c r="C9" s="539" t="s">
        <v>4255</v>
      </c>
      <c r="D9" s="539" t="s">
        <v>3115</v>
      </c>
      <c r="E9" s="540">
        <v>0</v>
      </c>
      <c r="F9" s="540">
        <v>-192568750</v>
      </c>
      <c r="G9" s="540">
        <v>0</v>
      </c>
      <c r="H9" s="539" t="s">
        <v>4173</v>
      </c>
    </row>
    <row r="10" spans="1:8" ht="128" x14ac:dyDescent="0.2">
      <c r="A10" s="540">
        <v>13</v>
      </c>
      <c r="B10" s="539" t="s">
        <v>3397</v>
      </c>
      <c r="C10" s="539" t="s">
        <v>4256</v>
      </c>
      <c r="D10" s="539" t="s">
        <v>3119</v>
      </c>
      <c r="E10" s="540">
        <v>-28989940</v>
      </c>
      <c r="F10" s="540">
        <v>-39888220</v>
      </c>
      <c r="G10" s="540">
        <v>-10290500</v>
      </c>
      <c r="H10" s="539" t="s">
        <v>4178</v>
      </c>
    </row>
    <row r="11" spans="1:8" ht="128" x14ac:dyDescent="0.2">
      <c r="A11" s="540">
        <v>13</v>
      </c>
      <c r="B11" s="539" t="s">
        <v>3397</v>
      </c>
      <c r="C11" s="539" t="s">
        <v>4257</v>
      </c>
      <c r="D11" s="539" t="s">
        <v>3119</v>
      </c>
      <c r="E11" s="540">
        <v>-226329500</v>
      </c>
      <c r="F11" s="540">
        <v>-388515583</v>
      </c>
      <c r="G11" s="540">
        <v>-543625269</v>
      </c>
      <c r="H11" s="539" t="s">
        <v>4178</v>
      </c>
    </row>
    <row r="12" spans="1:8" ht="128" x14ac:dyDescent="0.2">
      <c r="A12" s="540">
        <v>13</v>
      </c>
      <c r="B12" s="539" t="s">
        <v>3397</v>
      </c>
      <c r="C12" s="539" t="s">
        <v>4258</v>
      </c>
      <c r="D12" s="539" t="s">
        <v>3119</v>
      </c>
      <c r="E12" s="540">
        <v>-10176400</v>
      </c>
      <c r="F12" s="540">
        <v>-12543000</v>
      </c>
      <c r="G12" s="540">
        <v>-10767100</v>
      </c>
      <c r="H12" s="539" t="s">
        <v>4178</v>
      </c>
    </row>
    <row r="13" spans="1:8" ht="128" x14ac:dyDescent="0.2">
      <c r="A13" s="540">
        <v>13</v>
      </c>
      <c r="B13" s="539" t="s">
        <v>3397</v>
      </c>
      <c r="C13" s="539" t="s">
        <v>4259</v>
      </c>
      <c r="D13" s="539" t="s">
        <v>3119</v>
      </c>
      <c r="E13" s="540">
        <v>-336574200</v>
      </c>
      <c r="F13" s="540">
        <v>-475888200</v>
      </c>
      <c r="G13" s="540">
        <v>-809649273</v>
      </c>
      <c r="H13" s="539" t="s">
        <v>4178</v>
      </c>
    </row>
    <row r="14" spans="1:8" ht="128" x14ac:dyDescent="0.2">
      <c r="A14" s="540">
        <v>13</v>
      </c>
      <c r="B14" s="539" t="s">
        <v>3397</v>
      </c>
      <c r="C14" s="539" t="s">
        <v>4260</v>
      </c>
      <c r="D14" s="539" t="s">
        <v>3119</v>
      </c>
      <c r="E14" s="540">
        <v>-171636900</v>
      </c>
      <c r="F14" s="540">
        <v>-19685000</v>
      </c>
      <c r="G14" s="540">
        <v>-146537000</v>
      </c>
      <c r="H14" s="539" t="s">
        <v>4178</v>
      </c>
    </row>
    <row r="15" spans="1:8" ht="128" x14ac:dyDescent="0.2">
      <c r="A15" s="540">
        <v>13</v>
      </c>
      <c r="B15" s="539" t="s">
        <v>3397</v>
      </c>
      <c r="C15" s="539" t="s">
        <v>4261</v>
      </c>
      <c r="D15" s="539" t="s">
        <v>3119</v>
      </c>
      <c r="E15" s="540">
        <v>-55010000</v>
      </c>
      <c r="F15" s="540">
        <v>-331373500</v>
      </c>
      <c r="G15" s="540">
        <v>-507940000</v>
      </c>
      <c r="H15" s="539" t="s">
        <v>4178</v>
      </c>
    </row>
    <row r="16" spans="1:8" ht="128" x14ac:dyDescent="0.2">
      <c r="A16" s="540">
        <v>13</v>
      </c>
      <c r="B16" s="539" t="s">
        <v>3397</v>
      </c>
      <c r="C16" s="539" t="s">
        <v>4262</v>
      </c>
      <c r="D16" s="539" t="s">
        <v>3119</v>
      </c>
      <c r="E16" s="540">
        <v>-507006500</v>
      </c>
      <c r="F16" s="540">
        <v>-445539100</v>
      </c>
      <c r="G16" s="540">
        <v>-449519500</v>
      </c>
      <c r="H16" s="539" t="s">
        <v>4178</v>
      </c>
    </row>
    <row r="17" spans="1:8" ht="128" x14ac:dyDescent="0.2">
      <c r="A17" s="540">
        <v>13</v>
      </c>
      <c r="B17" s="539" t="s">
        <v>3397</v>
      </c>
      <c r="C17" s="539" t="s">
        <v>4263</v>
      </c>
      <c r="D17" s="539" t="s">
        <v>3119</v>
      </c>
      <c r="E17" s="540">
        <v>-1505306</v>
      </c>
      <c r="F17" s="540">
        <v>-1477600</v>
      </c>
      <c r="G17" s="540">
        <v>-1418500</v>
      </c>
      <c r="H17" s="539" t="s">
        <v>4178</v>
      </c>
    </row>
    <row r="18" spans="1:8" ht="128" x14ac:dyDescent="0.2">
      <c r="A18" s="540">
        <v>13</v>
      </c>
      <c r="B18" s="539" t="s">
        <v>3397</v>
      </c>
      <c r="C18" s="539" t="s">
        <v>4264</v>
      </c>
      <c r="D18" s="539" t="s">
        <v>3119</v>
      </c>
      <c r="E18" s="540">
        <v>-4000000</v>
      </c>
      <c r="F18" s="540">
        <v>-22156200</v>
      </c>
      <c r="G18" s="540">
        <v>-24268976</v>
      </c>
      <c r="H18" s="539" t="s">
        <v>4178</v>
      </c>
    </row>
    <row r="19" spans="1:8" ht="128" x14ac:dyDescent="0.2">
      <c r="A19" s="540">
        <v>13</v>
      </c>
      <c r="B19" s="539" t="s">
        <v>3397</v>
      </c>
      <c r="C19" s="539" t="s">
        <v>4265</v>
      </c>
      <c r="D19" s="539" t="s">
        <v>3119</v>
      </c>
      <c r="E19" s="540">
        <v>-17133467</v>
      </c>
      <c r="F19" s="540">
        <v>-14335851</v>
      </c>
      <c r="G19" s="540">
        <v>-37800600</v>
      </c>
      <c r="H19" s="539" t="s">
        <v>4178</v>
      </c>
    </row>
    <row r="20" spans="1:8" ht="128" x14ac:dyDescent="0.2">
      <c r="A20" s="540">
        <v>13</v>
      </c>
      <c r="B20" s="539" t="s">
        <v>3397</v>
      </c>
      <c r="C20" s="539" t="s">
        <v>4266</v>
      </c>
      <c r="D20" s="539" t="s">
        <v>3119</v>
      </c>
      <c r="E20" s="540">
        <v>-25364440</v>
      </c>
      <c r="F20" s="540">
        <v>-58476654</v>
      </c>
      <c r="G20" s="540">
        <v>-34972298</v>
      </c>
      <c r="H20" s="539" t="s">
        <v>4178</v>
      </c>
    </row>
    <row r="21" spans="1:8" ht="128" x14ac:dyDescent="0.2">
      <c r="A21" s="540">
        <v>13</v>
      </c>
      <c r="B21" s="539" t="s">
        <v>3397</v>
      </c>
      <c r="C21" s="539" t="s">
        <v>4267</v>
      </c>
      <c r="D21" s="539" t="s">
        <v>3119</v>
      </c>
      <c r="E21" s="540">
        <v>-36857132</v>
      </c>
      <c r="F21" s="540">
        <v>0</v>
      </c>
      <c r="G21" s="540">
        <v>-64306088</v>
      </c>
      <c r="H21" s="539" t="s">
        <v>4178</v>
      </c>
    </row>
    <row r="22" spans="1:8" ht="128" x14ac:dyDescent="0.2">
      <c r="A22" s="540">
        <v>13</v>
      </c>
      <c r="B22" s="539" t="s">
        <v>3397</v>
      </c>
      <c r="C22" s="539" t="s">
        <v>4268</v>
      </c>
      <c r="D22" s="539" t="s">
        <v>3119</v>
      </c>
      <c r="E22" s="540">
        <v>0</v>
      </c>
      <c r="F22" s="540">
        <v>0</v>
      </c>
      <c r="G22" s="540">
        <v>0</v>
      </c>
      <c r="H22" s="539" t="s">
        <v>4178</v>
      </c>
    </row>
    <row r="23" spans="1:8" ht="128" x14ac:dyDescent="0.2">
      <c r="A23" s="540">
        <v>13</v>
      </c>
      <c r="B23" s="539" t="s">
        <v>3397</v>
      </c>
      <c r="C23" s="539" t="s">
        <v>4269</v>
      </c>
      <c r="D23" s="539" t="s">
        <v>3119</v>
      </c>
      <c r="E23" s="540">
        <v>0</v>
      </c>
      <c r="F23" s="540">
        <v>0</v>
      </c>
      <c r="G23" s="540">
        <v>0</v>
      </c>
      <c r="H23" s="539" t="s">
        <v>4178</v>
      </c>
    </row>
    <row r="24" spans="1:8" ht="80" x14ac:dyDescent="0.2">
      <c r="A24" s="540">
        <v>26</v>
      </c>
      <c r="B24" s="539" t="s">
        <v>16</v>
      </c>
      <c r="C24" s="539" t="s">
        <v>4270</v>
      </c>
      <c r="D24" s="539" t="s">
        <v>3127</v>
      </c>
      <c r="E24" s="540">
        <v>7222836</v>
      </c>
      <c r="F24" s="540">
        <v>6803933</v>
      </c>
      <c r="G24" s="540">
        <v>2443706</v>
      </c>
      <c r="H24" s="539" t="s">
        <v>4173</v>
      </c>
    </row>
    <row r="25" spans="1:8" ht="80" x14ac:dyDescent="0.2">
      <c r="A25" s="540">
        <v>26</v>
      </c>
      <c r="B25" s="539" t="s">
        <v>16</v>
      </c>
      <c r="C25" s="539" t="s">
        <v>4271</v>
      </c>
      <c r="D25" s="539" t="s">
        <v>3127</v>
      </c>
      <c r="E25" s="540">
        <v>74171233</v>
      </c>
      <c r="F25" s="540">
        <v>5000000</v>
      </c>
      <c r="G25" s="540">
        <v>2266459</v>
      </c>
      <c r="H25" s="539" t="s">
        <v>4173</v>
      </c>
    </row>
    <row r="26" spans="1:8" ht="80" x14ac:dyDescent="0.2">
      <c r="A26" s="540">
        <v>26</v>
      </c>
      <c r="B26" s="539" t="s">
        <v>16</v>
      </c>
      <c r="C26" s="539" t="s">
        <v>4272</v>
      </c>
      <c r="D26" s="539" t="s">
        <v>3127</v>
      </c>
      <c r="E26" s="540">
        <v>0</v>
      </c>
      <c r="F26" s="540">
        <v>0</v>
      </c>
      <c r="G26" s="540">
        <v>9247176</v>
      </c>
      <c r="H26" s="539" t="s">
        <v>4173</v>
      </c>
    </row>
    <row r="27" spans="1:8" ht="32" x14ac:dyDescent="0.2">
      <c r="A27" s="540">
        <v>27</v>
      </c>
      <c r="B27" s="539" t="s">
        <v>15</v>
      </c>
      <c r="C27" s="539" t="s">
        <v>4273</v>
      </c>
      <c r="D27" s="539" t="s">
        <v>3128</v>
      </c>
      <c r="E27" s="540">
        <v>-1444567</v>
      </c>
      <c r="F27" s="540">
        <v>-1360787</v>
      </c>
      <c r="G27" s="540">
        <v>-488741</v>
      </c>
      <c r="H27" s="539" t="s">
        <v>4181</v>
      </c>
    </row>
    <row r="28" spans="1:8" ht="32" x14ac:dyDescent="0.2">
      <c r="A28" s="540">
        <v>27</v>
      </c>
      <c r="B28" s="539" t="s">
        <v>15</v>
      </c>
      <c r="C28" s="539" t="s">
        <v>4274</v>
      </c>
      <c r="D28" s="539" t="s">
        <v>3128</v>
      </c>
      <c r="E28" s="540">
        <v>-14834247</v>
      </c>
      <c r="F28" s="540">
        <v>-341</v>
      </c>
      <c r="G28" s="540">
        <v>-453292</v>
      </c>
      <c r="H28" s="539" t="s">
        <v>4181</v>
      </c>
    </row>
    <row r="29" spans="1:8" ht="32" x14ac:dyDescent="0.2">
      <c r="A29" s="540">
        <v>30</v>
      </c>
      <c r="B29" s="539" t="s">
        <v>3221</v>
      </c>
      <c r="C29" s="539" t="s">
        <v>4275</v>
      </c>
      <c r="D29" s="539" t="s">
        <v>3130</v>
      </c>
      <c r="E29" s="540">
        <v>0</v>
      </c>
      <c r="F29" s="540">
        <v>0</v>
      </c>
      <c r="G29" s="540">
        <v>12125</v>
      </c>
      <c r="H29" s="539" t="s">
        <v>4168</v>
      </c>
    </row>
    <row r="30" spans="1:8" ht="32" x14ac:dyDescent="0.2">
      <c r="A30" s="540">
        <v>30</v>
      </c>
      <c r="B30" s="539" t="s">
        <v>3221</v>
      </c>
      <c r="C30" s="539" t="s">
        <v>4274</v>
      </c>
      <c r="D30" s="539" t="s">
        <v>3130</v>
      </c>
      <c r="E30" s="540">
        <v>0</v>
      </c>
      <c r="F30" s="540">
        <v>0</v>
      </c>
      <c r="G30" s="540">
        <v>-225000</v>
      </c>
      <c r="H30" s="539" t="s">
        <v>4168</v>
      </c>
    </row>
  </sheetData>
  <pageMargins left="0.75" right="0.75" top="1" bottom="1" header="0.5" footer="0.5"/>
  <pageSetup paperSize="9" orientation="portrait" horizontalDpi="0" verticalDpi="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D9"/>
  <sheetViews>
    <sheetView showGridLines="0" workbookViewId="0">
      <pane ySplit="3" topLeftCell="A4" activePane="bottomLeft" state="frozen"/>
      <selection pane="bottomLeft"/>
    </sheetView>
  </sheetViews>
  <sheetFormatPr baseColWidth="10" defaultColWidth="8.83203125" defaultRowHeight="15" x14ac:dyDescent="0.2"/>
  <cols>
    <col min="1" max="1" width="36" customWidth="1"/>
    <col min="2" max="2" width="22" customWidth="1"/>
    <col min="3" max="3" width="28" customWidth="1"/>
    <col min="4" max="4" width="70" customWidth="1"/>
  </cols>
  <sheetData>
    <row r="1" spans="1:4" ht="18" x14ac:dyDescent="0.2">
      <c r="A1" s="537" t="s">
        <v>4283</v>
      </c>
    </row>
    <row r="2" spans="1:4" ht="16" x14ac:dyDescent="0.2">
      <c r="A2" s="538" t="s">
        <v>3798</v>
      </c>
      <c r="B2" s="538" t="s">
        <v>4284</v>
      </c>
      <c r="C2" s="538" t="s">
        <v>3731</v>
      </c>
      <c r="D2" s="538" t="s">
        <v>3955</v>
      </c>
    </row>
    <row r="3" spans="1:4" ht="16" x14ac:dyDescent="0.2">
      <c r="A3" s="539" t="s">
        <v>716</v>
      </c>
      <c r="B3" s="540">
        <v>13701055249</v>
      </c>
      <c r="C3" s="539" t="s">
        <v>4285</v>
      </c>
      <c r="D3" s="539" t="s">
        <v>4286</v>
      </c>
    </row>
    <row r="4" spans="1:4" ht="32" x14ac:dyDescent="0.2">
      <c r="A4" s="539" t="s">
        <v>358</v>
      </c>
      <c r="B4" s="540">
        <v>19886438291.384579</v>
      </c>
      <c r="C4" s="539" t="s">
        <v>4285</v>
      </c>
      <c r="D4" s="539" t="s">
        <v>4287</v>
      </c>
    </row>
    <row r="5" spans="1:4" ht="16" x14ac:dyDescent="0.2">
      <c r="A5" s="539" t="s">
        <v>467</v>
      </c>
      <c r="B5" s="540">
        <v>34009467929.993992</v>
      </c>
      <c r="C5" s="539" t="s">
        <v>4285</v>
      </c>
      <c r="D5" s="539" t="s">
        <v>4288</v>
      </c>
    </row>
    <row r="6" spans="1:4" ht="16" x14ac:dyDescent="0.2">
      <c r="A6" s="539" t="s">
        <v>669</v>
      </c>
      <c r="B6" s="540">
        <v>0</v>
      </c>
      <c r="C6" s="539" t="s">
        <v>4289</v>
      </c>
      <c r="D6" s="539" t="s">
        <v>4290</v>
      </c>
    </row>
    <row r="7" spans="1:4" ht="16" x14ac:dyDescent="0.2">
      <c r="A7" s="539" t="s">
        <v>4291</v>
      </c>
      <c r="B7" s="540">
        <v>1075880526</v>
      </c>
      <c r="C7" s="539" t="s">
        <v>4070</v>
      </c>
      <c r="D7" s="539" t="s">
        <v>4292</v>
      </c>
    </row>
    <row r="8" spans="1:4" ht="16" x14ac:dyDescent="0.2">
      <c r="A8" s="539" t="s">
        <v>4293</v>
      </c>
      <c r="B8" s="540">
        <v>-2707664417</v>
      </c>
      <c r="C8" s="539" t="s">
        <v>4294</v>
      </c>
      <c r="D8" s="539" t="s">
        <v>4295</v>
      </c>
    </row>
    <row r="9" spans="1:4" ht="16" x14ac:dyDescent="0.2">
      <c r="A9" s="539" t="s">
        <v>4296</v>
      </c>
      <c r="B9" s="540">
        <v>10559019302</v>
      </c>
      <c r="C9" s="539" t="s">
        <v>4297</v>
      </c>
      <c r="D9" s="539" t="s">
        <v>4298</v>
      </c>
    </row>
  </sheetData>
  <pageMargins left="0.75" right="0.75" top="1" bottom="1" header="0.5" footer="0.5"/>
  <pageSetup paperSize="9" orientation="portrait" horizontalDpi="0" verticalDpi="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36"/>
  <sheetViews>
    <sheetView showGridLines="0" workbookViewId="0">
      <pane ySplit="3" topLeftCell="A4" activePane="bottomLeft" state="frozen"/>
      <selection pane="bottomLeft"/>
    </sheetView>
  </sheetViews>
  <sheetFormatPr baseColWidth="10" defaultColWidth="8.83203125" defaultRowHeight="15" x14ac:dyDescent="0.2"/>
  <cols>
    <col min="1" max="1" width="34" customWidth="1"/>
    <col min="2" max="2" width="20" customWidth="1"/>
    <col min="3" max="3" width="30" customWidth="1"/>
    <col min="4" max="4" width="36" customWidth="1"/>
    <col min="5" max="5" width="44" customWidth="1"/>
    <col min="6" max="6" width="76" customWidth="1"/>
    <col min="7" max="7" width="62" customWidth="1"/>
  </cols>
  <sheetData>
    <row r="1" spans="1:7" ht="36" x14ac:dyDescent="0.2">
      <c r="A1" s="537" t="s">
        <v>4299</v>
      </c>
    </row>
    <row r="2" spans="1:7" ht="16" x14ac:dyDescent="0.2">
      <c r="A2" s="538" t="s">
        <v>4300</v>
      </c>
      <c r="B2" s="538" t="s">
        <v>4301</v>
      </c>
      <c r="C2" s="538" t="s">
        <v>4302</v>
      </c>
      <c r="D2" s="538" t="s">
        <v>4303</v>
      </c>
      <c r="E2" s="538" t="s">
        <v>4304</v>
      </c>
      <c r="F2" s="538" t="s">
        <v>4305</v>
      </c>
      <c r="G2" s="538" t="s">
        <v>4306</v>
      </c>
    </row>
    <row r="3" spans="1:7" ht="32" x14ac:dyDescent="0.2">
      <c r="A3" s="539" t="s">
        <v>4307</v>
      </c>
      <c r="B3" s="540">
        <v>0</v>
      </c>
      <c r="C3" s="539" t="s">
        <v>4308</v>
      </c>
      <c r="D3" s="539" t="s">
        <v>4309</v>
      </c>
      <c r="E3" s="539" t="s">
        <v>4310</v>
      </c>
      <c r="F3" s="539" t="s">
        <v>4311</v>
      </c>
      <c r="G3" s="539" t="s">
        <v>4312</v>
      </c>
    </row>
    <row r="4" spans="1:7" ht="32" x14ac:dyDescent="0.2">
      <c r="A4" s="539" t="s">
        <v>4313</v>
      </c>
      <c r="B4" s="540">
        <v>0</v>
      </c>
      <c r="C4" s="539" t="s">
        <v>4314</v>
      </c>
      <c r="D4" s="539" t="s">
        <v>4309</v>
      </c>
      <c r="E4" s="539" t="s">
        <v>4310</v>
      </c>
      <c r="F4" s="539" t="s">
        <v>4315</v>
      </c>
      <c r="G4" s="539" t="s">
        <v>4316</v>
      </c>
    </row>
    <row r="5" spans="1:7" ht="32" x14ac:dyDescent="0.2">
      <c r="A5" s="539" t="s">
        <v>4317</v>
      </c>
      <c r="B5" s="540">
        <v>1266935637</v>
      </c>
      <c r="C5" s="539" t="s">
        <v>4318</v>
      </c>
      <c r="D5" s="539" t="s">
        <v>4319</v>
      </c>
      <c r="E5" s="539" t="s">
        <v>4320</v>
      </c>
      <c r="F5" s="539" t="s">
        <v>4321</v>
      </c>
      <c r="G5" s="539" t="s">
        <v>4322</v>
      </c>
    </row>
    <row r="6" spans="1:7" ht="32" x14ac:dyDescent="0.2">
      <c r="A6" s="539" t="s">
        <v>1311</v>
      </c>
      <c r="B6" s="540">
        <v>1054880526</v>
      </c>
      <c r="C6" s="539" t="s">
        <v>4323</v>
      </c>
      <c r="D6" s="539" t="s">
        <v>4324</v>
      </c>
      <c r="E6" s="539" t="s">
        <v>4325</v>
      </c>
      <c r="F6" s="539" t="s">
        <v>4326</v>
      </c>
      <c r="G6" s="539" t="s">
        <v>4327</v>
      </c>
    </row>
    <row r="7" spans="1:7" ht="32" x14ac:dyDescent="0.2">
      <c r="A7" s="539" t="s">
        <v>4328</v>
      </c>
      <c r="B7" s="540">
        <v>717848795</v>
      </c>
      <c r="C7" s="539" t="s">
        <v>4329</v>
      </c>
      <c r="D7" s="539" t="s">
        <v>4330</v>
      </c>
      <c r="E7" s="539" t="s">
        <v>4331</v>
      </c>
      <c r="F7" s="539" t="s">
        <v>4332</v>
      </c>
      <c r="G7" s="539" t="s">
        <v>4333</v>
      </c>
    </row>
    <row r="8" spans="1:7" ht="32" x14ac:dyDescent="0.2">
      <c r="A8" s="539" t="s">
        <v>4334</v>
      </c>
      <c r="B8" s="540">
        <v>337031731</v>
      </c>
      <c r="C8" s="539" t="s">
        <v>4335</v>
      </c>
      <c r="D8" s="539" t="s">
        <v>4330</v>
      </c>
      <c r="E8" s="539" t="s">
        <v>4325</v>
      </c>
      <c r="F8" s="539" t="s">
        <v>4336</v>
      </c>
      <c r="G8" s="539" t="s">
        <v>4337</v>
      </c>
    </row>
    <row r="9" spans="1:7" ht="32" x14ac:dyDescent="0.2">
      <c r="A9" s="539" t="s">
        <v>777</v>
      </c>
      <c r="B9" s="540">
        <v>16011357394</v>
      </c>
      <c r="C9" s="539" t="s">
        <v>4338</v>
      </c>
      <c r="D9" s="539" t="s">
        <v>4339</v>
      </c>
      <c r="E9" s="539" t="s">
        <v>4340</v>
      </c>
      <c r="F9" s="539" t="s">
        <v>4341</v>
      </c>
      <c r="G9" s="539" t="s">
        <v>4342</v>
      </c>
    </row>
    <row r="10" spans="1:7" ht="16" x14ac:dyDescent="0.2">
      <c r="A10" s="539" t="s">
        <v>4343</v>
      </c>
      <c r="B10" s="540">
        <v>0</v>
      </c>
      <c r="C10" s="539" t="s">
        <v>4344</v>
      </c>
      <c r="D10" s="539" t="s">
        <v>4345</v>
      </c>
      <c r="E10" s="539" t="s">
        <v>4346</v>
      </c>
      <c r="F10" s="539" t="s">
        <v>4347</v>
      </c>
      <c r="G10" s="539" t="s">
        <v>4348</v>
      </c>
    </row>
    <row r="11" spans="1:7" ht="32" x14ac:dyDescent="0.2">
      <c r="A11" s="539" t="s">
        <v>4349</v>
      </c>
      <c r="B11" s="540">
        <v>0</v>
      </c>
      <c r="C11" s="539" t="s">
        <v>4350</v>
      </c>
      <c r="D11" s="539" t="s">
        <v>4351</v>
      </c>
      <c r="E11" s="539" t="s">
        <v>4352</v>
      </c>
      <c r="F11" s="539" t="s">
        <v>4353</v>
      </c>
      <c r="G11" s="539" t="s">
        <v>4354</v>
      </c>
    </row>
    <row r="12" spans="1:7" ht="32" x14ac:dyDescent="0.2">
      <c r="A12" s="539" t="s">
        <v>4355</v>
      </c>
      <c r="B12" s="540">
        <v>3577237782</v>
      </c>
      <c r="C12" s="539" t="s">
        <v>4356</v>
      </c>
      <c r="D12" s="539" t="s">
        <v>4357</v>
      </c>
      <c r="E12" s="539" t="s">
        <v>4358</v>
      </c>
      <c r="F12" s="539" t="s">
        <v>4359</v>
      </c>
      <c r="G12" s="539" t="s">
        <v>4360</v>
      </c>
    </row>
    <row r="13" spans="1:7" ht="16" x14ac:dyDescent="0.2">
      <c r="A13" s="539" t="s">
        <v>4361</v>
      </c>
      <c r="B13" s="540">
        <v>0</v>
      </c>
      <c r="C13" s="539" t="s">
        <v>4362</v>
      </c>
      <c r="D13" s="539" t="s">
        <v>4357</v>
      </c>
      <c r="E13" s="539" t="s">
        <v>4363</v>
      </c>
      <c r="F13" s="539" t="s">
        <v>4347</v>
      </c>
      <c r="G13" s="539" t="s">
        <v>4364</v>
      </c>
    </row>
    <row r="14" spans="1:7" ht="32" x14ac:dyDescent="0.2">
      <c r="A14" s="539" t="s">
        <v>4365</v>
      </c>
      <c r="B14" s="540">
        <v>5280000000</v>
      </c>
      <c r="C14" s="539" t="s">
        <v>4366</v>
      </c>
      <c r="D14" s="539" t="s">
        <v>4367</v>
      </c>
      <c r="E14" s="539" t="s">
        <v>4368</v>
      </c>
      <c r="F14" s="539" t="s">
        <v>4369</v>
      </c>
      <c r="G14" s="539" t="s">
        <v>4370</v>
      </c>
    </row>
    <row r="15" spans="1:7" ht="16" x14ac:dyDescent="0.2">
      <c r="A15" s="539" t="s">
        <v>4371</v>
      </c>
      <c r="B15" s="540">
        <v>0</v>
      </c>
      <c r="C15" s="539" t="s">
        <v>4372</v>
      </c>
      <c r="D15" s="539" t="s">
        <v>4373</v>
      </c>
      <c r="E15" s="539" t="s">
        <v>4368</v>
      </c>
      <c r="F15" s="539" t="s">
        <v>4374</v>
      </c>
      <c r="G15" s="539" t="s">
        <v>4375</v>
      </c>
    </row>
    <row r="16" spans="1:7" ht="32" x14ac:dyDescent="0.2">
      <c r="A16" s="539" t="s">
        <v>4376</v>
      </c>
      <c r="B16" s="540">
        <v>6698715227</v>
      </c>
      <c r="C16" s="539" t="s">
        <v>4377</v>
      </c>
      <c r="D16" s="539" t="s">
        <v>4378</v>
      </c>
      <c r="E16" s="539" t="s">
        <v>4368</v>
      </c>
      <c r="F16" s="539" t="s">
        <v>4379</v>
      </c>
      <c r="G16" s="539" t="s">
        <v>4380</v>
      </c>
    </row>
    <row r="17" spans="1:7" ht="32" x14ac:dyDescent="0.2">
      <c r="A17" s="539" t="s">
        <v>4381</v>
      </c>
      <c r="B17" s="540">
        <v>2590960070</v>
      </c>
      <c r="C17" s="539" t="s">
        <v>4382</v>
      </c>
      <c r="D17" s="539" t="s">
        <v>4383</v>
      </c>
      <c r="E17" s="539" t="s">
        <v>4384</v>
      </c>
      <c r="F17" s="539" t="s">
        <v>4385</v>
      </c>
      <c r="G17" s="539" t="s">
        <v>4386</v>
      </c>
    </row>
    <row r="18" spans="1:7" ht="16" x14ac:dyDescent="0.2">
      <c r="A18" s="539" t="s">
        <v>4387</v>
      </c>
      <c r="B18" s="540">
        <v>16663916100</v>
      </c>
      <c r="C18" s="539" t="s">
        <v>4388</v>
      </c>
      <c r="D18" s="539" t="s">
        <v>4389</v>
      </c>
      <c r="E18" s="539" t="s">
        <v>4390</v>
      </c>
      <c r="F18" s="539" t="s">
        <v>4391</v>
      </c>
      <c r="G18" s="539" t="s">
        <v>4392</v>
      </c>
    </row>
    <row r="19" spans="1:7" ht="16" x14ac:dyDescent="0.2">
      <c r="A19" s="539" t="s">
        <v>4393</v>
      </c>
      <c r="B19" s="540">
        <v>-10779658214</v>
      </c>
      <c r="C19" s="539" t="s">
        <v>3204</v>
      </c>
      <c r="D19" s="539" t="s">
        <v>4389</v>
      </c>
      <c r="E19" s="539" t="s">
        <v>4394</v>
      </c>
      <c r="F19" s="539" t="s">
        <v>4395</v>
      </c>
      <c r="G19" s="539" t="s">
        <v>4396</v>
      </c>
    </row>
    <row r="20" spans="1:7" ht="16" x14ac:dyDescent="0.2">
      <c r="A20" s="539" t="s">
        <v>4397</v>
      </c>
      <c r="B20" s="540">
        <v>0</v>
      </c>
      <c r="C20" s="539" t="s">
        <v>3204</v>
      </c>
      <c r="D20" s="539" t="s">
        <v>4389</v>
      </c>
      <c r="E20" s="539" t="s">
        <v>4398</v>
      </c>
      <c r="F20" s="539" t="s">
        <v>4399</v>
      </c>
      <c r="G20" s="539" t="s">
        <v>4400</v>
      </c>
    </row>
    <row r="21" spans="1:7" ht="16" x14ac:dyDescent="0.2">
      <c r="A21" s="539" t="s">
        <v>4401</v>
      </c>
      <c r="B21" s="540">
        <v>-2641095104</v>
      </c>
      <c r="C21" s="539" t="s">
        <v>3204</v>
      </c>
      <c r="D21" s="539" t="s">
        <v>4389</v>
      </c>
      <c r="E21" s="539" t="s">
        <v>4402</v>
      </c>
      <c r="F21" s="539" t="s">
        <v>4403</v>
      </c>
      <c r="G21" s="539" t="s">
        <v>4404</v>
      </c>
    </row>
    <row r="22" spans="1:7" ht="16" x14ac:dyDescent="0.2">
      <c r="A22" s="539" t="s">
        <v>4405</v>
      </c>
      <c r="B22" s="540">
        <v>-2641095104</v>
      </c>
      <c r="C22" s="539" t="s">
        <v>3204</v>
      </c>
      <c r="D22" s="539" t="s">
        <v>4389</v>
      </c>
      <c r="E22" s="539" t="s">
        <v>4406</v>
      </c>
      <c r="F22" s="539" t="s">
        <v>4407</v>
      </c>
      <c r="G22" s="539" t="s">
        <v>4408</v>
      </c>
    </row>
    <row r="23" spans="1:7" ht="32" x14ac:dyDescent="0.2">
      <c r="A23" s="539" t="s">
        <v>4409</v>
      </c>
      <c r="B23" s="540">
        <v>13957341</v>
      </c>
      <c r="C23" s="539" t="s">
        <v>4410</v>
      </c>
      <c r="D23" s="539" t="s">
        <v>4411</v>
      </c>
      <c r="E23" s="539" t="s">
        <v>4412</v>
      </c>
      <c r="F23" s="539" t="s">
        <v>4413</v>
      </c>
      <c r="G23" s="539" t="s">
        <v>4414</v>
      </c>
    </row>
    <row r="24" spans="1:7" ht="32" x14ac:dyDescent="0.2">
      <c r="A24" s="539" t="s">
        <v>4415</v>
      </c>
      <c r="B24" s="540">
        <v>-942033</v>
      </c>
      <c r="C24" s="539" t="s">
        <v>4416</v>
      </c>
      <c r="D24" s="539" t="s">
        <v>4417</v>
      </c>
      <c r="E24" s="539" t="s">
        <v>4418</v>
      </c>
      <c r="F24" s="539" t="s">
        <v>4419</v>
      </c>
      <c r="G24" s="539" t="s">
        <v>4420</v>
      </c>
    </row>
    <row r="25" spans="1:7" ht="16" x14ac:dyDescent="0.2">
      <c r="A25" s="539" t="s">
        <v>4421</v>
      </c>
      <c r="B25" s="540">
        <v>-212875</v>
      </c>
      <c r="C25" s="539" t="s">
        <v>4422</v>
      </c>
      <c r="D25" s="539" t="s">
        <v>4423</v>
      </c>
      <c r="E25" s="539" t="s">
        <v>4424</v>
      </c>
      <c r="F25" s="539" t="s">
        <v>4425</v>
      </c>
      <c r="G25" s="539" t="s">
        <v>4426</v>
      </c>
    </row>
    <row r="26" spans="1:7" ht="32" x14ac:dyDescent="0.2">
      <c r="A26" s="539" t="s">
        <v>4427</v>
      </c>
      <c r="B26" s="540">
        <v>-2707664417</v>
      </c>
      <c r="C26" s="539" t="s">
        <v>4428</v>
      </c>
      <c r="D26" s="539" t="s">
        <v>4429</v>
      </c>
      <c r="E26" s="539" t="s">
        <v>4430</v>
      </c>
      <c r="F26" s="539" t="s">
        <v>4431</v>
      </c>
      <c r="G26" s="539" t="s">
        <v>4432</v>
      </c>
    </row>
    <row r="27" spans="1:7" ht="32" x14ac:dyDescent="0.2">
      <c r="A27" s="539" t="s">
        <v>4433</v>
      </c>
      <c r="B27" s="540">
        <v>5293015308</v>
      </c>
      <c r="C27" s="539" t="s">
        <v>4434</v>
      </c>
      <c r="D27" s="539" t="s">
        <v>4435</v>
      </c>
      <c r="E27" s="539" t="s">
        <v>4436</v>
      </c>
      <c r="F27" s="539" t="s">
        <v>4437</v>
      </c>
      <c r="G27" s="539" t="s">
        <v>4438</v>
      </c>
    </row>
    <row r="28" spans="1:7" ht="16" x14ac:dyDescent="0.2">
      <c r="A28" s="539" t="s">
        <v>4439</v>
      </c>
      <c r="B28" s="540">
        <v>5597188426</v>
      </c>
      <c r="C28" s="539" t="s">
        <v>4440</v>
      </c>
      <c r="D28" s="539" t="s">
        <v>4435</v>
      </c>
      <c r="E28" s="539" t="s">
        <v>4441</v>
      </c>
      <c r="F28" s="539" t="s">
        <v>4442</v>
      </c>
      <c r="G28" s="539" t="s">
        <v>4443</v>
      </c>
    </row>
    <row r="29" spans="1:7" ht="32" x14ac:dyDescent="0.2">
      <c r="A29" s="539" t="s">
        <v>4444</v>
      </c>
      <c r="B29" s="540">
        <v>-212875</v>
      </c>
      <c r="C29" s="539" t="s">
        <v>4445</v>
      </c>
      <c r="D29" s="539" t="s">
        <v>4435</v>
      </c>
      <c r="E29" s="539" t="s">
        <v>4446</v>
      </c>
      <c r="F29" s="539" t="s">
        <v>4447</v>
      </c>
      <c r="G29" s="539" t="s">
        <v>4448</v>
      </c>
    </row>
    <row r="30" spans="1:7" ht="32" x14ac:dyDescent="0.2">
      <c r="A30" s="539" t="s">
        <v>4449</v>
      </c>
      <c r="B30" s="540">
        <v>34009467929.993992</v>
      </c>
      <c r="C30" s="539" t="s">
        <v>4450</v>
      </c>
      <c r="D30" s="539" t="s">
        <v>4451</v>
      </c>
      <c r="E30" s="539" t="s">
        <v>4452</v>
      </c>
      <c r="F30" s="539" t="s">
        <v>4453</v>
      </c>
      <c r="G30" s="539" t="s">
        <v>4454</v>
      </c>
    </row>
    <row r="31" spans="1:7" ht="16" x14ac:dyDescent="0.2">
      <c r="A31" s="539" t="s">
        <v>4455</v>
      </c>
      <c r="B31" s="540">
        <v>0</v>
      </c>
      <c r="C31" s="539" t="s">
        <v>4456</v>
      </c>
      <c r="D31" s="539" t="s">
        <v>4457</v>
      </c>
      <c r="E31" s="539" t="s">
        <v>4458</v>
      </c>
      <c r="F31" s="539" t="s">
        <v>4459</v>
      </c>
      <c r="G31" s="539" t="s">
        <v>4460</v>
      </c>
    </row>
    <row r="32" spans="1:7" ht="32" x14ac:dyDescent="0.2">
      <c r="A32" s="539" t="s">
        <v>4461</v>
      </c>
      <c r="B32" s="540">
        <v>1075880526</v>
      </c>
      <c r="C32" s="539" t="s">
        <v>4462</v>
      </c>
      <c r="D32" s="539" t="s">
        <v>4463</v>
      </c>
      <c r="E32" s="539" t="s">
        <v>4464</v>
      </c>
      <c r="F32" s="539" t="s">
        <v>4465</v>
      </c>
      <c r="G32" s="539" t="s">
        <v>4466</v>
      </c>
    </row>
    <row r="33" spans="1:7" ht="32" x14ac:dyDescent="0.2">
      <c r="A33" s="539" t="s">
        <v>4467</v>
      </c>
      <c r="B33" s="540">
        <v>168515865.5</v>
      </c>
      <c r="C33" s="539" t="s">
        <v>4468</v>
      </c>
      <c r="D33" s="539" t="s">
        <v>4330</v>
      </c>
      <c r="E33" s="539" t="s">
        <v>4469</v>
      </c>
      <c r="F33" s="539" t="s">
        <v>4470</v>
      </c>
      <c r="G33" s="539" t="s">
        <v>4471</v>
      </c>
    </row>
    <row r="34" spans="1:7" ht="16" x14ac:dyDescent="0.2">
      <c r="A34" s="539" t="s">
        <v>4472</v>
      </c>
      <c r="B34" s="540">
        <v>0</v>
      </c>
      <c r="C34" s="539" t="s">
        <v>4473</v>
      </c>
      <c r="D34" s="539" t="s">
        <v>4474</v>
      </c>
      <c r="E34" s="539" t="s">
        <v>4475</v>
      </c>
      <c r="F34" s="539" t="s">
        <v>4476</v>
      </c>
      <c r="G34" s="539" t="s">
        <v>4477</v>
      </c>
    </row>
    <row r="35" spans="1:7" ht="16" x14ac:dyDescent="0.2">
      <c r="A35" s="539" t="s">
        <v>4478</v>
      </c>
      <c r="B35" s="540">
        <v>0</v>
      </c>
      <c r="C35" s="539" t="s">
        <v>3438</v>
      </c>
      <c r="D35" s="539" t="s">
        <v>4479</v>
      </c>
      <c r="E35" s="539" t="s">
        <v>4480</v>
      </c>
      <c r="F35" s="539" t="s">
        <v>4481</v>
      </c>
      <c r="G35" s="539" t="s">
        <v>4482</v>
      </c>
    </row>
    <row r="36" spans="1:7" ht="32" x14ac:dyDescent="0.2">
      <c r="A36" s="539" t="s">
        <v>4483</v>
      </c>
      <c r="B36" s="540">
        <v>1075880526</v>
      </c>
      <c r="C36" s="539" t="s">
        <v>4484</v>
      </c>
      <c r="D36" s="539" t="s">
        <v>4485</v>
      </c>
      <c r="E36" s="539" t="s">
        <v>4486</v>
      </c>
      <c r="F36" s="539" t="s">
        <v>4487</v>
      </c>
      <c r="G36" s="539" t="s">
        <v>4488</v>
      </c>
    </row>
  </sheetData>
  <pageMargins left="0.75" right="0.75" top="1" bottom="1" header="0.5" footer="0.5"/>
  <pageSetup paperSize="9" orientation="portrait" horizontalDpi="0" verticalDpi="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11"/>
  <sheetViews>
    <sheetView showGridLines="0" workbookViewId="0">
      <pane ySplit="3" topLeftCell="A4" activePane="bottomLeft" state="frozen"/>
      <selection pane="bottomLeft"/>
    </sheetView>
  </sheetViews>
  <sheetFormatPr baseColWidth="10" defaultColWidth="8.83203125" defaultRowHeight="15" x14ac:dyDescent="0.2"/>
  <cols>
    <col min="1" max="1" width="12" customWidth="1"/>
    <col min="2" max="2" width="34" customWidth="1"/>
    <col min="3" max="3" width="20" customWidth="1"/>
    <col min="4" max="4" width="52" customWidth="1"/>
    <col min="5" max="5" width="54" customWidth="1"/>
    <col min="6" max="6" width="62" customWidth="1"/>
  </cols>
  <sheetData>
    <row r="1" spans="1:6" ht="54" x14ac:dyDescent="0.2">
      <c r="A1" s="537" t="s">
        <v>4489</v>
      </c>
    </row>
    <row r="2" spans="1:6" ht="16" x14ac:dyDescent="0.2">
      <c r="A2" s="538" t="s">
        <v>4490</v>
      </c>
      <c r="B2" s="538" t="s">
        <v>3915</v>
      </c>
      <c r="C2" s="538" t="s">
        <v>4284</v>
      </c>
      <c r="D2" s="538" t="s">
        <v>4491</v>
      </c>
      <c r="E2" s="538" t="s">
        <v>4492</v>
      </c>
      <c r="F2" s="538" t="s">
        <v>4493</v>
      </c>
    </row>
    <row r="3" spans="1:6" ht="32" x14ac:dyDescent="0.2">
      <c r="A3" s="539" t="s">
        <v>4494</v>
      </c>
      <c r="B3" s="539" t="s">
        <v>4495</v>
      </c>
      <c r="C3" s="540">
        <v>1075880526</v>
      </c>
      <c r="D3" s="539" t="s">
        <v>4496</v>
      </c>
      <c r="E3" s="539" t="s">
        <v>4497</v>
      </c>
      <c r="F3" s="539" t="s">
        <v>4498</v>
      </c>
    </row>
    <row r="4" spans="1:6" ht="32" x14ac:dyDescent="0.2">
      <c r="A4" s="539" t="s">
        <v>4494</v>
      </c>
      <c r="B4" s="539" t="s">
        <v>4499</v>
      </c>
      <c r="C4" s="540">
        <v>337031731</v>
      </c>
      <c r="D4" s="539" t="s">
        <v>4500</v>
      </c>
      <c r="E4" s="539" t="s">
        <v>4501</v>
      </c>
      <c r="F4" s="539" t="s">
        <v>4502</v>
      </c>
    </row>
    <row r="5" spans="1:6" ht="32" x14ac:dyDescent="0.2">
      <c r="A5" s="539" t="s">
        <v>4494</v>
      </c>
      <c r="B5" s="539" t="s">
        <v>4503</v>
      </c>
      <c r="C5" s="540">
        <v>2590960070</v>
      </c>
      <c r="D5" s="539" t="s">
        <v>4504</v>
      </c>
      <c r="E5" s="539" t="s">
        <v>4505</v>
      </c>
      <c r="F5" s="539" t="s">
        <v>4506</v>
      </c>
    </row>
    <row r="6" spans="1:6" ht="32" x14ac:dyDescent="0.2">
      <c r="A6" s="539" t="s">
        <v>4494</v>
      </c>
      <c r="B6" s="539" t="s">
        <v>18</v>
      </c>
      <c r="C6" s="540">
        <v>5293015308</v>
      </c>
      <c r="D6" s="539" t="s">
        <v>4507</v>
      </c>
      <c r="E6" s="539" t="s">
        <v>4508</v>
      </c>
      <c r="F6" s="539" t="s">
        <v>4509</v>
      </c>
    </row>
    <row r="7" spans="1:6" ht="32" x14ac:dyDescent="0.2">
      <c r="A7" s="539" t="s">
        <v>4494</v>
      </c>
      <c r="B7" s="539" t="s">
        <v>6</v>
      </c>
      <c r="C7" s="540">
        <v>-2707664417</v>
      </c>
      <c r="D7" s="539" t="s">
        <v>4510</v>
      </c>
      <c r="E7" s="539" t="s">
        <v>4511</v>
      </c>
      <c r="F7" s="539" t="s">
        <v>4512</v>
      </c>
    </row>
    <row r="8" spans="1:6" ht="32" x14ac:dyDescent="0.2">
      <c r="A8" s="539" t="s">
        <v>4513</v>
      </c>
      <c r="B8" s="539" t="s">
        <v>3419</v>
      </c>
      <c r="C8" s="540">
        <v>678518254</v>
      </c>
      <c r="D8" s="539" t="s">
        <v>4514</v>
      </c>
      <c r="E8" s="539" t="s">
        <v>4515</v>
      </c>
      <c r="F8" s="539" t="s">
        <v>4516</v>
      </c>
    </row>
    <row r="9" spans="1:6" ht="32" x14ac:dyDescent="0.2">
      <c r="A9" s="539" t="s">
        <v>4513</v>
      </c>
      <c r="B9" s="539" t="s">
        <v>4517</v>
      </c>
      <c r="C9" s="540">
        <v>16011357394</v>
      </c>
      <c r="D9" s="539" t="s">
        <v>4518</v>
      </c>
      <c r="E9" s="539" t="s">
        <v>4519</v>
      </c>
      <c r="F9" s="539" t="s">
        <v>4520</v>
      </c>
    </row>
    <row r="10" spans="1:6" ht="32" x14ac:dyDescent="0.2">
      <c r="A10" s="539" t="s">
        <v>4513</v>
      </c>
      <c r="B10" s="539" t="s">
        <v>4521</v>
      </c>
      <c r="C10" s="540">
        <v>13957341</v>
      </c>
      <c r="D10" s="539" t="s">
        <v>4522</v>
      </c>
      <c r="E10" s="539" t="s">
        <v>4523</v>
      </c>
      <c r="F10" s="539" t="s">
        <v>4524</v>
      </c>
    </row>
    <row r="11" spans="1:6" ht="32" x14ac:dyDescent="0.2">
      <c r="A11" s="539" t="s">
        <v>4525</v>
      </c>
      <c r="B11" s="539" t="s">
        <v>3094</v>
      </c>
      <c r="C11" s="540">
        <v>0</v>
      </c>
      <c r="D11" s="539" t="s">
        <v>4526</v>
      </c>
      <c r="E11" s="539" t="s">
        <v>4527</v>
      </c>
      <c r="F11" s="539" t="s">
        <v>4528</v>
      </c>
    </row>
  </sheetData>
  <pageMargins left="0.75" right="0.75" top="1" bottom="1" header="0.5" footer="0.5"/>
  <pageSetup paperSize="9" orientation="portrait" horizontalDpi="0" verticalDpi="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11"/>
  <sheetViews>
    <sheetView showGridLines="0" workbookViewId="0">
      <pane ySplit="3" topLeftCell="A4" activePane="bottomLeft" state="frozen"/>
      <selection pane="bottomLeft"/>
    </sheetView>
  </sheetViews>
  <sheetFormatPr baseColWidth="10" defaultColWidth="8.83203125" defaultRowHeight="15" x14ac:dyDescent="0.2"/>
  <cols>
    <col min="1" max="1" width="34" customWidth="1"/>
    <col min="2" max="2" width="58" customWidth="1"/>
    <col min="3" max="5" width="22" customWidth="1"/>
    <col min="6" max="6" width="78" customWidth="1"/>
  </cols>
  <sheetData>
    <row r="1" spans="1:6" ht="36" x14ac:dyDescent="0.2">
      <c r="A1" s="602" t="s">
        <v>750</v>
      </c>
    </row>
    <row r="2" spans="1:6" ht="32" x14ac:dyDescent="0.2">
      <c r="A2" s="538" t="s">
        <v>4529</v>
      </c>
      <c r="B2" s="603" t="s">
        <v>755</v>
      </c>
      <c r="C2" s="603" t="s">
        <v>760</v>
      </c>
      <c r="D2" s="538" t="s">
        <v>4530</v>
      </c>
      <c r="E2" s="538" t="s">
        <v>4531</v>
      </c>
      <c r="F2" s="538" t="s">
        <v>3955</v>
      </c>
    </row>
    <row r="3" spans="1:6" ht="32" x14ac:dyDescent="0.2">
      <c r="A3" s="539" t="s">
        <v>4532</v>
      </c>
      <c r="B3" s="539" t="s">
        <v>4533</v>
      </c>
      <c r="C3" s="540">
        <v>717848795</v>
      </c>
      <c r="D3" s="540">
        <v>1075880526</v>
      </c>
      <c r="E3" s="540">
        <v>358031731</v>
      </c>
      <c r="F3" s="539" t="s">
        <v>4534</v>
      </c>
    </row>
    <row r="4" spans="1:6" ht="32" x14ac:dyDescent="0.2">
      <c r="A4" s="539" t="s">
        <v>4535</v>
      </c>
      <c r="B4" s="539" t="s">
        <v>4536</v>
      </c>
      <c r="C4" s="540">
        <v>717848795</v>
      </c>
      <c r="D4" s="540">
        <v>1075880526</v>
      </c>
      <c r="E4" s="540">
        <v>358031731</v>
      </c>
      <c r="F4" s="539" t="s">
        <v>4537</v>
      </c>
    </row>
    <row r="5" spans="1:6" ht="32" x14ac:dyDescent="0.2">
      <c r="A5" s="539" t="s">
        <v>4538</v>
      </c>
      <c r="B5" s="539" t="s">
        <v>4539</v>
      </c>
      <c r="C5" s="540">
        <v>717848795</v>
      </c>
      <c r="D5" s="540">
        <v>1054880526</v>
      </c>
      <c r="E5" s="540">
        <v>337031731</v>
      </c>
      <c r="F5" s="539" t="s">
        <v>4540</v>
      </c>
    </row>
    <row r="6" spans="1:6" ht="32" x14ac:dyDescent="0.2">
      <c r="A6" s="539" t="s">
        <v>4541</v>
      </c>
      <c r="B6" s="539" t="s">
        <v>4542</v>
      </c>
      <c r="C6" s="540">
        <v>0</v>
      </c>
      <c r="D6" s="540">
        <v>168515865.5</v>
      </c>
      <c r="E6" s="540">
        <v>168515865.5</v>
      </c>
      <c r="F6" s="539" t="s">
        <v>4543</v>
      </c>
    </row>
    <row r="7" spans="1:6" ht="32" x14ac:dyDescent="0.2">
      <c r="A7" s="539" t="s">
        <v>4544</v>
      </c>
      <c r="B7" s="539" t="s">
        <v>4545</v>
      </c>
      <c r="C7" s="540">
        <v>2790153991</v>
      </c>
      <c r="D7" s="540">
        <v>-2707664417</v>
      </c>
      <c r="E7" s="539"/>
      <c r="F7" s="539" t="s">
        <v>4546</v>
      </c>
    </row>
    <row r="8" spans="1:6" ht="32" x14ac:dyDescent="0.2">
      <c r="A8" s="539" t="s">
        <v>3391</v>
      </c>
      <c r="B8" s="539" t="s">
        <v>4547</v>
      </c>
      <c r="C8" s="540">
        <v>5596975551</v>
      </c>
      <c r="D8" s="539"/>
      <c r="E8" s="539"/>
      <c r="F8" s="539" t="s">
        <v>4548</v>
      </c>
    </row>
    <row r="9" spans="1:6" ht="32" x14ac:dyDescent="0.2">
      <c r="A9" s="539" t="s">
        <v>18</v>
      </c>
      <c r="B9" s="539" t="s">
        <v>4549</v>
      </c>
      <c r="C9" s="540">
        <v>5293015308</v>
      </c>
      <c r="D9" s="540">
        <v>-3150000000</v>
      </c>
      <c r="E9" s="540">
        <v>8443015308</v>
      </c>
      <c r="F9" s="539" t="s">
        <v>4550</v>
      </c>
    </row>
    <row r="10" spans="1:6" ht="16" x14ac:dyDescent="0.2">
      <c r="A10" s="539" t="s">
        <v>3540</v>
      </c>
      <c r="B10" s="539" t="s">
        <v>4551</v>
      </c>
      <c r="C10" s="540">
        <v>0</v>
      </c>
      <c r="D10" s="540">
        <v>0</v>
      </c>
      <c r="E10" s="540">
        <v>0</v>
      </c>
      <c r="F10" s="539" t="s">
        <v>4552</v>
      </c>
    </row>
    <row r="11" spans="1:6" ht="32" x14ac:dyDescent="0.2">
      <c r="A11" s="539" t="s">
        <v>4553</v>
      </c>
      <c r="B11" s="539" t="s">
        <v>4554</v>
      </c>
      <c r="C11" s="540">
        <v>0</v>
      </c>
      <c r="D11" s="540">
        <v>0</v>
      </c>
      <c r="E11" s="540">
        <v>0</v>
      </c>
      <c r="F11" s="539" t="s">
        <v>4555</v>
      </c>
    </row>
  </sheetData>
  <pageMargins left="0.75" right="0.75" top="1" bottom="1" header="0.5" footer="0.5"/>
  <pageSetup paperSize="9" orientation="portrait" horizontalDpi="0" verticalDpi="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D12"/>
  <sheetViews>
    <sheetView showGridLines="0" workbookViewId="0">
      <pane ySplit="3" topLeftCell="A4" activePane="bottomLeft" state="frozen"/>
      <selection pane="bottomLeft"/>
    </sheetView>
  </sheetViews>
  <sheetFormatPr baseColWidth="10" defaultColWidth="8.83203125" defaultRowHeight="15" x14ac:dyDescent="0.2"/>
  <cols>
    <col min="1" max="1" width="42" customWidth="1"/>
    <col min="2" max="3" width="22" customWidth="1"/>
    <col min="4" max="4" width="74" customWidth="1"/>
  </cols>
  <sheetData>
    <row r="1" spans="1:4" ht="36" x14ac:dyDescent="0.2">
      <c r="A1" s="537" t="s">
        <v>4556</v>
      </c>
    </row>
    <row r="2" spans="1:4" ht="16" x14ac:dyDescent="0.2">
      <c r="A2" s="538" t="s">
        <v>4557</v>
      </c>
      <c r="B2" s="538" t="s">
        <v>4558</v>
      </c>
      <c r="C2" s="538" t="s">
        <v>4559</v>
      </c>
      <c r="D2" s="538" t="s">
        <v>4052</v>
      </c>
    </row>
    <row r="3" spans="1:4" ht="16" x14ac:dyDescent="0.2">
      <c r="A3" s="539" t="s">
        <v>4560</v>
      </c>
      <c r="B3" s="540">
        <v>13701055249</v>
      </c>
      <c r="C3" s="539" t="s">
        <v>4054</v>
      </c>
      <c r="D3" s="539" t="s">
        <v>4561</v>
      </c>
    </row>
    <row r="4" spans="1:4" ht="16" x14ac:dyDescent="0.2">
      <c r="A4" s="539" t="s">
        <v>4562</v>
      </c>
      <c r="B4" s="540">
        <v>19886438291.384579</v>
      </c>
      <c r="C4" s="539" t="s">
        <v>4054</v>
      </c>
      <c r="D4" s="539" t="s">
        <v>4563</v>
      </c>
    </row>
    <row r="5" spans="1:4" ht="16" x14ac:dyDescent="0.2">
      <c r="A5" s="539" t="s">
        <v>4564</v>
      </c>
      <c r="B5" s="540">
        <v>34009467929.993992</v>
      </c>
      <c r="C5" s="539" t="s">
        <v>4054</v>
      </c>
      <c r="D5" s="539" t="s">
        <v>4565</v>
      </c>
    </row>
    <row r="6" spans="1:4" ht="16" x14ac:dyDescent="0.2">
      <c r="A6" s="539" t="s">
        <v>4076</v>
      </c>
      <c r="B6" s="540">
        <v>19207920037.384579</v>
      </c>
      <c r="C6" s="539" t="s">
        <v>3746</v>
      </c>
      <c r="D6" s="539" t="s">
        <v>4566</v>
      </c>
    </row>
    <row r="7" spans="1:4" ht="16" x14ac:dyDescent="0.2">
      <c r="A7" s="539" t="s">
        <v>4567</v>
      </c>
      <c r="B7" s="540">
        <v>33330949675.993992</v>
      </c>
      <c r="C7" s="539" t="s">
        <v>3746</v>
      </c>
      <c r="D7" s="539" t="s">
        <v>4566</v>
      </c>
    </row>
    <row r="8" spans="1:4" ht="16" x14ac:dyDescent="0.2">
      <c r="A8" s="539" t="s">
        <v>4568</v>
      </c>
      <c r="B8" s="540">
        <v>19168589496.384579</v>
      </c>
      <c r="C8" s="539" t="s">
        <v>3746</v>
      </c>
      <c r="D8" s="539" t="s">
        <v>4569</v>
      </c>
    </row>
    <row r="9" spans="1:4" ht="16" x14ac:dyDescent="0.2">
      <c r="A9" s="539" t="s">
        <v>4570</v>
      </c>
      <c r="B9" s="540">
        <v>33291619134.993992</v>
      </c>
      <c r="C9" s="539" t="s">
        <v>3746</v>
      </c>
      <c r="D9" s="539" t="s">
        <v>4569</v>
      </c>
    </row>
    <row r="10" spans="1:4" ht="16" x14ac:dyDescent="0.2">
      <c r="A10" s="539" t="s">
        <v>4571</v>
      </c>
      <c r="B10" s="540">
        <v>18810557765.384579</v>
      </c>
      <c r="C10" s="539" t="s">
        <v>3746</v>
      </c>
      <c r="D10" s="539" t="s">
        <v>4572</v>
      </c>
    </row>
    <row r="11" spans="1:4" ht="16" x14ac:dyDescent="0.2">
      <c r="A11" s="539" t="s">
        <v>4573</v>
      </c>
      <c r="B11" s="540">
        <v>32933587403.993992</v>
      </c>
      <c r="C11" s="539" t="s">
        <v>3746</v>
      </c>
      <c r="D11" s="539" t="s">
        <v>4572</v>
      </c>
    </row>
    <row r="12" spans="1:4" ht="16" x14ac:dyDescent="0.2">
      <c r="A12" s="539" t="s">
        <v>4574</v>
      </c>
      <c r="B12" s="540">
        <v>27166766818.967899</v>
      </c>
      <c r="C12" s="539" t="s">
        <v>4575</v>
      </c>
      <c r="D12" s="539" t="s">
        <v>4576</v>
      </c>
    </row>
  </sheetData>
  <pageMargins left="0.75" right="0.75" top="1" bottom="1" header="0.5" footer="0.5"/>
  <pageSetup paperSize="9" orientation="portrait" horizontalDpi="0" verticalDpi="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E14"/>
  <sheetViews>
    <sheetView showGridLines="0" workbookViewId="0">
      <pane ySplit="3" topLeftCell="A4" activePane="bottomLeft" state="frozen"/>
      <selection pane="bottomLeft"/>
    </sheetView>
  </sheetViews>
  <sheetFormatPr baseColWidth="10" defaultColWidth="8.83203125" defaultRowHeight="15" x14ac:dyDescent="0.2"/>
  <cols>
    <col min="1" max="1" width="38" customWidth="1"/>
    <col min="2" max="2" width="22" customWidth="1"/>
    <col min="3" max="3" width="52" customWidth="1"/>
    <col min="4" max="4" width="30" customWidth="1"/>
    <col min="5" max="5" width="68" customWidth="1"/>
  </cols>
  <sheetData>
    <row r="1" spans="1:5" ht="18" x14ac:dyDescent="0.2">
      <c r="A1" s="537" t="s">
        <v>4577</v>
      </c>
    </row>
    <row r="2" spans="1:5" ht="16" x14ac:dyDescent="0.2">
      <c r="A2" s="538" t="s">
        <v>4578</v>
      </c>
      <c r="B2" s="538" t="s">
        <v>4301</v>
      </c>
      <c r="C2" s="538" t="s">
        <v>4579</v>
      </c>
      <c r="D2" s="538" t="s">
        <v>4580</v>
      </c>
      <c r="E2" s="538" t="s">
        <v>3955</v>
      </c>
    </row>
    <row r="3" spans="1:5" ht="16" x14ac:dyDescent="0.2">
      <c r="A3" s="539" t="s">
        <v>4581</v>
      </c>
      <c r="B3" s="540">
        <v>5597188426</v>
      </c>
      <c r="C3" s="539" t="s">
        <v>4582</v>
      </c>
      <c r="D3" s="539" t="s">
        <v>4583</v>
      </c>
      <c r="E3" s="539" t="s">
        <v>4584</v>
      </c>
    </row>
    <row r="4" spans="1:5" ht="16" x14ac:dyDescent="0.2">
      <c r="A4" s="539" t="s">
        <v>4585</v>
      </c>
      <c r="B4" s="540">
        <v>-212875</v>
      </c>
      <c r="C4" s="539" t="s">
        <v>4586</v>
      </c>
      <c r="D4" s="539" t="s">
        <v>4587</v>
      </c>
      <c r="E4" s="539" t="s">
        <v>4588</v>
      </c>
    </row>
    <row r="5" spans="1:5" ht="32" x14ac:dyDescent="0.2">
      <c r="A5" s="539" t="s">
        <v>4589</v>
      </c>
      <c r="B5" s="540">
        <v>0</v>
      </c>
      <c r="C5" s="539" t="s">
        <v>4590</v>
      </c>
      <c r="D5" s="539" t="s">
        <v>4591</v>
      </c>
      <c r="E5" s="539" t="s">
        <v>4592</v>
      </c>
    </row>
    <row r="6" spans="1:5" ht="16" x14ac:dyDescent="0.2">
      <c r="A6" s="539" t="s">
        <v>4593</v>
      </c>
      <c r="B6" s="540">
        <v>5596975551</v>
      </c>
      <c r="C6" s="539" t="s">
        <v>4594</v>
      </c>
      <c r="D6" s="539" t="s">
        <v>4595</v>
      </c>
      <c r="E6" s="539" t="s">
        <v>4596</v>
      </c>
    </row>
    <row r="7" spans="1:5" ht="32" x14ac:dyDescent="0.2">
      <c r="A7" s="539" t="s">
        <v>4597</v>
      </c>
      <c r="B7" s="540">
        <v>5280000000</v>
      </c>
      <c r="C7" s="539" t="s">
        <v>4598</v>
      </c>
      <c r="D7" s="539" t="s">
        <v>4599</v>
      </c>
      <c r="E7" s="539" t="s">
        <v>4600</v>
      </c>
    </row>
    <row r="8" spans="1:5" ht="16" x14ac:dyDescent="0.2">
      <c r="A8" s="539" t="s">
        <v>4601</v>
      </c>
      <c r="B8" s="540">
        <v>-3150000000</v>
      </c>
      <c r="C8" s="539" t="s">
        <v>4602</v>
      </c>
      <c r="D8" s="539" t="s">
        <v>4603</v>
      </c>
      <c r="E8" s="539" t="s">
        <v>4604</v>
      </c>
    </row>
    <row r="9" spans="1:5" ht="16" x14ac:dyDescent="0.2">
      <c r="A9" s="539" t="s">
        <v>4605</v>
      </c>
      <c r="B9" s="540">
        <v>0</v>
      </c>
      <c r="C9" s="539" t="s">
        <v>4606</v>
      </c>
      <c r="D9" s="539" t="s">
        <v>4607</v>
      </c>
      <c r="E9" s="539" t="s">
        <v>4608</v>
      </c>
    </row>
    <row r="10" spans="1:5" ht="16" x14ac:dyDescent="0.2">
      <c r="A10" s="539" t="s">
        <v>4609</v>
      </c>
      <c r="B10" s="540">
        <v>-942033</v>
      </c>
      <c r="C10" s="539" t="s">
        <v>4610</v>
      </c>
      <c r="D10" s="539" t="s">
        <v>4611</v>
      </c>
      <c r="E10" s="539" t="s">
        <v>4612</v>
      </c>
    </row>
    <row r="11" spans="1:5" ht="16" x14ac:dyDescent="0.2">
      <c r="A11" s="539" t="s">
        <v>4613</v>
      </c>
      <c r="B11" s="540">
        <v>13957341</v>
      </c>
      <c r="C11" s="539" t="s">
        <v>4614</v>
      </c>
      <c r="D11" s="539" t="s">
        <v>4615</v>
      </c>
      <c r="E11" s="539" t="s">
        <v>4616</v>
      </c>
    </row>
    <row r="12" spans="1:5" ht="16" x14ac:dyDescent="0.2">
      <c r="A12" s="539" t="s">
        <v>4617</v>
      </c>
      <c r="B12" s="540">
        <v>0</v>
      </c>
      <c r="C12" s="539" t="s">
        <v>4618</v>
      </c>
      <c r="D12" s="539" t="s">
        <v>4607</v>
      </c>
      <c r="E12" s="539" t="s">
        <v>4608</v>
      </c>
    </row>
    <row r="13" spans="1:5" ht="16" x14ac:dyDescent="0.2">
      <c r="A13" s="539" t="s">
        <v>4619</v>
      </c>
      <c r="B13" s="540">
        <v>5293015308</v>
      </c>
      <c r="C13" s="539" t="s">
        <v>4620</v>
      </c>
      <c r="D13" s="539" t="s">
        <v>4621</v>
      </c>
      <c r="E13" s="539" t="s">
        <v>4622</v>
      </c>
    </row>
    <row r="14" spans="1:5" ht="16" x14ac:dyDescent="0.2">
      <c r="A14" s="539" t="s">
        <v>4623</v>
      </c>
      <c r="B14" s="540">
        <v>10559019302</v>
      </c>
      <c r="C14" s="539" t="s">
        <v>4624</v>
      </c>
      <c r="D14" s="539" t="s">
        <v>4297</v>
      </c>
      <c r="E14" s="539" t="s">
        <v>4625</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68</vt:i4>
      </vt:variant>
      <vt:variant>
        <vt:lpstr>Named Ranges</vt:lpstr>
      </vt:variant>
      <vt:variant>
        <vt:i4>9</vt:i4>
      </vt:variant>
    </vt:vector>
  </HeadingPairs>
  <TitlesOfParts>
    <vt:vector size="77" baseType="lpstr">
      <vt:lpstr>CATATAN FINAL</vt:lpstr>
      <vt:lpstr>HOME</vt:lpstr>
      <vt:lpstr>DAFTAR EMITEN 2023</vt:lpstr>
      <vt:lpstr>FIXED ASSET</vt:lpstr>
      <vt:lpstr>BALANCE SHEET</vt:lpstr>
      <vt:lpstr>INCOME STATEMENT</vt:lpstr>
      <vt:lpstr>ACC PAYABLES</vt:lpstr>
      <vt:lpstr>CASH FLOW STATEMENT</vt:lpstr>
      <vt:lpstr>FINANCIAL RATIO</vt:lpstr>
      <vt:lpstr>KEY DRIVERS</vt:lpstr>
      <vt:lpstr>NOPLAT</vt:lpstr>
      <vt:lpstr>FCF</vt:lpstr>
      <vt:lpstr>ROIC</vt:lpstr>
      <vt:lpstr>KUISIONER</vt:lpstr>
      <vt:lpstr>DLOC(PFC)</vt:lpstr>
      <vt:lpstr>DLOM</vt:lpstr>
      <vt:lpstr>TL</vt:lpstr>
      <vt:lpstr>DASHBOARD</vt:lpstr>
      <vt:lpstr>RESUME</vt:lpstr>
      <vt:lpstr>CFI</vt:lpstr>
      <vt:lpstr>PROY FIXED ASSETS</vt:lpstr>
      <vt:lpstr>PROY LR</vt:lpstr>
      <vt:lpstr>PROY BALANCE SHEET</vt:lpstr>
      <vt:lpstr>PROY CASH FLOW STATEMENT</vt:lpstr>
      <vt:lpstr>PROY ACC PAYABLES</vt:lpstr>
      <vt:lpstr>PROY NOPLAT</vt:lpstr>
      <vt:lpstr>WACC</vt:lpstr>
      <vt:lpstr>GROWTH REVENUE</vt:lpstr>
      <vt:lpstr>PANGSA PASAR</vt:lpstr>
      <vt:lpstr>PASAR PEMBANDING_</vt:lpstr>
      <vt:lpstr>PASAR KESEBANDINGAN1</vt:lpstr>
      <vt:lpstr>AAM</vt:lpstr>
      <vt:lpstr>BORROWING CAP</vt:lpstr>
      <vt:lpstr>DISCOUNT RATE</vt:lpstr>
      <vt:lpstr>EEM</vt:lpstr>
      <vt:lpstr>PASAR KESEBANDINGAN</vt:lpstr>
      <vt:lpstr>PASAR PEMBANDING</vt:lpstr>
      <vt:lpstr>GROWTH RATE</vt:lpstr>
      <vt:lpstr>DCF</vt:lpstr>
      <vt:lpstr>PERBANDINGAN</vt:lpstr>
      <vt:lpstr>DIVIDEND DISCOUNT MODEL</vt:lpstr>
      <vt:lpstr>HARGA PASAR SAHAM</vt:lpstr>
      <vt:lpstr>SIMULASI POTENSI PAJAK</vt:lpstr>
      <vt:lpstr>STAT_SUMMARY</vt:lpstr>
      <vt:lpstr>STAT_ASSUMPTIONS</vt:lpstr>
      <vt:lpstr>STAT_HIST</vt:lpstr>
      <vt:lpstr>STAT_AAM</vt:lpstr>
      <vt:lpstr>STAT_EEM</vt:lpstr>
      <vt:lpstr>STAT_DCF</vt:lpstr>
      <vt:lpstr>STAT_SENS</vt:lpstr>
      <vt:lpstr>STAT_CHECKS</vt:lpstr>
      <vt:lpstr>STAT_AUDIT_TRAIL</vt:lpstr>
      <vt:lpstr>STAT_ARGUMENTS</vt:lpstr>
      <vt:lpstr>STAT_NO_FORMULA</vt:lpstr>
      <vt:lpstr>STAT_METHOD_BRIDGE</vt:lpstr>
      <vt:lpstr>STAT_DRIVER_TEST</vt:lpstr>
      <vt:lpstr>SPLIT_SUMMARY</vt:lpstr>
      <vt:lpstr>SPLIT_INDEX</vt:lpstr>
      <vt:lpstr>SPLIT_LONG</vt:lpstr>
      <vt:lpstr>SPLIT_FIXED_ASSET</vt:lpstr>
      <vt:lpstr>SPLIT_BALANCE_SHEET</vt:lpstr>
      <vt:lpstr>SPLIT_INCOME_STATEMENT</vt:lpstr>
      <vt:lpstr>FINAL_REVIEW_SUMMARY</vt:lpstr>
      <vt:lpstr>FINAL_ACCOUNT_MAP</vt:lpstr>
      <vt:lpstr>FINAL_ISSUES</vt:lpstr>
      <vt:lpstr>FINAL_SOURCE_BRIDGE</vt:lpstr>
      <vt:lpstr>FINAL_VALUATION_IMPACT</vt:lpstr>
      <vt:lpstr>FINAL_CF_REVIEW</vt:lpstr>
      <vt:lpstr>EMITEN</vt:lpstr>
      <vt:lpstr>MULTIPLE</vt:lpstr>
      <vt:lpstr>MULTIPLES</vt:lpstr>
      <vt:lpstr>'DLOC(PFC)'!Print_Area</vt:lpstr>
      <vt:lpstr>DLOM!Print_Area</vt:lpstr>
      <vt:lpstr>'PASAR KESEBANDINGAN'!Print_Area</vt:lpstr>
      <vt:lpstr>'PASAR KESEBANDINGAN1'!Print_Area</vt:lpstr>
      <vt:lpstr>'PASAR PEMBANDING'!Print_Area</vt:lpstr>
      <vt:lpstr>KUISIONER!Print_Titles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hmsigitbachtiar</dc:creator>
  <cp:lastModifiedBy>Goradok Pande Raja Sinabutar</cp:lastModifiedBy>
  <dcterms:created xsi:type="dcterms:W3CDTF">2020-07-28T03:32:11Z</dcterms:created>
  <dcterms:modified xsi:type="dcterms:W3CDTF">2026-05-03T08:04:51Z</dcterms:modified>
</cp:coreProperties>
</file>