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5.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55.xml" ContentType="application/vnd.openxmlformats-officedocument.spreadsheetml.worksheet+xml"/>
  <Override PartName="/xl/worksheets/sheet39.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42.xml" ContentType="application/vnd.openxmlformats-officedocument.spreadsheetml.worksheet+xml"/>
  <Override PartName="/xl/worksheets/sheet27.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38.xml" ContentType="application/vnd.openxmlformats-officedocument.spreadsheetml.worksheet+xml"/>
  <Override PartName="/xl/worksheets/sheet29.xml" ContentType="application/vnd.openxmlformats-officedocument.spreadsheetml.worksheet+xml"/>
  <Override PartName="/xl/worksheets/sheet32.xml" ContentType="application/vnd.openxmlformats-officedocument.spreadsheetml.worksheet+xml"/>
  <Override PartName="/xl/worksheets/sheet36.xml" ContentType="application/vnd.openxmlformats-officedocument.spreadsheetml.worksheet+xml"/>
  <Override PartName="/xl/worksheets/sheet56.xml" ContentType="application/vnd.openxmlformats-officedocument.spreadsheetml.worksheet+xml"/>
  <Override PartName="/xl/worksheets/sheet34.xml" ContentType="application/vnd.openxmlformats-officedocument.spreadsheetml.worksheet+xml"/>
  <Override PartName="/xl/worksheets/sheet31.xml" ContentType="application/vnd.openxmlformats-officedocument.spreadsheetml.worksheet+xml"/>
  <Override PartName="/xl/worksheets/sheet35.xml" ContentType="application/vnd.openxmlformats-officedocument.spreadsheetml.worksheet+xml"/>
  <Override PartName="/xl/worksheets/sheet28.xml" ContentType="application/vnd.openxmlformats-officedocument.spreadsheetml.worksheet+xml"/>
  <Override PartName="/xl/worksheets/sheet33.xml" ContentType="application/vnd.openxmlformats-officedocument.spreadsheetml.worksheet+xml"/>
  <Override PartName="/xl/worksheets/sheet11.xml" ContentType="application/vnd.openxmlformats-officedocument.spreadsheetml.worksheet+xml"/>
  <Override PartName="/xl/worksheets/sheet24.xml" ContentType="application/vnd.openxmlformats-officedocument.spreadsheetml.worksheet+xml"/>
  <Override PartName="/xl/worksheets/sheet30.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320" yWindow="600" windowWidth="24480" windowHeight="16500" firstSheet="17" activeTab="34"/>
  </bookViews>
  <sheets>
    <sheet sheetId="3" name="HOME" state="visible" r:id="rId4"/>
    <sheet sheetId="45" name="DAFTAR EMITEN 2023" state="hidden" r:id="rId5"/>
    <sheet sheetId="2" name="BALANCE SHEET" state="visible" r:id="rId6"/>
    <sheet sheetId="1" name="INCOME STATEMENT" state="visible" r:id="rId7"/>
    <sheet sheetId="8" name="CASH FLOW STATEMENT" state="visible" r:id="rId8"/>
    <sheet sheetId="4" name="FIXED ASSET" state="visible" r:id="rId9"/>
    <sheet sheetId="12" name="FINANCIAL RATIO" state="visible" r:id="rId10"/>
    <sheet sheetId="7" name="FCF" state="visible" r:id="rId11"/>
    <sheet sheetId="6" name="NOPLAT" state="visible" r:id="rId12"/>
    <sheet sheetId="10" name="ROIC" state="visible" r:id="rId13"/>
    <sheet sheetId="26" name="DLOC(PFC)" state="visible" r:id="rId14"/>
    <sheet sheetId="25" name="DLOM" state="visible" r:id="rId15"/>
    <sheet sheetId="55" name="TL" state="hidden" r:id="rId16"/>
    <sheet sheetId="39" name="DASHBOARD" state="visible" r:id="rId17"/>
    <sheet sheetId="44" name="INCOME STATEMENT (2)" state="hidden" r:id="rId18"/>
    <sheet sheetId="5" name="ACC PAYABLES" state="visible" r:id="rId19"/>
    <sheet sheetId="47" name="RESUME" state="hidden" r:id="rId20"/>
    <sheet sheetId="9" name="CFI" state="visible" r:id="rId21"/>
    <sheet sheetId="42" name="ADJUSTMENT TANAH" state="hidden" r:id="rId22"/>
    <sheet sheetId="27" name="KUISIONER" state="hidden" r:id="rId23"/>
    <sheet sheetId="17" name="KEY DRIVERS" state="visible" r:id="rId24"/>
    <sheet sheetId="18" name="PROY LR" state="visible" r:id="rId25"/>
    <sheet sheetId="19" name="PROY BALANCE SHEET" state="visible" r:id="rId26"/>
    <sheet sheetId="20" name="PROY CASH FLOW STATEMENT" state="visible" r:id="rId27"/>
    <sheet sheetId="43" name="PROY FIXED ASSETS" state="visible" r:id="rId28"/>
    <sheet sheetId="21" name="PROY FIXED ASSET" state="hidden" r:id="rId29"/>
    <sheet sheetId="22" name="PROY ACC PAYABLES" state="hidden" r:id="rId30"/>
    <sheet sheetId="23" name="PROY NOPLAT" state="visible" r:id="rId31"/>
    <sheet sheetId="14" name="WACC" state="visible" r:id="rId32"/>
    <sheet sheetId="15" name="GROWTH REVENUE" state="visible" r:id="rId33"/>
    <sheet sheetId="38" name="PANGSA PASAR" state="hidden" r:id="rId34"/>
    <sheet sheetId="29" name="PASAR PEMBANDING_" state="hidden" r:id="rId35"/>
    <sheet sheetId="32" name="PASAR KESEBANDINGAN1" state="hidden" r:id="rId36"/>
    <sheet sheetId="36" name="AAM" state="visible" r:id="rId37"/>
    <sheet sheetId="56" name="SIMULASI POTENSI (AAM)" state="visible" r:id="rId38"/>
    <sheet sheetId="34" name="BORROWING CAP" state="visible" r:id="rId39"/>
    <sheet sheetId="31" name="DISCOUNT RATE" state="visible" r:id="rId40"/>
    <sheet sheetId="35" name="EEM" state="visible" r:id="rId41"/>
    <sheet sheetId="28" name="PASAR KESEBANDINGAN" state="hidden" r:id="rId42"/>
    <sheet sheetId="33" name="PASAR PEMBANDING" state="hidden" r:id="rId43"/>
    <sheet sheetId="11" name="GROWTH RATE" state="visible" r:id="rId44"/>
    <sheet sheetId="24" name="DCF" state="visible" r:id="rId45"/>
    <sheet sheetId="30" name="PERBANDINGAN" state="hidden" r:id="rId46"/>
    <sheet sheetId="37" name="DIVIDEND DISCOUNT MODEL" state="hidden" r:id="rId47"/>
    <sheet sheetId="46" name="HARGA PASAR SAHAM" state="hidden" r:id="rId48"/>
  </sheets>
  <definedNames>
    <definedName name="EMITEN">'DAFTAR EMITEN 2023'!$B$1:$D$964</definedName>
    <definedName name="MULTIPLE">'PASAR KESEBANDINGAN'!$C$40:$C$44</definedName>
    <definedName name="MULTIPLES">'PASAR KESEBANDINGAN'!$C$40:$N$44</definedName>
    <definedName name="_xlnm.Print_Area" localSheetId="10">'DLOC(PFC)'!$A4:$D16</definedName>
    <definedName name="_xlnm.Print_Area" localSheetId="11">'DLOM'!$B4:$E26</definedName>
    <definedName name="_xlnm.Print_Titles" localSheetId="19">'KUISIONER'!$1:$5</definedName>
    <definedName name="_xlnm.Print_Area" localSheetId="32">'PASAR KESEBANDINGAN1'!$A1:$G94</definedName>
    <definedName name="_xlnm.Print_Area" localSheetId="38">'PASAR KESEBANDINGAN'!$B1:$P44</definedName>
    <definedName name="_xlnm.Print_Area" localSheetId="39">'PASAR PEMBANDING'!$B2:$N38</definedName>
  </definedNames>
  <calcPr calcId="171027"/>
</workbook>
</file>

<file path=xl/sharedStrings.xml><?xml version="1.0" encoding="utf-8"?>
<sst xmlns="http://schemas.openxmlformats.org/spreadsheetml/2006/main" count="3845" uniqueCount="2963">
  <si>
    <t>KERTAS KERJA PENILAIAN BISNIS</t>
  </si>
  <si>
    <t>Nama Perusahaan</t>
  </si>
  <si>
    <t>PT. Makmur Jaya Sejati Raya</t>
  </si>
  <si>
    <t>NPWP:</t>
  </si>
  <si>
    <t>314560368-113.000</t>
  </si>
  <si>
    <t>Jenis Perusahaan</t>
  </si>
  <si>
    <t>tertutup</t>
  </si>
  <si>
    <t>Jumlah Saham Beredar</t>
  </si>
  <si>
    <t>Jumlah Saham yang Dinilai</t>
  </si>
  <si>
    <t>Proporsi Saham yang Dinilai</t>
  </si>
  <si>
    <t>Tahun Transaksi Pengalihan Saham</t>
  </si>
  <si>
    <t>Cut off Date</t>
  </si>
  <si>
    <t>Akhir Periode Proyeksi Pertama</t>
  </si>
  <si>
    <t>Objek Penilaian</t>
  </si>
  <si>
    <t>saham</t>
  </si>
  <si>
    <t>DISCOUNT LACK OF MARKETABILITY</t>
  </si>
  <si>
    <t>DISCOUNT LACK OF CONTROL/PREMIUM FOR CONTROL</t>
  </si>
  <si>
    <t>LAPORAN KEUANGAN HISTORIS</t>
  </si>
  <si>
    <t>PERTIMBANGAN</t>
  </si>
  <si>
    <t>PROYEKSI</t>
  </si>
  <si>
    <t>PENDEKATAN PENILAIAN</t>
  </si>
  <si>
    <t>KESIMPULAN</t>
  </si>
  <si>
    <t>AADI</t>
  </si>
  <si>
    <t>PT Adaro Andalan Indonesia Tbk</t>
  </si>
  <si>
    <t>05 Des 2024</t>
  </si>
  <si>
    <t>AALI</t>
  </si>
  <si>
    <t>Astra Agro Lestari Tbk</t>
  </si>
  <si>
    <t>09 Des 1997</t>
  </si>
  <si>
    <t>ABBA</t>
  </si>
  <si>
    <t>Mahaka Media Tbk</t>
  </si>
  <si>
    <t>ABDA</t>
  </si>
  <si>
    <t>Asuransi Bina Dana Arta Tbk</t>
  </si>
  <si>
    <t>ABMM</t>
  </si>
  <si>
    <t>ABM Investama Tbk</t>
  </si>
  <si>
    <t>06 Des 2011</t>
  </si>
  <si>
    <t>ACES</t>
  </si>
  <si>
    <t>PT Aspirasi Hidup Indonesia Tbk</t>
  </si>
  <si>
    <t>ACRO</t>
  </si>
  <si>
    <t>PT Samcro Hyosung Adilestari Tbk.</t>
  </si>
  <si>
    <t>ACST</t>
  </si>
  <si>
    <t>PT Acset Indonusa Tbk.</t>
  </si>
  <si>
    <t>ADCP</t>
  </si>
  <si>
    <t>PT Adhi Commuter Properti Tbk</t>
  </si>
  <si>
    <t>21 Mei 2021</t>
  </si>
  <si>
    <t>ADES</t>
  </si>
  <si>
    <t>Akasha Wira International Tbk Tbk</t>
  </si>
  <si>
    <t>ADHI</t>
  </si>
  <si>
    <t>PT Adhi Karya (Persero) Tbk.</t>
  </si>
  <si>
    <t>ADMF</t>
  </si>
  <si>
    <t>Adira Dinamika Multi Finance Tbk</t>
  </si>
  <si>
    <t>ADMG</t>
  </si>
  <si>
    <t>Polychem Indonesia Tbk</t>
  </si>
  <si>
    <t>20 Okt 1993</t>
  </si>
  <si>
    <t>ADMR</t>
  </si>
  <si>
    <t>PT Alamtri Minerals Indonesia Tbk</t>
  </si>
  <si>
    <t>ADRO</t>
  </si>
  <si>
    <t>Alamtri Resources Indonesia Tbk</t>
  </si>
  <si>
    <t>AEGS</t>
  </si>
  <si>
    <t>PT Anugerah Spareparts Sejahtera Tbk.</t>
  </si>
  <si>
    <t>AGAR</t>
  </si>
  <si>
    <t>PT Asia Sejahtera Mina Tbk</t>
  </si>
  <si>
    <t>02 Des 2019</t>
  </si>
  <si>
    <t>AGII</t>
  </si>
  <si>
    <t>PT Samator Indo Gas Tbk</t>
  </si>
  <si>
    <t>AGRO</t>
  </si>
  <si>
    <t>PT Bank Raya Indonesia Tbk</t>
  </si>
  <si>
    <t>08 Agt 2003</t>
  </si>
  <si>
    <t>AGRS</t>
  </si>
  <si>
    <t>PT Bank IBK Indonesia Tbk.</t>
  </si>
  <si>
    <t>22 Des 2014</t>
  </si>
  <si>
    <t>AHAP</t>
  </si>
  <si>
    <t>Asuransi Harta Aman Pratama Tbk</t>
  </si>
  <si>
    <t>AIMS</t>
  </si>
  <si>
    <t>PT Artha Mahiya Investama Tbk</t>
  </si>
  <si>
    <t>AISA</t>
  </si>
  <si>
    <t>PT FKS Food Sejahtera Tbk</t>
  </si>
  <si>
    <t>AKKU</t>
  </si>
  <si>
    <t>PT Anugerah Kagum Karya Utama Tbk</t>
  </si>
  <si>
    <t>AKPI</t>
  </si>
  <si>
    <t>Argha Karya Prima Ind. Tbk</t>
  </si>
  <si>
    <t>18 Des 1992</t>
  </si>
  <si>
    <t>AKRA</t>
  </si>
  <si>
    <t>PT AKR Corporindo Tbk.</t>
  </si>
  <si>
    <t>03 Okt 1994</t>
  </si>
  <si>
    <t>AKSI</t>
  </si>
  <si>
    <t>PT Mineral Sumberdaya Mandiri Tbk</t>
  </si>
  <si>
    <t>ALDO</t>
  </si>
  <si>
    <t>Alkindo Naratama Tbk</t>
  </si>
  <si>
    <t>ALII</t>
  </si>
  <si>
    <t>PT Ancara Logistics Indonesia Tbk</t>
  </si>
  <si>
    <t>ALKA</t>
  </si>
  <si>
    <t>Alakasa Industrindo Tbk</t>
  </si>
  <si>
    <t>ALMI</t>
  </si>
  <si>
    <t>Alumindo Light Metal Industry Tbk</t>
  </si>
  <si>
    <t>ALTO</t>
  </si>
  <si>
    <t>Tri Banyan Tirta Tbk</t>
  </si>
  <si>
    <t>AMAG</t>
  </si>
  <si>
    <t>Asuransi Multi Artha Guna Tbk</t>
  </si>
  <si>
    <t>23 Des 2005</t>
  </si>
  <si>
    <t>AMAN</t>
  </si>
  <si>
    <t>PT Makmur Berkah Amanda Tbk.</t>
  </si>
  <si>
    <t>AMAR</t>
  </si>
  <si>
    <t>PT Bank Amar Indonesia Tbk.</t>
  </si>
  <si>
    <t>AMFG</t>
  </si>
  <si>
    <t>Asahimas Flat Glass Tbk</t>
  </si>
  <si>
    <t>AMIN</t>
  </si>
  <si>
    <t>PT Ateliers Mecaniques D Indonesie Tbk.</t>
  </si>
  <si>
    <t>10 Des 2015</t>
  </si>
  <si>
    <t>AMMN</t>
  </si>
  <si>
    <t>PT Amman Mineral Internasional Tbk.</t>
  </si>
  <si>
    <t>AMMS</t>
  </si>
  <si>
    <t>PT Agung Menjangan Mas Tbk</t>
  </si>
  <si>
    <t>04 Agt 2022</t>
  </si>
  <si>
    <t>AMOR</t>
  </si>
  <si>
    <t>PT Ashmore Asset Management Indonesia Tbk.</t>
  </si>
  <si>
    <t>AMRT</t>
  </si>
  <si>
    <t>PT Sumber Alfaria Trijaya Tbk.</t>
  </si>
  <si>
    <t>ANDI</t>
  </si>
  <si>
    <t>PT Andira Agro Tbk</t>
  </si>
  <si>
    <t>16 Agt 2018</t>
  </si>
  <si>
    <t>ANJT</t>
  </si>
  <si>
    <t>PT Austindo Nusantara Jaya Tbk.</t>
  </si>
  <si>
    <t>08 Mei 2013</t>
  </si>
  <si>
    <t>ANTM</t>
  </si>
  <si>
    <t>Aneka Tambang Tbk.</t>
  </si>
  <si>
    <t>APEX</t>
  </si>
  <si>
    <t>Apexindo Pratama Duta Tbk</t>
  </si>
  <si>
    <t>APIC</t>
  </si>
  <si>
    <t>PACIFIC STRATEGIC FINANCIAL Tbk</t>
  </si>
  <si>
    <t>18 Des 2002</t>
  </si>
  <si>
    <t>APII</t>
  </si>
  <si>
    <t>PT Arita Prima Indonesia Tbk.</t>
  </si>
  <si>
    <t>29 Okt 2013</t>
  </si>
  <si>
    <t>APLI</t>
  </si>
  <si>
    <t>Asiaplast Industries Tbk</t>
  </si>
  <si>
    <t>01 Mei 2000</t>
  </si>
  <si>
    <t>APLN</t>
  </si>
  <si>
    <t>PT Agung Podomoro Land Tbk.</t>
  </si>
  <si>
    <t>ARCI</t>
  </si>
  <si>
    <t>PT Archi Indonesia Tbk</t>
  </si>
  <si>
    <t>AREA</t>
  </si>
  <si>
    <t>PT Dunia Virtual Online Tbk</t>
  </si>
  <si>
    <t>ARGO</t>
  </si>
  <si>
    <t>Argo Pantes Tbk</t>
  </si>
  <si>
    <t>ARII</t>
  </si>
  <si>
    <t>Atlas Resources Tbk</t>
  </si>
  <si>
    <t>ARKA</t>
  </si>
  <si>
    <t>PT Arkha Jayanti Persada Tbk.</t>
  </si>
  <si>
    <t>ARKO</t>
  </si>
  <si>
    <t>PT Arkora Hydro Tbk.</t>
  </si>
  <si>
    <t>ARMY</t>
  </si>
  <si>
    <t>PT Armidian Karyatama Tbk</t>
  </si>
  <si>
    <t>ARNA</t>
  </si>
  <si>
    <t>Arwana Citramulia Tbk</t>
  </si>
  <si>
    <t>ARTA</t>
  </si>
  <si>
    <t>Arthavest Tbk</t>
  </si>
  <si>
    <t>ARTI</t>
  </si>
  <si>
    <t>Ratu Prabu Energi Tbk</t>
  </si>
  <si>
    <t>ARTO</t>
  </si>
  <si>
    <t>PT Bank Jago Tbk.</t>
  </si>
  <si>
    <t>ASBI</t>
  </si>
  <si>
    <t>Asuransi Bintang Tbk</t>
  </si>
  <si>
    <t>ASDM</t>
  </si>
  <si>
    <t>Asuransi Dayin Mitra Tbk</t>
  </si>
  <si>
    <t>15 Des 1989</t>
  </si>
  <si>
    <t>ASGR</t>
  </si>
  <si>
    <t>Astra Graphia Tbk</t>
  </si>
  <si>
    <t>ASHA</t>
  </si>
  <si>
    <t>PT Cilacap Samudera Fishing Industry Tbk</t>
  </si>
  <si>
    <t>27 Mei 2022</t>
  </si>
  <si>
    <t>ASII</t>
  </si>
  <si>
    <t>Astra International Tbk</t>
  </si>
  <si>
    <t>ASJT</t>
  </si>
  <si>
    <t>Asuransi Jasa Tania Tbk</t>
  </si>
  <si>
    <t>23 Des 2003</t>
  </si>
  <si>
    <t>ASLC</t>
  </si>
  <si>
    <t>PT Autopedia Sukses Lestari Tbk</t>
  </si>
  <si>
    <t>ASLI</t>
  </si>
  <si>
    <t>PT Asri Karya Lestari Tbk.</t>
  </si>
  <si>
    <t>ASMI</t>
  </si>
  <si>
    <t>PT Asuransi Maximus Graha Persada Tbk.</t>
  </si>
  <si>
    <t>ASPI</t>
  </si>
  <si>
    <t>PT Andalan Sakti Primaindo Tbk.</t>
  </si>
  <si>
    <t>ASPR</t>
  </si>
  <si>
    <t>PT Asia Pramulia Tbk</t>
  </si>
  <si>
    <t>ASRI</t>
  </si>
  <si>
    <t>ALAM SUTERA REALTY Tbk</t>
  </si>
  <si>
    <t>18 Des 2007</t>
  </si>
  <si>
    <t>ASRM</t>
  </si>
  <si>
    <t>Asuransi Ramayana Tbk</t>
  </si>
  <si>
    <t>ASSA</t>
  </si>
  <si>
    <t>Adi Sarana Armada Tbk</t>
  </si>
  <si>
    <t>ATAP</t>
  </si>
  <si>
    <t>PT Trimitra Prawara Goldland Tbk</t>
  </si>
  <si>
    <t>11 Des 2020</t>
  </si>
  <si>
    <t>ATIC</t>
  </si>
  <si>
    <t>PT Anabatic Technologies Tbk</t>
  </si>
  <si>
    <t>ATLA</t>
  </si>
  <si>
    <t>PT Atlantis Subsea Indonesia Tbk</t>
  </si>
  <si>
    <t>AUTO</t>
  </si>
  <si>
    <t>Astra Otoparts Tbk</t>
  </si>
  <si>
    <t>AVIA</t>
  </si>
  <si>
    <t>PT Avia Avian Tbk</t>
  </si>
  <si>
    <t>08 Des 2021</t>
  </si>
  <si>
    <t>AWAN</t>
  </si>
  <si>
    <t>PT Era Digital Media Tbk</t>
  </si>
  <si>
    <t>AXIO</t>
  </si>
  <si>
    <t>PT Tera Data Indonusa Tbk</t>
  </si>
  <si>
    <t>AYAM</t>
  </si>
  <si>
    <t>PT Janu Putra Sejahtera Tbk.</t>
  </si>
  <si>
    <t>AYLS</t>
  </si>
  <si>
    <t>PT Agro Yasa Lestari Tbk</t>
  </si>
  <si>
    <t>BABP</t>
  </si>
  <si>
    <t>PT Bank MNC Internasional Tbk.</t>
  </si>
  <si>
    <t>BABY</t>
  </si>
  <si>
    <t>PT Multitrend Indo Tbk.</t>
  </si>
  <si>
    <t>BACA</t>
  </si>
  <si>
    <t>PT Bank Capital Indonesia Tbk</t>
  </si>
  <si>
    <t>04 Okt 2007</t>
  </si>
  <si>
    <t>BAIK</t>
  </si>
  <si>
    <t>PT Bersama Mencapai Puncak Tbk.</t>
  </si>
  <si>
    <t>BAJA</t>
  </si>
  <si>
    <t>Saranacentral Bajatama Tbk</t>
  </si>
  <si>
    <t>21 Des 2011</t>
  </si>
  <si>
    <t>BALI</t>
  </si>
  <si>
    <t>PT Bali Towerindo Sentra Tbk.</t>
  </si>
  <si>
    <t>BANK</t>
  </si>
  <si>
    <t>PT Bank Aladin Syariah Tbk</t>
  </si>
  <si>
    <t>BAPA</t>
  </si>
  <si>
    <t>Bekasi Asri Pemula Tbk</t>
  </si>
  <si>
    <t>BAPI</t>
  </si>
  <si>
    <t>PT Bhakti Agung Propertindo Tbk.</t>
  </si>
  <si>
    <t>BATA</t>
  </si>
  <si>
    <t>Sepatu Bata Tbk</t>
  </si>
  <si>
    <t>BATR</t>
  </si>
  <si>
    <t>PT Benteng Api Technic Tbk</t>
  </si>
  <si>
    <t>BAUT</t>
  </si>
  <si>
    <t>PT Mitra Angkasa Sejahtera Tbk</t>
  </si>
  <si>
    <t>BAYU</t>
  </si>
  <si>
    <t>Bayu Buana Tbk</t>
  </si>
  <si>
    <t>30 Okt 1989</t>
  </si>
  <si>
    <t>BBCA</t>
  </si>
  <si>
    <t>PT Bank Central Asia Tbk.</t>
  </si>
  <si>
    <t>31 Mei 2000</t>
  </si>
  <si>
    <t>BBHI</t>
  </si>
  <si>
    <t>PT Allo Bank Indonesia Tbk</t>
  </si>
  <si>
    <t>12 Agt 2015</t>
  </si>
  <si>
    <t>BBKP</t>
  </si>
  <si>
    <t>PT Bank KB Bukopin Tbk</t>
  </si>
  <si>
    <t>BBLD</t>
  </si>
  <si>
    <t>Buana Finance Tbk</t>
  </si>
  <si>
    <t>07 Mei 1990</t>
  </si>
  <si>
    <t>BBMD</t>
  </si>
  <si>
    <t>PT Bank Mestika Dharma Tbk.</t>
  </si>
  <si>
    <t>BBNI</t>
  </si>
  <si>
    <t>PT Bank Negara Indonesia (Persero) Tbk</t>
  </si>
  <si>
    <t>BBRI</t>
  </si>
  <si>
    <t>PT Bank Rakyat Indonesia (Persero) Tbk</t>
  </si>
  <si>
    <t>BBRM</t>
  </si>
  <si>
    <t>Pelayaran Nasional Bina Buana Raya Tbk</t>
  </si>
  <si>
    <t>BBSI</t>
  </si>
  <si>
    <t>PT Krom Bank Indonesia Tbk</t>
  </si>
  <si>
    <t>BBSS</t>
  </si>
  <si>
    <t>PT Bumi Benowo Sukses Sejahtera Tbk</t>
  </si>
  <si>
    <t>BBTN</t>
  </si>
  <si>
    <t>PT Bank Tabungan Negara (Persero) Tbk</t>
  </si>
  <si>
    <t>17 Des 2009</t>
  </si>
  <si>
    <t>BBYB</t>
  </si>
  <si>
    <t>PT Bank Neo Commerce Tbk.</t>
  </si>
  <si>
    <t>BCAP</t>
  </si>
  <si>
    <t>MNC Kapital Indonesia Tbk</t>
  </si>
  <si>
    <t>BCIC</t>
  </si>
  <si>
    <t>PT Bank JTrust Indonesia Tbk.</t>
  </si>
  <si>
    <t>BCIP</t>
  </si>
  <si>
    <t>Bumi Citra Permai Tbk</t>
  </si>
  <si>
    <t>11 Des 2009</t>
  </si>
  <si>
    <t>BDKR</t>
  </si>
  <si>
    <t>PT Berdikari Pondasi Perkasa Tbk.</t>
  </si>
  <si>
    <t>BDMN</t>
  </si>
  <si>
    <t>PT Bank Danamon Indonesia Tbk</t>
  </si>
  <si>
    <t>06 Des 1989</t>
  </si>
  <si>
    <t>BEBS</t>
  </si>
  <si>
    <t>PT Berkah Beton Sadaya Tbk</t>
  </si>
  <si>
    <t>BEEF</t>
  </si>
  <si>
    <t>PT Estika Tata Tiara Tbk.</t>
  </si>
  <si>
    <t>BEER</t>
  </si>
  <si>
    <t>PT Jobubu Jarum Minahasa Tbk</t>
  </si>
  <si>
    <t>BEKS</t>
  </si>
  <si>
    <t>PT Bank Pembangunan Daerah Banten Tbk.</t>
  </si>
  <si>
    <t>BELI</t>
  </si>
  <si>
    <t>PT Global Digital Niaga Tbk</t>
  </si>
  <si>
    <t>BELL</t>
  </si>
  <si>
    <t>PT Trisula Textile Industries Tbk</t>
  </si>
  <si>
    <t>03 Okt 2017</t>
  </si>
  <si>
    <t>BESS</t>
  </si>
  <si>
    <t>PT Batulicin Nusantara Maritim Tbk.</t>
  </si>
  <si>
    <t>BEST</t>
  </si>
  <si>
    <t>Bekasi Fajar Industrial Estate Tbk</t>
  </si>
  <si>
    <t>BFIN</t>
  </si>
  <si>
    <t>BFI Finance Indonesia Tbk</t>
  </si>
  <si>
    <t>16 Mei 1990</t>
  </si>
  <si>
    <t>BGTG</t>
  </si>
  <si>
    <t>PT Bank Ganesha Tbk.</t>
  </si>
  <si>
    <t>12 Mei 2016</t>
  </si>
  <si>
    <t>BHAT</t>
  </si>
  <si>
    <t>PT Bhakti Multi Artha Tbk.</t>
  </si>
  <si>
    <t>BHIT</t>
  </si>
  <si>
    <t>PT MNC Asia Holding Tbk</t>
  </si>
  <si>
    <t>BIKA</t>
  </si>
  <si>
    <t>PT Binakarya Jaya Abadi Tbk.</t>
  </si>
  <si>
    <t>BIKE</t>
  </si>
  <si>
    <t>PT Sepeda Bersama Indonesia Tbk</t>
  </si>
  <si>
    <t>BIMA</t>
  </si>
  <si>
    <t>Primarindo Asia Infrastructure Tbk</t>
  </si>
  <si>
    <t>30 Agt 1994</t>
  </si>
  <si>
    <t>BINA</t>
  </si>
  <si>
    <t>PT Bank Ina Perdana Tbk.</t>
  </si>
  <si>
    <t>BINO</t>
  </si>
  <si>
    <t>PT Perma Plasindo Tbk</t>
  </si>
  <si>
    <t>BIPI</t>
  </si>
  <si>
    <t>PT Astrindo Nusantara Infrastruktur Tbk.</t>
  </si>
  <si>
    <t>BIPP</t>
  </si>
  <si>
    <t>Bhuwanatala Indah Permai Tbk</t>
  </si>
  <si>
    <t>23 Okt 1995</t>
  </si>
  <si>
    <t>BIRD</t>
  </si>
  <si>
    <t>PT Blue Bird Tbk</t>
  </si>
  <si>
    <t>BISI</t>
  </si>
  <si>
    <t>BISI INTERNATIONAL Tbk</t>
  </si>
  <si>
    <t>28 Mei 2007</t>
  </si>
  <si>
    <t>BJBR</t>
  </si>
  <si>
    <t>Bank Pembangunan Daerah Jawa Barat dan Banten Tbk</t>
  </si>
  <si>
    <t>BJTM</t>
  </si>
  <si>
    <t>Bank Pembangunan Daerah Jawa Timur Tbk</t>
  </si>
  <si>
    <t>BKDP</t>
  </si>
  <si>
    <t>Bukit Darmo Property Tbk</t>
  </si>
  <si>
    <t>BKSL</t>
  </si>
  <si>
    <t>Sentul City Tbk</t>
  </si>
  <si>
    <t>BKSW</t>
  </si>
  <si>
    <t>PT Bank QNB Indonesia Tbk</t>
  </si>
  <si>
    <t>BLES</t>
  </si>
  <si>
    <t>PT Superior Prima Sukses Tbk</t>
  </si>
  <si>
    <t>BLOG</t>
  </si>
  <si>
    <t>PT Trimitra Trans Persada Tbk</t>
  </si>
  <si>
    <t>BLTA</t>
  </si>
  <si>
    <t>Berlian Laju Tanker Tbk</t>
  </si>
  <si>
    <t>BLTZ</t>
  </si>
  <si>
    <t>PT Graha Layar Prima Tbk.</t>
  </si>
  <si>
    <t>BLUE</t>
  </si>
  <si>
    <t>PT Berkah Prima Perkasa Tbk</t>
  </si>
  <si>
    <t>BMAS</t>
  </si>
  <si>
    <t>PT Bank Maspion Indonesia Tbk.</t>
  </si>
  <si>
    <t>BMBL</t>
  </si>
  <si>
    <t>PT Lavender Bina Cendikia Tbk</t>
  </si>
  <si>
    <t>BMHS</t>
  </si>
  <si>
    <t>PT Bundamedik Tbk</t>
  </si>
  <si>
    <t>BMRI</t>
  </si>
  <si>
    <t>PT Bank Mandiri (Persero) Tbk</t>
  </si>
  <si>
    <t>BMSR</t>
  </si>
  <si>
    <t>Bintang Mitra Semestaraya Tbk</t>
  </si>
  <si>
    <t>29 Des 1999</t>
  </si>
  <si>
    <t>BMTR</t>
  </si>
  <si>
    <t>PT Global Mediacom Tbk</t>
  </si>
  <si>
    <t>BNBA</t>
  </si>
  <si>
    <t>Bank Bumi Arta Tbk</t>
  </si>
  <si>
    <t>BNBR</t>
  </si>
  <si>
    <t>Bakrie &amp; Brothers Tbk</t>
  </si>
  <si>
    <t>28 Agt 1989</t>
  </si>
  <si>
    <t>BNGA</t>
  </si>
  <si>
    <t>PT Bank CIMB Niaga Tbk</t>
  </si>
  <si>
    <t>BNII</t>
  </si>
  <si>
    <t>PT Bank Maybank Indonesia Tbk</t>
  </si>
  <si>
    <t>BNLI</t>
  </si>
  <si>
    <t>Bank Permata Tbk</t>
  </si>
  <si>
    <t>BOAT</t>
  </si>
  <si>
    <t>PT Newport Marine Services Tbk</t>
  </si>
  <si>
    <t>BOBA</t>
  </si>
  <si>
    <t>PT Formosa Ingredient Factory Tbk</t>
  </si>
  <si>
    <t>BOGA</t>
  </si>
  <si>
    <t>PT Bintang Oto Global Tbk</t>
  </si>
  <si>
    <t>19 Des 2016</t>
  </si>
  <si>
    <t>BOLA</t>
  </si>
  <si>
    <t>PT Bali Bintang Sejahtera Tbk.</t>
  </si>
  <si>
    <t>BOLT</t>
  </si>
  <si>
    <t>PT Garuda Metalindo Tbk.</t>
  </si>
  <si>
    <t>BOSS</t>
  </si>
  <si>
    <t>PT Borneo Olah Sarana Sukses Tbk.</t>
  </si>
  <si>
    <t>BPFI</t>
  </si>
  <si>
    <t>PT Woori Finance Indonesia Tbk</t>
  </si>
  <si>
    <t>BPII</t>
  </si>
  <si>
    <t>PT Batavia Prosperindo Internasional Tbk.</t>
  </si>
  <si>
    <t>BPTR</t>
  </si>
  <si>
    <t>PT Batavia Prosperindo Trans Tbk.</t>
  </si>
  <si>
    <t>BRAM</t>
  </si>
  <si>
    <t>Indo Kordsa Tbk</t>
  </si>
  <si>
    <t>BREN</t>
  </si>
  <si>
    <t>PT Barito Renewables Energy Tbk.</t>
  </si>
  <si>
    <t>09 Okt 2023</t>
  </si>
  <si>
    <t>BRIS</t>
  </si>
  <si>
    <t>PT Bank Syariah Indonesia Tbk</t>
  </si>
  <si>
    <t>09 Mei 2018</t>
  </si>
  <si>
    <t>BRMS</t>
  </si>
  <si>
    <t>Bumi Resources Minerals Tbk</t>
  </si>
  <si>
    <t>09 Des 2010</t>
  </si>
  <si>
    <t>BRNA</t>
  </si>
  <si>
    <t>Berlina Tbk</t>
  </si>
  <si>
    <t>BRPT</t>
  </si>
  <si>
    <t>Barito Pacific Tbk</t>
  </si>
  <si>
    <t>01 Okt 1993</t>
  </si>
  <si>
    <t>BRRC</t>
  </si>
  <si>
    <t>PT Raja Roti Cemerlang Tbk</t>
  </si>
  <si>
    <t>BSBK</t>
  </si>
  <si>
    <t>PT Wulandari Bangun Laksana Tbk</t>
  </si>
  <si>
    <t>BSDE</t>
  </si>
  <si>
    <t>PT Bumi Serpong Damai Tbk</t>
  </si>
  <si>
    <t>BSIM</t>
  </si>
  <si>
    <t>Bank Sinarmas Tbk</t>
  </si>
  <si>
    <t>13 Des 2010</t>
  </si>
  <si>
    <t>BSML</t>
  </si>
  <si>
    <t>PT Bintang Samudera Mandiri Lines Tbk</t>
  </si>
  <si>
    <t>16 Des 2021</t>
  </si>
  <si>
    <t>BSSR</t>
  </si>
  <si>
    <t>Baramulti Suksessarana Tbk</t>
  </si>
  <si>
    <t>BSWD</t>
  </si>
  <si>
    <t>Bank of India Indonesia Tbk</t>
  </si>
  <si>
    <t>01 Mei 2002</t>
  </si>
  <si>
    <t>BTEK</t>
  </si>
  <si>
    <t>Bumi Teknokultura Unggul Tbk</t>
  </si>
  <si>
    <t>14 Mei 2004</t>
  </si>
  <si>
    <t>BTEL</t>
  </si>
  <si>
    <t>Bakrie Telecom Tbk</t>
  </si>
  <si>
    <t>BTON</t>
  </si>
  <si>
    <t>Betonjaya Manunggal Tbk</t>
  </si>
  <si>
    <t>BTPN</t>
  </si>
  <si>
    <t>PT Bank SMBC Indonesia Tbk</t>
  </si>
  <si>
    <t>BTPS</t>
  </si>
  <si>
    <t>PT Bank BTPN Syariah Tbk.</t>
  </si>
  <si>
    <t>08 Mei 2018</t>
  </si>
  <si>
    <t>BUAH</t>
  </si>
  <si>
    <t>PT Segar Kumala Indonesia Tbk</t>
  </si>
  <si>
    <t>09 Agt 2022</t>
  </si>
  <si>
    <t>BUDI</t>
  </si>
  <si>
    <t>PT Budi Starch &amp; Sweetener Tbk.</t>
  </si>
  <si>
    <t>08 Mei 1995</t>
  </si>
  <si>
    <t>BUKA</t>
  </si>
  <si>
    <t>PT Bukalapak.com Tbk</t>
  </si>
  <si>
    <t>06 Agt 2021</t>
  </si>
  <si>
    <t>BUKK</t>
  </si>
  <si>
    <t>Bukaka Teknik Utama Tbk</t>
  </si>
  <si>
    <t>BULL</t>
  </si>
  <si>
    <t>PT Buana Lintas Lautan Tbk.</t>
  </si>
  <si>
    <t>23 Mei 2011</t>
  </si>
  <si>
    <t>BUMI</t>
  </si>
  <si>
    <t>Bumi Resources Tbk</t>
  </si>
  <si>
    <t>BUVA</t>
  </si>
  <si>
    <t>PT Bukit Uluwatu Villa Tbk</t>
  </si>
  <si>
    <t>BVIC</t>
  </si>
  <si>
    <t>Bank Victoria International Tbk</t>
  </si>
  <si>
    <t>BWPT</t>
  </si>
  <si>
    <t>Eagle High Plantations Tbk</t>
  </si>
  <si>
    <t>27 Okt 2009</t>
  </si>
  <si>
    <t>BYAN</t>
  </si>
  <si>
    <t>Bayan Resources Tbk</t>
  </si>
  <si>
    <t>12 Agt 2008</t>
  </si>
  <si>
    <t>CAKK</t>
  </si>
  <si>
    <t>PT Cahayaputra Asa Keramik Tbk.</t>
  </si>
  <si>
    <t>31 Okt 2018</t>
  </si>
  <si>
    <t>CAMP</t>
  </si>
  <si>
    <t>PT Campina Ice Cream Industry Tbk.</t>
  </si>
  <si>
    <t>19 Des 2017</t>
  </si>
  <si>
    <t>CANI</t>
  </si>
  <si>
    <t>PT Capitol Nusantara Indonesia Tbk.</t>
  </si>
  <si>
    <t>CARE</t>
  </si>
  <si>
    <t>PT Metro Healthcare Indonesia Tbk</t>
  </si>
  <si>
    <t>CARS</t>
  </si>
  <si>
    <t>PT Industri dan Perdagangan Bintraco Dharma Tbk</t>
  </si>
  <si>
    <t>CASA</t>
  </si>
  <si>
    <t>PT Capital Financial Indonesia Tbk</t>
  </si>
  <si>
    <t>CASH</t>
  </si>
  <si>
    <t>PT Cashlez Worldwide Indonesia Tbk.</t>
  </si>
  <si>
    <t>04 Mei 2020</t>
  </si>
  <si>
    <t>CASS</t>
  </si>
  <si>
    <t>Cahaya Aero Services Tbk</t>
  </si>
  <si>
    <t>05 Des 2011</t>
  </si>
  <si>
    <t>CBDK</t>
  </si>
  <si>
    <t>PT Bangun Kosambi Sukses Tbk</t>
  </si>
  <si>
    <t>CBMF</t>
  </si>
  <si>
    <t>PT Cahaya Bintang Medan Tbk</t>
  </si>
  <si>
    <t>CBPE</t>
  </si>
  <si>
    <t>PT Citra Buana Prasida Tbk</t>
  </si>
  <si>
    <t>CBRE</t>
  </si>
  <si>
    <t>PT Cakra Buana Resources Energi Tbk</t>
  </si>
  <si>
    <t>CBUT</t>
  </si>
  <si>
    <t>PT Citra Borneo Utama Tbk</t>
  </si>
  <si>
    <t>CCSI</t>
  </si>
  <si>
    <t>PT Communication Cable Systems Indonesia Tbk.</t>
  </si>
  <si>
    <t>CDIA</t>
  </si>
  <si>
    <t>PT Chandra Daya Investasi Tbk</t>
  </si>
  <si>
    <t>CEKA</t>
  </si>
  <si>
    <t>PT Wilmar Cahaya Indonesia Tbk.</t>
  </si>
  <si>
    <t>CENT</t>
  </si>
  <si>
    <t>PT Centratama Telekomunikasi Indonesia Tbk.</t>
  </si>
  <si>
    <t>CFIN</t>
  </si>
  <si>
    <t>Clipan Finance Indonesia Tbk</t>
  </si>
  <si>
    <t>27 Agt 1990</t>
  </si>
  <si>
    <t>CGAS</t>
  </si>
  <si>
    <t>PT Citra Nusantara Gemilang Tbk.</t>
  </si>
  <si>
    <t>CHEK</t>
  </si>
  <si>
    <t>PT Diastika Biotekindo Tbk</t>
  </si>
  <si>
    <t>CHEM</t>
  </si>
  <si>
    <t>PT Chemstar Indonesia Tbk</t>
  </si>
  <si>
    <t>CHIP</t>
  </si>
  <si>
    <t>PT Pelita Teknologi Global Tbk</t>
  </si>
  <si>
    <t>CINT</t>
  </si>
  <si>
    <t>PT Chitose Internasional Tbk</t>
  </si>
  <si>
    <t>CITA</t>
  </si>
  <si>
    <t>Cita Mineral Investindo Tbk</t>
  </si>
  <si>
    <t>CITY</t>
  </si>
  <si>
    <t>PT Natura City Developments Tbk.</t>
  </si>
  <si>
    <t>CLAY</t>
  </si>
  <si>
    <t>PT Citra Putra Realty Tbk</t>
  </si>
  <si>
    <t>CLEO</t>
  </si>
  <si>
    <t>PT Sariguna Primatirta Tbk</t>
  </si>
  <si>
    <t>05 Mei 2017</t>
  </si>
  <si>
    <t>CLPI</t>
  </si>
  <si>
    <t>Colorpak Indonesia Tbk</t>
  </si>
  <si>
    <t>CMNP</t>
  </si>
  <si>
    <t>Citra Marga Nusaphala Persada Tbk</t>
  </si>
  <si>
    <t>CMNT</t>
  </si>
  <si>
    <t>PT Cemindo Gemilang Tbk</t>
  </si>
  <si>
    <t>CMPP</t>
  </si>
  <si>
    <t>PT AirAsia Indonesia Tbk</t>
  </si>
  <si>
    <t>08 Des 1994</t>
  </si>
  <si>
    <t>CMRY</t>
  </si>
  <si>
    <t>PT Cisarua Mountain Dairy Tbk</t>
  </si>
  <si>
    <t>06 Des 2021</t>
  </si>
  <si>
    <t>CNKO</t>
  </si>
  <si>
    <t>Exploitasi Energi Indonesia Tbk</t>
  </si>
  <si>
    <t>CNMA</t>
  </si>
  <si>
    <t>PT Nusantara Sejahtera Raya Tbk</t>
  </si>
  <si>
    <t>02 Agt 2023</t>
  </si>
  <si>
    <t>CNTX</t>
  </si>
  <si>
    <t>PT Century Textile Industry Tbk</t>
  </si>
  <si>
    <t>22 Mei 1979</t>
  </si>
  <si>
    <t>COAL</t>
  </si>
  <si>
    <t>PT Black Diamond Resources Tbk</t>
  </si>
  <si>
    <t>COCO</t>
  </si>
  <si>
    <t>PT Wahana Interfood Nusantara Tbk.</t>
  </si>
  <si>
    <t>COIN</t>
  </si>
  <si>
    <t>PT Indokripto Koin Semesta Tbk</t>
  </si>
  <si>
    <t>COWL</t>
  </si>
  <si>
    <t>COWELL DEVELOPMENT Tbk</t>
  </si>
  <si>
    <t>19 Des 2007</t>
  </si>
  <si>
    <t>CPIN</t>
  </si>
  <si>
    <t>Charoen Pokphand Indonesia Tbk</t>
  </si>
  <si>
    <t>CPRI</t>
  </si>
  <si>
    <t>PT Capri Nusa Satu Properti Tbk.</t>
  </si>
  <si>
    <t>CPRO</t>
  </si>
  <si>
    <t>Central Proteina Prima Tbk</t>
  </si>
  <si>
    <t>CRAB</t>
  </si>
  <si>
    <t>PT Toba Surimi Industries Tbk</t>
  </si>
  <si>
    <t>10 Agt 2022</t>
  </si>
  <si>
    <t>CRSN</t>
  </si>
  <si>
    <t>PT Carsurin Tbk</t>
  </si>
  <si>
    <t>CSAP</t>
  </si>
  <si>
    <t>Catur Sentosa Adiprana Tbk</t>
  </si>
  <si>
    <t>12 Des 2007</t>
  </si>
  <si>
    <t>CSIS</t>
  </si>
  <si>
    <t>PT Cahayasakti Investindo Sukses Tbk</t>
  </si>
  <si>
    <t>10 Mei 2017</t>
  </si>
  <si>
    <t>CSMI</t>
  </si>
  <si>
    <t>PT Cipta Selera Murni Tbk.</t>
  </si>
  <si>
    <t>CSRA</t>
  </si>
  <si>
    <t>PT Cisadane Sawit Raya Tbk.</t>
  </si>
  <si>
    <t>CTBN</t>
  </si>
  <si>
    <t>Citra Tubindo Tbk</t>
  </si>
  <si>
    <t>CTRA</t>
  </si>
  <si>
    <t>Ciputra Development Tbk</t>
  </si>
  <si>
    <t>CTTH</t>
  </si>
  <si>
    <t>Citatah Tbk</t>
  </si>
  <si>
    <t>CUAN</t>
  </si>
  <si>
    <t>PT Petrindo Jaya Kreasi Tbk</t>
  </si>
  <si>
    <t>CYBR</t>
  </si>
  <si>
    <t>PT ITSEC Asia Tbk.</t>
  </si>
  <si>
    <t>08 Agt 2023</t>
  </si>
  <si>
    <t>DAAZ</t>
  </si>
  <si>
    <t>PT Daaz Bara Lestari Tbk</t>
  </si>
  <si>
    <t>DADA</t>
  </si>
  <si>
    <t>PT Diamond Citra Propertindo Tbk.</t>
  </si>
  <si>
    <t>DART</t>
  </si>
  <si>
    <t>Duta Anggada Realty Tbk</t>
  </si>
  <si>
    <t>08 Mei 1990</t>
  </si>
  <si>
    <t>DATA</t>
  </si>
  <si>
    <t>PT Remala Abadi Tbk</t>
  </si>
  <si>
    <t>07 Mei 2024</t>
  </si>
  <si>
    <t>DAYA</t>
  </si>
  <si>
    <t>PT Duta Intidaya Tbk.</t>
  </si>
  <si>
    <t>DCII</t>
  </si>
  <si>
    <t>PT DCI Indonesia Tbk</t>
  </si>
  <si>
    <t>DEAL</t>
  </si>
  <si>
    <t>PT Dewata Freightinternational Tbk.</t>
  </si>
  <si>
    <t>DEFI</t>
  </si>
  <si>
    <t>Danasupra Erapacific Tbk</t>
  </si>
  <si>
    <t>DEPO</t>
  </si>
  <si>
    <t>PT Caturkarda Depo Bangunan Tbk</t>
  </si>
  <si>
    <t>DEWA</t>
  </si>
  <si>
    <t>Darma Henwa Tbk</t>
  </si>
  <si>
    <t>DEWI</t>
  </si>
  <si>
    <t>PT Dewi Shri Farmindo Tbk</t>
  </si>
  <si>
    <t>DFAM</t>
  </si>
  <si>
    <t>PT Dafam Property Indonesia Tbk</t>
  </si>
  <si>
    <t>DGIK</t>
  </si>
  <si>
    <t>Nusa Konstruksi Enjiniring Tbk</t>
  </si>
  <si>
    <t>DGNS</t>
  </si>
  <si>
    <t>PT Diagnos Laboratorium Utama Tbk</t>
  </si>
  <si>
    <t>DGWG</t>
  </si>
  <si>
    <t>PT Delta Giri Wacana Tbk</t>
  </si>
  <si>
    <t>DIGI</t>
  </si>
  <si>
    <t>PT Arkadia Digital Media Tbk</t>
  </si>
  <si>
    <t>DILD</t>
  </si>
  <si>
    <t>Intiland Development Tbk</t>
  </si>
  <si>
    <t>DIVA</t>
  </si>
  <si>
    <t>PT Distribusi Voucher Nusantara Tbk</t>
  </si>
  <si>
    <t>DKFT</t>
  </si>
  <si>
    <t>Central Omega Resources Tbk</t>
  </si>
  <si>
    <t>DKHH</t>
  </si>
  <si>
    <t>PT Cipta Sarana Medika Tbk</t>
  </si>
  <si>
    <t>08 Mei 2025</t>
  </si>
  <si>
    <t>DLTA</t>
  </si>
  <si>
    <t>Delta Djakarta Tbk</t>
  </si>
  <si>
    <t>DMAS</t>
  </si>
  <si>
    <t>PT Puradelta Lestari Tbk.</t>
  </si>
  <si>
    <t>29 Mei 2015</t>
  </si>
  <si>
    <t>DMMX</t>
  </si>
  <si>
    <t>PT Digital Mediatama Maxima Tbk</t>
  </si>
  <si>
    <t>21 Okt 2019</t>
  </si>
  <si>
    <t>DMND</t>
  </si>
  <si>
    <t>PT Diamond Food Indonesia Tbk.</t>
  </si>
  <si>
    <t>DNAR</t>
  </si>
  <si>
    <t>PT Bank Oke Indonesia Tbk.</t>
  </si>
  <si>
    <t>DNET</t>
  </si>
  <si>
    <t>PT Indoritel Makmur Internasional Tbk.</t>
  </si>
  <si>
    <t>11 Des 2000</t>
  </si>
  <si>
    <t>DOID</t>
  </si>
  <si>
    <t>PT BUMA Internasional Grup Tbk</t>
  </si>
  <si>
    <t>DOOH</t>
  </si>
  <si>
    <t>PT Era Media Sejahtera Tbk</t>
  </si>
  <si>
    <t>08 Mei 2023</t>
  </si>
  <si>
    <t>DOSS</t>
  </si>
  <si>
    <t>PT Global Sukses Digital Tbk</t>
  </si>
  <si>
    <t>07 Agt 2024</t>
  </si>
  <si>
    <t>DPNS</t>
  </si>
  <si>
    <t>Duta Pertiwi Nusantara Tbk</t>
  </si>
  <si>
    <t>08 Agt 1990</t>
  </si>
  <si>
    <t>DPUM</t>
  </si>
  <si>
    <t>PT Dua Putra Utama Makmur Tbk.</t>
  </si>
  <si>
    <t>08 Des 2015</t>
  </si>
  <si>
    <t>DRMA</t>
  </si>
  <si>
    <t>PT Dharma Polimetal Tbk</t>
  </si>
  <si>
    <t>20 Des 2021</t>
  </si>
  <si>
    <t>DSFI</t>
  </si>
  <si>
    <t>Dharma Samudera Fishing Ind. Tbk</t>
  </si>
  <si>
    <t>DSNG</t>
  </si>
  <si>
    <t>PT Dharma Satya Nusantara Tbk.</t>
  </si>
  <si>
    <t>DSSA</t>
  </si>
  <si>
    <t>Dian Swastatika Sentosa Tbk</t>
  </si>
  <si>
    <t>10 Des 2009</t>
  </si>
  <si>
    <t>DUCK</t>
  </si>
  <si>
    <t>PT Jaya Bersama Indo Tbk.</t>
  </si>
  <si>
    <t>10 Okt 2018</t>
  </si>
  <si>
    <t>DUTI</t>
  </si>
  <si>
    <t>Duta Pertiwi Tbk</t>
  </si>
  <si>
    <t>DVLA</t>
  </si>
  <si>
    <t>Darya-Varia Laboratoria Tbk</t>
  </si>
  <si>
    <t>DWGL</t>
  </si>
  <si>
    <t>PT Dwi Guna Laksana Tbk</t>
  </si>
  <si>
    <t>13 Des 2017</t>
  </si>
  <si>
    <t>DYAN</t>
  </si>
  <si>
    <t>PT Dyandra Media International Tbk.</t>
  </si>
  <si>
    <t>EAST</t>
  </si>
  <si>
    <t>PT Eastparc Hotel Tbk</t>
  </si>
  <si>
    <t>ECII</t>
  </si>
  <si>
    <t>PT Electronic City Indonesia Tbk.</t>
  </si>
  <si>
    <t>EDGE</t>
  </si>
  <si>
    <t>PT Indointernet Tbk.</t>
  </si>
  <si>
    <t>EKAD</t>
  </si>
  <si>
    <t>Ekadharma International Tbk</t>
  </si>
  <si>
    <t>14 Agt 1990</t>
  </si>
  <si>
    <t>ELIT</t>
  </si>
  <si>
    <t>PT Data Sinergitama Jaya Tbk</t>
  </si>
  <si>
    <t>ELPI</t>
  </si>
  <si>
    <t>PT Pelayaran Nasional Ekalya Purnamasari Tbk</t>
  </si>
  <si>
    <t>08 Agt 2022</t>
  </si>
  <si>
    <t>ELSA</t>
  </si>
  <si>
    <t>Elnusa Tbk</t>
  </si>
  <si>
    <t>ELTY</t>
  </si>
  <si>
    <t>Bakrieland Development Tbk</t>
  </si>
  <si>
    <t>30 Okt 1995</t>
  </si>
  <si>
    <t>EMDE</t>
  </si>
  <si>
    <t>Megapolitan Developments Tbk</t>
  </si>
  <si>
    <t>EMTK</t>
  </si>
  <si>
    <t>Elang Mahkota Teknologi Tbk</t>
  </si>
  <si>
    <t>ENAK</t>
  </si>
  <si>
    <t>PT Champ Resto Indonesia Tbk</t>
  </si>
  <si>
    <t>ENRG</t>
  </si>
  <si>
    <t>Energi Mega Persada Tbk</t>
  </si>
  <si>
    <t>ENVY</t>
  </si>
  <si>
    <t>PT Envy Technologies Indonesia Tbk</t>
  </si>
  <si>
    <t>ENZO</t>
  </si>
  <si>
    <t>PT Morenzo Abadi Perkasa Tbk</t>
  </si>
  <si>
    <t>EPAC</t>
  </si>
  <si>
    <t>PT Megalestari Epack Sentosaraya Tbk.</t>
  </si>
  <si>
    <t>EPMT</t>
  </si>
  <si>
    <t>Enseval Putera Megatrading Tbk</t>
  </si>
  <si>
    <t>01 Agt 1994</t>
  </si>
  <si>
    <t>ERAA</t>
  </si>
  <si>
    <t>Erajaya Swasembada Tbk</t>
  </si>
  <si>
    <t>14 Des 2011</t>
  </si>
  <si>
    <t>ERAL</t>
  </si>
  <si>
    <t>PT Sinar Eka Selaras Tbk</t>
  </si>
  <si>
    <t>ERTX</t>
  </si>
  <si>
    <t>Eratex Djaja Tbk</t>
  </si>
  <si>
    <t>21 Agt 1990</t>
  </si>
  <si>
    <t>ESIP</t>
  </si>
  <si>
    <t>PT Sinergi Inti Plastindo Tbk.</t>
  </si>
  <si>
    <t>ESSA</t>
  </si>
  <si>
    <t>ESSA Industries Indonesia Tbk</t>
  </si>
  <si>
    <t>ESTA</t>
  </si>
  <si>
    <t>PT Esta Multi Usaha Tbk.</t>
  </si>
  <si>
    <t>ESTI</t>
  </si>
  <si>
    <t>Ever Shine Textile Industry Tbk</t>
  </si>
  <si>
    <t>13 Okt 1992</t>
  </si>
  <si>
    <t>ETWA</t>
  </si>
  <si>
    <t>Eterindo Wahanatama Tbk</t>
  </si>
  <si>
    <t>16 Mei 1997</t>
  </si>
  <si>
    <t>EURO</t>
  </si>
  <si>
    <t>PT Estee Gold Feet Tbk</t>
  </si>
  <si>
    <t>EXCL</t>
  </si>
  <si>
    <t>PT XLSMART Telecom Sejahtera Tbk</t>
  </si>
  <si>
    <t>FAPA</t>
  </si>
  <si>
    <t>PT FAP Agri Tbk</t>
  </si>
  <si>
    <t>FAST</t>
  </si>
  <si>
    <t>PT Fast Food Indonesia Tbk</t>
  </si>
  <si>
    <t>11 Mei 1993</t>
  </si>
  <si>
    <t>FASW</t>
  </si>
  <si>
    <t>Fajar Surya Wisesa Tbk</t>
  </si>
  <si>
    <t>19 Des 1994</t>
  </si>
  <si>
    <t>FILM</t>
  </si>
  <si>
    <t>PT MD Entertainment Tbk</t>
  </si>
  <si>
    <t>07 Agt 2018</t>
  </si>
  <si>
    <t>FIMP</t>
  </si>
  <si>
    <t>PT Fimperkasa Utama Tbk</t>
  </si>
  <si>
    <t>FIRE</t>
  </si>
  <si>
    <t>PT Alfa Energi Investama Tbk.</t>
  </si>
  <si>
    <t>FISH</t>
  </si>
  <si>
    <t>FKS Multi Agro Tbk</t>
  </si>
  <si>
    <t>FITT</t>
  </si>
  <si>
    <t>PT Hotel Fitra International Tbk</t>
  </si>
  <si>
    <t>FLMC</t>
  </si>
  <si>
    <t>PT Falmaco Nonwoven Industri Tbk</t>
  </si>
  <si>
    <t>FMII</t>
  </si>
  <si>
    <t>Fortune Mate Indonesia Tbk</t>
  </si>
  <si>
    <t>FOLK</t>
  </si>
  <si>
    <t>PT Multi Garam Utama Tbk.</t>
  </si>
  <si>
    <t>07 Agt 2023</t>
  </si>
  <si>
    <t>FOOD</t>
  </si>
  <si>
    <t>PT Sentra Food Indonesia Tbk.</t>
  </si>
  <si>
    <t>FORE</t>
  </si>
  <si>
    <t>PT Fore Kopi Indonesia Tbk</t>
  </si>
  <si>
    <t>FORU</t>
  </si>
  <si>
    <t>Fortune Indonesia Tbk</t>
  </si>
  <si>
    <t>FORZ</t>
  </si>
  <si>
    <t>PT Forza Land Indonesia Tbk.</t>
  </si>
  <si>
    <t>FPNI</t>
  </si>
  <si>
    <t>PT Lotte Chemical Titan Tbk.</t>
  </si>
  <si>
    <t>FUJI</t>
  </si>
  <si>
    <t>PT Fuji Finance Indonesia Tbk.</t>
  </si>
  <si>
    <t>FUTR</t>
  </si>
  <si>
    <t>PT Futura Energi Global Tbk</t>
  </si>
  <si>
    <t>FWCT</t>
  </si>
  <si>
    <t>PT Wijaya Cahaya Timber Tbk</t>
  </si>
  <si>
    <t>GAMA</t>
  </si>
  <si>
    <t>Aksara Global Development Tbk</t>
  </si>
  <si>
    <t>GDST</t>
  </si>
  <si>
    <t>Gunawan Dianjaya Steel Tbk</t>
  </si>
  <si>
    <t>23 Des 2009</t>
  </si>
  <si>
    <t>GDYR</t>
  </si>
  <si>
    <t>Goodyear Indonesia Tbk</t>
  </si>
  <si>
    <t>22 Des 1980</t>
  </si>
  <si>
    <t>GEMA</t>
  </si>
  <si>
    <t>Gema Grahasarana Tbk</t>
  </si>
  <si>
    <t>12 Agt 2002</t>
  </si>
  <si>
    <t>GEMS</t>
  </si>
  <si>
    <t>Golden Energy Mines Tbk</t>
  </si>
  <si>
    <t>GGRM</t>
  </si>
  <si>
    <t>Gudang Garam Tbk</t>
  </si>
  <si>
    <t>GGRP</t>
  </si>
  <si>
    <t>PT Gunung Raja Paksi Tbk.</t>
  </si>
  <si>
    <t>GHON</t>
  </si>
  <si>
    <t>PT Gihon Telekomunikasi Indonesia Tbk</t>
  </si>
  <si>
    <t>GIAA</t>
  </si>
  <si>
    <t>Garuda Indonesia (Persero) Tbk</t>
  </si>
  <si>
    <t>GJTL</t>
  </si>
  <si>
    <t>Gajah Tunggal Tbk</t>
  </si>
  <si>
    <t>GLOB</t>
  </si>
  <si>
    <t>PT Globe Kita Terang Tbk</t>
  </si>
  <si>
    <t>GLVA</t>
  </si>
  <si>
    <t>PT Galva Technologies Tbk</t>
  </si>
  <si>
    <t>23 Des 2019</t>
  </si>
  <si>
    <t>GMFI</t>
  </si>
  <si>
    <t>PT Garuda Maintenance Facility Aero Asia Tbk.</t>
  </si>
  <si>
    <t>10 Okt 2017</t>
  </si>
  <si>
    <t>GMTD</t>
  </si>
  <si>
    <t>Gowa Makassar Tourism Development Tbk</t>
  </si>
  <si>
    <t>GOLD</t>
  </si>
  <si>
    <t>PT Visi Telekomunikasi Infrastruktur Tbk.</t>
  </si>
  <si>
    <t>GOLF</t>
  </si>
  <si>
    <t>PT Intra GolfLink Resorts Tbk</t>
  </si>
  <si>
    <t>GOLL</t>
  </si>
  <si>
    <t>PT Golden Plantation Tbk</t>
  </si>
  <si>
    <t>23 Des 2014</t>
  </si>
  <si>
    <t>GOOD</t>
  </si>
  <si>
    <t>PT Garudafood Putra Putri Jaya Tbk.</t>
  </si>
  <si>
    <t>GOTO</t>
  </si>
  <si>
    <t>PT GoTo Gojek Tokopedia Tbk</t>
  </si>
  <si>
    <t>GPRA</t>
  </si>
  <si>
    <t>Perdana Gapura Prima Tbk</t>
  </si>
  <si>
    <t>10 Okt 2007</t>
  </si>
  <si>
    <t>GPSO</t>
  </si>
  <si>
    <t>PT Geoprima Solusi Tbk</t>
  </si>
  <si>
    <t>GRIA</t>
  </si>
  <si>
    <t>PT Ingria Pratama Capitalindo Tbk</t>
  </si>
  <si>
    <t>GRPH</t>
  </si>
  <si>
    <t>PT Griptha Putra Persada Tbk.</t>
  </si>
  <si>
    <t>GRPM</t>
  </si>
  <si>
    <t>PT Graha Prima Mentari Tbk.</t>
  </si>
  <si>
    <t>GSMF</t>
  </si>
  <si>
    <t>Equity Development Investment Tbk</t>
  </si>
  <si>
    <t>23 Okt 1989</t>
  </si>
  <si>
    <t>GTBO</t>
  </si>
  <si>
    <t>Garda Tujuh Buana Tbk</t>
  </si>
  <si>
    <t>GTRA</t>
  </si>
  <si>
    <t>PT Grahaprima Suksesmandiri Tbk</t>
  </si>
  <si>
    <t>GTSI</t>
  </si>
  <si>
    <t>PT GTS Internasional Tbk</t>
  </si>
  <si>
    <t>GULA</t>
  </si>
  <si>
    <t>PT Aman Agrindo Tbk</t>
  </si>
  <si>
    <t>03 Agt 2022</t>
  </si>
  <si>
    <t>GUNA</t>
  </si>
  <si>
    <t>PT Gunanusa Eramandiri Tbk</t>
  </si>
  <si>
    <t>GWSA</t>
  </si>
  <si>
    <t>PT Greenwood Sejahtera Tbk</t>
  </si>
  <si>
    <t>23 Des 2011</t>
  </si>
  <si>
    <t>GZCO</t>
  </si>
  <si>
    <t>Gozco Plantations Tbk</t>
  </si>
  <si>
    <t>15 Mei 2008</t>
  </si>
  <si>
    <t>HADE</t>
  </si>
  <si>
    <t>PT Himalaya Energi Perkasa Tbk</t>
  </si>
  <si>
    <t>HAIS</t>
  </si>
  <si>
    <t>PT Hasnur Internasional Shipping Tbk</t>
  </si>
  <si>
    <t>HAJJ</t>
  </si>
  <si>
    <t>PT Arsy Buana Travelindo Tbk</t>
  </si>
  <si>
    <t>HALO</t>
  </si>
  <si>
    <t>PT Haloni Jane Tbk</t>
  </si>
  <si>
    <t>HATM</t>
  </si>
  <si>
    <t>PT Habco Trans Maritima Tbk</t>
  </si>
  <si>
    <t>HBAT</t>
  </si>
  <si>
    <t>PT Minahasa Membangun Hebat Tbk</t>
  </si>
  <si>
    <t>HDFA</t>
  </si>
  <si>
    <t>Radana Bhaskara Finance Tbk</t>
  </si>
  <si>
    <t>10 Mei 2011</t>
  </si>
  <si>
    <t>HDIT</t>
  </si>
  <si>
    <t>PT Hensel Davest Indonesia Tbk</t>
  </si>
  <si>
    <t>HDTX</t>
  </si>
  <si>
    <t>Panasia Indo Resources Tbk</t>
  </si>
  <si>
    <t>HEAL</t>
  </si>
  <si>
    <t>PT Medikaloka Hermina Tbk.</t>
  </si>
  <si>
    <t>16 Mei 2018</t>
  </si>
  <si>
    <t>HELI</t>
  </si>
  <si>
    <t>PT Jaya Trishindo Tbk</t>
  </si>
  <si>
    <t>HERO</t>
  </si>
  <si>
    <t>PT DFI Retail Nusantara Tbk</t>
  </si>
  <si>
    <t>21 Agt 1989</t>
  </si>
  <si>
    <t>HEXA</t>
  </si>
  <si>
    <t>Hexindo Adiperkasa Tbk</t>
  </si>
  <si>
    <t>HGII</t>
  </si>
  <si>
    <t>PT Hero Global Investment Tbk</t>
  </si>
  <si>
    <t>HILL</t>
  </si>
  <si>
    <t>PT Hillcon Tbk</t>
  </si>
  <si>
    <t>HITS</t>
  </si>
  <si>
    <t>Humpuss Intermoda Transportasi Tbk</t>
  </si>
  <si>
    <t>15 Des 1997</t>
  </si>
  <si>
    <t>HKMU</t>
  </si>
  <si>
    <t>PT HK Metals Utama Tbk</t>
  </si>
  <si>
    <t>09 Okt 2018</t>
  </si>
  <si>
    <t>HMSP</t>
  </si>
  <si>
    <t>HM Sampoerna Tbk</t>
  </si>
  <si>
    <t>15 Agt 1990</t>
  </si>
  <si>
    <t>HOKI</t>
  </si>
  <si>
    <t>PT Buyung Poetra Sembada Tbk.</t>
  </si>
  <si>
    <t>HOME</t>
  </si>
  <si>
    <t>Hotel Mandarine Regency Tbk</t>
  </si>
  <si>
    <t>HOMI</t>
  </si>
  <si>
    <t>PT Grand House Mulia Tbk</t>
  </si>
  <si>
    <t>HOPE</t>
  </si>
  <si>
    <t>PT Harapan Duta Pertiwi Tbk.</t>
  </si>
  <si>
    <t>24 Mei 2021</t>
  </si>
  <si>
    <t>HOTL</t>
  </si>
  <si>
    <t>Saraswati Griya Lestari Tbk</t>
  </si>
  <si>
    <t>HRME</t>
  </si>
  <si>
    <t>PT Menteng Heritage Realty Tbk.</t>
  </si>
  <si>
    <t>HRTA</t>
  </si>
  <si>
    <t>PT Hartadinata Abadi Tbk</t>
  </si>
  <si>
    <t>HRUM</t>
  </si>
  <si>
    <t>Harum Energy Tbk</t>
  </si>
  <si>
    <t>06 Okt 2010</t>
  </si>
  <si>
    <t>HUMI</t>
  </si>
  <si>
    <t>PT Humpuss Maritim Internasional Tbk</t>
  </si>
  <si>
    <t>09 Agt 2023</t>
  </si>
  <si>
    <t>HYGN</t>
  </si>
  <si>
    <t>PT Ecocare Indo Pasifik Tbk.</t>
  </si>
  <si>
    <t>IATA</t>
  </si>
  <si>
    <t>PT MNC Energy Investments Tbk</t>
  </si>
  <si>
    <t>IBFN</t>
  </si>
  <si>
    <t>PT Intan Baru Prana Tbk</t>
  </si>
  <si>
    <t>IBOS</t>
  </si>
  <si>
    <t>PT Indo Boga Sukses Tbk</t>
  </si>
  <si>
    <t>IBST</t>
  </si>
  <si>
    <t>Inti Bangun Sejahtera Tbk</t>
  </si>
  <si>
    <t>31 Agt 2012</t>
  </si>
  <si>
    <t>ICBP</t>
  </si>
  <si>
    <t>Indofood CBP Sukses Makmur Tbk</t>
  </si>
  <si>
    <t>07 Okt 2010</t>
  </si>
  <si>
    <t>ICON</t>
  </si>
  <si>
    <t>Island Concepts Indonesia Tbk</t>
  </si>
  <si>
    <t>IDEA</t>
  </si>
  <si>
    <t>PT Idea Indonesia Akademi Tbk</t>
  </si>
  <si>
    <t>IDPR</t>
  </si>
  <si>
    <t>PT Indonesia Pondasi Raya Tbk.</t>
  </si>
  <si>
    <t>IFII</t>
  </si>
  <si>
    <t>PT Indonesia Fibreboard Industry Tbk</t>
  </si>
  <si>
    <t>10 Des 2019</t>
  </si>
  <si>
    <t>IFSH</t>
  </si>
  <si>
    <t>PT Ifishdeco Tbk.</t>
  </si>
  <si>
    <t>05 Des 2019</t>
  </si>
  <si>
    <t>IGAR</t>
  </si>
  <si>
    <t>Champion Pacific Indonesia Tbk</t>
  </si>
  <si>
    <t>IIKP</t>
  </si>
  <si>
    <t>Inti Agri Resources Tbk</t>
  </si>
  <si>
    <t>14 Okt 2002</t>
  </si>
  <si>
    <t>IKAI</t>
  </si>
  <si>
    <t>Intikeramik Alamasri Industri Tbk</t>
  </si>
  <si>
    <t>IKAN</t>
  </si>
  <si>
    <t>PT Era Mandiri Cemerlang Tbk</t>
  </si>
  <si>
    <t>IKBI</t>
  </si>
  <si>
    <t>Sumi Indo Kabel Tbk</t>
  </si>
  <si>
    <t>IKPM</t>
  </si>
  <si>
    <t>PT Ikapharmindo Putramas Tbk.</t>
  </si>
  <si>
    <t>IMAS</t>
  </si>
  <si>
    <t>Indomobil Sukses Internasional Tbk</t>
  </si>
  <si>
    <t>IMJS</t>
  </si>
  <si>
    <t>PT Indomobil Multi Jasa Tbk.</t>
  </si>
  <si>
    <t>10 Des 2013</t>
  </si>
  <si>
    <t>IMPC</t>
  </si>
  <si>
    <t>PT Impack Pratama Industri Tbk</t>
  </si>
  <si>
    <t>17 Des 2014</t>
  </si>
  <si>
    <t>INAF</t>
  </si>
  <si>
    <t>Indofarma Tbk.</t>
  </si>
  <si>
    <t>INAI</t>
  </si>
  <si>
    <t>Indal Aluminium Industry Tbk</t>
  </si>
  <si>
    <t>05 Des 1994</t>
  </si>
  <si>
    <t>INCF</t>
  </si>
  <si>
    <t>PT Indo Komoditi Korpora Tbk</t>
  </si>
  <si>
    <t>INCI</t>
  </si>
  <si>
    <t>Intanwijaya Internasional Tbk</t>
  </si>
  <si>
    <t>INCO</t>
  </si>
  <si>
    <t>Vale Indonesia Tbk</t>
  </si>
  <si>
    <t>INDF</t>
  </si>
  <si>
    <t>Indofood Sukses Makmur Tbk</t>
  </si>
  <si>
    <t>INDO</t>
  </si>
  <si>
    <t>PT Royalindo Investa Wijaya Tbk</t>
  </si>
  <si>
    <t>INDR</t>
  </si>
  <si>
    <t>PT Indo-Rama Synthetics Tbk</t>
  </si>
  <si>
    <t>03 Agt 1990</t>
  </si>
  <si>
    <t>INDS</t>
  </si>
  <si>
    <t>Indospring Tbk</t>
  </si>
  <si>
    <t>10 Agt 1990</t>
  </si>
  <si>
    <t>INDX</t>
  </si>
  <si>
    <t>Tanah Laut Tbk</t>
  </si>
  <si>
    <t>17 Mei 2001</t>
  </si>
  <si>
    <t>INDY</t>
  </si>
  <si>
    <t>Indika Energy Tbk</t>
  </si>
  <si>
    <t>INET</t>
  </si>
  <si>
    <t>PT Sinergi Inti Andalan Prima Tbk.</t>
  </si>
  <si>
    <t>INKP</t>
  </si>
  <si>
    <t>Indah Kiat Pulp &amp; Paper Tbk</t>
  </si>
  <si>
    <t>INOV</t>
  </si>
  <si>
    <t>PT Inocycle Technology Group Tbk.</t>
  </si>
  <si>
    <t>INPC</t>
  </si>
  <si>
    <t>Bank Artha Graha Internasional Tbk</t>
  </si>
  <si>
    <t>23 Agt 1990</t>
  </si>
  <si>
    <t>INPP</t>
  </si>
  <si>
    <t>Indonesian Paradise Property Tbk</t>
  </si>
  <si>
    <t>INPS</t>
  </si>
  <si>
    <t>PT Indah Prakasa Sentosa Tbk.</t>
  </si>
  <si>
    <t>INRU</t>
  </si>
  <si>
    <t>Toba Pulp Lestari Tbk</t>
  </si>
  <si>
    <t>INTA</t>
  </si>
  <si>
    <t>Intraco Penta Tbk</t>
  </si>
  <si>
    <t>23 Agt 1993</t>
  </si>
  <si>
    <t>INTD</t>
  </si>
  <si>
    <t>Inter-Delta Tbk</t>
  </si>
  <si>
    <t>18 Des 1989</t>
  </si>
  <si>
    <t>INTP</t>
  </si>
  <si>
    <t>Indocement Tunggal Prakarsa Tbk</t>
  </si>
  <si>
    <t>05 Des 1989</t>
  </si>
  <si>
    <t>IOTF</t>
  </si>
  <si>
    <t>PT Sumber Sinergi Makmur Tbk</t>
  </si>
  <si>
    <t>06 Okt 2023</t>
  </si>
  <si>
    <t>IPAC</t>
  </si>
  <si>
    <t>PT Era Graharealty Tbk</t>
  </si>
  <si>
    <t>IPCC</t>
  </si>
  <si>
    <t>PT Indonesia Kendaraan Terminal Tbk.</t>
  </si>
  <si>
    <t>IPCM</t>
  </si>
  <si>
    <t>PT Jasa Armada Indonesia Tbk.</t>
  </si>
  <si>
    <t>22 Des 2017</t>
  </si>
  <si>
    <t>IPOL</t>
  </si>
  <si>
    <t>Indopoly Swakarsa Industry Tbk</t>
  </si>
  <si>
    <t>IPPE</t>
  </si>
  <si>
    <t>PT Indo Pureco Pratama Tbk</t>
  </si>
  <si>
    <t>09 Des 2021</t>
  </si>
  <si>
    <t>IPTV</t>
  </si>
  <si>
    <t>PT MNC Vision Networks Tbk.</t>
  </si>
  <si>
    <t>IRRA</t>
  </si>
  <si>
    <t>PT Itama Ranoraya Tbk.</t>
  </si>
  <si>
    <t>15 Okt 2019</t>
  </si>
  <si>
    <t>IRSX</t>
  </si>
  <si>
    <t>PT Aviana Sinar Abadi Tbk</t>
  </si>
  <si>
    <t>ISAP</t>
  </si>
  <si>
    <t>PT Isra Presisi Indonesia Tbk</t>
  </si>
  <si>
    <t>09 Des 2022</t>
  </si>
  <si>
    <t>ISAT</t>
  </si>
  <si>
    <t>PT Indosat Tbk</t>
  </si>
  <si>
    <t>19 Okt 1994</t>
  </si>
  <si>
    <t>ISEA</t>
  </si>
  <si>
    <t>PT Indo American Seafoods Tbk</t>
  </si>
  <si>
    <t>ISSP</t>
  </si>
  <si>
    <t>PT Steel Pipe Industry of Indonesia Tbk</t>
  </si>
  <si>
    <t>ITIC</t>
  </si>
  <si>
    <t>PT Indonesian Tobacco Tbk.</t>
  </si>
  <si>
    <t>ITMA</t>
  </si>
  <si>
    <t>SUMBER ENERGI ANDALAN Tbk</t>
  </si>
  <si>
    <t>10 Des 1990</t>
  </si>
  <si>
    <t>ITMG</t>
  </si>
  <si>
    <t>Indo Tambangraya Megah Tbk</t>
  </si>
  <si>
    <t>JARR</t>
  </si>
  <si>
    <t>PT Jhonlin Agro Raya Tbk</t>
  </si>
  <si>
    <t>JAST</t>
  </si>
  <si>
    <t>PT Jasnita Telekomindo Tbk.</t>
  </si>
  <si>
    <t>16 Mei 2019</t>
  </si>
  <si>
    <t>JATI</t>
  </si>
  <si>
    <t>PT Informasi Teknologi Indonesia Tbk.</t>
  </si>
  <si>
    <t>JAWA</t>
  </si>
  <si>
    <t>Jaya Agra Wattie Tbk</t>
  </si>
  <si>
    <t>30 Mei 2011</t>
  </si>
  <si>
    <t>JAYA</t>
  </si>
  <si>
    <t>PT Armada Berjaya Trans Tbk.</t>
  </si>
  <si>
    <t>JECC</t>
  </si>
  <si>
    <t>Jembo Cable Company Tbk</t>
  </si>
  <si>
    <t>JGLE</t>
  </si>
  <si>
    <t>PT Graha Andrasentra Propertindo Tbk.</t>
  </si>
  <si>
    <t>JIHD</t>
  </si>
  <si>
    <t>Jakarta International Hotels &amp; Development Tbk</t>
  </si>
  <si>
    <t>JKON</t>
  </si>
  <si>
    <t>Jaya Konstruksi Manggala Pratama Tbk</t>
  </si>
  <si>
    <t>04 Des 2007</t>
  </si>
  <si>
    <t>JKSW</t>
  </si>
  <si>
    <t>Jakarta Kyoei Steel Works Tbk</t>
  </si>
  <si>
    <t>06 Agt 1997</t>
  </si>
  <si>
    <t>JMAS</t>
  </si>
  <si>
    <t>PT Asuransi Jiwa Syariah Jasa Mitra Abadi Tbk</t>
  </si>
  <si>
    <t>18 Des 2017</t>
  </si>
  <si>
    <t>JPFA</t>
  </si>
  <si>
    <t>JAPFA Comfeed Indonesia Tbk</t>
  </si>
  <si>
    <t>JRPT</t>
  </si>
  <si>
    <t>Jaya Real Property Tbk</t>
  </si>
  <si>
    <t>JSKY</t>
  </si>
  <si>
    <t>PT Sky Energy Indonesia Tbk.</t>
  </si>
  <si>
    <t>JSMR</t>
  </si>
  <si>
    <t>PT Jasa Marga Tbk</t>
  </si>
  <si>
    <t>JSPT</t>
  </si>
  <si>
    <t>Jakarta Setiabudi Internasional Tbk</t>
  </si>
  <si>
    <t>JTPE</t>
  </si>
  <si>
    <t>Jasuindo Tiga Perkasa Tbk</t>
  </si>
  <si>
    <t>KAEF</t>
  </si>
  <si>
    <t>Kimia Farma Tbk.</t>
  </si>
  <si>
    <t>KAQI</t>
  </si>
  <si>
    <t>PT Jantra Grupo Indonesia Tbk</t>
  </si>
  <si>
    <t>KARW</t>
  </si>
  <si>
    <t>Meratus Jasa Prima Tbk</t>
  </si>
  <si>
    <t>20 Des 1994</t>
  </si>
  <si>
    <t>KAYU</t>
  </si>
  <si>
    <t>PT Darmi Bersaudara Tbk.</t>
  </si>
  <si>
    <t>KBAG</t>
  </si>
  <si>
    <t>PT Karya Bersama Anugerah Tbk</t>
  </si>
  <si>
    <t>KBLI</t>
  </si>
  <si>
    <t>KMI Wire and Cable Tbk</t>
  </si>
  <si>
    <t>KBLM</t>
  </si>
  <si>
    <t>Kabelindo Murni Tbk</t>
  </si>
  <si>
    <t>KBLV</t>
  </si>
  <si>
    <t>First Media Tbk</t>
  </si>
  <si>
    <t>KBRI</t>
  </si>
  <si>
    <t>Kertas Basuki Rachmat Indonesia Tbk</t>
  </si>
  <si>
    <t>KDSI</t>
  </si>
  <si>
    <t>Kedawung Setia Industrial Tbk</t>
  </si>
  <si>
    <t>KDTN</t>
  </si>
  <si>
    <t>PT Puri Sentul Permai Tbk</t>
  </si>
  <si>
    <t>KEEN</t>
  </si>
  <si>
    <t>PT Kencana Energi Lestari Tbk.</t>
  </si>
  <si>
    <t>KEJU</t>
  </si>
  <si>
    <t>PT Mulia Boga Raya Tbk</t>
  </si>
  <si>
    <t>KETR</t>
  </si>
  <si>
    <t>PT Ketrosden Triasmitra Tbk</t>
  </si>
  <si>
    <t>KIAS</t>
  </si>
  <si>
    <t>Keramika Indonesia Assosiasi Tbk</t>
  </si>
  <si>
    <t>KICI</t>
  </si>
  <si>
    <t>Kedaung Indah Can Tbk</t>
  </si>
  <si>
    <t>28 Okt 1993</t>
  </si>
  <si>
    <t>KIJA</t>
  </si>
  <si>
    <t>Kawasan Industri Jababeka Tbk</t>
  </si>
  <si>
    <t>KING</t>
  </si>
  <si>
    <t>PT Hoffmen Cleanindo Tbk</t>
  </si>
  <si>
    <t>KINO</t>
  </si>
  <si>
    <t>PT Kino Indonesia Tbk</t>
  </si>
  <si>
    <t>11 Des 2015</t>
  </si>
  <si>
    <t>KIOS</t>
  </si>
  <si>
    <t>PT Kioson Komersial Indonesia Tbk.</t>
  </si>
  <si>
    <t>05 Okt 2017</t>
  </si>
  <si>
    <t>KJEN</t>
  </si>
  <si>
    <t>PT Krida Jaringan Nusantara Tbk.</t>
  </si>
  <si>
    <t>KKES</t>
  </si>
  <si>
    <t>PT Kusuma Kemindo Sentosa Tbk</t>
  </si>
  <si>
    <t>KKGI</t>
  </si>
  <si>
    <t>Resource Alam Indonesia Tbk</t>
  </si>
  <si>
    <t>KLAS</t>
  </si>
  <si>
    <t>PT Pelayaran Kurnia Lautan Semesta Tbk</t>
  </si>
  <si>
    <t>KLBF</t>
  </si>
  <si>
    <t>Kalbe Farma Tbk</t>
  </si>
  <si>
    <t>KLIN</t>
  </si>
  <si>
    <t>PT Klinko Karya Imaji Tbk</t>
  </si>
  <si>
    <t>KMDS</t>
  </si>
  <si>
    <t>PT Kurniamitra Duta Sentosa Tbk.</t>
  </si>
  <si>
    <t>KMTR</t>
  </si>
  <si>
    <t>PT Kirana Megatara Tbk.</t>
  </si>
  <si>
    <t>KOBX</t>
  </si>
  <si>
    <t>Kobexindo Tractors Tbk</t>
  </si>
  <si>
    <t>KOCI</t>
  </si>
  <si>
    <t>PT Kokoh Exa Nusantara</t>
  </si>
  <si>
    <t>07 Okt 2023</t>
  </si>
  <si>
    <t>KOIN</t>
  </si>
  <si>
    <t>Kokoh Inti Arebama Tbk</t>
  </si>
  <si>
    <t>KOKA</t>
  </si>
  <si>
    <t>PT Koka Indonesia Tbk.</t>
  </si>
  <si>
    <t>11 Okt 2023</t>
  </si>
  <si>
    <t>KONI</t>
  </si>
  <si>
    <t>Perdana Bangun Pusaka Tbk</t>
  </si>
  <si>
    <t>22 Agt 1995</t>
  </si>
  <si>
    <t>KOPI</t>
  </si>
  <si>
    <t>PT Mitra Energi Persada Tbk</t>
  </si>
  <si>
    <t>04 Mei 2015</t>
  </si>
  <si>
    <t>KOTA</t>
  </si>
  <si>
    <t>PT DMS Propertindo Tbk.</t>
  </si>
  <si>
    <t>KPAL</t>
  </si>
  <si>
    <t>PT Steadfast Marine Tbk</t>
  </si>
  <si>
    <t>KPAS</t>
  </si>
  <si>
    <t>PT Cottonindo Ariesta Tbk.</t>
  </si>
  <si>
    <t>05 Okt 2018</t>
  </si>
  <si>
    <t>KPIG</t>
  </si>
  <si>
    <t>MNC Land Tbk</t>
  </si>
  <si>
    <t>KRAH</t>
  </si>
  <si>
    <t>PT Grand Kartech Tbk</t>
  </si>
  <si>
    <t>KRAS</t>
  </si>
  <si>
    <t>Krakatau Steel (Persero) Tbk</t>
  </si>
  <si>
    <t>KREN</t>
  </si>
  <si>
    <t>PT Quantum Clovera Investama Tbk.</t>
  </si>
  <si>
    <t>KRYA</t>
  </si>
  <si>
    <t>PT Bangun Karya Perkasa Jaya Tbk</t>
  </si>
  <si>
    <t>KSIX</t>
  </si>
  <si>
    <t>PT Kentanix Supra International Tbk</t>
  </si>
  <si>
    <t>KUAS</t>
  </si>
  <si>
    <t>PT Ace Oldfields Tbk</t>
  </si>
  <si>
    <t>25 Okt 2021</t>
  </si>
  <si>
    <t>LABA</t>
  </si>
  <si>
    <t>PT Green Power Group Tbk</t>
  </si>
  <si>
    <t>LABS</t>
  </si>
  <si>
    <t>PT UBC Medical Indonesia Tbk</t>
  </si>
  <si>
    <t>LAJU</t>
  </si>
  <si>
    <t>PT Jasa Berdikari Logistics Tbk</t>
  </si>
  <si>
    <t>LAND</t>
  </si>
  <si>
    <t>PT Trimitra Propertindo Tbk.</t>
  </si>
  <si>
    <t>23 Agt 2018</t>
  </si>
  <si>
    <t>LAPD</t>
  </si>
  <si>
    <t>Leyand International Tbk</t>
  </si>
  <si>
    <t>LCGP</t>
  </si>
  <si>
    <t>PT Eureka Prima Jakarta Tbk.</t>
  </si>
  <si>
    <t>LCKM</t>
  </si>
  <si>
    <t>PT LCK Global Kedaton Tbk</t>
  </si>
  <si>
    <t>LEAD</t>
  </si>
  <si>
    <t>PT Logindo Samudramakmur Tbk.</t>
  </si>
  <si>
    <t>11 Des 2013</t>
  </si>
  <si>
    <t>LFLO</t>
  </si>
  <si>
    <t>PT Imago Mulia Persada Tbk</t>
  </si>
  <si>
    <t>LIFE</t>
  </si>
  <si>
    <t>PT MSIG Life Insurance Indonesia Tbk.</t>
  </si>
  <si>
    <t>LINK</t>
  </si>
  <si>
    <t>PT Link Net Tbk.</t>
  </si>
  <si>
    <t>LION</t>
  </si>
  <si>
    <t>Lion Metal Works Tbk</t>
  </si>
  <si>
    <t>20 Agt 1993</t>
  </si>
  <si>
    <t>LIVE</t>
  </si>
  <si>
    <t>PT Homeco Victoria Makmur Tbk</t>
  </si>
  <si>
    <t>LMAS</t>
  </si>
  <si>
    <t>Limas Indonesia Makmur Tbk</t>
  </si>
  <si>
    <t>28 Des 2001</t>
  </si>
  <si>
    <t>LMAX</t>
  </si>
  <si>
    <t>PT Lupromax Pelumas Indonesia Tbk.</t>
  </si>
  <si>
    <t>LMPI</t>
  </si>
  <si>
    <t>Langgeng Makmur Industri Tbk</t>
  </si>
  <si>
    <t>17 Okt 1994</t>
  </si>
  <si>
    <t>LMSH</t>
  </si>
  <si>
    <t>Lionmesh Prima Tbk</t>
  </si>
  <si>
    <t>LOPI</t>
  </si>
  <si>
    <t>PT Logisticsplus International Tbk</t>
  </si>
  <si>
    <t>LPCK</t>
  </si>
  <si>
    <t>Lippo Cikarang Tbk</t>
  </si>
  <si>
    <t>LPGI</t>
  </si>
  <si>
    <t>Lippo General Insurance Tbk</t>
  </si>
  <si>
    <t>LPIN</t>
  </si>
  <si>
    <t>Multi Prima Sejahtera Tbk</t>
  </si>
  <si>
    <t>LPKR</t>
  </si>
  <si>
    <t>Lippo Karawaci Tbk</t>
  </si>
  <si>
    <t>LPLI</t>
  </si>
  <si>
    <t>Star Pacific Tbk</t>
  </si>
  <si>
    <t>LPPF</t>
  </si>
  <si>
    <t>Matahari Department Store Tbk</t>
  </si>
  <si>
    <t>09 Okt 1989</t>
  </si>
  <si>
    <t>LPPS</t>
  </si>
  <si>
    <t>PT Lenox Pasifik Investama Tbk</t>
  </si>
  <si>
    <t>LRNA</t>
  </si>
  <si>
    <t>PT Eka Sari Lorena Transport Tbk.</t>
  </si>
  <si>
    <t>LSIP</t>
  </si>
  <si>
    <t>PP London Sumatra Indonesia Tbk</t>
  </si>
  <si>
    <t>LTLS</t>
  </si>
  <si>
    <t>PT Lautan Luas Tbk</t>
  </si>
  <si>
    <t>LUCK</t>
  </si>
  <si>
    <t>PT Sentral Mitra Informatika Tbk.</t>
  </si>
  <si>
    <t>LUCY</t>
  </si>
  <si>
    <t>PT Lima Dua Lima Tiga Tbk</t>
  </si>
  <si>
    <t>05 Mei 2021</t>
  </si>
  <si>
    <t>MABA</t>
  </si>
  <si>
    <t>PT Marga Abhinaya Abadi Tbk</t>
  </si>
  <si>
    <t>MAGP</t>
  </si>
  <si>
    <t>Multi Agro Gemilang Plantation Tbk</t>
  </si>
  <si>
    <t>MAHA</t>
  </si>
  <si>
    <t>PT Mandiri Herindo Adiperkasa Tbk</t>
  </si>
  <si>
    <t>MAIN</t>
  </si>
  <si>
    <t>Malindo Feedmill Tbk</t>
  </si>
  <si>
    <t>MAMI</t>
  </si>
  <si>
    <t>Mas Murni Indonesia Tbk</t>
  </si>
  <si>
    <t>MANG</t>
  </si>
  <si>
    <t>PT Manggung Polahraya Tbk</t>
  </si>
  <si>
    <t>MAPA</t>
  </si>
  <si>
    <t>PT Map Aktif Adiperkasa Tbk</t>
  </si>
  <si>
    <t>MAPB</t>
  </si>
  <si>
    <t>PT Map Boga Adiperkasa Tbk</t>
  </si>
  <si>
    <t>MAPI</t>
  </si>
  <si>
    <t>PT Mitra Adiperkasa Tbk</t>
  </si>
  <si>
    <t>MARI</t>
  </si>
  <si>
    <t>PT Mahaka Radio Integra Tbk.</t>
  </si>
  <si>
    <t>MARK</t>
  </si>
  <si>
    <t>PT Mark Dynamics Indonesia Tbk.</t>
  </si>
  <si>
    <t>MASA</t>
  </si>
  <si>
    <t>Multistrada Arah Sarana Tbk</t>
  </si>
  <si>
    <t>MASB</t>
  </si>
  <si>
    <t>PT Bank Multiarta Sentosa Tbk</t>
  </si>
  <si>
    <t>MAXI</t>
  </si>
  <si>
    <t>PT Maxindo Karya Anugerah Tbk</t>
  </si>
  <si>
    <t>MAYA</t>
  </si>
  <si>
    <t>PT Bank Mayapada Internasional Tbk</t>
  </si>
  <si>
    <t>29 Agt 1997</t>
  </si>
  <si>
    <t>MBAP</t>
  </si>
  <si>
    <t>PT Mitrabara Adiperdana Tbk</t>
  </si>
  <si>
    <t>MBMA</t>
  </si>
  <si>
    <t>PT Merdeka Battery Materials Tbk</t>
  </si>
  <si>
    <t>MBSS</t>
  </si>
  <si>
    <t>Mitrabahtera Segara Sejati Tbk</t>
  </si>
  <si>
    <t>MBTO</t>
  </si>
  <si>
    <t>Martina Berto Tbk</t>
  </si>
  <si>
    <t>MCAS</t>
  </si>
  <si>
    <t>PT M Cash Integrasi Tbk</t>
  </si>
  <si>
    <t>MCOL</t>
  </si>
  <si>
    <t>PT Prima Andalan Mandiri Tbk</t>
  </si>
  <si>
    <t>MCOR</t>
  </si>
  <si>
    <t>PT Bank China Construction Bank Indonesia Tbk</t>
  </si>
  <si>
    <t>MDIA</t>
  </si>
  <si>
    <t>PT Intermedia Capital Tbk.</t>
  </si>
  <si>
    <t>MDIY</t>
  </si>
  <si>
    <t>PT Daya Intiguna Yasa Tbk</t>
  </si>
  <si>
    <t>19 Des 2024</t>
  </si>
  <si>
    <t>MDKA</t>
  </si>
  <si>
    <t>PT Merdeka Copper Gold Tbk.</t>
  </si>
  <si>
    <t>MDKI</t>
  </si>
  <si>
    <t>PT Emdeki Utama Tbk</t>
  </si>
  <si>
    <t>MDLA</t>
  </si>
  <si>
    <t>PT Medela Potentia Tbk</t>
  </si>
  <si>
    <t>MDLN</t>
  </si>
  <si>
    <t>PT Modernland Realty Tbk.</t>
  </si>
  <si>
    <t>MDRN</t>
  </si>
  <si>
    <t>Modern Internasional Tbk</t>
  </si>
  <si>
    <t>MEDC</t>
  </si>
  <si>
    <t>PT Medco Energi Internasional Tbk</t>
  </si>
  <si>
    <t>12 Okt 1994</t>
  </si>
  <si>
    <t>MEDS</t>
  </si>
  <si>
    <t>PT Hetzer Medical Indonesia Tbk</t>
  </si>
  <si>
    <t>MEGA</t>
  </si>
  <si>
    <t>Bank Mega Tbk</t>
  </si>
  <si>
    <t>MEJA</t>
  </si>
  <si>
    <t>PT Harta Djaya Karya Tbk</t>
  </si>
  <si>
    <t>MENN</t>
  </si>
  <si>
    <t>PT Menn Teknologi Indonesia Tbk.</t>
  </si>
  <si>
    <t>MERI</t>
  </si>
  <si>
    <t>PT Merry Riana Edukasi Tbk</t>
  </si>
  <si>
    <t>MERK</t>
  </si>
  <si>
    <t>Merck Tbk</t>
  </si>
  <si>
    <t>META</t>
  </si>
  <si>
    <t>Nusantara Infrastructure Tbk</t>
  </si>
  <si>
    <t>MFIN</t>
  </si>
  <si>
    <t>PT Mandala Multifinance Tbk.</t>
  </si>
  <si>
    <t>MFMI</t>
  </si>
  <si>
    <t>Multifiling Mitra Indonesia Tbk</t>
  </si>
  <si>
    <t>29 Des 2010</t>
  </si>
  <si>
    <t>MGLV</t>
  </si>
  <si>
    <t>PT Panca Anugrah Wisesa Tbk</t>
  </si>
  <si>
    <t>MGNA</t>
  </si>
  <si>
    <t>PT Magna Investama Mandiri Tbk</t>
  </si>
  <si>
    <t>MGRO</t>
  </si>
  <si>
    <t>PT Mahkota Group Tbk.</t>
  </si>
  <si>
    <t>MHKI</t>
  </si>
  <si>
    <t>PT Multi Hanna Kreasindo Tbk</t>
  </si>
  <si>
    <t>MICE</t>
  </si>
  <si>
    <t>Multi Indocitra Tbk</t>
  </si>
  <si>
    <t>21 Des 2005</t>
  </si>
  <si>
    <t>MIDI</t>
  </si>
  <si>
    <t>Midi Utama Indonesia Tbk</t>
  </si>
  <si>
    <t>MIKA</t>
  </si>
  <si>
    <t>PT Mitra Keluarga Karyasehat Tbk.</t>
  </si>
  <si>
    <t>MINA</t>
  </si>
  <si>
    <t>PT Sanurhasta Mitra Tbk.</t>
  </si>
  <si>
    <t>MINE</t>
  </si>
  <si>
    <t>PT Sinar Terang Mandiri Tbk</t>
  </si>
  <si>
    <t>MIRA</t>
  </si>
  <si>
    <t>Mitra International Resources Tbk</t>
  </si>
  <si>
    <t>MITI</t>
  </si>
  <si>
    <t>Mitra Investindo Tbk</t>
  </si>
  <si>
    <t>MKAP</t>
  </si>
  <si>
    <t>PT Multikarya Asia Pasifik Raya Tbk</t>
  </si>
  <si>
    <t>MKNT</t>
  </si>
  <si>
    <t>PT Mitra Komunikasi Nusantara Tbk.</t>
  </si>
  <si>
    <t>26 Okt 2015</t>
  </si>
  <si>
    <t>MKPI</t>
  </si>
  <si>
    <t>Metropolitan Kentjana Tbk</t>
  </si>
  <si>
    <t>MKTR</t>
  </si>
  <si>
    <t>PT Menthobi Karyatama Raya Tbk</t>
  </si>
  <si>
    <t>MLBI</t>
  </si>
  <si>
    <t>Multi Bintang Indonesia Tbk</t>
  </si>
  <si>
    <t>15 Des 1981</t>
  </si>
  <si>
    <t>MLIA</t>
  </si>
  <si>
    <t>Mulia Industrindo Tbk</t>
  </si>
  <si>
    <t>MLPL</t>
  </si>
  <si>
    <t>Multipolar Tbk</t>
  </si>
  <si>
    <t>MLPT</t>
  </si>
  <si>
    <t>PT Multipolar Technology Tbk.</t>
  </si>
  <si>
    <t>MMIX</t>
  </si>
  <si>
    <t>PT Multi Medika Internasional Tbk</t>
  </si>
  <si>
    <t>06 Des 2022</t>
  </si>
  <si>
    <t>MMLP</t>
  </si>
  <si>
    <t>PT Mega Manunggal Property Tbk.</t>
  </si>
  <si>
    <t>MNCN</t>
  </si>
  <si>
    <t>Media Nusantara Citra Tbk</t>
  </si>
  <si>
    <t>MOLI</t>
  </si>
  <si>
    <t>PT Madusari Murni Indah Tbk.</t>
  </si>
  <si>
    <t>30 Agt 2018</t>
  </si>
  <si>
    <t>MORA</t>
  </si>
  <si>
    <t>PT Mora Telematika Indonesia Tbk</t>
  </si>
  <si>
    <t>MPIX</t>
  </si>
  <si>
    <t>PT Mitra Pedagang Indonesia Tbk.</t>
  </si>
  <si>
    <t>MPMX</t>
  </si>
  <si>
    <t>PT Mitra Pinasthika Mustika Tbk.</t>
  </si>
  <si>
    <t>29 Mei 2013</t>
  </si>
  <si>
    <t>MPOW</t>
  </si>
  <si>
    <t>PT Megapower Makmur Tbk.</t>
  </si>
  <si>
    <t>MPPA</t>
  </si>
  <si>
    <t>Matahari Putra Prima Tbk</t>
  </si>
  <si>
    <t>21 Des 1992</t>
  </si>
  <si>
    <t>MPRO</t>
  </si>
  <si>
    <t>PT Maha Properti Indonesia Tbk.</t>
  </si>
  <si>
    <t>MPXL</t>
  </si>
  <si>
    <t>PT MPX Logistics International Tbk</t>
  </si>
  <si>
    <t>09 Mei 2023</t>
  </si>
  <si>
    <t>MRAT</t>
  </si>
  <si>
    <t>Mustika Ratu Tbk</t>
  </si>
  <si>
    <t>MREI</t>
  </si>
  <si>
    <t>Maskapai Reasuransi Indonesia Tbk</t>
  </si>
  <si>
    <t>MSIE</t>
  </si>
  <si>
    <t>PT Multisarana Intan Eduka Tbk</t>
  </si>
  <si>
    <t>10 Agt 2023</t>
  </si>
  <si>
    <t>MSIN</t>
  </si>
  <si>
    <t>PT MNC Digital Entertainment Tbk</t>
  </si>
  <si>
    <t>MSJA</t>
  </si>
  <si>
    <t>PT Multi Spunindo Jaya Tbk.</t>
  </si>
  <si>
    <t>MSKY</t>
  </si>
  <si>
    <t>MNC Sky Vision Tbk</t>
  </si>
  <si>
    <t>MSTI</t>
  </si>
  <si>
    <t>PT Mastersystem Infotama Tbk.</t>
  </si>
  <si>
    <t>MTDL</t>
  </si>
  <si>
    <t>Metrodata Electronics Tbk</t>
  </si>
  <si>
    <t>MTEL</t>
  </si>
  <si>
    <t>PT Dayamitra Telekomunikasi Tbk</t>
  </si>
  <si>
    <t>MTFN</t>
  </si>
  <si>
    <t>Capitalinc Investment Tbk</t>
  </si>
  <si>
    <t>MTLA</t>
  </si>
  <si>
    <t>Metropolitan Land Tbk</t>
  </si>
  <si>
    <t>MTMH</t>
  </si>
  <si>
    <t>PT Murni Sadar Tbk</t>
  </si>
  <si>
    <t>MTPS</t>
  </si>
  <si>
    <t>PT Meta Epsi Tbk.</t>
  </si>
  <si>
    <t>MTRA</t>
  </si>
  <si>
    <t>PT Mitra Pemuda Tbk.</t>
  </si>
  <si>
    <t>MTSM</t>
  </si>
  <si>
    <t>Metro Realty Tbk</t>
  </si>
  <si>
    <t>MTWI</t>
  </si>
  <si>
    <t>PT Malacca Trust Wuwungan Insurance Tbk.</t>
  </si>
  <si>
    <t>12 Okt 2017</t>
  </si>
  <si>
    <t>MUTU</t>
  </si>
  <si>
    <t>PT Mutuagung Lestari Tbk</t>
  </si>
  <si>
    <t>MYOH</t>
  </si>
  <si>
    <t>Samindo Resources Tbk</t>
  </si>
  <si>
    <t>MYOR</t>
  </si>
  <si>
    <t>Mayora Indah Tbk</t>
  </si>
  <si>
    <t>MYRX</t>
  </si>
  <si>
    <t>Hanson International Tbk</t>
  </si>
  <si>
    <t>31 Okt 1990</t>
  </si>
  <si>
    <t>MYTX</t>
  </si>
  <si>
    <t>PT Asia Pacific Investama Tbk.</t>
  </si>
  <si>
    <t>10 Okt 1989</t>
  </si>
  <si>
    <t>NAIK</t>
  </si>
  <si>
    <t>PT Adiwarna Anugerah Abadi Tbk</t>
  </si>
  <si>
    <t>NANO</t>
  </si>
  <si>
    <t>PT Nanotech Indonesia Global Tbk</t>
  </si>
  <si>
    <t>NASA</t>
  </si>
  <si>
    <t>PT Andalan Perkasa Abadi Tbk</t>
  </si>
  <si>
    <t>07 Agt 2017</t>
  </si>
  <si>
    <t>NASI</t>
  </si>
  <si>
    <t>PT Wahana Inti Makmur Tbk</t>
  </si>
  <si>
    <t>13 Des 2021</t>
  </si>
  <si>
    <t>NATO</t>
  </si>
  <si>
    <t>PT Surya Permata Andalan Tbk</t>
  </si>
  <si>
    <t>NAYZ</t>
  </si>
  <si>
    <t>PT Hassana Boga Sejahtera Tbk</t>
  </si>
  <si>
    <t>NCKL</t>
  </si>
  <si>
    <t>PT Trimegah Bangun Persada Tbk.</t>
  </si>
  <si>
    <t>NELY</t>
  </si>
  <si>
    <t>Pelayaran Nelly Dwi Putri Tbk</t>
  </si>
  <si>
    <t>11 Okt 2012</t>
  </si>
  <si>
    <t>NEST</t>
  </si>
  <si>
    <t>PT Esta Indonesia Tbk</t>
  </si>
  <si>
    <t>08 Agt 2024</t>
  </si>
  <si>
    <t>NETV</t>
  </si>
  <si>
    <t>PT MDTV Media Technologies Tbk</t>
  </si>
  <si>
    <t>NFCX</t>
  </si>
  <si>
    <t>PT NFC Indonesia Tbk</t>
  </si>
  <si>
    <t>NICE</t>
  </si>
  <si>
    <t>PT Adhi Kartiko Pratama Tbk</t>
  </si>
  <si>
    <t>NICK</t>
  </si>
  <si>
    <t>PT Charnic Capital Tbk.</t>
  </si>
  <si>
    <t>02 Mei 2018</t>
  </si>
  <si>
    <t>NICL</t>
  </si>
  <si>
    <t>PT PAM Mineral Tbk</t>
  </si>
  <si>
    <t>NIKL</t>
  </si>
  <si>
    <t>Pelat Timah Nusantara Tbk</t>
  </si>
  <si>
    <t>14 Des 2009</t>
  </si>
  <si>
    <t>NINE</t>
  </si>
  <si>
    <t>PT Techno9 Indonesia Tbk</t>
  </si>
  <si>
    <t>05 Des 2022</t>
  </si>
  <si>
    <t>NIPS</t>
  </si>
  <si>
    <t>Nipress Tbk</t>
  </si>
  <si>
    <t>NIRO</t>
  </si>
  <si>
    <t>City Retail Developments Tbk</t>
  </si>
  <si>
    <t>NISP</t>
  </si>
  <si>
    <t>PT Bank OCBC NISP Tbk</t>
  </si>
  <si>
    <t>20 Okt 1994</t>
  </si>
  <si>
    <t>NOBU</t>
  </si>
  <si>
    <t>PT Bank Nationalnobu Tbk.</t>
  </si>
  <si>
    <t>20 Mei 2013</t>
  </si>
  <si>
    <t>NPGF</t>
  </si>
  <si>
    <t>PT Nusa Palapa Gemilang Tbk</t>
  </si>
  <si>
    <t>NRCA</t>
  </si>
  <si>
    <t>PT Nusa Raya Cipta Tbk.</t>
  </si>
  <si>
    <t>NSSS</t>
  </si>
  <si>
    <t>PT Nusantara Sawit Sejahtera Tbk</t>
  </si>
  <si>
    <t>NTBK</t>
  </si>
  <si>
    <t>PT Nusatama Berkah Tbk</t>
  </si>
  <si>
    <t>NUSA</t>
  </si>
  <si>
    <t>PT Sinergi Megah Internusa Tbk</t>
  </si>
  <si>
    <t>NZIA</t>
  </si>
  <si>
    <t>PT Nusantara Almazia, Tbk.</t>
  </si>
  <si>
    <t>OASA</t>
  </si>
  <si>
    <t>PT Maharaksa Biru Energi Tbk</t>
  </si>
  <si>
    <t>OBAT</t>
  </si>
  <si>
    <t>PT Brigit Biofarmaka Teknologi Tbk</t>
  </si>
  <si>
    <t>OBMD</t>
  </si>
  <si>
    <t>PT OBM Drilchem Tbk</t>
  </si>
  <si>
    <t>OCAP</t>
  </si>
  <si>
    <t>ONIX CAPITAL Tbk</t>
  </si>
  <si>
    <t>10 Okt 2003</t>
  </si>
  <si>
    <t>OILS</t>
  </si>
  <si>
    <t>PT Indo Oil Perkasa Tbk</t>
  </si>
  <si>
    <t>OKAS</t>
  </si>
  <si>
    <t>Ancora Indonesia Resources Tbk</t>
  </si>
  <si>
    <t>OLIV</t>
  </si>
  <si>
    <t>PT Oscar Mitra Sukses Sejahtera Tbk</t>
  </si>
  <si>
    <t>17 Mei 2022</t>
  </si>
  <si>
    <t>OMED</t>
  </si>
  <si>
    <t>PT Jayamas Medica Industri Tbk</t>
  </si>
  <si>
    <t>OMRE</t>
  </si>
  <si>
    <t>Indonesia Prima Property Tbk</t>
  </si>
  <si>
    <t>22 Agt 1994</t>
  </si>
  <si>
    <t>OPMS</t>
  </si>
  <si>
    <t>PT Optima Prima Metal Sinergi Tbk.</t>
  </si>
  <si>
    <t>PACK</t>
  </si>
  <si>
    <t>PT Abadi Nusantara Hijau Investama Tbk</t>
  </si>
  <si>
    <t>PADA</t>
  </si>
  <si>
    <t>PT Personel Alih Daya Tbk</t>
  </si>
  <si>
    <t>08 Des 2022</t>
  </si>
  <si>
    <t>PADI</t>
  </si>
  <si>
    <t>Minna Padi Investama Sekuritas Tbk</t>
  </si>
  <si>
    <t>PALM</t>
  </si>
  <si>
    <t>PT Provident Investasi Bersama Tbk</t>
  </si>
  <si>
    <t>08 Okt 2012</t>
  </si>
  <si>
    <t>PAMG</t>
  </si>
  <si>
    <t>PT Bima Sakti Pertiwi Tbk</t>
  </si>
  <si>
    <t>PANI</t>
  </si>
  <si>
    <t>PT Pantai Indah Kapuk Dua Tbk.</t>
  </si>
  <si>
    <t>PANR</t>
  </si>
  <si>
    <t>Panorama Sentrawisata Tbk</t>
  </si>
  <si>
    <t>PANS</t>
  </si>
  <si>
    <t>Panin Sekuritas Tbk</t>
  </si>
  <si>
    <t>PART</t>
  </si>
  <si>
    <t>PT Cipta Perdana Lancar Tbk</t>
  </si>
  <si>
    <t>PBID</t>
  </si>
  <si>
    <t>PT Panca Budi Idaman Tbk</t>
  </si>
  <si>
    <t>PBRX</t>
  </si>
  <si>
    <t>Pan Brothers Tbk</t>
  </si>
  <si>
    <t>16 Agt 1990</t>
  </si>
  <si>
    <t>PBSA</t>
  </si>
  <si>
    <t>PT Paramita Bangun Sarana Tbk</t>
  </si>
  <si>
    <t>PCAR</t>
  </si>
  <si>
    <t>PT Prima Cakrawala Abadi Tbk</t>
  </si>
  <si>
    <t>29 Des 2017</t>
  </si>
  <si>
    <t>PDES</t>
  </si>
  <si>
    <t>Destinasi Tirta Nusantara Tbk</t>
  </si>
  <si>
    <t>PDPP</t>
  </si>
  <si>
    <t>PT Primadaya Plastisindo Tbk</t>
  </si>
  <si>
    <t>PEGE</t>
  </si>
  <si>
    <t>PT Panca Global Kapital Tbk.</t>
  </si>
  <si>
    <t>PEHA</t>
  </si>
  <si>
    <t>PT Phapros Tbk</t>
  </si>
  <si>
    <t>26 Des 2018</t>
  </si>
  <si>
    <t>PEVE</t>
  </si>
  <si>
    <t>PT Penta Valent Tbk</t>
  </si>
  <si>
    <t>PGAS</t>
  </si>
  <si>
    <t>PT Perusahaan Gas Negara Tbk.</t>
  </si>
  <si>
    <t>15 Des 2003</t>
  </si>
  <si>
    <t>PGEO</t>
  </si>
  <si>
    <t>PT Pertamina Geothermal Energy Tbk</t>
  </si>
  <si>
    <t>PGJO</t>
  </si>
  <si>
    <t>PT Tourindo Guide Indonesia Tbk.</t>
  </si>
  <si>
    <t>PGLI</t>
  </si>
  <si>
    <t>Pembangunan Graha Lestari Indah Tbk</t>
  </si>
  <si>
    <t>PGUN</t>
  </si>
  <si>
    <t>PT Pradiksi Gunatama Tbk</t>
  </si>
  <si>
    <t>PICO</t>
  </si>
  <si>
    <t>Pelangi Indah Canindo Tbk</t>
  </si>
  <si>
    <t>PIPA</t>
  </si>
  <si>
    <t>PT Multi Makmur Lemindo Tbk.</t>
  </si>
  <si>
    <t>PJAA</t>
  </si>
  <si>
    <t>Pembangunan Jaya Ancol Tbk</t>
  </si>
  <si>
    <t>PKPK</t>
  </si>
  <si>
    <t>Paragon Karya Perkasa Tbk</t>
  </si>
  <si>
    <t>PLAN</t>
  </si>
  <si>
    <t>PT Planet Properindo Jaya Tbk</t>
  </si>
  <si>
    <t>PLAS</t>
  </si>
  <si>
    <t>Polaris Investama Tbk</t>
  </si>
  <si>
    <t>PLIN</t>
  </si>
  <si>
    <t>Plaza Indonesia Realty Tbk</t>
  </si>
  <si>
    <t>PMJS</t>
  </si>
  <si>
    <t>PT Putra Mandiri Jembar Tbk</t>
  </si>
  <si>
    <t>18 Des 2019</t>
  </si>
  <si>
    <t>PMMP</t>
  </si>
  <si>
    <t>PT Panca Mitra Multiperdana Tbk.</t>
  </si>
  <si>
    <t>18 Des 2020</t>
  </si>
  <si>
    <t>PMUI</t>
  </si>
  <si>
    <t>PT Prima Multi Usaha Indonesia Tbk</t>
  </si>
  <si>
    <t>PNBN</t>
  </si>
  <si>
    <t>Bank Pan Indonesia Tbk</t>
  </si>
  <si>
    <t>29 Des 1982</t>
  </si>
  <si>
    <t>PNBS</t>
  </si>
  <si>
    <t>PT Bank Panin Dubai Syariah Tbk.</t>
  </si>
  <si>
    <t>PNGO</t>
  </si>
  <si>
    <t>PT Pinago Utama Tbk</t>
  </si>
  <si>
    <t>31 Agt 2020</t>
  </si>
  <si>
    <t>PNIN</t>
  </si>
  <si>
    <t>Paninvest Tbk</t>
  </si>
  <si>
    <t>PNLF</t>
  </si>
  <si>
    <t>Panin Financial Tbk</t>
  </si>
  <si>
    <t>PNSE</t>
  </si>
  <si>
    <t>Pudjiadi &amp; Sons Tbk</t>
  </si>
  <si>
    <t>01 Mei 1990</t>
  </si>
  <si>
    <t>POLA</t>
  </si>
  <si>
    <t>PT Pool Advista Finance Tbk.</t>
  </si>
  <si>
    <t>POLI</t>
  </si>
  <si>
    <t>PT Pollux Hotels Group Tbk</t>
  </si>
  <si>
    <t>POLL</t>
  </si>
  <si>
    <t>PT Pollux Properties Indonesia Tbk.</t>
  </si>
  <si>
    <t>POLU</t>
  </si>
  <si>
    <t>PT Golden Flower Tbk.</t>
  </si>
  <si>
    <t>POLY</t>
  </si>
  <si>
    <t>Asia Pacific Fibers Tbk</t>
  </si>
  <si>
    <t>POOL</t>
  </si>
  <si>
    <t>Pool Advista Indonesia Tbk</t>
  </si>
  <si>
    <t>20 Mei 1991</t>
  </si>
  <si>
    <t>PORT</t>
  </si>
  <si>
    <t>PT Nusantara Pelabuhan Handal Tbk.</t>
  </si>
  <si>
    <t>POSA</t>
  </si>
  <si>
    <t>PT Bliss Properti Indonesia Tbk.</t>
  </si>
  <si>
    <t>10 Mei 2019</t>
  </si>
  <si>
    <t>POWR</t>
  </si>
  <si>
    <t>PT Cikarang Listrindo Tbk.</t>
  </si>
  <si>
    <t>PPGL</t>
  </si>
  <si>
    <t>PT Prima Globalindo Logistik Tbk.</t>
  </si>
  <si>
    <t>PPRE</t>
  </si>
  <si>
    <t>PT PP Presisi Tbk.</t>
  </si>
  <si>
    <t>PPRI</t>
  </si>
  <si>
    <t>PT Paperocks Indonesia Tbk.</t>
  </si>
  <si>
    <t>PPRO</t>
  </si>
  <si>
    <t>PT PP Properti Tbk.</t>
  </si>
  <si>
    <t>19 Mei 2015</t>
  </si>
  <si>
    <t>PRAS</t>
  </si>
  <si>
    <t>Prima Alloy Steel Universal Tbk</t>
  </si>
  <si>
    <t>PRAY</t>
  </si>
  <si>
    <t>PT Famon Awal Bros Sedaya Tbk</t>
  </si>
  <si>
    <t>PRDA</t>
  </si>
  <si>
    <t>PT Prodia Widyahusada Tbk.</t>
  </si>
  <si>
    <t>07 Des 2016</t>
  </si>
  <si>
    <t>PRIM</t>
  </si>
  <si>
    <t>PT Royal Prima Tbk.</t>
  </si>
  <si>
    <t>15 Mei 2018</t>
  </si>
  <si>
    <t>PSAB</t>
  </si>
  <si>
    <t>J RESOURCES ASIA PASIFIK Tbk</t>
  </si>
  <si>
    <t>PSAT</t>
  </si>
  <si>
    <t>PT Pancaran Samudera Transport Tbk</t>
  </si>
  <si>
    <t>PSDN</t>
  </si>
  <si>
    <t>Prasidha Aneka Niaga Tbk</t>
  </si>
  <si>
    <t>18 Okt 1994</t>
  </si>
  <si>
    <t>PSGO</t>
  </si>
  <si>
    <t>PT Palma Serasih Tbk.</t>
  </si>
  <si>
    <t>PSKT</t>
  </si>
  <si>
    <t>PT Red Planet Indonesia Tbk</t>
  </si>
  <si>
    <t>PSSI</t>
  </si>
  <si>
    <t>PT IMC Pelita Logistik Tbk</t>
  </si>
  <si>
    <t>05 Des 2017</t>
  </si>
  <si>
    <t>PTBA</t>
  </si>
  <si>
    <t>Bukit Asam Tbk</t>
  </si>
  <si>
    <t>23 Des 2002</t>
  </si>
  <si>
    <t>PTDU</t>
  </si>
  <si>
    <t>PT Djasa Ubersakti Tbk</t>
  </si>
  <si>
    <t>08 Des 2020</t>
  </si>
  <si>
    <t>PTIS</t>
  </si>
  <si>
    <t>Indo Straits Tbk</t>
  </si>
  <si>
    <t>PTMP</t>
  </si>
  <si>
    <t>PT Mitra Pack Tbk.</t>
  </si>
  <si>
    <t>PTMR</t>
  </si>
  <si>
    <t>PT Master Print Tbk</t>
  </si>
  <si>
    <t>08 Okt 2024</t>
  </si>
  <si>
    <t>PTPP</t>
  </si>
  <si>
    <t>PP (Persero) Tbk</t>
  </si>
  <si>
    <t>PTPS</t>
  </si>
  <si>
    <t>PT Pulau Subur Tbk.</t>
  </si>
  <si>
    <t>PTPW</t>
  </si>
  <si>
    <t>PT Pratama Widya Tbk.</t>
  </si>
  <si>
    <t>PTRO</t>
  </si>
  <si>
    <t>Petrosea Tbk</t>
  </si>
  <si>
    <t>21 Mei 1990</t>
  </si>
  <si>
    <t>PTSN</t>
  </si>
  <si>
    <t>Sat Nusapersada Tbk</t>
  </si>
  <si>
    <t>PTSP</t>
  </si>
  <si>
    <t>Pioneerindo Gourmet International Tbk</t>
  </si>
  <si>
    <t>30 Mei 1994</t>
  </si>
  <si>
    <t>PUDP</t>
  </si>
  <si>
    <t>Pudjiadi Prestige Tbk</t>
  </si>
  <si>
    <t>PURA</t>
  </si>
  <si>
    <t>PT Putra Rajawali Kencana Tbk.</t>
  </si>
  <si>
    <t>PURE</t>
  </si>
  <si>
    <t>PT Trinitan Metals and Minerals Tbk</t>
  </si>
  <si>
    <t>09 Okt 2019</t>
  </si>
  <si>
    <t>PURI</t>
  </si>
  <si>
    <t>PT Puri Global Sukses Tbk</t>
  </si>
  <si>
    <t>PWON</t>
  </si>
  <si>
    <t>Pakuwon Jati Tbk</t>
  </si>
  <si>
    <t>PYFA</t>
  </si>
  <si>
    <t>PT Pyridam Farma Tbk</t>
  </si>
  <si>
    <t>16 Okt 2001</t>
  </si>
  <si>
    <t>PZZA</t>
  </si>
  <si>
    <t>PT Sarimelati Kencana Tbk.</t>
  </si>
  <si>
    <t>23 Mei 2018</t>
  </si>
  <si>
    <t>RAAM</t>
  </si>
  <si>
    <t>PT Tripar Multivision Plus Tbk.</t>
  </si>
  <si>
    <t>RAFI</t>
  </si>
  <si>
    <t>PT Sari Kreasi Boga Tbk</t>
  </si>
  <si>
    <t>05 Agt 2022</t>
  </si>
  <si>
    <t>RAJA</t>
  </si>
  <si>
    <t>Rukun Raharja Tbk</t>
  </si>
  <si>
    <t>RALS</t>
  </si>
  <si>
    <t>Ramayana Lestari Sentosa Tbk</t>
  </si>
  <si>
    <t>RANC</t>
  </si>
  <si>
    <t>Supra Boga Lestari Tbk</t>
  </si>
  <si>
    <t>RATU</t>
  </si>
  <si>
    <t>PT Raharja Energi Cepu Tbk</t>
  </si>
  <si>
    <t>RBMS</t>
  </si>
  <si>
    <t>Ristia Bintang Mahkotasejati Tbk</t>
  </si>
  <si>
    <t>19 Des 1997</t>
  </si>
  <si>
    <t>RCCC</t>
  </si>
  <si>
    <t>PT Utama Radar Cahaya Tbk</t>
  </si>
  <si>
    <t>02 Agt 2022</t>
  </si>
  <si>
    <t>RDTX</t>
  </si>
  <si>
    <t>Roda Vivatex Tbk</t>
  </si>
  <si>
    <t>14 Mei 1990</t>
  </si>
  <si>
    <t>REAL</t>
  </si>
  <si>
    <t>PT Repower Asia Indonesia Tbk.</t>
  </si>
  <si>
    <t>06 Des 2019</t>
  </si>
  <si>
    <t>RELF</t>
  </si>
  <si>
    <t>PT Graha Mitra Asia Tbk.</t>
  </si>
  <si>
    <t>RELI</t>
  </si>
  <si>
    <t>Reliance Sekuritas Indonesia Tbk</t>
  </si>
  <si>
    <t>RGAS</t>
  </si>
  <si>
    <t>PT Kian Santang Muliatama Tbk.</t>
  </si>
  <si>
    <t>RICY</t>
  </si>
  <si>
    <t>Ricky Putra Globalindo Tbk</t>
  </si>
  <si>
    <t>RIGS</t>
  </si>
  <si>
    <t>Rig Tenders Tbk</t>
  </si>
  <si>
    <t>RIMO</t>
  </si>
  <si>
    <t>PT Rimo International Lestari Tbk.</t>
  </si>
  <si>
    <t>RISE</t>
  </si>
  <si>
    <t>PT Jaya Sukses Makmur Sentosa Tbk.</t>
  </si>
  <si>
    <t>RMKE</t>
  </si>
  <si>
    <t>PT RMK Energy Tbk</t>
  </si>
  <si>
    <t>07 Des 2021</t>
  </si>
  <si>
    <t>RMKO</t>
  </si>
  <si>
    <t>PT Royaltama Mulia Kontraktorindo Tbk.</t>
  </si>
  <si>
    <t>ROCK</t>
  </si>
  <si>
    <t>PT Rockfields Properti Indonesia Tbk.</t>
  </si>
  <si>
    <t>RODA</t>
  </si>
  <si>
    <t>Pikko Land Development Tbk</t>
  </si>
  <si>
    <t>22 Okt 2001</t>
  </si>
  <si>
    <t>RONY</t>
  </si>
  <si>
    <t>PT Aracord Nusantara Group Tbk</t>
  </si>
  <si>
    <t>ROTI</t>
  </si>
  <si>
    <t>PT Nippon Indosari Corpindo Tbk</t>
  </si>
  <si>
    <t>RSCH</t>
  </si>
  <si>
    <t>PT Charlie Hospital Semarang Tbk.</t>
  </si>
  <si>
    <t>28 Agt 2023</t>
  </si>
  <si>
    <t>RSGK</t>
  </si>
  <si>
    <t>PT Kedoya Adyaraya Tbk</t>
  </si>
  <si>
    <t>RUIS</t>
  </si>
  <si>
    <t>Radiant Utama Interinsco Tbk</t>
  </si>
  <si>
    <t>RUNS</t>
  </si>
  <si>
    <t>PT Global Sukses Solusi Tbk</t>
  </si>
  <si>
    <t>SAFE</t>
  </si>
  <si>
    <t>Steady Safe Tbk</t>
  </si>
  <si>
    <t>15 Agt 1994</t>
  </si>
  <si>
    <t>SAGE</t>
  </si>
  <si>
    <t>PT Saptausaha Gemilangindah Tbk</t>
  </si>
  <si>
    <t>SAME</t>
  </si>
  <si>
    <t>Sarana Meditama Metropolitan Tbk</t>
  </si>
  <si>
    <t>SAMF</t>
  </si>
  <si>
    <t>PT Saraswanti Anugerah Makmur Tbk.</t>
  </si>
  <si>
    <t>SAPX</t>
  </si>
  <si>
    <t>PT Satria Antaran Prima Tbk.</t>
  </si>
  <si>
    <t>03 Okt 2018</t>
  </si>
  <si>
    <t>SATU</t>
  </si>
  <si>
    <t>PT Kota Satu Properti Tbk.</t>
  </si>
  <si>
    <t>SBAT</t>
  </si>
  <si>
    <t>PT Sejahtera Bintang Abadi Textile Tbk.</t>
  </si>
  <si>
    <t>SBMA</t>
  </si>
  <si>
    <t>PT Surya Biru Murni Acetylene Tbk</t>
  </si>
  <si>
    <t>SCCO</t>
  </si>
  <si>
    <t>PT Supreme Cable Manufacturing &amp; Commerce Tbk</t>
  </si>
  <si>
    <t>SCMA</t>
  </si>
  <si>
    <t>Surya Citra Media Tbk</t>
  </si>
  <si>
    <t>SCNP</t>
  </si>
  <si>
    <t>PT Selaras Citra Nusantara Perkasa Tbk</t>
  </si>
  <si>
    <t>SCPI</t>
  </si>
  <si>
    <t>PT Organon Pharma Indonesia Tbk</t>
  </si>
  <si>
    <t>SDMU</t>
  </si>
  <si>
    <t>Sidomulyo Selaras Tbk</t>
  </si>
  <si>
    <t>SDPC</t>
  </si>
  <si>
    <t>Millennium Pharmacon International Tbk</t>
  </si>
  <si>
    <t>SDRA</t>
  </si>
  <si>
    <t>PT Bank Woori Saudara Indonesia 1906 Tbk</t>
  </si>
  <si>
    <t>15 Des 2006</t>
  </si>
  <si>
    <t>SEMA</t>
  </si>
  <si>
    <t>PT Semacom Integrated Tbk</t>
  </si>
  <si>
    <t>SFAN</t>
  </si>
  <si>
    <t>PT Surya Fajar Capital Tbk</t>
  </si>
  <si>
    <t>SGER</t>
  </si>
  <si>
    <t>PT Sumber Global Energy Tbk.</t>
  </si>
  <si>
    <t>10 Agt 2020</t>
  </si>
  <si>
    <t>SGRO</t>
  </si>
  <si>
    <t>PT Sampoerna Agro Tbk</t>
  </si>
  <si>
    <t>SHID</t>
  </si>
  <si>
    <t>Hotel Sahid Jaya Tbk</t>
  </si>
  <si>
    <t>SHIP</t>
  </si>
  <si>
    <t>PT Sillo Maritime Perdana Tbk</t>
  </si>
  <si>
    <t>SICO</t>
  </si>
  <si>
    <t>PT Sigma Energy Compressindo Tbk</t>
  </si>
  <si>
    <t>SIDO</t>
  </si>
  <si>
    <t>PT Industri Jamu Dan Farmasi Sido Muncul Tbk</t>
  </si>
  <si>
    <t>18 Des 2013</t>
  </si>
  <si>
    <t>SILO</t>
  </si>
  <si>
    <t>PT Siloam International Hospitals Tbk.</t>
  </si>
  <si>
    <t>SIMA</t>
  </si>
  <si>
    <t>Siwani Makmur Tbk</t>
  </si>
  <si>
    <t>SIMP</t>
  </si>
  <si>
    <t>Salim Ivomas Pratama Tbk</t>
  </si>
  <si>
    <t>SINI</t>
  </si>
  <si>
    <t>PT Singaraja Putra Tbk.</t>
  </si>
  <si>
    <t>SIPD</t>
  </si>
  <si>
    <t>PT Sreeya Sewu Indonesia Tbk</t>
  </si>
  <si>
    <t>27 Des 1996</t>
  </si>
  <si>
    <t>SKBM</t>
  </si>
  <si>
    <t>Sekar Bumi Tbk</t>
  </si>
  <si>
    <t>SKLT</t>
  </si>
  <si>
    <t>Sekar Laut Tbk</t>
  </si>
  <si>
    <t>SKRN</t>
  </si>
  <si>
    <t>PT Superkrane Mitra Utama Tbk</t>
  </si>
  <si>
    <t>11 Okt 2018</t>
  </si>
  <si>
    <t>SKYB</t>
  </si>
  <si>
    <t>PT Northcliff Citranusa Indonesia Tbk.</t>
  </si>
  <si>
    <t>SLIS</t>
  </si>
  <si>
    <t>PT Gaya Abadi Sempurna Tbk</t>
  </si>
  <si>
    <t>07 Okt 2019</t>
  </si>
  <si>
    <t>SMAR</t>
  </si>
  <si>
    <t>PT Sinar Mas Agro Resources and Technology Tbk</t>
  </si>
  <si>
    <t>SMBR</t>
  </si>
  <si>
    <t>PT Semen Baturaja Tbk</t>
  </si>
  <si>
    <t>SMCB</t>
  </si>
  <si>
    <t>PT Solusi Bangun Indonesia Tbk</t>
  </si>
  <si>
    <t>10 Agt 1977</t>
  </si>
  <si>
    <t>SMDM</t>
  </si>
  <si>
    <t>Suryamas Dutamakmur Tbk</t>
  </si>
  <si>
    <t>12 Okt 1995</t>
  </si>
  <si>
    <t>SMDR</t>
  </si>
  <si>
    <t>Samudera Indonesia Tbk</t>
  </si>
  <si>
    <t>SMGA</t>
  </si>
  <si>
    <t>PT Sumber Mineral Global Abadi Tbk</t>
  </si>
  <si>
    <t>SMGR</t>
  </si>
  <si>
    <t>Semen Indonesia (Persero) Tbk</t>
  </si>
  <si>
    <t>SMIL</t>
  </si>
  <si>
    <t>PT Sarana Mitra Luas Tbk</t>
  </si>
  <si>
    <t>12 Mei 2023</t>
  </si>
  <si>
    <t>SMKL</t>
  </si>
  <si>
    <t>PT Satyamitra Kemas Lestari Tbk</t>
  </si>
  <si>
    <t>SMKM</t>
  </si>
  <si>
    <t>PT Sumber Mas Konstruksi Tbk</t>
  </si>
  <si>
    <t>SMLE</t>
  </si>
  <si>
    <t>PT Sinergi Multi Lestarindo Tbk</t>
  </si>
  <si>
    <t>SMMA</t>
  </si>
  <si>
    <t>PT Sinar Mas Multiartha Tbk</t>
  </si>
  <si>
    <t>SMMT</t>
  </si>
  <si>
    <t>GOLDEN EAGLE ENERGY Tbk</t>
  </si>
  <si>
    <t>01 Des 1997</t>
  </si>
  <si>
    <t>SMRA</t>
  </si>
  <si>
    <t>PT Summarecon Agung Tbk</t>
  </si>
  <si>
    <t>SMRU</t>
  </si>
  <si>
    <t>SMR Utama Tbk</t>
  </si>
  <si>
    <t>10 Okt 2011</t>
  </si>
  <si>
    <t>SMSM</t>
  </si>
  <si>
    <t>Selamat Sempurna Tbk</t>
  </si>
  <si>
    <t>SNLK</t>
  </si>
  <si>
    <t>PT Sunter Lakeside Hotel Tbk.</t>
  </si>
  <si>
    <t>SOCI</t>
  </si>
  <si>
    <t>PT Soechi Lines Tbk.</t>
  </si>
  <si>
    <t>03 Des 2014</t>
  </si>
  <si>
    <t>SOFA</t>
  </si>
  <si>
    <t>PT Boston Furniture Industries Tbk..</t>
  </si>
  <si>
    <t>SOHO</t>
  </si>
  <si>
    <t>PT Soho Global Health Tbk</t>
  </si>
  <si>
    <t>SOLA</t>
  </si>
  <si>
    <t>PT Xolare RCR Energy Tbk</t>
  </si>
  <si>
    <t>08 Mei 2024</t>
  </si>
  <si>
    <t>SONA</t>
  </si>
  <si>
    <t>Sona Topas Tourism Industry Tbk</t>
  </si>
  <si>
    <t>SOSS</t>
  </si>
  <si>
    <t>PT Shield On Service Tbk.</t>
  </si>
  <si>
    <t>SOTS</t>
  </si>
  <si>
    <t>PT Satria Mega Kencana Tbk.</t>
  </si>
  <si>
    <t>10 Des 2018</t>
  </si>
  <si>
    <t>SOUL</t>
  </si>
  <si>
    <t>PT Mitra Tirta Buwana Tbk</t>
  </si>
  <si>
    <t>SPMA</t>
  </si>
  <si>
    <t>Suparma Tbk</t>
  </si>
  <si>
    <t>SPRE</t>
  </si>
  <si>
    <t>PT Soraya Berjaya Indonesia Tbk</t>
  </si>
  <si>
    <t>SPTO</t>
  </si>
  <si>
    <t>PT Surya Pertiwi Tbk</t>
  </si>
  <si>
    <t>14 Mei 2018</t>
  </si>
  <si>
    <t>SQMI</t>
  </si>
  <si>
    <t>Wilton Makmur Indonesia Tbk</t>
  </si>
  <si>
    <t>SRAJ</t>
  </si>
  <si>
    <t>Sejahteraraya Anugrahjaya Tbk</t>
  </si>
  <si>
    <t>SRIL</t>
  </si>
  <si>
    <t>PT Sri Rejeki Isman Tbk</t>
  </si>
  <si>
    <t>SRSN</t>
  </si>
  <si>
    <t>Indo Acidatama Tbk</t>
  </si>
  <si>
    <t>SRTG</t>
  </si>
  <si>
    <t>PT Saratoga Investama Sedaya Tbk.</t>
  </si>
  <si>
    <t>SSIA</t>
  </si>
  <si>
    <t>PT Surya Semesta Internusa Tbk</t>
  </si>
  <si>
    <t>SSMS</t>
  </si>
  <si>
    <t>PT Sawit Sumbermas Sarana Tbk.</t>
  </si>
  <si>
    <t>12 Des 2013</t>
  </si>
  <si>
    <t>SSTM</t>
  </si>
  <si>
    <t>Sunson Textile Manufacturer Tbk</t>
  </si>
  <si>
    <t>20 Agt 1997</t>
  </si>
  <si>
    <t>STAA</t>
  </si>
  <si>
    <t>PT Sumber Tani Agung Resources Tbk</t>
  </si>
  <si>
    <t>STAR</t>
  </si>
  <si>
    <t>PT Buana Artha Anugerah Tbk.</t>
  </si>
  <si>
    <t>STRK</t>
  </si>
  <si>
    <t>PT Lovina Beach Brewery Tbk.</t>
  </si>
  <si>
    <t>10 Okt 2023</t>
  </si>
  <si>
    <t>STTP</t>
  </si>
  <si>
    <t>PT Siantar Top Tbk</t>
  </si>
  <si>
    <t>16 Des 1996</t>
  </si>
  <si>
    <t>SUGI</t>
  </si>
  <si>
    <t>Sugih Energy Tbk</t>
  </si>
  <si>
    <t>SULI</t>
  </si>
  <si>
    <t>PT SLJ Global Tbk</t>
  </si>
  <si>
    <t>SUNI</t>
  </si>
  <si>
    <t>PT Sunindo Pratama Tbk</t>
  </si>
  <si>
    <t>SUPR</t>
  </si>
  <si>
    <t>Solusi Tunas Pratama Tbk</t>
  </si>
  <si>
    <t>11 Okt 2011</t>
  </si>
  <si>
    <t>SURE</t>
  </si>
  <si>
    <t>PT Super Energy Tbk.</t>
  </si>
  <si>
    <t>SURI</t>
  </si>
  <si>
    <t>PT Maja Agung Latexindo Tbk.</t>
  </si>
  <si>
    <t>07 Des 2023</t>
  </si>
  <si>
    <t>SWAT</t>
  </si>
  <si>
    <t>PT Sriwahana Adityakarta Tbk.</t>
  </si>
  <si>
    <t>SWID</t>
  </si>
  <si>
    <t>PT Saraswanti Indoland Development Tbk</t>
  </si>
  <si>
    <t>TALF</t>
  </si>
  <si>
    <t>PT Tunas Alfin Tbk</t>
  </si>
  <si>
    <t>TAMA</t>
  </si>
  <si>
    <t>PT Lancartama Sejati Tbk.</t>
  </si>
  <si>
    <t>TAMU</t>
  </si>
  <si>
    <t>PT Pelayaran Tamarin Samudra Tbk.</t>
  </si>
  <si>
    <t>TAPG</t>
  </si>
  <si>
    <t>PT Triputra Agro Persada Tbk.</t>
  </si>
  <si>
    <t>TARA</t>
  </si>
  <si>
    <t>PT Agung Semesta Sejahtera Tbk</t>
  </si>
  <si>
    <t>TAXI</t>
  </si>
  <si>
    <t>Express Transindo Utama Tbk</t>
  </si>
  <si>
    <t>TAYS</t>
  </si>
  <si>
    <t>PT Jaya Swarasa Agung Tbk</t>
  </si>
  <si>
    <t>TBIG</t>
  </si>
  <si>
    <t>PT Tower Bersama Infrastructure Tbk</t>
  </si>
  <si>
    <t>26 Okt 2010</t>
  </si>
  <si>
    <t>TBLA</t>
  </si>
  <si>
    <t>Tunas Baru Lampung Tbk</t>
  </si>
  <si>
    <t>TBMS</t>
  </si>
  <si>
    <t>Tembaga Mulia Semanan Tbk</t>
  </si>
  <si>
    <t>23 Mei 1990</t>
  </si>
  <si>
    <t>TCID</t>
  </si>
  <si>
    <t>Mandom Indonesia Tbk</t>
  </si>
  <si>
    <t>TCPI</t>
  </si>
  <si>
    <t>PT Transcoal Pacific Tbk.</t>
  </si>
  <si>
    <t>TDPM</t>
  </si>
  <si>
    <t>PT Tianrong Chemicals Industry Tbk</t>
  </si>
  <si>
    <t>TEBE</t>
  </si>
  <si>
    <t>PT Dana Brata Luhur Tbk.</t>
  </si>
  <si>
    <t>TECH</t>
  </si>
  <si>
    <t>PT Indosterling Technomedia Tbk</t>
  </si>
  <si>
    <t>TELE</t>
  </si>
  <si>
    <t>PT Omni Inovasi Indonesia Tbk</t>
  </si>
  <si>
    <t>TFAS</t>
  </si>
  <si>
    <t>PT Telefast Indonesia Tbk.</t>
  </si>
  <si>
    <t>TFCO</t>
  </si>
  <si>
    <t>Tifico Fiber Indonesia Tbk</t>
  </si>
  <si>
    <t>TGKA</t>
  </si>
  <si>
    <t>Tigaraksa Satria Tbk</t>
  </si>
  <si>
    <t>TGRA</t>
  </si>
  <si>
    <t>PT Terregra Asia Energy</t>
  </si>
  <si>
    <t>16 Mei 2017</t>
  </si>
  <si>
    <t>TGUK</t>
  </si>
  <si>
    <t>PT Platinum Wahab Nusantara Tbk.</t>
  </si>
  <si>
    <t>TIFA</t>
  </si>
  <si>
    <t>KDB Tifa Finance Tbk</t>
  </si>
  <si>
    <t>TINS</t>
  </si>
  <si>
    <t>PT Timah Tbk.</t>
  </si>
  <si>
    <t>19 Okt 1995</t>
  </si>
  <si>
    <t>TIRA</t>
  </si>
  <si>
    <t>Tira Austenite Tbk</t>
  </si>
  <si>
    <t>TIRT</t>
  </si>
  <si>
    <t>Tirta Mahakam Resources Tbk</t>
  </si>
  <si>
    <t>13 Des 1999</t>
  </si>
  <si>
    <t>TKIM</t>
  </si>
  <si>
    <t>Pabrik Kertas Tjiwi Kimia Tbk</t>
  </si>
  <si>
    <t>TLDN</t>
  </si>
  <si>
    <t>PT Teladan Prima Agro Tbk</t>
  </si>
  <si>
    <t>TLKM</t>
  </si>
  <si>
    <t>PT Telkom Indonesia (Persero) Tbk</t>
  </si>
  <si>
    <t>TMAS</t>
  </si>
  <si>
    <t>PT Temas Tbk.</t>
  </si>
  <si>
    <t>TMPO</t>
  </si>
  <si>
    <t>Tempo Inti Media Tbk</t>
  </si>
  <si>
    <t>TNCA</t>
  </si>
  <si>
    <t>PT Trimuda Nuansa Citra Tbk.</t>
  </si>
  <si>
    <t>TOBA</t>
  </si>
  <si>
    <t>PT TBS Energi Utama Tbk</t>
  </si>
  <si>
    <t>TOOL</t>
  </si>
  <si>
    <t>PT Rohartindo Nusantara Luas Tbk</t>
  </si>
  <si>
    <t>TOPS</t>
  </si>
  <si>
    <t>PT Totalindo Eka Persada Tbk.</t>
  </si>
  <si>
    <t>TOSK</t>
  </si>
  <si>
    <t>PT Topindo Solusi Komunika Tbk.</t>
  </si>
  <si>
    <t>TOTL</t>
  </si>
  <si>
    <t>Total Bangun Persada Tbk</t>
  </si>
  <si>
    <t>TOTO</t>
  </si>
  <si>
    <t>Surya Toto Indonesia Tbk</t>
  </si>
  <si>
    <t>30 Okt 1990</t>
  </si>
  <si>
    <t>TOWR</t>
  </si>
  <si>
    <t>Sarana Menara Nusantara Tbk</t>
  </si>
  <si>
    <t>TOYS</t>
  </si>
  <si>
    <t>PT Sunindo Adipersada Tbk.</t>
  </si>
  <si>
    <t>06 Agt 2020</t>
  </si>
  <si>
    <t>TPIA</t>
  </si>
  <si>
    <t>PT Chandra Asri Pacific Tbk</t>
  </si>
  <si>
    <t>26 Mei 2008</t>
  </si>
  <si>
    <t>TPMA</t>
  </si>
  <si>
    <t>Trans Power Marine Tbk</t>
  </si>
  <si>
    <t>TRAM</t>
  </si>
  <si>
    <t>Trada Alam Minera Tbk.</t>
  </si>
  <si>
    <t>TRGU</t>
  </si>
  <si>
    <t>PT Cerestar Indonesia Tbk</t>
  </si>
  <si>
    <t>TRIL</t>
  </si>
  <si>
    <t>Triwira Insanlestari Tbk</t>
  </si>
  <si>
    <t>TRIM</t>
  </si>
  <si>
    <t>PT Trimegah Sekuritas Indonesia Tbk</t>
  </si>
  <si>
    <t>TRIN</t>
  </si>
  <si>
    <t>PT Perintis Triniti Properti Tbk</t>
  </si>
  <si>
    <t>TRIO</t>
  </si>
  <si>
    <t>Trikomsel Oke Tbk</t>
  </si>
  <si>
    <t>TRIS</t>
  </si>
  <si>
    <t>Trisula International Tbk</t>
  </si>
  <si>
    <t>TRJA</t>
  </si>
  <si>
    <t>PT Transkon Jaya Tbk.</t>
  </si>
  <si>
    <t>27 Agt 2020</t>
  </si>
  <si>
    <t>TRON</t>
  </si>
  <si>
    <t>PT Teknologi Karya Digital Nusa Tbk.</t>
  </si>
  <si>
    <t>TRST</t>
  </si>
  <si>
    <t>Trias Sentosa Tbk</t>
  </si>
  <si>
    <t>PT Triniti Dinamik Tbk</t>
  </si>
  <si>
    <t>TRUK</t>
  </si>
  <si>
    <t>PT Guna Timur Raya Tbk.</t>
  </si>
  <si>
    <t>TRUS</t>
  </si>
  <si>
    <t>Trust Finance Indonesia Tbk</t>
  </si>
  <si>
    <t>TSPC</t>
  </si>
  <si>
    <t>Tempo Scan Pacific Tbk</t>
  </si>
  <si>
    <t>TUGU</t>
  </si>
  <si>
    <t>PT Asuransi Tugu Pratama Indonesia Tbk</t>
  </si>
  <si>
    <t>28 Mei 2018</t>
  </si>
  <si>
    <t>TYRE</t>
  </si>
  <si>
    <t>PT King Tire Indonesia Tbk.</t>
  </si>
  <si>
    <t>UANG</t>
  </si>
  <si>
    <t>PT Pakuan Tbk</t>
  </si>
  <si>
    <t>UCID</t>
  </si>
  <si>
    <t>PT Uni-Charm Indonesia Tbk.</t>
  </si>
  <si>
    <t>20 Des 2019</t>
  </si>
  <si>
    <t>UDNG</t>
  </si>
  <si>
    <t>PT Agro Bahari Nusantara Tbk</t>
  </si>
  <si>
    <t>31 Okt 2023</t>
  </si>
  <si>
    <t>UFOE</t>
  </si>
  <si>
    <t>PT Damai Sejahtera Abadi Tbk</t>
  </si>
  <si>
    <t>ULTJ</t>
  </si>
  <si>
    <t>PT Ultrajaya Milk Industry &amp; Trading Company Tbk</t>
  </si>
  <si>
    <t>UNIC</t>
  </si>
  <si>
    <t>Unggul Indah Cahaya Tbk</t>
  </si>
  <si>
    <t>UNIQ</t>
  </si>
  <si>
    <t>PT Ulima Nitra Tbk</t>
  </si>
  <si>
    <t>UNIT</t>
  </si>
  <si>
    <t>Nusantara Inti Corpora Tbk</t>
  </si>
  <si>
    <t>UNSP</t>
  </si>
  <si>
    <t>Bakrie Sumatera Plantations Tbk</t>
  </si>
  <si>
    <t>UNTD</t>
  </si>
  <si>
    <t>PT Terang Dunia Internusa Tbk.</t>
  </si>
  <si>
    <t>UNTR</t>
  </si>
  <si>
    <t>United Tractors Tbk</t>
  </si>
  <si>
    <t>UNVR</t>
  </si>
  <si>
    <t>Unilever Indonesia Tbk</t>
  </si>
  <si>
    <t>URBN</t>
  </si>
  <si>
    <t>PT Urban Jakarta Propertindo Tbk.</t>
  </si>
  <si>
    <t>UVCR</t>
  </si>
  <si>
    <t>PT Trimegah Karya Pratama Tbk.</t>
  </si>
  <si>
    <t>VAST</t>
  </si>
  <si>
    <t>PT Vastland Indonesia Tbk</t>
  </si>
  <si>
    <t>VERN</t>
  </si>
  <si>
    <t>PT Verona Indah Pictures Tbk</t>
  </si>
  <si>
    <t>VICI</t>
  </si>
  <si>
    <t>PT Victoria Care Indonesia Tbk</t>
  </si>
  <si>
    <t>17 Des 2020</t>
  </si>
  <si>
    <t>VICO</t>
  </si>
  <si>
    <t>PT Victoria Investama Tbk.</t>
  </si>
  <si>
    <t>VINS</t>
  </si>
  <si>
    <t>PT Victoria Insurance Tbk.</t>
  </si>
  <si>
    <t>VISI</t>
  </si>
  <si>
    <t>PT Satu Visi Putra Tbk.</t>
  </si>
  <si>
    <t>VIVA</t>
  </si>
  <si>
    <t>PT Visi Media Asia Tbk</t>
  </si>
  <si>
    <t>VKTR</t>
  </si>
  <si>
    <t>PT VKTR Teknologi Mobilitas Tbk</t>
  </si>
  <si>
    <t>VOKS</t>
  </si>
  <si>
    <t>Voksel Electric Tbk</t>
  </si>
  <si>
    <t>20 Des 1990</t>
  </si>
  <si>
    <t>VRNA</t>
  </si>
  <si>
    <t>PT Mizuho Leasing Indonesia Tbk</t>
  </si>
  <si>
    <t>VTNY</t>
  </si>
  <si>
    <t>PT Venteny Fortuna International Tbk</t>
  </si>
  <si>
    <t>15 Des 2022</t>
  </si>
  <si>
    <t>WAPO</t>
  </si>
  <si>
    <t>Wahana Pronatural Tbk</t>
  </si>
  <si>
    <t>WEGE</t>
  </si>
  <si>
    <t>PT Wijaya Karya Bangunan Gedung Tbk.</t>
  </si>
  <si>
    <t>WEHA</t>
  </si>
  <si>
    <t>PT WEHA Transportasi Indonesia Tbk</t>
  </si>
  <si>
    <t>31 Mei 2007</t>
  </si>
  <si>
    <t>WGSH</t>
  </si>
  <si>
    <t>PT Wira Global Solusi Tbk</t>
  </si>
  <si>
    <t>WICO</t>
  </si>
  <si>
    <t>Wicaksana Overseas International Tbk</t>
  </si>
  <si>
    <t>08 Agt 1994</t>
  </si>
  <si>
    <t>WIDI</t>
  </si>
  <si>
    <t>PT Widiant Jaya Krenindo Tbk.</t>
  </si>
  <si>
    <t>WIFI</t>
  </si>
  <si>
    <t>PT Solusi Sinergi Digital Tbk</t>
  </si>
  <si>
    <t>30 Des 2020</t>
  </si>
  <si>
    <t>WIIM</t>
  </si>
  <si>
    <t>Wismilak Inti Makmur Tbk</t>
  </si>
  <si>
    <t>18 Des 2012</t>
  </si>
  <si>
    <t>WIKA</t>
  </si>
  <si>
    <t>PT Wijaya Karya (Persero) Tbk</t>
  </si>
  <si>
    <t>29 Okt 2007</t>
  </si>
  <si>
    <t>WINE</t>
  </si>
  <si>
    <t>PT Hatten Bali Tbk</t>
  </si>
  <si>
    <t>WINR</t>
  </si>
  <si>
    <t>PT Winner Nusantara Jaya Tbk</t>
  </si>
  <si>
    <t>WINS</t>
  </si>
  <si>
    <t>Wintermar Offshore Marine Tbk</t>
  </si>
  <si>
    <t>WIRG</t>
  </si>
  <si>
    <t>PT WIR ASIA Tbk</t>
  </si>
  <si>
    <t>WMPP</t>
  </si>
  <si>
    <t>PT Widodo Makmur Perkasa Tbk</t>
  </si>
  <si>
    <t>WMUU</t>
  </si>
  <si>
    <t>PT Widodo Makmur Unggas Tbk</t>
  </si>
  <si>
    <t>WOMF</t>
  </si>
  <si>
    <t>PT Wahana Ottomitra Multiartha Tbk</t>
  </si>
  <si>
    <t>13 Des 2004</t>
  </si>
  <si>
    <t>WOOD</t>
  </si>
  <si>
    <t>PT Integra Indocabinet Tbk</t>
  </si>
  <si>
    <t>WOWS</t>
  </si>
  <si>
    <t>PT Ginting Jaya Energi Tbk</t>
  </si>
  <si>
    <t>WSBP</t>
  </si>
  <si>
    <t>PT Waskita Beton Precast Tbk.</t>
  </si>
  <si>
    <t>WSKT</t>
  </si>
  <si>
    <t>PT Waskita Karya (Persero) Tbk</t>
  </si>
  <si>
    <t>19 Des 2012</t>
  </si>
  <si>
    <t>WTON</t>
  </si>
  <si>
    <t>Wijaya Karya Beton</t>
  </si>
  <si>
    <t>YELO</t>
  </si>
  <si>
    <t>PT Yelooo Integra Datanet Tbk.</t>
  </si>
  <si>
    <t>29 Okt 2018</t>
  </si>
  <si>
    <t>YOII</t>
  </si>
  <si>
    <t>PT Asuransi Digital Bersama Tbk</t>
  </si>
  <si>
    <t>YPAS</t>
  </si>
  <si>
    <t>Yanaprima Hastapersada Tbk</t>
  </si>
  <si>
    <t>YULE</t>
  </si>
  <si>
    <t>Yulie Sekuritas Indonesia Tbk</t>
  </si>
  <si>
    <t>10 Des 2004</t>
  </si>
  <si>
    <t>YUPI</t>
  </si>
  <si>
    <t>PT Yupi Indo Jelly Gum Tbk</t>
  </si>
  <si>
    <t>ZATA</t>
  </si>
  <si>
    <t>PT Bersama Zatta Jaya Tbk</t>
  </si>
  <si>
    <t>ZBRA</t>
  </si>
  <si>
    <t>PT Dosni Roha Indonesia Tbk</t>
  </si>
  <si>
    <t>01 Agt 1991</t>
  </si>
  <si>
    <t>ZINC</t>
  </si>
  <si>
    <t>PT Kapuas Prima Coal Tbk</t>
  </si>
  <si>
    <t>16 Okt 2017</t>
  </si>
  <si>
    <t>ZONE</t>
  </si>
  <si>
    <t>PT Mega Perintis Tbk.</t>
  </si>
  <si>
    <t>12 Des 2018</t>
  </si>
  <si>
    <t>ZYRX</t>
  </si>
  <si>
    <t>PT Zyrexindo Mandiri Buana Tbk</t>
  </si>
  <si>
    <t>LEGENDA</t>
  </si>
  <si>
    <t>Balance Sheet</t>
  </si>
  <si>
    <t>COMMON SIZE</t>
  </si>
  <si>
    <t>Komponen Cash Flow Statement, Changes on Working Capital, Current Assets</t>
  </si>
  <si>
    <t>(IDR)</t>
  </si>
  <si>
    <t>Komponen Cash Flow Statement, Changes on Working Capital, Current Liabilities</t>
  </si>
  <si>
    <t>AVG</t>
  </si>
  <si>
    <t>Growth</t>
  </si>
  <si>
    <t>ASSETS</t>
  </si>
  <si>
    <t>Current Assets</t>
  </si>
  <si>
    <t>Cash on Hands</t>
  </si>
  <si>
    <t>Cash on Bank (Deposit)</t>
  </si>
  <si>
    <t>Account Receivable</t>
  </si>
  <si>
    <t>Deposito</t>
  </si>
  <si>
    <t>Inventory</t>
  </si>
  <si>
    <t>Pembayaran Dimuka</t>
  </si>
  <si>
    <t>Others - PPn Lebih Bayar Kompensasi / PPh Pasal 25 / PPh Pasal 22/23</t>
  </si>
  <si>
    <t>Non Current Assets</t>
  </si>
  <si>
    <t>Fixed Asset</t>
  </si>
  <si>
    <t>Beginning</t>
  </si>
  <si>
    <t>Accumulated Depreciations</t>
  </si>
  <si>
    <t>Fixed Assets, Net</t>
  </si>
  <si>
    <t>Intangible Assets</t>
  </si>
  <si>
    <t>Total Non Current Asset</t>
  </si>
  <si>
    <t>LIABILITIES &amp; EQUITY</t>
  </si>
  <si>
    <t>Current Liabilities</t>
  </si>
  <si>
    <t>Bank Loan-Short Term</t>
  </si>
  <si>
    <t>Account Payables</t>
  </si>
  <si>
    <t>Tax Payable</t>
  </si>
  <si>
    <t>Others - Hutang Jangka Panjang / Hutang Jangka Pendek</t>
  </si>
  <si>
    <t>Non Current Liabilities</t>
  </si>
  <si>
    <t>Bank Loan-Long Term</t>
  </si>
  <si>
    <t>Related Party acc. Payable &amp; Employee Benefits</t>
  </si>
  <si>
    <t>LIABILITIES</t>
  </si>
  <si>
    <t>Shareholders' Equity</t>
  </si>
  <si>
    <t>Paid Up Capital</t>
  </si>
  <si>
    <t>Addition</t>
  </si>
  <si>
    <t>Retained Earnings</t>
  </si>
  <si>
    <t>Surplus</t>
  </si>
  <si>
    <t>Current Profit</t>
  </si>
  <si>
    <t>Retained Earnings, Ending Balance</t>
  </si>
  <si>
    <t>LIABILITES &amp; EQUITY</t>
  </si>
  <si>
    <t>Employee Receivable</t>
  </si>
  <si>
    <t>Bank Danomon A/C 006600669813</t>
  </si>
  <si>
    <t>Piutang Dagang</t>
  </si>
  <si>
    <t>Setara Kas</t>
  </si>
  <si>
    <t>Hutang Dagang</t>
  </si>
  <si>
    <t>Hutang Gaji Karyawan</t>
  </si>
  <si>
    <t>Hutang PPh Pasal 29/2021</t>
  </si>
  <si>
    <t>Hutang PPh Pasal 25/2021</t>
  </si>
  <si>
    <t>Hutang PPh Pasal 21/2021</t>
  </si>
  <si>
    <t>Hutang PPN/2021</t>
  </si>
  <si>
    <t>Hutang Jangka Pendek Lainnya</t>
  </si>
  <si>
    <t>Laba di Tahan (TA)</t>
  </si>
  <si>
    <t>Laba Ditahan Tahun Lalu</t>
  </si>
  <si>
    <t>Laba Usaha Tahun Berjalan 2021</t>
  </si>
  <si>
    <t>Deviden</t>
  </si>
  <si>
    <t>Income Statement</t>
  </si>
  <si>
    <t>HORIZONTAL</t>
  </si>
  <si>
    <t>Revenue</t>
  </si>
  <si>
    <t>Cost of Good Sold</t>
  </si>
  <si>
    <t>Gross Profit</t>
  </si>
  <si>
    <t>Gross Profit Margin</t>
  </si>
  <si>
    <t>Operating Expenses:</t>
  </si>
  <si>
    <t>Others</t>
  </si>
  <si>
    <t>General &amp; Administrative Overheads</t>
  </si>
  <si>
    <t>Operating Expenses</t>
  </si>
  <si>
    <t>(Exclude Depreciation)</t>
  </si>
  <si>
    <t>EBITDA</t>
  </si>
  <si>
    <t>EBITDA margin</t>
  </si>
  <si>
    <t>Depreciation</t>
  </si>
  <si>
    <t>EBIT</t>
  </si>
  <si>
    <t>EBIT margin</t>
  </si>
  <si>
    <t>Other Incomes/(Charges):</t>
  </si>
  <si>
    <t>Interest Income</t>
  </si>
  <si>
    <t>Interest Expense</t>
  </si>
  <si>
    <t>Other Incomes/(Charges)</t>
  </si>
  <si>
    <t>Non Operating Income</t>
  </si>
  <si>
    <t>Profit Before Tax</t>
  </si>
  <si>
    <t>Corporate Tax</t>
  </si>
  <si>
    <t>Net Profit After Tax</t>
  </si>
  <si>
    <t>Net Profit Margin</t>
  </si>
  <si>
    <t>Penjualan</t>
  </si>
  <si>
    <t>Pembelian Pupuk</t>
  </si>
  <si>
    <t>Pembelian Obat-Obatan</t>
  </si>
  <si>
    <t>Beban Ongkos Angkut Pembelian TBS</t>
  </si>
  <si>
    <t>Beban Langsir &amp; Muat TBS</t>
  </si>
  <si>
    <t>Beban Gaji Pegawai Bag. Lapangan</t>
  </si>
  <si>
    <t>Beban Keperluan Lapangan</t>
  </si>
  <si>
    <t>Beban Iuran &amp; Retribusi</t>
  </si>
  <si>
    <t>Beban Bahan Bakar Minyak</t>
  </si>
  <si>
    <t>Beban STNK &amp; Pajak Kendaraan</t>
  </si>
  <si>
    <t>Beban Spare Parts Kendaraan</t>
  </si>
  <si>
    <t>Beban Perjalanan Dinas</t>
  </si>
  <si>
    <t>Beban Pem. &amp; Perawatan Sarana &amp; Prasarana</t>
  </si>
  <si>
    <t>Beban Gaji Pegawai Bag. Administrasi</t>
  </si>
  <si>
    <t>Beban Adm. Bank</t>
  </si>
  <si>
    <t>Beban Rek. Listrik</t>
  </si>
  <si>
    <t>Beban Keperluan Kantor</t>
  </si>
  <si>
    <t>Beban STP</t>
  </si>
  <si>
    <t>Beban PBB</t>
  </si>
  <si>
    <t>Pendapatan Jasa Giro</t>
  </si>
  <si>
    <t>Pendapatan Bunga Deposito</t>
  </si>
  <si>
    <t>Pendapatan Bagi Hasil (Bank)</t>
  </si>
  <si>
    <t>Pendapatan Lain-Lain</t>
  </si>
  <si>
    <t>Pajak Jasa Giro</t>
  </si>
  <si>
    <t>Pajak atas Bunga Deposito</t>
  </si>
  <si>
    <t>Beban Lain-Lain</t>
  </si>
  <si>
    <t>Koreksi Fiskal</t>
  </si>
  <si>
    <t>Cash Flow Statement</t>
  </si>
  <si>
    <t>Changes in Working Capital</t>
  </si>
  <si>
    <t>Working Capital</t>
  </si>
  <si>
    <t>Cash Flow from Operations</t>
  </si>
  <si>
    <t>Cash Flow from Non Operations</t>
  </si>
  <si>
    <t>Cash Flow from Investment (Capital Expenditure)</t>
  </si>
  <si>
    <t>Cash Flow before Financing</t>
  </si>
  <si>
    <t>Financing</t>
  </si>
  <si>
    <t>Equity Injection</t>
  </si>
  <si>
    <t>New Lloan</t>
  </si>
  <si>
    <t>Interenst Payment</t>
  </si>
  <si>
    <t>Principal Repayment</t>
  </si>
  <si>
    <t>Cash Flow from Financing</t>
  </si>
  <si>
    <t>Net Cash Flow</t>
  </si>
  <si>
    <t>Cash-Beginning Balance</t>
  </si>
  <si>
    <t>Cash-Ending Balance</t>
  </si>
  <si>
    <t>Cash Ending in Bank</t>
  </si>
  <si>
    <t>Cash Ending in Cash on Hand</t>
  </si>
  <si>
    <t>Fixed Asset Schedules</t>
  </si>
  <si>
    <t>A. Acquisition Costs</t>
  </si>
  <si>
    <t>Land</t>
  </si>
  <si>
    <t>Isinya Rumus</t>
  </si>
  <si>
    <t>Building</t>
  </si>
  <si>
    <t>Equipment, Laboratory, &amp; Machinery</t>
  </si>
  <si>
    <t>Vehicle &amp; Heavy Equipment</t>
  </si>
  <si>
    <t>Office Inventory</t>
  </si>
  <si>
    <t>Electrical</t>
  </si>
  <si>
    <t>Total</t>
  </si>
  <si>
    <t>Additions</t>
  </si>
  <si>
    <t>AVERAGE</t>
  </si>
  <si>
    <t>Building &amp; CIP</t>
  </si>
  <si>
    <t>Ending</t>
  </si>
  <si>
    <t>B. Depreciation</t>
  </si>
  <si>
    <t>Net Value Fixed Assets</t>
  </si>
  <si>
    <t>tanah</t>
  </si>
  <si>
    <t>nilai tanggungan</t>
  </si>
  <si>
    <t>adjustment tanah</t>
  </si>
  <si>
    <t>Inventaris Tanah Lahan Sawit</t>
  </si>
  <si>
    <t>Inventaris Tanah Lahan Sawit (TA)</t>
  </si>
  <si>
    <t>Inventaris Tanaman Sawit</t>
  </si>
  <si>
    <t>Inventaris Tanaman Sawit (TA)</t>
  </si>
  <si>
    <t>Inventaris Bangunan Mess/Barak</t>
  </si>
  <si>
    <t>Inventaris Bangunan Mess/Barak (TA)</t>
  </si>
  <si>
    <t>Inventaris Lapangan</t>
  </si>
  <si>
    <t>Inventaris Alat Berat</t>
  </si>
  <si>
    <t>Inventaris Kendaraan</t>
  </si>
  <si>
    <t>Inventaris Kantor</t>
  </si>
  <si>
    <t>Sarana &amp; Prasarana</t>
  </si>
  <si>
    <t>Financial Ratios</t>
  </si>
  <si>
    <t>Ratio</t>
  </si>
  <si>
    <t>Formula</t>
  </si>
  <si>
    <t>Average</t>
  </si>
  <si>
    <t>Profitability Indicator Ratio</t>
  </si>
  <si>
    <t>Column3</t>
  </si>
  <si>
    <t>Column4</t>
  </si>
  <si>
    <t>Column5</t>
  </si>
  <si>
    <t>Column6</t>
  </si>
  <si>
    <t>GP/Sales</t>
  </si>
  <si>
    <t>EBITDA Margin</t>
  </si>
  <si>
    <t>EBITDA/Sales</t>
  </si>
  <si>
    <t>EBIT Margin</t>
  </si>
  <si>
    <t>EBIT/Sales</t>
  </si>
  <si>
    <t>Net Profit/Sales</t>
  </si>
  <si>
    <t>Return On Asset</t>
  </si>
  <si>
    <t>Net Profit/Asset</t>
  </si>
  <si>
    <t>Return On Equity</t>
  </si>
  <si>
    <t>Net Profit/Equity</t>
  </si>
  <si>
    <t>Liquidity Measurement Ratio</t>
  </si>
  <si>
    <t>Current Ratio</t>
  </si>
  <si>
    <t>CA/CL</t>
  </si>
  <si>
    <t>Quick Ratio</t>
  </si>
  <si>
    <t>(Cash+A/R)/CL</t>
  </si>
  <si>
    <t>Cash Ratio</t>
  </si>
  <si>
    <t>Cash/CL</t>
  </si>
  <si>
    <t>Leverage Ratio</t>
  </si>
  <si>
    <t>Debt to Assets Ratio</t>
  </si>
  <si>
    <t>Liabilities/Asset</t>
  </si>
  <si>
    <t xml:space="preserve"> Debt to Equity Ratio</t>
  </si>
  <si>
    <t>Liabilities/Equity</t>
  </si>
  <si>
    <t>Capitalization Ratio</t>
  </si>
  <si>
    <t>LTD/(LTD+Equity)</t>
  </si>
  <si>
    <t>Interest Coverage</t>
  </si>
  <si>
    <t>EBIT/Interest Expense</t>
  </si>
  <si>
    <t>Equity to Total Asset</t>
  </si>
  <si>
    <t>Cash Flow Indicator</t>
  </si>
  <si>
    <t>Column2</t>
  </si>
  <si>
    <t>Operating Cash Flow/Sales</t>
  </si>
  <si>
    <t>FCF/Operating Cash Ratio</t>
  </si>
  <si>
    <t>FCF/Operating Cash Flow</t>
  </si>
  <si>
    <t>Short Term Debt Coverage</t>
  </si>
  <si>
    <t>Operating Cash Flow/Bank Loan Short Term</t>
  </si>
  <si>
    <t>Capex Coverage</t>
  </si>
  <si>
    <t>Operating CF/Capex</t>
  </si>
  <si>
    <t>Free Cash Flow</t>
  </si>
  <si>
    <t>NOPLAT</t>
  </si>
  <si>
    <t>Add: Depreciation</t>
  </si>
  <si>
    <t>Gross Cash Flow</t>
  </si>
  <si>
    <t>(Increase) Decrease in Current Asset</t>
  </si>
  <si>
    <t>Increase (Decrease) in Current Liabilities</t>
  </si>
  <si>
    <t>Total Net Changes in Working Capital</t>
  </si>
  <si>
    <t>Less: Capital Expenditures</t>
  </si>
  <si>
    <t>Gross Investment</t>
  </si>
  <si>
    <t>Add: Interest Expenses</t>
  </si>
  <si>
    <t>Less: Interest Income</t>
  </si>
  <si>
    <t>Tax Provision from Income Statement</t>
  </si>
  <si>
    <t>Add: Tax Shield on Interest Expenses</t>
  </si>
  <si>
    <t>Less: Tax on Interest Income</t>
  </si>
  <si>
    <t>Tax on Non Operating Income</t>
  </si>
  <si>
    <t>Total Taxes on EBIT</t>
  </si>
  <si>
    <t>ROIC</t>
  </si>
  <si>
    <t>Total Asset in Balance Sheet</t>
  </si>
  <si>
    <t>Less Non Operating Fixed Assets *)</t>
  </si>
  <si>
    <t>Asumsi ini sesuai dengan Laporan Penilaian Wajib Pajak bahwa Kas dan Deposito adalah Non Operating Asset</t>
  </si>
  <si>
    <t>Less Excess Cash **)</t>
  </si>
  <si>
    <t>Less Marketable Securities</t>
  </si>
  <si>
    <t>Total Invested Capital at End of Year</t>
  </si>
  <si>
    <t>Total Invested Capital at Beginning of Year</t>
  </si>
  <si>
    <t>ROIC = NOPLAT/Inves Capital Beginning of Year</t>
  </si>
  <si>
    <t>Catatan</t>
  </si>
  <si>
    <r>
      <t>*)</t>
    </r>
    <r>
      <rPr>
        <i/>
        <color theme="1"/>
        <family val="2"/>
        <scheme val="minor"/>
        <sz val="11"/>
        <rFont val="Calibri"/>
      </rPr>
      <t xml:space="preserve">Book Value </t>
    </r>
    <r>
      <rPr>
        <color theme="1"/>
        <family val="2"/>
        <scheme val="minor"/>
        <sz val="11"/>
        <rFont val="Calibri"/>
      </rPr>
      <t>Asset yang menganggur (</t>
    </r>
    <r>
      <rPr>
        <i/>
        <color theme="1"/>
        <family val="2"/>
        <scheme val="minor"/>
        <sz val="11"/>
        <rFont val="Calibri"/>
      </rPr>
      <t>idle</t>
    </r>
    <r>
      <rPr>
        <color theme="1"/>
        <family val="2"/>
        <scheme val="minor"/>
        <sz val="11"/>
        <rFont val="Calibri"/>
      </rPr>
      <t>) tidak digunakan untuk operasional</t>
    </r>
  </si>
  <si>
    <r>
      <t xml:space="preserve">**)Asumsi Idle </t>
    </r>
    <r>
      <rPr>
        <i/>
        <color theme="1"/>
        <family val="2"/>
        <scheme val="minor"/>
        <sz val="11"/>
        <rFont val="Calibri"/>
      </rPr>
      <t xml:space="preserve">Cash </t>
    </r>
    <r>
      <rPr>
        <color theme="1"/>
        <family val="2"/>
        <scheme val="minor"/>
        <sz val="11"/>
        <rFont val="Calibri"/>
      </rPr>
      <t>tiap tahun</t>
    </r>
  </si>
  <si>
    <t>PERTIMBANGAN PREMI FOR CONTROL (PFC)</t>
  </si>
  <si>
    <t>NO</t>
  </si>
  <si>
    <t>FAKTOR PERTIMBANGAN</t>
  </si>
  <si>
    <t>KONDISI PERUSAHAAN DENGAN PEMEGANG SAHAM</t>
  </si>
  <si>
    <t>KONFIRMASI</t>
  </si>
  <si>
    <t xml:space="preserve">NILAI KENDALI </t>
  </si>
  <si>
    <t>Perjanjian antara Pemegang Saham</t>
  </si>
  <si>
    <t xml:space="preserve">Apakah terdapat perjanjian dari pemegang saham yang mengatur posisi dalam susunan manajemen perusahaan yang akan menjalankan perusahaan tanpa melihat jumlah kepemilikan saham? 
(Ada/Tidak Ada)</t>
  </si>
  <si>
    <t>Ada</t>
  </si>
  <si>
    <t>Belum ada dokumen yang mendukung jawaban "Ada"</t>
  </si>
  <si>
    <t>Rendah</t>
  </si>
  <si>
    <t>Tidak Ada</t>
  </si>
  <si>
    <t>Tidak</t>
  </si>
  <si>
    <t>Sedang</t>
  </si>
  <si>
    <t>Moderat</t>
  </si>
  <si>
    <t>Sebagian</t>
  </si>
  <si>
    <t>Kerugian Saham Minoritas</t>
  </si>
  <si>
    <t xml:space="preserve">Besarnya kerugian pemegang saham minoritas dari perusahaan tertutup apabila dibandingkan dengan pemegang saham minoritas perusahaan terbuka?
(Rendah, Sedang atau Tinggi)</t>
  </si>
  <si>
    <t>Perusahaan tidak pernah rugi sejak 2018-2021</t>
  </si>
  <si>
    <t>Tinggi</t>
  </si>
  <si>
    <t>Dominan</t>
  </si>
  <si>
    <t>Seluruhnya</t>
  </si>
  <si>
    <t>Ya</t>
  </si>
  <si>
    <t>Pemegang Saham Pengendali</t>
  </si>
  <si>
    <t xml:space="preserve">Hal-hal yang dilakukan oleh pemegang saham pengendali terhadap perusahaan yang dikendalikan untuk membuat saham yang dimilikinya lebih menguntungkan? 
(Rendah, Moderat atau Dominan)</t>
  </si>
  <si>
    <t>Pemegang Saham Mayoritas juga bertindak sebagai Direktur sejak 2018-2021</t>
  </si>
  <si>
    <t>Penunjukkan Manajemen</t>
  </si>
  <si>
    <t xml:space="preserve">Apakah manajemen perusahaan ditunjuk oleh pemegang saham mayoritas?
(Tidak Ada, Sebagian atau Seluruhnya)</t>
  </si>
  <si>
    <t>Pemegang Saham Mayoritas juga bertindak sebagai Direktur sejak 2018-2021 namun Pemegang Saham Minoritas tidak bertindak sebagai Pengurus</t>
  </si>
  <si>
    <t>Pengendalian Operasional Perusahaan</t>
  </si>
  <si>
    <t xml:space="preserve">Apakah pemegang saham mayoritas sebagai pengendali operasional perusahaan?
(Tidak, Sebagian atau Ya)</t>
  </si>
  <si>
    <t>Pengurus terdiri dari Pemegang Saham Mayoritas (sebagai Direktur) dan Non-Pemegang Saham (sebagai Komisaris)</t>
  </si>
  <si>
    <t>JUMLAH</t>
  </si>
  <si>
    <t>mayoritas</t>
  </si>
  <si>
    <t>Maksimum Skor</t>
  </si>
  <si>
    <t>PREMI FOR CONTROL (PFC) 30% - 70%</t>
  </si>
  <si>
    <t>Jumlah Skor</t>
  </si>
  <si>
    <t>DLOC Objek Penilaian</t>
  </si>
  <si>
    <t>Paling Tinggi</t>
  </si>
  <si>
    <t>Paling Rendah</t>
  </si>
  <si>
    <t>PERTIMBANGAN DISCOUNT LACK OF MARKETABILITY (DLOM)</t>
  </si>
  <si>
    <t>KONDISI PERUSAHAAN DALAM INDUSTRI</t>
  </si>
  <si>
    <t>NILAI MAKETABILITAS</t>
  </si>
  <si>
    <t>Entry Barier Perijinan Usaha</t>
  </si>
  <si>
    <t xml:space="preserve">Apakah telah ada pembatasan atas perijinan usaha, namun banyak investor yang berminat disebabkan prospek usaha dibidang industri tersebut memiliki prospek yang cerah?
(Ada, Terbatas atau Tidak Ada)</t>
  </si>
  <si>
    <t>Tidak Terbatas</t>
  </si>
  <si>
    <t>Diatas</t>
  </si>
  <si>
    <t>Tidak, Meningkat</t>
  </si>
  <si>
    <t>Terbatas</t>
  </si>
  <si>
    <t>Segmen Tertentu</t>
  </si>
  <si>
    <t>Kadang-kadang</t>
  </si>
  <si>
    <t>Rata-rata</t>
  </si>
  <si>
    <t>Sedang, Stabil</t>
  </si>
  <si>
    <t>Entry Barier Skala Ekonomis Usaha</t>
  </si>
  <si>
    <t xml:space="preserve">Apakah untuk industri tersebut membutuhkan skala ekonomis usaha yang besar, sehingga hanya investor tertentu dengan modal besar yang dapat masuk dibidang industri tersebut? 
(Tidak Terbatas, Segmen Tertentu atau Skala Besar)</t>
  </si>
  <si>
    <t>Skala Besar</t>
  </si>
  <si>
    <t>Dibawah</t>
  </si>
  <si>
    <t>Ya, Menurun</t>
  </si>
  <si>
    <t>Dividen</t>
  </si>
  <si>
    <t xml:space="preserve">Apakah kebijakan dividen perusahaan telah diputuskan setiap tahun melalui RUPS, serta ada pembagian dividen setiap tahun?
(Ya, Kadang-kadang atau Tidak Ada)</t>
  </si>
  <si>
    <t>Lebih Besar</t>
  </si>
  <si>
    <t>Meningkat</t>
  </si>
  <si>
    <t>Seperti Saat Ini</t>
  </si>
  <si>
    <t>Profitabilitas (EBITDA)</t>
  </si>
  <si>
    <t xml:space="preserve">Apakah tingkat profitabilitas (EBITDA) perusahaan sesuai dengan tingkat profitabilitas industri sejenis?
(Diatas, Rata-Rata atau Dibawah)</t>
  </si>
  <si>
    <t>Lebih Kecil</t>
  </si>
  <si>
    <t>Menurun</t>
  </si>
  <si>
    <t>Fluktuasi Laba Bersih</t>
  </si>
  <si>
    <t xml:space="preserve">Apakah laba bersih perusahaan berfluktuasi?
(Tidak, Meningkat; Sedang, Stabil; atau, Ya, Menurun)</t>
  </si>
  <si>
    <t>Struktur Permodalan</t>
  </si>
  <si>
    <r>
      <t>Apakah struktur permodalan (</t>
    </r>
    <r>
      <rPr>
        <i/>
        <color indexed="8"/>
        <family val="2"/>
        <sz val="11"/>
        <rFont val="Calibri"/>
      </rPr>
      <t>Debt to Equity Ratio</t>
    </r>
    <r>
      <rPr>
        <color theme="1"/>
        <family val="2"/>
        <scheme val="minor"/>
        <sz val="11"/>
        <rFont val="Calibri"/>
      </rPr>
      <t xml:space="preserve">) perusahaan sesuai dengan rata-rata industri sejenis?
(Dibawah, Rata-Rata atau Diatas)</t>
    </r>
  </si>
  <si>
    <t>Liquiditas</t>
  </si>
  <si>
    <r>
      <t>Apakah liquiditas (</t>
    </r>
    <r>
      <rPr>
        <i/>
        <color indexed="8"/>
        <family val="2"/>
        <sz val="11"/>
        <rFont val="Calibri"/>
      </rPr>
      <t>Current Ratio</t>
    </r>
    <r>
      <rPr>
        <color theme="1"/>
        <family val="2"/>
        <scheme val="minor"/>
        <sz val="11"/>
        <rFont val="Calibri"/>
      </rPr>
      <t xml:space="preserve">) perusahaan sesuai dengan rata-rata industri sejenis?
(Diatas, Rata-Rata atau Dibawah)</t>
    </r>
  </si>
  <si>
    <t>Pertumbuhan Penjualan</t>
  </si>
  <si>
    <t xml:space="preserve">Pertumbuhan penjualan perusahaan dibandingkan dengan rata-rata industri sejenis?
(Lebih Besar, Rata-Rata atau Lebih Kecil)</t>
  </si>
  <si>
    <t>Prospek Perusahaan dan Industri</t>
  </si>
  <si>
    <t xml:space="preserve">Bagaimana Prospek perusahaan maupun industrinya dimasa mendatang?
(Meningkat, Seperti saat ini atau Menurun)</t>
  </si>
  <si>
    <t>Kualitas Manajemen</t>
  </si>
  <si>
    <t xml:space="preserve">Apakah kualitas manajemen perusahaan dapat mencapai tingkat keberhasilan operasi dan keuangan perusahaan serta mempunyai probabilitas yang tinggi untuk memperoleh hasil yang diharapkan? 
(Ya, Seperti Saat Ini atau Tidak)</t>
  </si>
  <si>
    <t xml:space="preserve">DLOM Perusahaan tertutup </t>
  </si>
  <si>
    <t>Perhitungan DLOM</t>
  </si>
  <si>
    <t>DLOM Objek Penilaian</t>
  </si>
  <si>
    <t>DER PERUSAHAAN GARMEN STATISTIK 30 JUNI 2020</t>
  </si>
  <si>
    <t>ERATEX</t>
  </si>
  <si>
    <t>Cuti Off Date</t>
  </si>
  <si>
    <t>SUBSEQUENT EVENT</t>
  </si>
  <si>
    <t>?</t>
  </si>
  <si>
    <t>Net Profit</t>
  </si>
  <si>
    <t>Ekuitas</t>
  </si>
  <si>
    <t>DER</t>
  </si>
  <si>
    <t>NPM</t>
  </si>
  <si>
    <t>HISTORIS</t>
  </si>
  <si>
    <t>(exclude depreciation)</t>
  </si>
  <si>
    <t>Other incomes/(charges):</t>
  </si>
  <si>
    <t>interest income</t>
  </si>
  <si>
    <t>interest expense</t>
  </si>
  <si>
    <t>Other incomes/(charges)</t>
  </si>
  <si>
    <t>Net Profit margin</t>
  </si>
  <si>
    <t>Bank Loan Schedules</t>
  </si>
  <si>
    <t>Bank loan-SHORT TERM</t>
  </si>
  <si>
    <t>Principal</t>
  </si>
  <si>
    <t>Repayment</t>
  </si>
  <si>
    <t>Interest Payable</t>
  </si>
  <si>
    <t>Bank loan-LONG TERM</t>
  </si>
  <si>
    <t>Accounts</t>
  </si>
  <si>
    <t>COGS</t>
  </si>
  <si>
    <t>Depreciation/Amortization</t>
  </si>
  <si>
    <t>Machinery, Vehicle, Fixture, FurnitUre, etc</t>
  </si>
  <si>
    <t>Cash Flow Available to Investors (CFI)</t>
  </si>
  <si>
    <t>Add: Cash Flow from Non Operational</t>
  </si>
  <si>
    <t>Cash Flow Available to Investor</t>
  </si>
  <si>
    <t>November</t>
  </si>
  <si>
    <t>No.</t>
  </si>
  <si>
    <t>Lokasi Tanah</t>
  </si>
  <si>
    <t>Nomor SHGB</t>
  </si>
  <si>
    <t>Nilai Hak Tanggungan</t>
  </si>
  <si>
    <t>Desember</t>
  </si>
  <si>
    <t>Jumlah</t>
  </si>
  <si>
    <t>DAFTAR PERTANYAAN UNTUK WAJIB PAJAK</t>
  </si>
  <si>
    <t>Pertanyaan</t>
  </si>
  <si>
    <t>Apakah terdapat perjanjian dari pemegang saham yang mengatur posisi dalam susunan manajemen perusahaan yang akan menjalankan perusahaan tanpa melihat jumlah kepemilikan saham ?</t>
  </si>
  <si>
    <t>Jawaban:</t>
  </si>
  <si>
    <t>a. Ada</t>
  </si>
  <si>
    <t>b. Tidak ada</t>
  </si>
  <si>
    <t>Besarnya kerugian pemegang saham minoritas dari perusahaan tertutup apabila dibandingkan dengan pemegang saham minoritas perusahaan terbuka ?</t>
  </si>
  <si>
    <t>a. Rendah</t>
  </si>
  <si>
    <t>b. Sedang</t>
  </si>
  <si>
    <t>c. Tinggi</t>
  </si>
  <si>
    <t>Hal-hal yang dilakukan oleh pemegang saham pengendali terhadap perusahaan yang dikendalikan untuk membuat saham yang dimilikinya lebih menguntungkan ?</t>
  </si>
  <si>
    <t>b. Moderat</t>
  </si>
  <si>
    <t>c. Dominan</t>
  </si>
  <si>
    <t>Apakah manajemen perusahaan ditunjuk oleh pemegang saham mayoritas ?</t>
  </si>
  <si>
    <t>a. Tidak ada</t>
  </si>
  <si>
    <t>b. Sebagian</t>
  </si>
  <si>
    <t>c. Seluruhnya</t>
  </si>
  <si>
    <t>Apakah pemegang saham mayoritas sebagai pengendali operasional perusahaan ?</t>
  </si>
  <si>
    <t>a. Tidak</t>
  </si>
  <si>
    <t>c. Ya</t>
  </si>
  <si>
    <t>Apakah telah ada pembatasan atas perijinan usaha, namun banyak investor yang berminat disebabkan prospek usaha dibidang industri tersebut memiliki prospek yang cerah ?</t>
  </si>
  <si>
    <t>b. Terbatas</t>
  </si>
  <si>
    <t>c. Tidak ada</t>
  </si>
  <si>
    <t xml:space="preserve">Apakah untuk industri tersebut membutuhkan skala ekonomis usaha yang besar, sehingga hanya investor tertentu dengan modal besar yang dapat masuk dibidang industri tersebut ? </t>
  </si>
  <si>
    <t>a. Tidak terbatas</t>
  </si>
  <si>
    <t>b. Segmen tertentu</t>
  </si>
  <si>
    <t>c. Skala besar</t>
  </si>
  <si>
    <t>Apakah kebijakan dividen perusahaan telah diputuskan setiap tahun melalui RUPS, serta ada pembagian dividen setiap tahun ?</t>
  </si>
  <si>
    <t>a. Ya</t>
  </si>
  <si>
    <t>b. Kadang-kadang</t>
  </si>
  <si>
    <t>Apakah tingkat profitabilitas (EBITDA) perusahaan sesuai dengan tingkat profitabilitas industri sejenis ?</t>
  </si>
  <si>
    <t>a. Di atas</t>
  </si>
  <si>
    <t>b. Rata-rata</t>
  </si>
  <si>
    <t>c. Di bawah</t>
  </si>
  <si>
    <t>Apakah laba bersih perusahaan berfluktuasi ?</t>
  </si>
  <si>
    <t>a. Cenderung meningkat</t>
  </si>
  <si>
    <t>b. Sedang, stabil</t>
  </si>
  <si>
    <t>c. Fluktuatif/Menurun</t>
  </si>
  <si>
    <t>Apakah struktur permodalan (debt to equity ratio) perusahaan sesuai dengan rata-rata industri sejenis ?</t>
  </si>
  <si>
    <t>Apakah liquiditas (current ratio) perusahaan sesuai dengan rata-rata industri sejenis ?</t>
  </si>
  <si>
    <t>Pertumbuhan penjualan perusahaan dibandingkan dengan rata-rata industri sejenis ?</t>
  </si>
  <si>
    <t>a. Lebih besar</t>
  </si>
  <si>
    <t>c. Lebih kecil</t>
  </si>
  <si>
    <t>Bagaimana Prospek perusahaan maupun industrinya dimasa mendatang ?</t>
  </si>
  <si>
    <t>a. Meningkat</t>
  </si>
  <si>
    <t>b. Seperti saat ini</t>
  </si>
  <si>
    <t>c. Menurun</t>
  </si>
  <si>
    <t>Apakah kualitas manajemen perusahaan dapat mencapai tingkat keberhasilan operasi dan keuangan perusahaan serta mempunyai probabilitas yang tinggi untuk memperoleh hasil yang diharapkan ?</t>
  </si>
  <si>
    <t>c. Tidak</t>
  </si>
  <si>
    <t>Apakah Perusahaan memiliki pelanggan lebih dari 1 ?</t>
  </si>
  <si>
    <t>a. Tidak, hanya 1</t>
  </si>
  <si>
    <t>b. Ya</t>
  </si>
  <si>
    <t>Apakah pada saat pendirian perusahaan ada rencana pembubaran pada jangka waktu tertentu</t>
  </si>
  <si>
    <t>b. Ada, pada…..............................................</t>
  </si>
  <si>
    <t>Apakah kontrak kerja yang pernah didapatkan selama ini, secara historis dapat dilakukan perpanjangan kontrak?</t>
  </si>
  <si>
    <t>a. Tidak dapat diperpanjang</t>
  </si>
  <si>
    <t>b. Dapat diperpanjang</t>
  </si>
  <si>
    <t>Apakah kontrak kerja yang sedang berlangsung sekarang (pada tanggal penilaian) berakhir, tidak dapat diperpanjang ?</t>
  </si>
  <si>
    <t>Apabila Jawaban nomor 19 adalah tidak dapat diperpanjang, apakah Perusahaan akan mencari kontrak kerja lain ?</t>
  </si>
  <si>
    <t>b. Tidak</t>
  </si>
  <si>
    <t>Apabila Jawaban nomor 20 adalah tidak, apakah Perusahaan akan ditutup ?</t>
  </si>
  <si>
    <t>Apabila Jawaban nomor 21 adalah Ya, tercantum pada dokumen perusahaan yang mana rencana tersebut ? Apabila ada harap dilampirkan</t>
  </si>
  <si>
    <t>Berapakah nilai Aset Non Operasional Perusahaan yang berupa aset tetap (tanah, bangunan, dll) ?</t>
  </si>
  <si>
    <t>Berapakah nilai Aset Non Operasional Perusahaan yang berupa aset lancar (kas, deposito, dll)</t>
  </si>
  <si>
    <t>Medan, ….....................................</t>
  </si>
  <si>
    <t>…...............................................</t>
  </si>
  <si>
    <t>Jabatan:…..................................</t>
  </si>
  <si>
    <t>Key Drivers</t>
  </si>
  <si>
    <t>Asumsi-asumsi dari Key Drivers Proyeksi Kinerja Keuangan</t>
  </si>
  <si>
    <t>Financial Drivers</t>
  </si>
  <si>
    <t>Interest Rate (Short Term Loan)</t>
  </si>
  <si>
    <t>Interest Rate (Long Term Loan)</t>
  </si>
  <si>
    <t>tidak usah terlalu dipikirin</t>
  </si>
  <si>
    <t>Bank Deposit Rate</t>
  </si>
  <si>
    <t>Corporate Tax Rate</t>
  </si>
  <si>
    <t>Operational Drivers</t>
  </si>
  <si>
    <t>Sales Vol.</t>
  </si>
  <si>
    <t>unit</t>
  </si>
  <si>
    <t>tanya manajemen</t>
  </si>
  <si>
    <t>Increment</t>
  </si>
  <si>
    <t>Sales Price</t>
  </si>
  <si>
    <t>IDR/unit</t>
  </si>
  <si>
    <t>Cost of Goods Sold</t>
  </si>
  <si>
    <t>%/revenue</t>
  </si>
  <si>
    <t>Operating expense</t>
  </si>
  <si>
    <t>Selling</t>
  </si>
  <si>
    <t>tanya manajemen, lihat common size, forecasting statistik</t>
  </si>
  <si>
    <t>G &amp; A</t>
  </si>
  <si>
    <t>inflation</t>
  </si>
  <si>
    <t>Balance Sheet Drivers</t>
  </si>
  <si>
    <t>Working Capital:</t>
  </si>
  <si>
    <t>Acc. Receivable</t>
  </si>
  <si>
    <t>days</t>
  </si>
  <si>
    <t>Account Payable</t>
  </si>
  <si>
    <t>Additional Capex</t>
  </si>
  <si>
    <t>Equipment</t>
  </si>
  <si>
    <t>Total Additional Capex</t>
  </si>
  <si>
    <t>Laporan Proyeksi Laba Rugi</t>
  </si>
  <si>
    <t>diisi sesuai proyeksi penilai</t>
  </si>
  <si>
    <t>'-1e+07x + 9e+07</t>
  </si>
  <si>
    <t>Revenue Growth</t>
  </si>
  <si>
    <t>Operating Expenses (Exclude Depreciation)</t>
  </si>
  <si>
    <t>Depreciation Growth</t>
  </si>
  <si>
    <t>Other Income/(Charge)</t>
  </si>
  <si>
    <t>Interest Income Growth</t>
  </si>
  <si>
    <t>Interest Expense Growth</t>
  </si>
  <si>
    <t>Net Profit After Tax Margin</t>
  </si>
  <si>
    <t>Laporan Proyeksi Neraca</t>
  </si>
  <si>
    <t>Average Growth</t>
  </si>
  <si>
    <t>Cash on Hands Growth</t>
  </si>
  <si>
    <t>Cash in Banks</t>
  </si>
  <si>
    <t>Cash in Banks Growth</t>
  </si>
  <si>
    <t>Account Receivable Growth</t>
  </si>
  <si>
    <t>Other Receivable</t>
  </si>
  <si>
    <t>Other Receivable Growth</t>
  </si>
  <si>
    <t>Inventory Growth</t>
  </si>
  <si>
    <t>Others Growth</t>
  </si>
  <si>
    <t>Accumulated Depreciations Growth</t>
  </si>
  <si>
    <t>Other Non Current Asset</t>
  </si>
  <si>
    <t>Other Non Current Liabilites</t>
  </si>
  <si>
    <t>Balance Control</t>
  </si>
  <si>
    <t>copas number only atu-atu</t>
  </si>
  <si>
    <t>DCF, Changes Working Capital</t>
  </si>
  <si>
    <t>New Loan</t>
  </si>
  <si>
    <t>Ohters</t>
  </si>
  <si>
    <t>xxx</t>
  </si>
  <si>
    <t>tanya wp, commonsize, forecasting statistik</t>
  </si>
  <si>
    <t>DCF, Capex</t>
  </si>
  <si>
    <t>tanya wp, commonsize, forecasting statistik, lihat nilai sisa buku aset dan tarif penyusutan di UU PPh</t>
  </si>
  <si>
    <t>DCF, Depreciation</t>
  </si>
  <si>
    <t>ini nanti dimasukkan ke proyeksi neraca, accumulated depreciation</t>
  </si>
  <si>
    <t>Proyeksi Skedul Utang</t>
  </si>
  <si>
    <r>
      <rPr>
        <i/>
        <color theme="1"/>
        <family val="2"/>
        <scheme val="minor"/>
        <sz val="11"/>
        <rFont val="Calibri"/>
      </rPr>
      <t xml:space="preserve">interest rate </t>
    </r>
    <r>
      <rPr>
        <color theme="1"/>
        <family val="2"/>
        <scheme val="minor"/>
        <sz val="11"/>
        <rFont val="Calibri"/>
      </rPr>
      <t>14%</t>
    </r>
  </si>
  <si>
    <t>DCF, Noplat</t>
  </si>
  <si>
    <t>Beta Levered</t>
  </si>
  <si>
    <t>Equity Risk Premium</t>
  </si>
  <si>
    <t>Rating Based Default Spread</t>
  </si>
  <si>
    <t>Risk Free (SUN)</t>
  </si>
  <si>
    <t>Perusahaan Pembanding</t>
  </si>
  <si>
    <t>BL</t>
  </si>
  <si>
    <t>Market Cap*)</t>
  </si>
  <si>
    <t>Debt</t>
  </si>
  <si>
    <t>BU</t>
  </si>
  <si>
    <t>*) Market Cap :</t>
  </si>
  <si>
    <t>Jumlah Lembar Saham x Harga Pasar Saham saat Cut Off Date (Lihat di Stockbit)</t>
  </si>
  <si>
    <t>WACC</t>
  </si>
  <si>
    <t>Weighted Average Cost of Capital (WACC)</t>
  </si>
  <si>
    <t>**) Menurut Wajib Pajak</t>
  </si>
  <si>
    <t>Bunga Pinjaman Investasi</t>
  </si>
  <si>
    <t>GROWTH</t>
  </si>
  <si>
    <t>Uraian</t>
  </si>
  <si>
    <t>Laba Bersih</t>
  </si>
  <si>
    <t>Y = -3E+06x + 7E+07</t>
  </si>
  <si>
    <t>Year</t>
  </si>
  <si>
    <t>x</t>
  </si>
  <si>
    <t>-3E+06</t>
  </si>
  <si>
    <t>7E+07</t>
  </si>
  <si>
    <t>Proyeksi Sales</t>
  </si>
  <si>
    <t>MEAN (AVERAGE GROWTH)</t>
  </si>
  <si>
    <t>INDUSTRI</t>
  </si>
  <si>
    <t>Pendapatan Bersih</t>
  </si>
  <si>
    <t>DATA PENJUALAN/PENDAPATAN PT NSK INDONESIA</t>
  </si>
  <si>
    <t>GROWTH PT NSK INDONESIA</t>
  </si>
  <si>
    <t>PEMBANDING 1</t>
  </si>
  <si>
    <t>PANGSA PASAR</t>
  </si>
  <si>
    <t>PENJUALAN PERUSAHAAN</t>
  </si>
  <si>
    <t>PENJUALAN TOTAL INDUSTRI</t>
  </si>
  <si>
    <t>PERHITUNGAN KESEBANDINGAN</t>
  </si>
  <si>
    <t>URAIAN</t>
  </si>
  <si>
    <t>(dalam USD)</t>
  </si>
  <si>
    <t>RASIO</t>
  </si>
  <si>
    <t>SKOR KESEBANDINGAN</t>
  </si>
  <si>
    <t>OBYEK PENILAIAN</t>
  </si>
  <si>
    <t>Pendapatan</t>
  </si>
  <si>
    <t>Laba Kotor</t>
  </si>
  <si>
    <t>Laba Usaha</t>
  </si>
  <si>
    <t>Aset Lancar</t>
  </si>
  <si>
    <t>Aset Tidak Lancar</t>
  </si>
  <si>
    <t>Total Aset</t>
  </si>
  <si>
    <t>Liabilitas Jk Pendek</t>
  </si>
  <si>
    <t>Liabilitas Jk Panjang</t>
  </si>
  <si>
    <t>Total Liabilitas</t>
  </si>
  <si>
    <t>Harga Pasar Saham (IDR)*)</t>
  </si>
  <si>
    <t>Jumlah Lembar</t>
  </si>
  <si>
    <t>Market Cap (IDR)</t>
  </si>
  <si>
    <t>Kurs</t>
  </si>
  <si>
    <t>Market Cap (USD)</t>
  </si>
  <si>
    <t>*) Historis harga pasar saham pada tanggal Penilaian, sumber Stockbit.com</t>
  </si>
  <si>
    <t>PERHITUNGAN NILAI</t>
  </si>
  <si>
    <t>MULTIPLE</t>
  </si>
  <si>
    <t>MULTIPLE VALUE</t>
  </si>
  <si>
    <t>FUNDAMENTAL</t>
  </si>
  <si>
    <t>WEIGHTED</t>
  </si>
  <si>
    <t>VALUE</t>
  </si>
  <si>
    <t>Skor Kesebandingan</t>
  </si>
  <si>
    <t>P/S</t>
  </si>
  <si>
    <t>P/B</t>
  </si>
  <si>
    <t>INDICATED VALUE OF EQUITY</t>
  </si>
  <si>
    <t>PFC</t>
  </si>
  <si>
    <t>CONTROLING INDICATED VALUE OF EQUITY</t>
  </si>
  <si>
    <t>DLOM</t>
  </si>
  <si>
    <t>MARKET VALUE OF EQUITY</t>
  </si>
  <si>
    <t>SHARES</t>
  </si>
  <si>
    <t>Nilai Pasar Saham</t>
  </si>
  <si>
    <t>Menurut WP</t>
  </si>
  <si>
    <t>Selisih</t>
  </si>
  <si>
    <t>Tarif</t>
  </si>
  <si>
    <t>ANALISIS KESEBANDINGAN</t>
  </si>
  <si>
    <t>CUT OFF DATE:</t>
  </si>
  <si>
    <t>PERUSAHAAN PEMBANDING</t>
  </si>
  <si>
    <t>KODE EMITEN</t>
  </si>
  <si>
    <t>TAHUN</t>
  </si>
  <si>
    <t>PARAMETER</t>
  </si>
  <si>
    <t>ROA</t>
  </si>
  <si>
    <t>ROE</t>
  </si>
  <si>
    <t>RATA-RATA</t>
  </si>
  <si>
    <t>MEDIAN</t>
  </si>
  <si>
    <t>BOBOT KESEBANDINGAN</t>
  </si>
  <si>
    <t>SKOR RATA-RATA</t>
  </si>
  <si>
    <t>SKOR MEDIAN</t>
  </si>
  <si>
    <t>BOBOT RATA-RATA</t>
  </si>
  <si>
    <t>BOBOT MEDIAN</t>
  </si>
  <si>
    <t>Metode Penyesuaian Aset Bersih</t>
  </si>
  <si>
    <t>Penyesuaian</t>
  </si>
  <si>
    <t>Intangible Asset</t>
  </si>
  <si>
    <t>Deficit</t>
  </si>
  <si>
    <t>Current profit</t>
  </si>
  <si>
    <t>Changes on Asset Revaluation</t>
  </si>
  <si>
    <t>Nett Asset Value</t>
  </si>
  <si>
    <t>Interest Bearing Debt</t>
  </si>
  <si>
    <t>Equity Value</t>
  </si>
  <si>
    <t>*)</t>
  </si>
  <si>
    <t>Equity Value (100%) Less DLOM</t>
  </si>
  <si>
    <t>Market Value of Equity (100%)</t>
  </si>
  <si>
    <t>Percentage of Shares</t>
  </si>
  <si>
    <t>Paling Tinggi (Resiko Rendah)</t>
  </si>
  <si>
    <t>Paling Rendah (Resiko Tinggi)</t>
  </si>
  <si>
    <t>DLOC (PFC)</t>
  </si>
  <si>
    <t>*)DLOM perusahaan terbuka pemegang saham mayoritas maksimal 20% (pasal 41 huruf b ayat 1 POJK 35)</t>
  </si>
  <si>
    <t>Resistensi WP</t>
  </si>
  <si>
    <t>Nilai Pengalihan Saham yang Dilaporkan</t>
  </si>
  <si>
    <t>Potensi Pengalihan Saham yang Belum Dikenakan Pajak</t>
  </si>
  <si>
    <t>Potensi Pajak Penghasilan Kurang Bayar</t>
  </si>
  <si>
    <t>Total Potensi Pajak Penghasilan Kurang Bayar</t>
  </si>
  <si>
    <t>RATE OF RETURN ON NETT TANGIBLE ASSET</t>
  </si>
  <si>
    <t>BORROWING CAPACITY</t>
  </si>
  <si>
    <t>No</t>
  </si>
  <si>
    <t>Jenis Aktiva</t>
  </si>
  <si>
    <t>Borrowing Capacity (%)</t>
  </si>
  <si>
    <t>Borrowing Capacity</t>
  </si>
  <si>
    <t>Piutang</t>
  </si>
  <si>
    <t>CALK 5</t>
  </si>
  <si>
    <t>Persediaan</t>
  </si>
  <si>
    <t>CALK 7</t>
  </si>
  <si>
    <t>Aktiva Tetap</t>
  </si>
  <si>
    <t>TINGKAT BALIKAN RATA-RATA TERTIMBANG</t>
  </si>
  <si>
    <t>Jenis Modal</t>
  </si>
  <si>
    <t>Biaya Modal</t>
  </si>
  <si>
    <t>Bobot</t>
  </si>
  <si>
    <t>Biaya Modal Tertimbang</t>
  </si>
  <si>
    <t>Hutang</t>
  </si>
  <si>
    <t>Discount Rate Analysis (CAPM)</t>
  </si>
  <si>
    <t>BU = B/(1+ ( (1-t)x DER))</t>
  </si>
  <si>
    <t>=</t>
  </si>
  <si>
    <t>Tax Rate</t>
  </si>
  <si>
    <t>BL = BU x ( 1+ ((1-t)x DER ))</t>
  </si>
  <si>
    <t>Risk Free</t>
  </si>
  <si>
    <t>Ke = Rf + (β.Rp) - RBDS</t>
  </si>
  <si>
    <t>Beta</t>
  </si>
  <si>
    <t>Kd = i x (1 - t)</t>
  </si>
  <si>
    <t>Equity Risk Premium (Rating)</t>
  </si>
  <si>
    <t>Struktur Kapital</t>
  </si>
  <si>
    <t>Bobot (%) Pasar</t>
  </si>
  <si>
    <t>Biaya Mdl (%)</t>
  </si>
  <si>
    <t>WACC (%)</t>
  </si>
  <si>
    <t>pinjaman inves</t>
  </si>
  <si>
    <t>Country Default Spread (Based on Rating)</t>
  </si>
  <si>
    <t>Debt Rate</t>
  </si>
  <si>
    <t xml:space="preserve">Hutang </t>
  </si>
  <si>
    <t>DER industry</t>
  </si>
  <si>
    <t xml:space="preserve">Ekuitas </t>
  </si>
  <si>
    <t>CoE</t>
  </si>
  <si>
    <t>CoD</t>
  </si>
  <si>
    <t>Metode Kapitalisasi Kelebihan Pendapatan</t>
  </si>
  <si>
    <t>*)Kecuali Dinyatakan Lain</t>
  </si>
  <si>
    <t>FCFF Model</t>
  </si>
  <si>
    <t>Nett Tangible Asset Value</t>
  </si>
  <si>
    <t>aktiva berwujudnya (tidak termasuk non operating asset)</t>
  </si>
  <si>
    <t>Return on Tangibel Asset</t>
  </si>
  <si>
    <t>Earning Return on Nett Tangible Asset</t>
  </si>
  <si>
    <t>pendapatan yang digenerate oleh aktiva berwujud operasional</t>
  </si>
  <si>
    <t>arus kas bebas</t>
  </si>
  <si>
    <t>Excess Earning</t>
  </si>
  <si>
    <t>pendapatan yang digenerate dari aktiva tidak berwujud</t>
  </si>
  <si>
    <t>Capitalization Rate</t>
  </si>
  <si>
    <t>Capitalized Excess Earning</t>
  </si>
  <si>
    <t>atb ---&gt; goodwill</t>
  </si>
  <si>
    <t>Enterprise Value</t>
  </si>
  <si>
    <t>Non Operating Asset</t>
  </si>
  <si>
    <t>Equity Value (100%)</t>
  </si>
  <si>
    <t>US$</t>
  </si>
  <si>
    <t>In IDR</t>
  </si>
  <si>
    <t>Rp</t>
  </si>
  <si>
    <t>Rounded</t>
  </si>
  <si>
    <t>RASIO KEUANGAN OBYEK PENILAIAN DAN PERUSAHAAN PEMBANDING</t>
  </si>
  <si>
    <t>NO.</t>
  </si>
  <si>
    <t>EMITEN</t>
  </si>
  <si>
    <t>NAMA PERUSAHAAN</t>
  </si>
  <si>
    <t>TOTAL</t>
  </si>
  <si>
    <t>SKOR DER</t>
  </si>
  <si>
    <t>SKOR ROA</t>
  </si>
  <si>
    <t>SKOR ROE</t>
  </si>
  <si>
    <t>SKOR NPM</t>
  </si>
  <si>
    <t>SKOR PANGSA PASAR</t>
  </si>
  <si>
    <t>TOTAL SKOR</t>
  </si>
  <si>
    <t>DATA PEMBANDING YANG DIGUNAKAN</t>
  </si>
  <si>
    <t>SALES</t>
  </si>
  <si>
    <t>PAS</t>
  </si>
  <si>
    <t>OBYEK PEMBANDING</t>
  </si>
  <si>
    <t>MEAN</t>
  </si>
  <si>
    <t>STANDARD DEVIASI</t>
  </si>
  <si>
    <t>BATAS BAWAH</t>
  </si>
  <si>
    <t>BATAS ATAS</t>
  </si>
  <si>
    <t>MAX SCORE</t>
  </si>
  <si>
    <t>TOTAL REVENUE of INDUSTRY</t>
  </si>
  <si>
    <t>PENGGUNAAN</t>
  </si>
  <si>
    <t>NILAI YANG DIHASILKAN</t>
  </si>
  <si>
    <t>KETERANGAN</t>
  </si>
  <si>
    <t>Perusahaan yang mempunyai laba negatif, sangat umum untuk menilai perusahaan start up, dengan beban penjualan dan beban operasional cukup tinggi yang tidak dapat ditutup oleh penjualan</t>
  </si>
  <si>
    <t>Nilai Ekuitas</t>
  </si>
  <si>
    <t>Perusahaan yang mempunyai aset base stabil dan aset menjadi komponen yang sangat dominan dalam perusahaan tersebut, contohnya perusahaan yang bergerak dalam industri keuangan seperti bank, multifinance, asuransi, dan perusahaan properti/real estate</t>
  </si>
  <si>
    <t>EV/EBIT</t>
  </si>
  <si>
    <t>Perusahaan yang masih dalam tahap pertumbuhan tetapi secara kinerja laba belum mencapai tahap stabil</t>
  </si>
  <si>
    <t>Nilai Enterprise (Debt + Equity)</t>
  </si>
  <si>
    <t>Untuk menghasilkan Nilai Ekuitas, Nilai Enterprise harus dikurangkan dengan Hutang berbunga (pinjaman dari bank atau bukan, jangka panjang atau pendek, yang mengandung bunga)</t>
  </si>
  <si>
    <t>EV/EBITDA</t>
  </si>
  <si>
    <t>Perusahaan yang sedang berkebang namun kemungkinan masih mengalami kerugian secara keuangan karena laba operasional dari investasi perusahaan dengan pengeluaran barang modal yang tinggi belum dapat menutupi bunga pinjaman dan depresiasi, sehingga meski membukukan EBITDA positif, perusahan mungkin masih mencatat nilai rugi bersih</t>
  </si>
  <si>
    <t>EV/S</t>
  </si>
  <si>
    <t>Perusahaan yang baru berdiri (start up) yang mempunyai karakteristik biaya operasional masih lebih tinggi dari tingkat pendapatan, misalnya e commerce atau bisnis berbasis internet, dan sangat cocok untuk perusahaan yang menjadikan pangsa pasar sebagai hal yang kritikal, contohnya perusahaan retail barang konsumsi yang sangat mementingkan pangsa pasar untuk mempertahankan perusahaannya</t>
  </si>
  <si>
    <t>FS</t>
  </si>
  <si>
    <t>(dalam IDR)</t>
  </si>
  <si>
    <t>Liabilitas Jangka Pendek</t>
  </si>
  <si>
    <t>Liabilitas Jangka Panjang</t>
  </si>
  <si>
    <t>Harga Pasar Saham (IDR)</t>
  </si>
  <si>
    <t>Total Skor</t>
  </si>
  <si>
    <t>Laba per Lembar Saham</t>
  </si>
  <si>
    <t>Bobot Pembanding</t>
  </si>
  <si>
    <t>Market Cap (idr)</t>
  </si>
  <si>
    <t>Growth Rate</t>
  </si>
  <si>
    <t>Net Fixed Assets at the End of  Year</t>
  </si>
  <si>
    <t>Add: Net Current Asset at the End of Year</t>
  </si>
  <si>
    <t>Less: Net Fixed Assets at the Beginning of Year</t>
  </si>
  <si>
    <t>Less: Net Current Assets at the Beginning of Year</t>
  </si>
  <si>
    <t>Total Net Investment</t>
  </si>
  <si>
    <t>Total Invested Capital Beginning of Year</t>
  </si>
  <si>
    <t>Growth Rate = Net Investment/Invested Capital</t>
  </si>
  <si>
    <t>Discounted Cash Flow</t>
  </si>
  <si>
    <t>Period (n year)</t>
  </si>
  <si>
    <t>Discount Factor</t>
  </si>
  <si>
    <t>PV of Free Cash Flow</t>
  </si>
  <si>
    <t>Total PV FCF Explicit Period</t>
  </si>
  <si>
    <t>Growth Rate (SPI 3305.31. c)</t>
  </si>
  <si>
    <t>Terminal Value</t>
  </si>
  <si>
    <t>PV of Terminal Value</t>
  </si>
  <si>
    <t>Bank Loan Short Term + Bank Loan Long Term</t>
  </si>
  <si>
    <t>Surplus Asset Cash</t>
  </si>
  <si>
    <t>Iddle Non Operating Asset (Building)</t>
  </si>
  <si>
    <t>Hasil Perhitungan Nilai Pasar Masing-Masing Pendekatan</t>
  </si>
  <si>
    <t>PENDEKATAN</t>
  </si>
  <si>
    <t>NILAI (IDR)</t>
  </si>
  <si>
    <r>
      <t>Pendekatan Pendapatan (</t>
    </r>
    <r>
      <rPr>
        <i/>
        <color theme="1"/>
        <family val="2"/>
        <scheme val="minor"/>
        <sz val="11"/>
        <rFont val="Calibri"/>
      </rPr>
      <t>Discounted Cash Flow Method</t>
    </r>
    <r>
      <rPr>
        <color theme="1"/>
        <family val="2"/>
        <scheme val="minor"/>
        <sz val="11"/>
        <rFont val="Calibri"/>
      </rPr>
      <t>)</t>
    </r>
  </si>
  <si>
    <r>
      <t>Pendekatan Pasar (</t>
    </r>
    <r>
      <rPr>
        <i/>
        <color theme="1"/>
        <family val="2"/>
        <scheme val="minor"/>
        <sz val="11"/>
        <rFont val="Calibri"/>
      </rPr>
      <t>Guideline Publicly Traded Company Method</t>
    </r>
    <r>
      <rPr>
        <color theme="1"/>
        <family val="2"/>
        <scheme val="minor"/>
        <sz val="11"/>
        <rFont val="Calibri"/>
      </rPr>
      <t>)</t>
    </r>
  </si>
  <si>
    <r>
      <t>Pendekatan Aset (</t>
    </r>
    <r>
      <rPr>
        <i/>
        <color theme="1"/>
        <family val="2"/>
        <scheme val="minor"/>
        <sz val="11"/>
        <rFont val="Calibri"/>
      </rPr>
      <t>Excess Earning Method</t>
    </r>
    <r>
      <rPr>
        <color theme="1"/>
        <family val="2"/>
        <scheme val="minor"/>
        <sz val="11"/>
        <rFont val="Calibri"/>
      </rPr>
      <t>)</t>
    </r>
  </si>
  <si>
    <t>Perbandingan Nilai Pasar</t>
  </si>
  <si>
    <t>Perbandingan Pendekatan</t>
  </si>
  <si>
    <t>%</t>
  </si>
  <si>
    <r>
      <t>Pendekatan Pendapatan (</t>
    </r>
    <r>
      <rPr>
        <i/>
        <color theme="1"/>
        <family val="2"/>
        <scheme val="minor"/>
        <sz val="11"/>
        <rFont val="Calibri"/>
      </rPr>
      <t>Discounted Cash Flow Method</t>
    </r>
    <r>
      <rPr>
        <color theme="1"/>
        <family val="2"/>
        <scheme val="minor"/>
        <sz val="11"/>
        <rFont val="Calibri"/>
      </rPr>
      <t>) : Pendekatan Pasar (</t>
    </r>
    <r>
      <rPr>
        <i/>
        <color theme="1"/>
        <family val="2"/>
        <scheme val="minor"/>
        <sz val="11"/>
        <rFont val="Calibri"/>
      </rPr>
      <t>Guideline Publicly Traded Company Method</t>
    </r>
    <r>
      <rPr>
        <color theme="1"/>
        <family val="2"/>
        <scheme val="minor"/>
        <sz val="11"/>
        <rFont val="Calibri"/>
      </rPr>
      <t>)</t>
    </r>
  </si>
  <si>
    <r>
      <t>Pendekatan Pendapatan (</t>
    </r>
    <r>
      <rPr>
        <i/>
        <color theme="1"/>
        <family val="2"/>
        <scheme val="minor"/>
        <sz val="11"/>
        <rFont val="Calibri"/>
      </rPr>
      <t>Discounted Cash Flow Method</t>
    </r>
    <r>
      <rPr>
        <color theme="1"/>
        <family val="2"/>
        <scheme val="minor"/>
        <sz val="11"/>
        <rFont val="Calibri"/>
      </rPr>
      <t>) : Pendekatan Aset (</t>
    </r>
    <r>
      <rPr>
        <i/>
        <color theme="1"/>
        <family val="2"/>
        <scheme val="minor"/>
        <sz val="11"/>
        <rFont val="Calibri"/>
      </rPr>
      <t>Excess Earning Method</t>
    </r>
    <r>
      <rPr>
        <color theme="1"/>
        <family val="2"/>
        <scheme val="minor"/>
        <sz val="11"/>
        <rFont val="Calibri"/>
      </rPr>
      <t>)</t>
    </r>
  </si>
  <si>
    <r>
      <t>Pendekatan Aset (</t>
    </r>
    <r>
      <rPr>
        <i/>
        <color theme="1"/>
        <family val="2"/>
        <scheme val="minor"/>
        <sz val="11"/>
        <rFont val="Calibri"/>
      </rPr>
      <t>Excess Earning Method</t>
    </r>
    <r>
      <rPr>
        <color theme="1"/>
        <family val="2"/>
        <scheme val="minor"/>
        <sz val="11"/>
        <rFont val="Calibri"/>
      </rPr>
      <t>) : Pendekatan Pasar (</t>
    </r>
    <r>
      <rPr>
        <i/>
        <color theme="1"/>
        <family val="2"/>
        <scheme val="minor"/>
        <sz val="11"/>
        <rFont val="Calibri"/>
      </rPr>
      <t>Guideline Publicly Traded Company Method</t>
    </r>
    <r>
      <rPr>
        <color theme="1"/>
        <family val="2"/>
        <scheme val="minor"/>
        <sz val="11"/>
        <rFont val="Calibri"/>
      </rPr>
      <t>)</t>
    </r>
  </si>
  <si>
    <t>STOCK VALUATION DIVIDEND DISCOUNT MODEL</t>
  </si>
  <si>
    <t>nice to know aja</t>
  </si>
  <si>
    <t>Single Growth</t>
  </si>
  <si>
    <t>Dividend Per Share</t>
  </si>
  <si>
    <t>IDR</t>
  </si>
  <si>
    <t>*Financial Statement CALK 19</t>
  </si>
  <si>
    <t>Exchange Rate</t>
  </si>
  <si>
    <t>IDR/USD</t>
  </si>
  <si>
    <t>Cost of Equity</t>
  </si>
  <si>
    <t>Market Value of Share</t>
  </si>
  <si>
    <t>Indikasi Nilai Saham</t>
  </si>
  <si>
    <t>Per Lembar</t>
  </si>
  <si>
    <t>PT CITRA TUBINDO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</si>
</sst>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164" formatCode="_(* #,##0_);_(* (#,##0);_(* -??_);_(@_)"/>
    <numFmt numFmtId="165" formatCode="_(* #,##0_);_(* (#,##0);_(* &quot;-&quot;??_);_(@_)"/>
    <numFmt numFmtId="166" formatCode="_(* #,##0.00_);_(* (#,##0.00);_(* &quot;-&quot;??_);_(@_)"/>
    <numFmt numFmtId="167" formatCode="_-* #,##0.00_-;-* #,##0.00_-;_-* &quot;-&quot;_-;_-@_-"/>
    <numFmt numFmtId="168" formatCode="0.0%"/>
    <numFmt numFmtId="169" formatCode="0.0000"/>
    <numFmt numFmtId="170" formatCode="_(* #,##0.000000000_);_(* (#,##0.000000000);_(* -_);_(@_)"/>
    <numFmt numFmtId="171" formatCode="0.00000000000000000%"/>
    <numFmt numFmtId="172" formatCode="0.000000"/>
    <numFmt numFmtId="173" formatCode="[$-421]dd mmmm yyyy;@"/>
    <numFmt numFmtId="174" formatCode="_(* #,##0_);_(* (#,##0);_(* &quot;-&quot;_);_(@_)"/>
    <numFmt numFmtId="175" formatCode="_(* #,##0.0000_);_(* (#,##0.0000);_(* &quot;-&quot;??_);_(@_)"/>
    <numFmt numFmtId="176" formatCode="_-* #,##0_-;(#,##0)_-;_-* &quot;-&quot;_-;_-@_-"/>
    <numFmt numFmtId="177" formatCode="_-* #,##0.000_-;(#,##0.000)_-;_-* &quot;-&quot;_-;_-@_-"/>
    <numFmt numFmtId="178" formatCode="_-* #,##0.0000_-;(#,##0.0000)_-;_-* &quot;-&quot;_-;_-@_-"/>
    <numFmt numFmtId="179" formatCode="_(* #,##0.000_);_(* (#,##0.000);_(* &quot;-&quot;_);_(@_)"/>
    <numFmt numFmtId="180" formatCode="_-* #,##0.000_-;-* #,##0.000_-;_-* &quot;-&quot;_-;_-@_-"/>
    <numFmt numFmtId="181" formatCode="0.000000%"/>
    <numFmt numFmtId="182" formatCode="0.0000000000"/>
    <numFmt numFmtId="183" formatCode="_-* #,##0.00_-;-* #,##0.00_-;_-* &quot;-&quot;??_-;_-@_-"/>
    <numFmt numFmtId="184" formatCode="_-* #,##0_-;-* #,##0_-;_-* &quot;-&quot;??_-;_-@_-"/>
    <numFmt numFmtId="185" formatCode="_-* #,##0.00000_-;-* #,##0.00000_-;_-* &quot;-&quot;??_-;_-@_-"/>
  </numFmts>
  <fonts count="41" x14ac:knownFonts="1">
    <font>
      <color theme="1"/>
      <family val="2"/>
      <scheme val="minor"/>
      <sz val="11"/>
      <name val="Calibri"/>
    </font>
    <font>
      <b/>
      <color theme="1"/>
      <family val="2"/>
      <scheme val="minor"/>
      <sz val="20"/>
      <name val="Calibri"/>
    </font>
    <font>
      <i/>
      <color theme="1"/>
      <family val="2"/>
      <scheme val="minor"/>
      <sz val="8"/>
      <name val="Calibri"/>
    </font>
    <font>
      <color indexed="8"/>
      <family val="2"/>
      <sz val="11"/>
      <name val="Calibri"/>
    </font>
    <font>
      <b/>
      <color theme="1"/>
      <family val="2"/>
      <scheme val="minor"/>
      <sz val="11"/>
      <name val="Calibri"/>
    </font>
    <font>
      <family val="2"/>
      <sz val="10"/>
      <name val="Arial"/>
    </font>
    <font>
      <color theme="1"/>
      <family val="2"/>
      <sz val="11"/>
      <name val="Calibri"/>
    </font>
    <font>
      <color rgb="FFFF0000"/>
      <family val="2"/>
      <scheme val="minor"/>
      <sz val="11"/>
      <name val="Calibri"/>
    </font>
    <font>
      <u/>
      <color theme="10"/>
      <family val="2"/>
      <scheme val="minor"/>
      <sz val="11"/>
      <name val="Calibri"/>
    </font>
    <font>
      <b/>
      <color theme="0"/>
      <family val="2"/>
      <scheme val="minor"/>
      <sz val="11"/>
      <name val="Calibri"/>
    </font>
    <font>
      <color theme="0"/>
      <family val="2"/>
      <scheme val="minor"/>
      <sz val="11"/>
      <name val="Calibri"/>
    </font>
    <font>
      <i/>
      <color theme="1"/>
      <family val="2"/>
      <scheme val="minor"/>
      <sz val="11"/>
      <name val="Calibri"/>
    </font>
    <font>
      <b/>
      <i/>
      <color rgb="FFFF0000"/>
      <family val="2"/>
      <scheme val="minor"/>
      <sz val="11"/>
      <name val="Calibri"/>
    </font>
    <font>
      <b/>
      <i/>
      <color theme="0"/>
      <family val="2"/>
      <scheme val="minor"/>
      <sz val="11"/>
      <name val="Calibri"/>
    </font>
    <font>
      <color indexed="8"/>
      <family val="2"/>
      <sz val="14"/>
      <name val="Calibri"/>
    </font>
    <font>
      <color theme="0"/>
      <family val="2"/>
      <sz val="11"/>
      <name val="Calibri"/>
    </font>
    <font>
      <color theme="1"/>
      <sz val="11"/>
      <name val="Calibri (Body)"/>
    </font>
    <font>
      <b/>
      <color theme="1"/>
      <sz val="11"/>
      <name val="Calibri (Body)"/>
    </font>
    <font>
      <color rgb="FFFF0000"/>
      <family val="2"/>
      <sz val="11"/>
      <name val="Calibri"/>
    </font>
    <font>
      <b/>
      <color theme="0"/>
      <family val="2"/>
      <sz val="11"/>
      <name val="Calibri"/>
    </font>
    <font>
      <color theme="1"/>
      <family val="2"/>
      <sz val="11"/>
      <name val="Arial"/>
    </font>
    <font>
      <b/>
      <color theme="1"/>
      <family val="2"/>
      <sz val="11"/>
      <name val="Arial"/>
    </font>
    <font>
      <color theme="1"/>
      <family val="2"/>
      <sz val="10"/>
      <name val="Arial"/>
    </font>
    <font>
      <i/>
      <color theme="1"/>
      <family val="2"/>
      <sz val="11"/>
      <name val="Arial"/>
    </font>
    <font>
      <b/>
      <u/>
      <color theme="1"/>
      <family val="2"/>
      <scheme val="minor"/>
      <sz val="11"/>
      <name val="Calibri"/>
    </font>
    <font>
      <b/>
      <i/>
      <u/>
      <color theme="3"/>
      <family val="2"/>
      <scheme val="minor"/>
      <sz val="11"/>
      <name val="Calibri"/>
    </font>
    <font>
      <b/>
      <i/>
      <color theme="3"/>
      <family val="2"/>
      <scheme val="minor"/>
      <sz val="11"/>
      <name val="Calibri"/>
    </font>
    <font>
      <u/>
      <color theme="1"/>
      <family val="2"/>
      <scheme val="minor"/>
      <sz val="11"/>
      <name val="Calibri"/>
    </font>
    <font>
      <color theme="0" tint="-0.0499893185216834"/>
      <family val="2"/>
      <scheme val="minor"/>
      <sz val="11"/>
      <name val="Calibri"/>
    </font>
    <font>
      <i/>
      <color theme="0" tint="-0.0499893185216834"/>
      <family val="2"/>
      <scheme val="minor"/>
      <sz val="11"/>
      <name val="Calibri"/>
    </font>
    <font>
      <family val="2"/>
      <scheme val="minor"/>
      <sz val="11"/>
      <name val="Calibri"/>
    </font>
    <font>
      <b/>
      <i/>
      <color theme="1"/>
      <family val="2"/>
      <scheme val="minor"/>
      <sz val="11"/>
      <name val="Calibri"/>
    </font>
    <font>
      <u/>
      <color theme="0"/>
      <family val="2"/>
      <scheme val="minor"/>
      <sz val="11"/>
      <name val="Calibri"/>
    </font>
    <font>
      <b/>
      <color theme="0"/>
      <family val="2"/>
      <sz val="14"/>
      <name val="Calibri"/>
    </font>
    <font>
      <b/>
      <color indexed="8"/>
      <family val="2"/>
      <sz val="12"/>
      <name val="Calibri"/>
    </font>
    <font>
      <b/>
      <color indexed="8"/>
      <family val="2"/>
      <sz val="11"/>
      <name val="Calibri"/>
    </font>
    <font>
      <color theme="0"/>
      <sz val="11"/>
      <name val="Calibri (Body)"/>
    </font>
    <font>
      <color rgb="FF0000FF"/>
      <family val="2"/>
      <scheme val="minor"/>
      <sz val="11"/>
      <name val="Calibri"/>
    </font>
    <font>
      <color rgb="FF0070C0"/>
      <family val="2"/>
      <scheme val="minor"/>
      <sz val="11"/>
      <name val="Calibri"/>
    </font>
    <font>
      <color theme="10"/>
      <family val="2"/>
      <scheme val="minor"/>
      <sz val="11"/>
      <name val="Calibri"/>
    </font>
    <font>
      <b/>
      <color theme="10"/>
      <family val="2"/>
      <scheme val="minor"/>
      <sz val="11"/>
      <name val="Calibri"/>
    </font>
  </fonts>
  <fills count="38">
    <fill>
      <patternFill patternType="none"/>
    </fill>
    <fill>
      <patternFill patternType="gray125"/>
    </fill>
    <fill>
      <patternFill patternType="solid">
        <fgColor theme="0" tint="-0.0499893185216834"/>
        <bgColor indexed="34"/>
      </patternFill>
    </fill>
    <fill>
      <patternFill patternType="solid">
        <fgColor theme="0" tint="-0.0499893185216834"/>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4" tint="-0.249977111117893"/>
        <bgColor indexed="64"/>
      </patternFill>
    </fill>
    <fill>
      <patternFill patternType="solid">
        <fgColor rgb="FF92D050"/>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1499984740745262"/>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7" tint="0.7999816888943144"/>
        <bgColor indexed="64"/>
      </patternFill>
    </fill>
    <fill>
      <patternFill patternType="solid">
        <fgColor rgb="FFFF0000"/>
        <bgColor indexed="64"/>
      </patternFill>
    </fill>
    <fill>
      <patternFill patternType="solid">
        <fgColor rgb="FF00B0F0"/>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5" tint="0.3999755851924192"/>
        <bgColor indexed="64"/>
      </patternFill>
    </fill>
    <fill>
      <patternFill patternType="solid">
        <fgColor rgb="FFFFFF99"/>
        <bgColor indexed="64"/>
      </patternFill>
    </fill>
    <fill>
      <patternFill patternType="solid">
        <fgColor theme="4" tint="-0.499984740745262"/>
        <bgColor indexed="64"/>
      </patternFill>
    </fill>
    <fill>
      <patternFill patternType="solid">
        <fgColor theme="9" tint="0.5999938962981048"/>
        <bgColor indexed="64"/>
      </patternFill>
    </fill>
    <fill>
      <patternFill patternType="solid">
        <fgColor theme="2" tint="-0.0999786370433668"/>
        <bgColor indexed="64"/>
      </patternFill>
    </fill>
    <fill>
      <patternFill patternType="solid">
        <fgColor rgb="FF002060"/>
        <bgColor indexed="64"/>
      </patternFill>
    </fill>
    <fill>
      <patternFill patternType="solid">
        <fgColor theme="2"/>
        <bgColor indexed="64"/>
      </patternFill>
    </fill>
    <fill>
      <patternFill patternType="solid">
        <fgColor theme="5" tint="-0.499984740745262"/>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6" tint="-0.249977111117893"/>
        <bgColor indexed="64"/>
      </patternFill>
    </fill>
    <fill>
      <patternFill patternType="solid">
        <fgColor theme="6" tint="0.3999450666829432"/>
        <bgColor indexed="64"/>
      </patternFill>
    </fill>
    <fill>
      <patternFill patternType="solid">
        <fgColor theme="5" tint="-0.249977111117893"/>
        <bgColor indexed="64"/>
      </patternFill>
    </fill>
    <fill>
      <patternFill patternType="solid">
        <fgColor theme="3" tint="0.3999450666829432"/>
        <bgColor indexed="64"/>
      </patternFill>
    </fill>
    <fill>
      <patternFill patternType="solid">
        <fgColor theme="5" tint="0.3999450666829432"/>
        <bgColor indexed="64"/>
      </patternFill>
    </fill>
    <fill>
      <patternFill patternType="solid">
        <fgColor theme="4" tint="0.7999511703848384"/>
        <bgColor indexed="64"/>
      </patternFill>
    </fill>
    <fill>
      <patternFill patternType="solid">
        <fgColor theme="5" tint="0.7999816888943144"/>
        <bgColor indexed="64"/>
      </patternFill>
    </fill>
    <fill>
      <patternFill patternType="solid">
        <fgColor theme="8"/>
        <bgColor indexed="64"/>
      </patternFill>
    </fill>
  </fills>
  <borders count="81">
    <border>
      <left/>
      <right/>
      <top/>
      <bottom/>
      <diagonal/>
    </border>
    <border>
      <left style="medium"/>
      <right style="medium"/>
      <top style="medium"/>
      <bottom style="mediu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bottom style="double"/>
      <diagonal/>
    </border>
    <border>
      <left/>
      <right/>
      <top/>
      <bottom style="medium"/>
      <diagonal/>
    </border>
    <border>
      <left style="thin"/>
      <right style="thin"/>
      <top style="thin"/>
      <bottom style="thin"/>
      <diagonal/>
    </border>
    <border>
      <left style="thin"/>
      <right style="thin"/>
      <top style="thin"/>
      <bottom/>
      <diagonal/>
    </border>
    <border>
      <left style="thin"/>
      <right style="thin"/>
      <top/>
      <bottom/>
      <diagonal/>
    </border>
    <border>
      <left style="thin"/>
      <right style="thin"/>
      <top/>
      <bottom style="thin"/>
      <diagonal/>
    </border>
    <border>
      <left style="thin"/>
      <right/>
      <top style="thin"/>
      <bottom style="thin"/>
      <diagonal/>
    </border>
    <border>
      <left/>
      <right style="medium">
        <color rgb="FFC00000"/>
      </right>
      <top/>
      <bottom/>
      <diagonal/>
    </border>
    <border>
      <left style="mediumDashed">
        <color indexed="64"/>
      </left>
      <right/>
      <top/>
      <bottom/>
      <diagonal/>
    </border>
    <border>
      <left/>
      <right style="thin">
        <color indexed="64"/>
      </right>
      <top/>
      <bottom/>
      <diagonal/>
    </border>
    <border>
      <left style="mediumDashed">
        <color indexed="64"/>
      </left>
      <right/>
      <top/>
      <bottom style="medium">
        <color indexed="64"/>
      </bottom>
      <diagonal/>
    </border>
    <border>
      <left/>
      <right style="thin">
        <color indexed="64"/>
      </right>
      <top/>
      <bottom style="medium"/>
      <diagonal/>
    </border>
    <border>
      <left/>
      <right style="medium">
        <color rgb="FFC00000"/>
      </right>
      <top/>
      <bottom style="medium">
        <color indexed="64"/>
      </bottom>
      <diagonal/>
    </border>
    <border>
      <left style="thin">
        <color indexed="64"/>
      </left>
      <right/>
      <top style="medium"/>
      <bottom/>
      <diagonal/>
    </border>
    <border>
      <left style="thin">
        <color indexed="64"/>
      </left>
      <right/>
      <top/>
      <bottom/>
      <diagonal/>
    </border>
    <border>
      <left style="thin"/>
      <right/>
      <top style="thin"/>
      <bottom/>
      <diagonal/>
    </border>
    <border>
      <left/>
      <right/>
      <top style="thin">
        <color indexed="64"/>
      </top>
      <bottom/>
      <diagonal/>
    </border>
    <border>
      <left/>
      <right style="thin">
        <color indexed="64"/>
      </right>
      <top style="thin">
        <color indexed="64"/>
      </top>
      <bottom/>
      <diagonal/>
    </border>
    <border>
      <left/>
      <right style="mediumDashed">
        <color indexed="64"/>
      </right>
      <top/>
      <bottom/>
      <diagonal/>
    </border>
    <border>
      <left style="thin"/>
      <right/>
      <top/>
      <bottom style="thin"/>
      <diagonal/>
    </border>
    <border>
      <left/>
      <right style="thin">
        <color indexed="64"/>
      </right>
      <top/>
      <bottom style="thin">
        <color indexed="64"/>
      </bottom>
      <diagonal/>
    </border>
    <border>
      <left style="medium">
        <color indexed="64"/>
      </left>
      <right/>
      <top style="medium">
        <color indexed="64"/>
      </top>
      <bottom/>
      <diagonal/>
    </border>
    <border>
      <left/>
      <right/>
      <top style="medium"/>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top style="thin"/>
      <bottom style="thin"/>
      <diagonal/>
    </border>
    <border>
      <left/>
      <right/>
      <top style="thin"/>
      <bottom style="medium"/>
      <diagonal/>
    </border>
    <border>
      <left/>
      <right/>
      <top style="thin"/>
      <bottom style="double"/>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right/>
      <top style="medium"/>
      <bottom style="thin"/>
      <diagonal/>
    </border>
    <border>
      <left/>
      <right/>
      <top style="medium"/>
      <bottom style="thin"/>
      <diagonal/>
    </border>
    <border>
      <left/>
      <right style="medium"/>
      <top style="medium"/>
      <bottom style="thin"/>
      <diagonal/>
    </border>
    <border>
      <left style="medium">
        <color indexed="64"/>
      </left>
      <right style="medium">
        <color indexed="64"/>
      </right>
      <top style="medium">
        <color indexed="64"/>
      </top>
      <bottom style="thin"/>
      <diagonal/>
    </border>
    <border>
      <left style="medium"/>
      <right/>
      <top style="thin"/>
      <bottom style="thin"/>
      <diagonal/>
    </border>
    <border>
      <left style="medium"/>
      <right/>
      <top/>
      <bottom style="thin"/>
      <diagonal/>
    </border>
    <border>
      <left/>
      <right style="medium"/>
      <top/>
      <bottom style="thin"/>
      <diagonal/>
    </border>
    <border>
      <left style="medium">
        <color indexed="64"/>
      </left>
      <right style="medium">
        <color indexed="64"/>
      </right>
      <top/>
      <bottom style="thin"/>
      <diagonal/>
    </border>
    <border>
      <left style="medium"/>
      <right style="medium"/>
      <top style="thin"/>
      <bottom style="thin"/>
      <diagonal/>
    </border>
    <border>
      <left/>
      <right style="medium"/>
      <top style="thin"/>
      <bottom style="thin"/>
      <diagonal/>
    </border>
    <border>
      <left style="medium"/>
      <right/>
      <top style="thin"/>
      <bottom style="medium"/>
      <diagonal/>
    </border>
    <border>
      <left/>
      <right style="medium"/>
      <top style="thin"/>
      <bottom style="medium"/>
      <diagonal/>
    </border>
    <border>
      <left style="medium">
        <color indexed="64"/>
      </left>
      <right style="medium">
        <color indexed="64"/>
      </right>
      <top style="thin"/>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right/>
      <top style="medium">
        <color indexed="64"/>
      </top>
      <bottom style="medium">
        <color indexed="64"/>
      </bottom>
      <diagonal/>
    </border>
    <border>
      <left/>
      <right/>
      <top style="medium"/>
      <bottom style="mediu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right/>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medium"/>
      <top style="thin"/>
      <bottom/>
      <diagonal/>
    </border>
    <border>
      <left style="medium">
        <color indexed="64"/>
      </left>
      <right/>
      <top style="medium">
        <color indexed="64"/>
      </top>
      <bottom style="medium">
        <color indexed="64"/>
      </bottom>
      <diagonal/>
    </border>
  </borders>
  <cellStyleXfs count="1">
    <xf numFmtId="0" fontId="0" fillId="0" borderId="0"/>
  </cellStyleXfs>
  <cellXfs count="58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0" fillId="0" borderId="0" xfId="0" applyAlignment="1">
      <alignment horizontal="right"/>
    </xf>
    <xf numFmtId="0" fontId="5" fillId="0" borderId="0" xfId="0" applyFont="1"/>
    <xf numFmtId="0" fontId="5" fillId="2" borderId="0" xfId="0" applyFont="1" applyFill="1" applyAlignment="1" applyProtection="1">
      <alignment horizontal="center"/>
      <protection locked="0"/>
    </xf>
    <xf numFmtId="164" fontId="5" fillId="2" borderId="0" xfId="0" applyNumberFormat="1" applyFont="1" applyFill="1" applyAlignment="1" applyProtection="1">
      <alignment horizontal="center"/>
      <protection locked="0"/>
    </xf>
    <xf numFmtId="10" fontId="5" fillId="0" borderId="0" xfId="0" applyNumberFormat="1" applyFont="1" applyAlignment="1">
      <alignment horizontal="center"/>
    </xf>
    <xf numFmtId="1" fontId="5" fillId="0" borderId="0" xfId="0" applyNumberFormat="1" applyFont="1" applyAlignment="1">
      <alignment horizontal="center"/>
    </xf>
    <xf numFmtId="14" fontId="6" fillId="2" borderId="0" xfId="0" applyNumberFormat="1" applyFont="1" applyFill="1" applyProtection="1">
      <protection locked="0"/>
    </xf>
    <xf numFmtId="0" fontId="7" fillId="0" borderId="0" xfId="0" applyFont="1"/>
    <xf numFmtId="0" fontId="3" fillId="3" borderId="0" xfId="0" applyFont="1" applyFill="1" applyAlignment="1">
      <alignment horizontal="center"/>
    </xf>
    <xf numFmtId="164" fontId="0" fillId="0" borderId="0" xfId="0" applyNumberFormat="1"/>
    <xf numFmtId="9" fontId="3" fillId="0" borderId="0" xfId="0" applyNumberFormat="1" applyFont="1"/>
    <xf numFmtId="0" fontId="4" fillId="0" borderId="1" xfId="0" applyFont="1" applyBorder="1" applyAlignment="1">
      <alignment horizontal="center"/>
    </xf>
    <xf numFmtId="0" fontId="0" fillId="0" borderId="2" xfId="0" applyBorder="1"/>
    <xf numFmtId="0" fontId="0" fillId="0" borderId="3" xfId="0" applyBorder="1"/>
    <xf numFmtId="15" fontId="0" fillId="0" borderId="0" xfId="0" applyNumberFormat="1"/>
    <xf numFmtId="0" fontId="0" fillId="0" borderId="0" xfId="0" applyAlignment="1">
      <alignment horizontal="center"/>
    </xf>
    <xf numFmtId="0" fontId="0" fillId="4" borderId="0" xfId="0" applyFill="1"/>
    <xf numFmtId="0" fontId="8" fillId="0" borderId="0" xfId="0" applyFont="1"/>
    <xf numFmtId="0" fontId="0" fillId="5" borderId="0" xfId="0" applyFill="1"/>
    <xf numFmtId="0" fontId="9" fillId="6" borderId="0" xfId="0" applyFont="1" applyFill="1" applyAlignment="1">
      <alignment horizontal="center"/>
    </xf>
    <xf numFmtId="0" fontId="9" fillId="7" borderId="0" xfId="0" applyFont="1" applyFill="1" applyAlignment="1">
      <alignment horizontal="center"/>
    </xf>
    <xf numFmtId="165" fontId="0" fillId="0" borderId="0" xfId="0" applyNumberFormat="1"/>
    <xf numFmtId="0" fontId="0" fillId="8" borderId="0" xfId="0" applyFill="1"/>
    <xf numFmtId="0" fontId="4" fillId="9" borderId="0" xfId="0" applyFont="1" applyFill="1"/>
    <xf numFmtId="10" fontId="0" fillId="8" borderId="0" xfId="0" applyNumberFormat="1" applyFill="1"/>
    <xf numFmtId="10" fontId="4" fillId="9" borderId="0" xfId="0" applyNumberFormat="1" applyFont="1" applyFill="1"/>
    <xf numFmtId="9" fontId="0" fillId="0" borderId="0" xfId="0" applyNumberFormat="1"/>
    <xf numFmtId="165" fontId="0" fillId="4" borderId="0" xfId="0" applyNumberFormat="1" applyFill="1"/>
    <xf numFmtId="0" fontId="4" fillId="0" borderId="4" xfId="0" applyFont="1" applyBorder="1"/>
    <xf numFmtId="0" fontId="0" fillId="0" borderId="4" xfId="0" applyBorder="1"/>
    <xf numFmtId="165" fontId="0" fillId="0" borderId="4" xfId="0" applyNumberFormat="1" applyBorder="1"/>
    <xf numFmtId="165" fontId="0" fillId="10" borderId="0" xfId="0" applyNumberFormat="1" applyFill="1"/>
    <xf numFmtId="165" fontId="4" fillId="0" borderId="0" xfId="0" applyNumberFormat="1" applyFont="1"/>
    <xf numFmtId="165" fontId="4" fillId="0" borderId="4" xfId="0" applyNumberFormat="1" applyFont="1" applyBorder="1"/>
    <xf numFmtId="165" fontId="0" fillId="5" borderId="0" xfId="0" applyNumberFormat="1" applyFill="1"/>
    <xf numFmtId="0" fontId="4" fillId="0" borderId="5" xfId="0" applyFont="1" applyBorder="1"/>
    <xf numFmtId="0" fontId="0" fillId="0" borderId="5" xfId="0" applyBorder="1"/>
    <xf numFmtId="165" fontId="4" fillId="0" borderId="5" xfId="0" applyNumberFormat="1" applyFont="1" applyBorder="1"/>
    <xf numFmtId="0" fontId="4" fillId="0" borderId="6" xfId="0" applyFont="1" applyBorder="1"/>
    <xf numFmtId="0" fontId="0" fillId="0" borderId="6" xfId="0" applyBorder="1"/>
    <xf numFmtId="165" fontId="4" fillId="0" borderId="6" xfId="0" applyNumberFormat="1" applyFont="1" applyBorder="1"/>
    <xf numFmtId="10" fontId="0" fillId="0" borderId="0" xfId="0" applyNumberFormat="1"/>
    <xf numFmtId="0" fontId="4" fillId="0" borderId="7" xfId="0" applyFont="1" applyBorder="1"/>
    <xf numFmtId="0" fontId="0" fillId="0" borderId="7" xfId="0" applyBorder="1"/>
    <xf numFmtId="165" fontId="4" fillId="0" borderId="7" xfId="0" applyNumberFormat="1" applyFont="1" applyBorder="1"/>
    <xf numFmtId="165" fontId="10" fillId="0" borderId="0" xfId="0" applyNumberFormat="1" applyFont="1"/>
    <xf numFmtId="9" fontId="4" fillId="0" borderId="0" xfId="0" applyNumberFormat="1" applyFont="1" applyAlignment="1">
      <alignment horizontal="center"/>
    </xf>
    <xf numFmtId="0" fontId="9" fillId="11" borderId="0" xfId="0" applyFont="1" applyFill="1" applyAlignment="1">
      <alignment horizontal="center"/>
    </xf>
    <xf numFmtId="10" fontId="0" fillId="0" borderId="0" xfId="0" applyNumberFormat="1" applyAlignment="1">
      <alignment horizontal="center"/>
    </xf>
    <xf numFmtId="10" fontId="4" fillId="8" borderId="0" xfId="0" applyNumberFormat="1" applyFont="1" applyFill="1"/>
    <xf numFmtId="0" fontId="11" fillId="0" borderId="0" xfId="0" applyFont="1"/>
    <xf numFmtId="9" fontId="12" fillId="0" borderId="0" xfId="0" applyNumberFormat="1" applyFont="1"/>
    <xf numFmtId="9" fontId="0" fillId="8" borderId="0" xfId="0" applyNumberFormat="1" applyFill="1"/>
    <xf numFmtId="9" fontId="4" fillId="9" borderId="0" xfId="0" applyNumberFormat="1" applyFont="1" applyFill="1"/>
    <xf numFmtId="9" fontId="13" fillId="0" borderId="0" xfId="0" applyNumberFormat="1" applyFont="1"/>
    <xf numFmtId="0" fontId="11" fillId="0" borderId="5" xfId="0" applyFont="1" applyBorder="1"/>
    <xf numFmtId="9" fontId="12" fillId="0" borderId="5" xfId="0" applyNumberFormat="1" applyFont="1" applyBorder="1"/>
    <xf numFmtId="9" fontId="13" fillId="0" borderId="5" xfId="0" applyNumberFormat="1" applyFont="1" applyBorder="1"/>
    <xf numFmtId="10" fontId="10" fillId="0" borderId="0" xfId="0" applyNumberFormat="1" applyFont="1"/>
    <xf numFmtId="166" fontId="0" fillId="0" borderId="0" xfId="0" applyNumberFormat="1"/>
    <xf numFmtId="165" fontId="0" fillId="12" borderId="0" xfId="0" applyNumberFormat="1" applyFill="1"/>
    <xf numFmtId="166" fontId="0" fillId="4" borderId="0" xfId="0" applyNumberFormat="1" applyFill="1"/>
    <xf numFmtId="37" fontId="0" fillId="4" borderId="0" xfId="0" applyNumberFormat="1" applyFill="1"/>
    <xf numFmtId="165" fontId="9" fillId="13" borderId="0" xfId="0" applyNumberFormat="1" applyFont="1" applyFill="1"/>
    <xf numFmtId="165" fontId="0" fillId="14" borderId="0" xfId="0" applyNumberFormat="1" applyFill="1"/>
    <xf numFmtId="165" fontId="0" fillId="0" borderId="7" xfId="0" applyNumberFormat="1" applyBorder="1"/>
    <xf numFmtId="0" fontId="0" fillId="10" borderId="0" xfId="0" applyFill="1"/>
    <xf numFmtId="165" fontId="0" fillId="10" borderId="4" xfId="0" applyNumberFormat="1" applyFill="1" applyBorder="1"/>
    <xf numFmtId="165" fontId="4" fillId="10" borderId="0" xfId="0" applyNumberFormat="1" applyFont="1" applyFill="1"/>
    <xf numFmtId="9" fontId="4" fillId="0" borderId="0" xfId="0" applyNumberFormat="1" applyFont="1"/>
    <xf numFmtId="165" fontId="9" fillId="15" borderId="0" xfId="0" applyNumberFormat="1" applyFont="1" applyFill="1"/>
    <xf numFmtId="165" fontId="4" fillId="16" borderId="0" xfId="0" applyNumberFormat="1" applyFont="1" applyFill="1"/>
    <xf numFmtId="0" fontId="10" fillId="0" borderId="0" xfId="0" applyFont="1"/>
    <xf numFmtId="0" fontId="9" fillId="6" borderId="0" xfId="0" applyFont="1" applyFill="1"/>
    <xf numFmtId="0" fontId="4" fillId="17" borderId="0" xfId="0" applyFont="1" applyFill="1"/>
    <xf numFmtId="10" fontId="11" fillId="0" borderId="0" xfId="0" applyNumberFormat="1" applyFont="1"/>
    <xf numFmtId="167" fontId="11" fillId="0" borderId="0" xfId="0" applyNumberFormat="1" applyFont="1"/>
    <xf numFmtId="2" fontId="0" fillId="0" borderId="0" xfId="0" applyNumberFormat="1"/>
    <xf numFmtId="0" fontId="10" fillId="6" borderId="0" xfId="0" applyFont="1" applyFill="1"/>
    <xf numFmtId="165" fontId="4" fillId="18" borderId="0" xfId="0" applyNumberFormat="1" applyFont="1" applyFill="1"/>
    <xf numFmtId="165" fontId="4" fillId="16" borderId="4" xfId="0" applyNumberFormat="1" applyFont="1" applyFill="1" applyBorder="1"/>
    <xf numFmtId="165" fontId="0" fillId="19" borderId="0" xfId="0" applyNumberFormat="1" applyFill="1"/>
    <xf numFmtId="165" fontId="0" fillId="12" borderId="4" xfId="0" applyNumberFormat="1" applyFill="1" applyBorder="1"/>
    <xf numFmtId="165" fontId="0" fillId="5" borderId="4" xfId="0" applyNumberFormat="1" applyFill="1" applyBorder="1"/>
    <xf numFmtId="165" fontId="10" fillId="15" borderId="0" xfId="0" applyNumberFormat="1" applyFont="1" applyFill="1"/>
    <xf numFmtId="165" fontId="4" fillId="18" borderId="7" xfId="0" applyNumberFormat="1" applyFont="1" applyFill="1" applyBorder="1"/>
    <xf numFmtId="0" fontId="4" fillId="0" borderId="0" xfId="0" applyFont="1" applyAlignment="1">
      <alignment horizontal="center"/>
    </xf>
    <xf numFmtId="165" fontId="4" fillId="5" borderId="0" xfId="0" applyNumberFormat="1" applyFont="1" applyFill="1"/>
    <xf numFmtId="9" fontId="4" fillId="5" borderId="0" xfId="0" applyNumberFormat="1" applyFont="1" applyFill="1"/>
    <xf numFmtId="0" fontId="3" fillId="0" borderId="0" xfId="0" applyFont="1" applyAlignment="1">
      <alignment horizontal="center" vertical="center"/>
    </xf>
    <xf numFmtId="0" fontId="14" fillId="0" borderId="0" xfId="0" applyFont="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lignment horizontal="left" vertical="center"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20" borderId="9" xfId="0" applyFont="1" applyFill="1" applyBorder="1" applyAlignment="1" applyProtection="1">
      <alignment horizontal="center" vertical="center"/>
      <protection locked="0"/>
    </xf>
    <xf numFmtId="0" fontId="15" fillId="0" borderId="0" xfId="0" applyFont="1"/>
    <xf numFmtId="0" fontId="3" fillId="0" borderId="11" xfId="0" applyFont="1" applyBorder="1" applyAlignment="1">
      <alignment horizontal="left" vertical="top" wrapText="1"/>
    </xf>
    <xf numFmtId="0" fontId="3" fillId="20" borderId="11" xfId="0" applyFont="1" applyFill="1" applyBorder="1" applyAlignment="1" applyProtection="1">
      <alignment horizontal="center" vertical="center"/>
      <protection locked="0"/>
    </xf>
    <xf numFmtId="0" fontId="3" fillId="0" borderId="8" xfId="0" applyFont="1" applyBorder="1" applyAlignment="1">
      <alignment horizontal="left" vertical="center"/>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6" fillId="0" borderId="0" xfId="0" applyFont="1"/>
    <xf numFmtId="0" fontId="6" fillId="0" borderId="0" xfId="0" applyFont="1" applyAlignment="1">
      <alignment horizontal="center" vertical="center"/>
    </xf>
    <xf numFmtId="0" fontId="16" fillId="0" borderId="0" xfId="0" applyFont="1"/>
    <xf numFmtId="0" fontId="16" fillId="0" borderId="0" xfId="0" applyFont="1" applyAlignment="1">
      <alignment horizontal="center" vertical="center"/>
    </xf>
    <xf numFmtId="9" fontId="16" fillId="0" borderId="0" xfId="0" applyNumberFormat="1" applyFont="1" applyAlignment="1">
      <alignment horizontal="center" vertical="center"/>
    </xf>
    <xf numFmtId="0" fontId="17" fillId="0" borderId="0" xfId="0" applyFont="1"/>
    <xf numFmtId="9" fontId="17" fillId="0" borderId="0" xfId="0" applyNumberFormat="1" applyFont="1" applyAlignment="1">
      <alignment horizontal="center" vertical="center"/>
    </xf>
    <xf numFmtId="9" fontId="10" fillId="0" borderId="0" xfId="0" applyNumberFormat="1" applyFont="1"/>
    <xf numFmtId="0" fontId="15" fillId="0" borderId="0" xfId="0" applyFont="1" applyAlignment="1">
      <alignment horizontal="left" vertical="center"/>
    </xf>
    <xf numFmtId="0" fontId="3" fillId="0" borderId="8" xfId="0" applyFont="1" applyBorder="1" applyAlignment="1">
      <alignment horizontal="left" wrapText="1"/>
    </xf>
    <xf numFmtId="0" fontId="3" fillId="0" borderId="9" xfId="0" applyFont="1" applyBorder="1" applyAlignment="1">
      <alignment horizontal="left" wrapText="1"/>
    </xf>
    <xf numFmtId="0" fontId="3" fillId="0" borderId="11" xfId="0" applyFont="1" applyBorder="1" applyAlignment="1">
      <alignment horizontal="left" wrapText="1"/>
    </xf>
    <xf numFmtId="0" fontId="18" fillId="0" borderId="0" xfId="0" applyFont="1"/>
    <xf numFmtId="9" fontId="3" fillId="0" borderId="0" xfId="0" applyNumberFormat="1" applyFont="1" applyAlignment="1">
      <alignment horizontal="center" vertical="center"/>
    </xf>
    <xf numFmtId="9" fontId="4" fillId="0" borderId="0" xfId="0" applyNumberFormat="1" applyFont="1" applyAlignment="1">
      <alignment horizontal="center" vertical="center"/>
    </xf>
    <xf numFmtId="9" fontId="15" fillId="0" borderId="0" xfId="0" applyNumberFormat="1" applyFont="1"/>
    <xf numFmtId="0" fontId="19" fillId="0" borderId="0" xfId="0" applyFon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165" fontId="0" fillId="0" borderId="0" xfId="0" applyNumberFormat="1" applyAlignment="1">
      <alignment horizontal="center"/>
    </xf>
    <xf numFmtId="165" fontId="0" fillId="0" borderId="24" xfId="0" applyNumberFormat="1" applyBorder="1" applyAlignment="1">
      <alignment horizontal="center"/>
    </xf>
    <xf numFmtId="0" fontId="0" fillId="0" borderId="0" xfId="0" applyAlignment="1">
      <alignment horizontal="left"/>
    </xf>
    <xf numFmtId="0" fontId="0" fillId="0" borderId="15" xfId="0" applyBorder="1" applyAlignment="1">
      <alignment horizontal="left"/>
    </xf>
    <xf numFmtId="165" fontId="0" fillId="0" borderId="0" xfId="0" applyNumberFormat="1" applyAlignment="1">
      <alignment horizontal="left"/>
    </xf>
    <xf numFmtId="165" fontId="0" fillId="0" borderId="15" xfId="0" applyNumberFormat="1" applyBorder="1" applyAlignment="1">
      <alignment horizontal="left"/>
    </xf>
    <xf numFmtId="0" fontId="0" fillId="0" borderId="25" xfId="0" applyBorder="1"/>
    <xf numFmtId="10" fontId="0" fillId="0" borderId="4" xfId="0" applyNumberFormat="1" applyBorder="1"/>
    <xf numFmtId="0" fontId="0" fillId="0" borderId="26" xfId="0" applyBorder="1"/>
    <xf numFmtId="0" fontId="0" fillId="18" borderId="0" xfId="0" applyFill="1"/>
    <xf numFmtId="0" fontId="0" fillId="18" borderId="27" xfId="0" applyFill="1" applyBorder="1"/>
    <xf numFmtId="0" fontId="0" fillId="18" borderId="28" xfId="0" applyFill="1" applyBorder="1"/>
    <xf numFmtId="0" fontId="0" fillId="18" borderId="29" xfId="0" applyFill="1" applyBorder="1"/>
    <xf numFmtId="0" fontId="4" fillId="18" borderId="27" xfId="0" applyFont="1" applyFill="1" applyBorder="1" applyAlignment="1">
      <alignment horizontal="center"/>
    </xf>
    <xf numFmtId="0" fontId="4" fillId="18" borderId="28" xfId="0" applyFont="1" applyFill="1" applyBorder="1" applyAlignment="1">
      <alignment horizontal="center"/>
    </xf>
    <xf numFmtId="0" fontId="4" fillId="18" borderId="29" xfId="0" applyFont="1" applyFill="1" applyBorder="1" applyAlignment="1">
      <alignment horizontal="center"/>
    </xf>
    <xf numFmtId="0" fontId="0" fillId="18" borderId="30" xfId="0" applyFill="1" applyBorder="1"/>
    <xf numFmtId="0" fontId="0" fillId="18" borderId="31" xfId="0" applyFill="1" applyBorder="1"/>
    <xf numFmtId="0" fontId="0" fillId="18" borderId="32" xfId="0" applyFill="1" applyBorder="1"/>
    <xf numFmtId="0" fontId="0" fillId="18" borderId="7" xfId="0" applyFill="1" applyBorder="1"/>
    <xf numFmtId="0" fontId="0" fillId="18" borderId="33" xfId="0" applyFill="1" applyBorder="1"/>
    <xf numFmtId="0" fontId="0" fillId="3" borderId="27" xfId="0" applyFill="1" applyBorder="1"/>
    <xf numFmtId="0" fontId="0" fillId="3" borderId="28" xfId="0" applyFill="1" applyBorder="1"/>
    <xf numFmtId="0" fontId="0" fillId="3" borderId="29" xfId="0" applyFill="1" applyBorder="1"/>
    <xf numFmtId="0" fontId="0" fillId="3" borderId="30" xfId="0" applyFill="1" applyBorder="1"/>
    <xf numFmtId="0" fontId="0" fillId="3" borderId="0" xfId="0" applyFill="1"/>
    <xf numFmtId="0" fontId="0" fillId="3" borderId="0" xfId="0" applyFill="1" applyAlignment="1">
      <alignment horizontal="center"/>
    </xf>
    <xf numFmtId="0" fontId="0" fillId="3" borderId="31" xfId="0" applyFill="1" applyBorder="1"/>
    <xf numFmtId="0" fontId="0" fillId="3" borderId="13" xfId="0" applyFill="1" applyBorder="1"/>
    <xf numFmtId="0" fontId="0" fillId="3" borderId="14" xfId="0" applyFill="1" applyBorder="1"/>
    <xf numFmtId="0" fontId="0" fillId="3" borderId="15" xfId="0" applyFill="1" applyBorder="1"/>
    <xf numFmtId="0" fontId="0" fillId="3" borderId="7"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0" fillId="3" borderId="21" xfId="0" applyFill="1" applyBorder="1"/>
    <xf numFmtId="0" fontId="0" fillId="3" borderId="22" xfId="0" applyFill="1" applyBorder="1"/>
    <xf numFmtId="0" fontId="0" fillId="3" borderId="23" xfId="0" applyFill="1" applyBorder="1"/>
    <xf numFmtId="165" fontId="0" fillId="3" borderId="0" xfId="0" applyNumberFormat="1" applyFill="1" applyAlignment="1">
      <alignment horizontal="left"/>
    </xf>
    <xf numFmtId="165" fontId="0" fillId="3" borderId="24" xfId="0" applyNumberFormat="1" applyFill="1" applyBorder="1" applyAlignment="1">
      <alignment horizontal="left"/>
    </xf>
    <xf numFmtId="1" fontId="0" fillId="3" borderId="0" xfId="0" applyNumberFormat="1" applyFill="1" applyAlignment="1">
      <alignment horizontal="left"/>
    </xf>
    <xf numFmtId="1" fontId="0" fillId="3" borderId="15" xfId="0" applyNumberFormat="1" applyFill="1" applyBorder="1" applyAlignment="1">
      <alignment horizontal="left"/>
    </xf>
    <xf numFmtId="165" fontId="0" fillId="3" borderId="15" xfId="0" applyNumberFormat="1" applyFill="1" applyBorder="1" applyAlignment="1">
      <alignment horizontal="left"/>
    </xf>
    <xf numFmtId="10" fontId="0" fillId="3" borderId="0" xfId="0" applyNumberFormat="1" applyFill="1"/>
    <xf numFmtId="0" fontId="0" fillId="3" borderId="15" xfId="0" applyFill="1" applyBorder="1" applyAlignment="1">
      <alignment horizontal="left"/>
    </xf>
    <xf numFmtId="9" fontId="0" fillId="3" borderId="0" xfId="0" applyNumberFormat="1" applyFill="1"/>
    <xf numFmtId="0" fontId="0" fillId="3" borderId="25" xfId="0" applyFill="1" applyBorder="1"/>
    <xf numFmtId="10" fontId="0" fillId="3" borderId="4" xfId="0" applyNumberFormat="1" applyFill="1" applyBorder="1"/>
    <xf numFmtId="0" fontId="0" fillId="3" borderId="26" xfId="0" applyFill="1" applyBorder="1"/>
    <xf numFmtId="0" fontId="0" fillId="3" borderId="26" xfId="0" applyFill="1" applyBorder="1" applyAlignment="1">
      <alignment horizontal="left"/>
    </xf>
    <xf numFmtId="0" fontId="0" fillId="3" borderId="32" xfId="0" applyFill="1" applyBorder="1"/>
    <xf numFmtId="0" fontId="0" fillId="3" borderId="33" xfId="0" applyFill="1" applyBorder="1"/>
    <xf numFmtId="165" fontId="9" fillId="6" borderId="0" xfId="0" applyNumberFormat="1" applyFont="1" applyFill="1" applyAlignment="1">
      <alignment horizontal="center"/>
    </xf>
    <xf numFmtId="165" fontId="12" fillId="0" borderId="0" xfId="0" applyNumberFormat="1" applyFont="1"/>
    <xf numFmtId="0" fontId="4" fillId="14" borderId="0" xfId="0" applyFont="1" applyFill="1" applyAlignment="1">
      <alignment horizontal="center"/>
    </xf>
    <xf numFmtId="0" fontId="0" fillId="14" borderId="0" xfId="0" applyFill="1"/>
    <xf numFmtId="165" fontId="4" fillId="5" borderId="4" xfId="0" applyNumberFormat="1" applyFont="1" applyFill="1" applyBorder="1"/>
    <xf numFmtId="165" fontId="0" fillId="14" borderId="4" xfId="0" applyNumberFormat="1" applyFill="1" applyBorder="1"/>
    <xf numFmtId="165" fontId="4" fillId="14" borderId="5" xfId="0" applyNumberFormat="1" applyFont="1" applyFill="1" applyBorder="1"/>
    <xf numFmtId="0" fontId="4" fillId="0" borderId="8" xfId="0" applyFont="1" applyBorder="1" applyAlignment="1">
      <alignment horizontal="center"/>
    </xf>
    <xf numFmtId="0" fontId="0" fillId="0" borderId="8" xfId="0" applyBorder="1"/>
    <xf numFmtId="0" fontId="0" fillId="0" borderId="9" xfId="0" applyBorder="1"/>
    <xf numFmtId="165" fontId="0" fillId="0" borderId="8" xfId="0" applyNumberFormat="1" applyBorder="1"/>
    <xf numFmtId="0" fontId="0" fillId="0" borderId="10" xfId="0" applyBorder="1"/>
    <xf numFmtId="0" fontId="0" fillId="0" borderId="11" xfId="0" applyBorder="1"/>
    <xf numFmtId="166" fontId="4" fillId="0" borderId="12" xfId="0" applyNumberFormat="1" applyFont="1" applyBorder="1" applyAlignment="1">
      <alignment horizontal="center"/>
    </xf>
    <xf numFmtId="166" fontId="4" fillId="0" borderId="5" xfId="0" applyNumberFormat="1" applyFont="1" applyBorder="1" applyAlignment="1">
      <alignment horizontal="center"/>
    </xf>
    <xf numFmtId="166" fontId="4" fillId="0" borderId="34" xfId="0" applyNumberFormat="1" applyFont="1" applyBorder="1" applyAlignment="1">
      <alignment horizontal="center"/>
    </xf>
    <xf numFmtId="0" fontId="20" fillId="0" borderId="0" xfId="0" applyFont="1" applyAlignment="1">
      <alignment horizontal="center"/>
    </xf>
    <xf numFmtId="0" fontId="20" fillId="0" borderId="0" xfId="0" applyFont="1"/>
    <xf numFmtId="0" fontId="21" fillId="0" borderId="0" xfId="0" applyFont="1" applyAlignment="1">
      <alignment horizontal="center"/>
    </xf>
    <xf numFmtId="0" fontId="22" fillId="0" borderId="0" xfId="0" applyFont="1" applyAlignment="1">
      <alignment horizontal="center"/>
    </xf>
    <xf numFmtId="0" fontId="21" fillId="0" borderId="8" xfId="0" applyFont="1" applyBorder="1" applyAlignment="1">
      <alignment horizontal="center"/>
    </xf>
    <xf numFmtId="0" fontId="20" fillId="0" borderId="9" xfId="0" applyFont="1" applyBorder="1" applyAlignment="1">
      <alignment horizontal="center" vertical="top" wrapText="1"/>
    </xf>
    <xf numFmtId="0" fontId="20" fillId="0" borderId="9" xfId="0" applyFont="1" applyBorder="1" applyAlignment="1">
      <alignment horizontal="left" vertical="top" wrapText="1"/>
    </xf>
    <xf numFmtId="0" fontId="20" fillId="0" borderId="10" xfId="0" applyFont="1" applyBorder="1" applyAlignment="1">
      <alignment horizontal="center"/>
    </xf>
    <xf numFmtId="0" fontId="23" fillId="0" borderId="10" xfId="0" applyFont="1" applyBorder="1"/>
    <xf numFmtId="0" fontId="20" fillId="0" borderId="10" xfId="0" applyFont="1" applyBorder="1"/>
    <xf numFmtId="0" fontId="20" fillId="0" borderId="11" xfId="0" applyFont="1" applyBorder="1" applyAlignment="1">
      <alignment horizontal="center"/>
    </xf>
    <xf numFmtId="0" fontId="20" fillId="0" borderId="11" xfId="0" applyFont="1" applyBorder="1"/>
    <xf numFmtId="0" fontId="20" fillId="0" borderId="9" xfId="0" applyFont="1" applyBorder="1"/>
    <xf numFmtId="0" fontId="20" fillId="0" borderId="10" xfId="0" applyFont="1" applyBorder="1" applyAlignment="1">
      <alignment horizontal="center" vertical="top" wrapText="1"/>
    </xf>
    <xf numFmtId="0" fontId="20" fillId="0" borderId="10" xfId="0" applyFont="1" applyBorder="1" applyAlignment="1">
      <alignment horizontal="left" vertical="top" wrapText="1"/>
    </xf>
    <xf numFmtId="0" fontId="9" fillId="21" borderId="0" xfId="0" applyFont="1" applyFill="1"/>
    <xf numFmtId="0" fontId="24" fillId="0" borderId="0" xfId="0" applyFont="1"/>
    <xf numFmtId="9" fontId="0" fillId="0" borderId="7" xfId="0" applyNumberFormat="1" applyBorder="1"/>
    <xf numFmtId="10" fontId="25" fillId="10" borderId="0" xfId="0" applyNumberFormat="1" applyFont="1" applyFill="1"/>
    <xf numFmtId="10" fontId="26" fillId="10" borderId="0" xfId="0" applyNumberFormat="1" applyFont="1" applyFill="1"/>
    <xf numFmtId="0" fontId="0" fillId="0" borderId="7" xfId="0" applyBorder="1" applyAlignment="1">
      <alignment horizontal="center"/>
    </xf>
    <xf numFmtId="0" fontId="27" fillId="0" borderId="0" xfId="0" applyFont="1"/>
    <xf numFmtId="0" fontId="4" fillId="0" borderId="35" xfId="0" applyFont="1" applyBorder="1"/>
    <xf numFmtId="165" fontId="4" fillId="0" borderId="35" xfId="0" applyNumberFormat="1" applyFont="1" applyBorder="1"/>
    <xf numFmtId="0" fontId="9" fillId="21" borderId="0" xfId="0" applyFont="1" applyFill="1" applyAlignment="1">
      <alignment horizontal="center"/>
    </xf>
    <xf numFmtId="0" fontId="0" fillId="22" borderId="0" xfId="0" applyFill="1"/>
    <xf numFmtId="0" fontId="0" fillId="12" borderId="0" xfId="0" applyFill="1"/>
    <xf numFmtId="165" fontId="8" fillId="22" borderId="0" xfId="0" applyNumberFormat="1" applyFont="1" applyFill="1"/>
    <xf numFmtId="0" fontId="11" fillId="0" borderId="0" xfId="0" applyFont="1" applyAlignment="1">
      <alignment horizontal="left" indent="2"/>
    </xf>
    <xf numFmtId="10" fontId="0" fillId="22" borderId="0" xfId="0" applyNumberFormat="1" applyFill="1"/>
    <xf numFmtId="165" fontId="0" fillId="22" borderId="0" xfId="0" applyNumberFormat="1" applyFill="1"/>
    <xf numFmtId="165" fontId="4" fillId="22" borderId="7" xfId="0" applyNumberFormat="1" applyFont="1" applyFill="1" applyBorder="1"/>
    <xf numFmtId="9" fontId="11" fillId="22" borderId="0" xfId="0" applyNumberFormat="1" applyFont="1" applyFill="1"/>
    <xf numFmtId="9" fontId="0" fillId="23" borderId="0" xfId="0" applyNumberFormat="1" applyFill="1"/>
    <xf numFmtId="166" fontId="0" fillId="23" borderId="0" xfId="0" applyNumberFormat="1" applyFill="1"/>
    <xf numFmtId="165" fontId="0" fillId="22" borderId="4" xfId="0" applyNumberFormat="1" applyFill="1" applyBorder="1"/>
    <xf numFmtId="166" fontId="0" fillId="23" borderId="4" xfId="0" applyNumberFormat="1" applyFill="1" applyBorder="1"/>
    <xf numFmtId="0" fontId="0" fillId="22" borderId="4" xfId="0" applyFill="1" applyBorder="1"/>
    <xf numFmtId="10" fontId="0" fillId="23" borderId="0" xfId="0" applyNumberFormat="1" applyFill="1"/>
    <xf numFmtId="9" fontId="28" fillId="22" borderId="0" xfId="0" applyNumberFormat="1" applyFont="1" applyFill="1"/>
    <xf numFmtId="9" fontId="7" fillId="0" borderId="0" xfId="0" applyNumberFormat="1" applyFont="1"/>
    <xf numFmtId="9" fontId="28" fillId="0" borderId="0" xfId="0" applyNumberFormat="1" applyFont="1"/>
    <xf numFmtId="9" fontId="0" fillId="22" borderId="0" xfId="0" applyNumberFormat="1" applyFill="1"/>
    <xf numFmtId="0" fontId="11" fillId="0" borderId="4" xfId="0" applyFont="1" applyBorder="1"/>
    <xf numFmtId="9" fontId="0" fillId="22" borderId="4" xfId="0" applyNumberFormat="1" applyFill="1" applyBorder="1"/>
    <xf numFmtId="9" fontId="0" fillId="0" borderId="4" xfId="0" applyNumberFormat="1" applyBorder="1"/>
    <xf numFmtId="9" fontId="28" fillId="0" borderId="4" xfId="0" applyNumberFormat="1" applyFont="1" applyBorder="1"/>
    <xf numFmtId="0" fontId="4" fillId="0" borderId="36" xfId="0" applyFont="1" applyBorder="1"/>
    <xf numFmtId="0" fontId="0" fillId="0" borderId="36" xfId="0" applyBorder="1"/>
    <xf numFmtId="165" fontId="4" fillId="22" borderId="36" xfId="0" applyNumberFormat="1" applyFont="1" applyFill="1" applyBorder="1"/>
    <xf numFmtId="165" fontId="4" fillId="0" borderId="36" xfId="0" applyNumberFormat="1" applyFont="1" applyBorder="1"/>
    <xf numFmtId="0" fontId="11" fillId="0" borderId="0" xfId="0" applyFont="1" applyAlignment="1">
      <alignment horizontal="left" indent="3"/>
    </xf>
    <xf numFmtId="9" fontId="11" fillId="0" borderId="0" xfId="0" applyNumberFormat="1" applyFont="1"/>
    <xf numFmtId="11" fontId="0" fillId="0" borderId="0" xfId="0" applyNumberFormat="1"/>
    <xf numFmtId="9" fontId="29" fillId="22" borderId="0" xfId="0" applyNumberFormat="1" applyFont="1" applyFill="1"/>
    <xf numFmtId="9" fontId="29" fillId="0" borderId="0" xfId="0" applyNumberFormat="1" applyFont="1"/>
    <xf numFmtId="165" fontId="30" fillId="0" borderId="4" xfId="0" applyNumberFormat="1" applyFont="1" applyBorder="1"/>
    <xf numFmtId="165" fontId="0" fillId="8" borderId="0" xfId="0" applyNumberFormat="1" applyFill="1"/>
    <xf numFmtId="168" fontId="0" fillId="0" borderId="0" xfId="0" applyNumberFormat="1"/>
    <xf numFmtId="165" fontId="4" fillId="22" borderId="6" xfId="0" applyNumberFormat="1" applyFont="1" applyFill="1" applyBorder="1"/>
    <xf numFmtId="165" fontId="4" fillId="22" borderId="5" xfId="0" applyNumberFormat="1" applyFont="1" applyFill="1" applyBorder="1"/>
    <xf numFmtId="165" fontId="0" fillId="0" borderId="5" xfId="0" applyNumberFormat="1" applyBorder="1"/>
    <xf numFmtId="165" fontId="4" fillId="22" borderId="4" xfId="0" applyNumberFormat="1" applyFont="1" applyFill="1" applyBorder="1"/>
    <xf numFmtId="165" fontId="4" fillId="22" borderId="0" xfId="0" applyNumberFormat="1" applyFont="1" applyFill="1"/>
    <xf numFmtId="0" fontId="9" fillId="0" borderId="0" xfId="0" applyFont="1"/>
    <xf numFmtId="165" fontId="9" fillId="24" borderId="0" xfId="0" applyNumberFormat="1" applyFont="1" applyFill="1"/>
    <xf numFmtId="0" fontId="31" fillId="0" borderId="0" xfId="0" applyFont="1"/>
    <xf numFmtId="165" fontId="31" fillId="22" borderId="0" xfId="0" applyNumberFormat="1" applyFont="1" applyFill="1"/>
    <xf numFmtId="165" fontId="31" fillId="25" borderId="0" xfId="0" applyNumberFormat="1" applyFont="1" applyFill="1"/>
    <xf numFmtId="0" fontId="0" fillId="25" borderId="0" xfId="0" applyFill="1"/>
    <xf numFmtId="165" fontId="0" fillId="22" borderId="7" xfId="0" applyNumberFormat="1" applyFill="1" applyBorder="1"/>
    <xf numFmtId="165" fontId="10" fillId="26" borderId="0" xfId="0" applyNumberFormat="1" applyFont="1" applyFill="1"/>
    <xf numFmtId="0" fontId="9" fillId="26" borderId="0" xfId="0" applyFont="1" applyFill="1"/>
    <xf numFmtId="165" fontId="10" fillId="26" borderId="4" xfId="0" applyNumberFormat="1" applyFont="1" applyFill="1" applyBorder="1"/>
    <xf numFmtId="165" fontId="9" fillId="27" borderId="0" xfId="0" applyNumberFormat="1" applyFont="1" applyFill="1"/>
    <xf numFmtId="0" fontId="0" fillId="27" borderId="0" xfId="0" applyFill="1"/>
    <xf numFmtId="165" fontId="4" fillId="22" borderId="22" xfId="0" applyNumberFormat="1" applyFont="1" applyFill="1" applyBorder="1"/>
    <xf numFmtId="165" fontId="9" fillId="28" borderId="0" xfId="0" applyNumberFormat="1" applyFont="1" applyFill="1"/>
    <xf numFmtId="165" fontId="30" fillId="0" borderId="0" xfId="0" applyNumberFormat="1" applyFont="1"/>
    <xf numFmtId="165" fontId="4" fillId="8" borderId="0" xfId="0" applyNumberFormat="1" applyFont="1" applyFill="1"/>
    <xf numFmtId="165" fontId="4" fillId="12" borderId="4" xfId="0" applyNumberFormat="1" applyFont="1" applyFill="1" applyBorder="1"/>
    <xf numFmtId="165" fontId="9" fillId="29" borderId="7" xfId="0" applyNumberFormat="1" applyFont="1" applyFill="1" applyBorder="1"/>
    <xf numFmtId="0" fontId="0" fillId="29" borderId="0" xfId="0" applyFill="1"/>
    <xf numFmtId="10" fontId="0" fillId="12" borderId="0" xfId="0" applyNumberFormat="1" applyFill="1"/>
    <xf numFmtId="169" fontId="0" fillId="0" borderId="0" xfId="0" applyNumberFormat="1"/>
    <xf numFmtId="2" fontId="4" fillId="0" borderId="4" xfId="0" applyNumberFormat="1" applyFont="1" applyBorder="1"/>
    <xf numFmtId="0" fontId="9" fillId="6" borderId="5" xfId="0" applyFont="1" applyFill="1" applyBorder="1" applyAlignment="1">
      <alignment horizontal="center"/>
    </xf>
    <xf numFmtId="169" fontId="9" fillId="6" borderId="5" xfId="0" applyNumberFormat="1" applyFont="1" applyFill="1" applyBorder="1"/>
    <xf numFmtId="0" fontId="9" fillId="6" borderId="7" xfId="0" applyFont="1" applyFill="1" applyBorder="1" applyAlignment="1">
      <alignment horizontal="center"/>
    </xf>
    <xf numFmtId="10" fontId="32" fillId="6" borderId="7" xfId="0" applyNumberFormat="1" applyFont="1" applyFill="1" applyBorder="1"/>
    <xf numFmtId="0" fontId="33" fillId="30" borderId="0" xfId="0" applyFont="1" applyFill="1" applyAlignment="1">
      <alignment horizontal="center"/>
    </xf>
    <xf numFmtId="0" fontId="34" fillId="31" borderId="0" xfId="0" applyFont="1" applyFill="1" applyAlignment="1">
      <alignment horizontal="center"/>
    </xf>
    <xf numFmtId="0" fontId="19" fillId="32" borderId="8" xfId="0" applyFont="1" applyFill="1" applyBorder="1" applyAlignment="1">
      <alignment horizontal="center"/>
    </xf>
    <xf numFmtId="0" fontId="19" fillId="33" borderId="8" xfId="0" applyFont="1" applyFill="1" applyBorder="1" applyAlignment="1">
      <alignment horizontal="center"/>
    </xf>
    <xf numFmtId="0" fontId="3" fillId="34" borderId="8" xfId="0" applyFont="1" applyFill="1" applyBorder="1" applyAlignment="1">
      <alignment horizontal="center"/>
    </xf>
    <xf numFmtId="0" fontId="3" fillId="35" borderId="8" xfId="0" applyFont="1" applyFill="1" applyBorder="1" applyAlignment="1">
      <alignment horizontal="center"/>
    </xf>
    <xf numFmtId="0" fontId="3" fillId="34" borderId="8" xfId="0" applyFont="1" applyFill="1" applyBorder="1"/>
    <xf numFmtId="164" fontId="3" fillId="36" borderId="8" xfId="0" applyNumberFormat="1" applyFont="1" applyFill="1" applyBorder="1"/>
    <xf numFmtId="0" fontId="3" fillId="35" borderId="8" xfId="0" applyFont="1" applyFill="1" applyBorder="1"/>
    <xf numFmtId="10" fontId="3" fillId="35" borderId="8" xfId="0" applyNumberFormat="1" applyFont="1" applyFill="1" applyBorder="1"/>
    <xf numFmtId="0" fontId="19" fillId="21" borderId="0" xfId="0" applyFont="1" applyFill="1" applyAlignment="1">
      <alignment horizontal="center"/>
    </xf>
    <xf numFmtId="11" fontId="19" fillId="21" borderId="0" xfId="0" applyNumberFormat="1" applyFont="1" applyFill="1" applyAlignment="1">
      <alignment horizontal="center"/>
    </xf>
    <xf numFmtId="165" fontId="3" fillId="0" borderId="0" xfId="0" applyNumberFormat="1" applyFont="1"/>
    <xf numFmtId="10" fontId="3" fillId="0" borderId="0" xfId="0" applyNumberFormat="1" applyFont="1"/>
    <xf numFmtId="0" fontId="35" fillId="22" borderId="0" xfId="0" applyFont="1" applyFill="1"/>
    <xf numFmtId="0" fontId="3" fillId="22" borderId="0" xfId="0" applyFont="1" applyFill="1"/>
    <xf numFmtId="170" fontId="3" fillId="0" borderId="0" xfId="0" applyNumberFormat="1" applyFont="1"/>
    <xf numFmtId="171" fontId="3" fillId="0" borderId="0" xfId="0" applyNumberFormat="1" applyFont="1"/>
    <xf numFmtId="172" fontId="3" fillId="0" borderId="0" xfId="0" applyNumberFormat="1" applyFont="1"/>
    <xf numFmtId="166" fontId="3" fillId="0" borderId="0" xfId="0" applyNumberFormat="1" applyFont="1"/>
    <xf numFmtId="164" fontId="3" fillId="20" borderId="8" xfId="0" applyNumberFormat="1" applyFont="1" applyFill="1" applyBorder="1"/>
    <xf numFmtId="10" fontId="3" fillId="20" borderId="8" xfId="0" applyNumberFormat="1" applyFont="1" applyFill="1" applyBorder="1"/>
    <xf numFmtId="164" fontId="3" fillId="34" borderId="8" xfId="0" applyNumberFormat="1" applyFont="1" applyFill="1" applyBorder="1"/>
    <xf numFmtId="0" fontId="4" fillId="10" borderId="37" xfId="0" applyFont="1" applyFill="1" applyBorder="1" applyAlignment="1">
      <alignment horizontal="center" vertical="center"/>
    </xf>
    <xf numFmtId="0" fontId="4" fillId="10" borderId="38" xfId="0" applyFont="1" applyFill="1" applyBorder="1" applyAlignment="1">
      <alignment horizontal="center"/>
    </xf>
    <xf numFmtId="0" fontId="4" fillId="10" borderId="39" xfId="0" applyFont="1" applyFill="1" applyBorder="1" applyAlignment="1">
      <alignment horizontal="center"/>
    </xf>
    <xf numFmtId="0" fontId="4" fillId="10" borderId="37" xfId="0" applyFont="1" applyFill="1" applyBorder="1" applyAlignment="1">
      <alignment horizontal="center"/>
    </xf>
    <xf numFmtId="0" fontId="4" fillId="10" borderId="40" xfId="0" applyFont="1" applyFill="1" applyBorder="1" applyAlignment="1">
      <alignment horizontal="center" vertical="center"/>
    </xf>
    <xf numFmtId="0" fontId="4" fillId="10" borderId="8" xfId="0" applyFont="1" applyFill="1" applyBorder="1" applyAlignment="1">
      <alignment horizontal="center"/>
    </xf>
    <xf numFmtId="0" fontId="4" fillId="10" borderId="41" xfId="0" applyFont="1" applyFill="1" applyBorder="1" applyAlignment="1">
      <alignment horizontal="center"/>
    </xf>
    <xf numFmtId="0" fontId="4" fillId="10" borderId="40" xfId="0" applyFont="1" applyFill="1" applyBorder="1" applyAlignment="1">
      <alignment horizontal="center"/>
    </xf>
    <xf numFmtId="0" fontId="0" fillId="0" borderId="40" xfId="0" applyBorder="1"/>
    <xf numFmtId="165" fontId="0" fillId="0" borderId="41" xfId="0" applyNumberFormat="1" applyBorder="1"/>
    <xf numFmtId="165" fontId="0" fillId="0" borderId="40" xfId="0" applyNumberFormat="1" applyBorder="1"/>
    <xf numFmtId="0" fontId="0" fillId="0" borderId="41" xfId="0" applyBorder="1"/>
    <xf numFmtId="9" fontId="0" fillId="0" borderId="40" xfId="0" applyNumberFormat="1" applyBorder="1"/>
    <xf numFmtId="9" fontId="0" fillId="0" borderId="8" xfId="0" applyNumberFormat="1" applyBorder="1"/>
    <xf numFmtId="9" fontId="0" fillId="0" borderId="41" xfId="0" applyNumberFormat="1" applyBorder="1"/>
    <xf numFmtId="0" fontId="31" fillId="0" borderId="40" xfId="0" applyFont="1" applyBorder="1"/>
    <xf numFmtId="0" fontId="31" fillId="0" borderId="8" xfId="0" applyFont="1" applyBorder="1"/>
    <xf numFmtId="0" fontId="31" fillId="0" borderId="41" xfId="0" applyFont="1" applyBorder="1"/>
    <xf numFmtId="0" fontId="0" fillId="0" borderId="42" xfId="0" applyBorder="1"/>
    <xf numFmtId="166" fontId="0" fillId="0" borderId="43" xfId="0" applyNumberFormat="1" applyBorder="1"/>
    <xf numFmtId="0" fontId="0" fillId="0" borderId="44" xfId="0" applyBorder="1"/>
    <xf numFmtId="0" fontId="0" fillId="0" borderId="43" xfId="0" applyBorder="1"/>
    <xf numFmtId="0" fontId="31" fillId="0" borderId="42" xfId="0" applyFont="1" applyBorder="1"/>
    <xf numFmtId="0" fontId="31" fillId="0" borderId="43" xfId="0" applyFont="1" applyBorder="1"/>
    <xf numFmtId="0" fontId="31" fillId="0" borderId="44" xfId="0" applyFont="1" applyBorder="1"/>
    <xf numFmtId="0" fontId="11" fillId="0" borderId="45" xfId="0" applyFont="1" applyBorder="1"/>
    <xf numFmtId="0" fontId="31" fillId="0" borderId="37" xfId="0" applyFont="1" applyBorder="1"/>
    <xf numFmtId="0" fontId="31" fillId="0" borderId="38" xfId="0" applyFont="1" applyBorder="1"/>
    <xf numFmtId="0" fontId="31" fillId="0" borderId="39" xfId="0" applyFont="1" applyBorder="1"/>
    <xf numFmtId="9" fontId="31" fillId="0" borderId="42" xfId="0" applyNumberFormat="1" applyFont="1" applyBorder="1"/>
    <xf numFmtId="9" fontId="31" fillId="0" borderId="43" xfId="0" applyNumberFormat="1" applyFont="1" applyBorder="1"/>
    <xf numFmtId="9" fontId="31" fillId="0" borderId="44" xfId="0" applyNumberFormat="1" applyFont="1" applyBorder="1"/>
    <xf numFmtId="0" fontId="4" fillId="10" borderId="46" xfId="0" applyFont="1" applyFill="1" applyBorder="1" applyAlignment="1">
      <alignment horizontal="center"/>
    </xf>
    <xf numFmtId="0" fontId="4" fillId="10" borderId="47" xfId="0" applyFont="1" applyFill="1" applyBorder="1" applyAlignment="1">
      <alignment horizontal="center"/>
    </xf>
    <xf numFmtId="0" fontId="4" fillId="10" borderId="48" xfId="0" applyFont="1" applyFill="1" applyBorder="1" applyAlignment="1">
      <alignment horizontal="center"/>
    </xf>
    <xf numFmtId="0" fontId="4" fillId="10" borderId="49" xfId="0" applyFont="1" applyFill="1" applyBorder="1" applyAlignment="1">
      <alignment horizontal="center"/>
    </xf>
    <xf numFmtId="0" fontId="0" fillId="0" borderId="50" xfId="0" applyBorder="1"/>
    <xf numFmtId="0" fontId="4" fillId="0" borderId="51"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4" fillId="0" borderId="50" xfId="0" applyFont="1" applyBorder="1" applyAlignment="1">
      <alignment horizontal="center"/>
    </xf>
    <xf numFmtId="166" fontId="4" fillId="0" borderId="41" xfId="0" applyNumberFormat="1" applyFont="1" applyBorder="1"/>
    <xf numFmtId="9" fontId="0" fillId="0" borderId="54" xfId="0" applyNumberFormat="1" applyBorder="1" applyAlignment="1">
      <alignment horizontal="center"/>
    </xf>
    <xf numFmtId="166" fontId="0" fillId="0" borderId="55" xfId="0" applyNumberFormat="1" applyBorder="1"/>
    <xf numFmtId="165" fontId="4" fillId="0" borderId="41" xfId="0" applyNumberFormat="1" applyFont="1" applyBorder="1"/>
    <xf numFmtId="0" fontId="0" fillId="0" borderId="56" xfId="0" applyBorder="1"/>
    <xf numFmtId="0" fontId="0" fillId="0" borderId="57" xfId="0" applyBorder="1"/>
    <xf numFmtId="0" fontId="0" fillId="0" borderId="58" xfId="0" applyBorder="1" applyAlignment="1">
      <alignment horizontal="center"/>
    </xf>
    <xf numFmtId="166" fontId="0" fillId="0" borderId="57" xfId="0" applyNumberFormat="1" applyBorder="1"/>
    <xf numFmtId="0" fontId="0" fillId="0" borderId="27" xfId="0" applyBorder="1"/>
    <xf numFmtId="0" fontId="0" fillId="0" borderId="29" xfId="0" applyBorder="1"/>
    <xf numFmtId="9" fontId="0" fillId="0" borderId="59" xfId="0" applyNumberFormat="1" applyBorder="1"/>
    <xf numFmtId="166" fontId="0" fillId="0" borderId="59" xfId="0" applyNumberFormat="1" applyBorder="1"/>
    <xf numFmtId="0" fontId="0" fillId="0" borderId="30" xfId="0" applyBorder="1"/>
    <xf numFmtId="0" fontId="0" fillId="0" borderId="31" xfId="0" applyBorder="1"/>
    <xf numFmtId="166" fontId="0" fillId="0" borderId="2" xfId="0" applyNumberFormat="1" applyBorder="1"/>
    <xf numFmtId="9" fontId="0" fillId="0" borderId="2" xfId="0" applyNumberFormat="1" applyBorder="1"/>
    <xf numFmtId="0" fontId="4" fillId="0" borderId="30" xfId="0" applyFont="1" applyBorder="1"/>
    <xf numFmtId="0" fontId="4" fillId="0" borderId="31" xfId="0" applyFont="1" applyBorder="1"/>
    <xf numFmtId="0" fontId="4" fillId="0" borderId="2" xfId="0" applyFont="1" applyBorder="1"/>
    <xf numFmtId="166" fontId="4" fillId="0" borderId="2" xfId="0" applyNumberFormat="1" applyFont="1" applyBorder="1"/>
    <xf numFmtId="0" fontId="4" fillId="0" borderId="32" xfId="0" applyFont="1" applyBorder="1"/>
    <xf numFmtId="0" fontId="4" fillId="0" borderId="33" xfId="0" applyFont="1" applyBorder="1"/>
    <xf numFmtId="0" fontId="4" fillId="0" borderId="3" xfId="0" applyFont="1" applyBorder="1"/>
    <xf numFmtId="166" fontId="4" fillId="0" borderId="3" xfId="0" applyNumberFormat="1" applyFont="1" applyBorder="1"/>
    <xf numFmtId="0" fontId="0" fillId="0" borderId="28" xfId="0" applyBorder="1"/>
    <xf numFmtId="173" fontId="0" fillId="0" borderId="0" xfId="0" applyNumberFormat="1"/>
    <xf numFmtId="0" fontId="4" fillId="0" borderId="5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0" fillId="0" borderId="60" xfId="0" applyBorder="1"/>
    <xf numFmtId="0" fontId="4" fillId="0" borderId="61" xfId="0" applyFont="1"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4" fillId="0" borderId="68" xfId="0" applyFont="1" applyBorder="1" applyAlignment="1">
      <alignment horizontal="center"/>
    </xf>
    <xf numFmtId="0" fontId="4" fillId="0" borderId="69" xfId="0" applyFont="1" applyBorder="1" applyAlignment="1">
      <alignment horizontal="center"/>
    </xf>
    <xf numFmtId="0" fontId="4" fillId="0" borderId="70" xfId="0" applyFont="1" applyBorder="1" applyAlignment="1">
      <alignment horizontal="center"/>
    </xf>
    <xf numFmtId="0" fontId="0" fillId="0" borderId="71" xfId="0" applyBorder="1"/>
    <xf numFmtId="0" fontId="0" fillId="0" borderId="72" xfId="0" applyBorder="1"/>
    <xf numFmtId="165" fontId="7" fillId="0" borderId="0" xfId="0" applyNumberFormat="1" applyFont="1"/>
    <xf numFmtId="9" fontId="0" fillId="12" borderId="0" xfId="0" applyNumberFormat="1" applyFill="1"/>
    <xf numFmtId="174" fontId="0" fillId="0" borderId="0" xfId="0" applyNumberFormat="1"/>
    <xf numFmtId="0" fontId="36" fillId="0" borderId="0" xfId="0" applyFont="1" applyAlignment="1">
      <alignment horizontal="center" vertical="center"/>
    </xf>
    <xf numFmtId="0" fontId="36" fillId="0" borderId="0" xfId="0" applyFont="1"/>
    <xf numFmtId="9" fontId="36" fillId="0" borderId="0" xfId="0" applyNumberFormat="1" applyFont="1"/>
    <xf numFmtId="175" fontId="0" fillId="0" borderId="0" xfId="0" applyNumberFormat="1"/>
    <xf numFmtId="174" fontId="4" fillId="0" borderId="0" xfId="0" applyNumberFormat="1" applyFont="1"/>
    <xf numFmtId="10" fontId="0" fillId="0" borderId="8" xfId="0" applyNumberFormat="1" applyBorder="1"/>
    <xf numFmtId="0" fontId="4" fillId="0" borderId="8" xfId="0" applyFont="1" applyBorder="1"/>
    <xf numFmtId="165" fontId="4" fillId="0" borderId="8" xfId="0" applyNumberFormat="1" applyFont="1" applyBorder="1"/>
    <xf numFmtId="176" fontId="9" fillId="37" borderId="0" xfId="0" applyNumberFormat="1" applyFont="1" applyFill="1"/>
    <xf numFmtId="176" fontId="0" fillId="37" borderId="0" xfId="0" applyNumberFormat="1" applyFill="1"/>
    <xf numFmtId="176" fontId="0" fillId="0" borderId="0" xfId="0" applyNumberFormat="1"/>
    <xf numFmtId="9" fontId="0" fillId="0" borderId="0" xfId="0" applyNumberFormat="1" applyProtection="1">
      <protection locked="0"/>
    </xf>
    <xf numFmtId="177" fontId="0" fillId="0" borderId="0" xfId="0" applyNumberFormat="1"/>
    <xf numFmtId="178" fontId="0" fillId="0" borderId="0" xfId="0" applyNumberFormat="1"/>
    <xf numFmtId="176" fontId="30" fillId="0" borderId="0" xfId="0" applyNumberFormat="1" applyFont="1"/>
    <xf numFmtId="176" fontId="37" fillId="0" borderId="0" xfId="0" applyNumberFormat="1" applyFont="1"/>
    <xf numFmtId="9" fontId="38" fillId="14" borderId="0" xfId="0" applyNumberFormat="1" applyFont="1" applyFill="1" applyProtection="1">
      <protection locked="0"/>
    </xf>
    <xf numFmtId="10" fontId="38" fillId="14" borderId="0" xfId="0" applyNumberFormat="1" applyFont="1" applyFill="1" applyProtection="1">
      <protection locked="0"/>
    </xf>
    <xf numFmtId="179" fontId="38" fillId="14" borderId="0" xfId="0" applyNumberFormat="1" applyFont="1" applyFill="1" applyProtection="1">
      <protection locked="0"/>
    </xf>
    <xf numFmtId="0" fontId="5" fillId="0" borderId="0" xfId="0" applyFont="1" applyAlignment="1">
      <alignment vertical="center"/>
    </xf>
    <xf numFmtId="176" fontId="9" fillId="37" borderId="9" xfId="0" applyNumberFormat="1" applyFont="1" applyFill="1" applyBorder="1"/>
    <xf numFmtId="176" fontId="9" fillId="37" borderId="8" xfId="0" applyNumberFormat="1" applyFont="1" applyFill="1" applyBorder="1" applyAlignment="1">
      <alignment horizontal="center"/>
    </xf>
    <xf numFmtId="0" fontId="0" fillId="0" borderId="10" xfId="0" applyBorder="1" applyAlignment="1">
      <alignment horizontal="center"/>
    </xf>
    <xf numFmtId="10" fontId="0" fillId="0" borderId="10" xfId="0" applyNumberFormat="1" applyBorder="1" applyAlignment="1">
      <alignment horizontal="center"/>
    </xf>
    <xf numFmtId="10" fontId="3" fillId="0" borderId="10" xfId="0" applyNumberFormat="1" applyFont="1" applyBorder="1" applyAlignment="1">
      <alignment horizontal="center"/>
    </xf>
    <xf numFmtId="10" fontId="38" fillId="0" borderId="0" xfId="0" applyNumberFormat="1" applyFont="1" applyProtection="1">
      <protection locked="0"/>
    </xf>
    <xf numFmtId="180" fontId="0" fillId="0" borderId="0" xfId="0" applyNumberFormat="1"/>
    <xf numFmtId="176" fontId="9" fillId="37" borderId="11" xfId="0" applyNumberFormat="1" applyFont="1" applyFill="1" applyBorder="1"/>
    <xf numFmtId="10" fontId="9" fillId="37" borderId="11" xfId="0" applyNumberFormat="1" applyFont="1" applyFill="1" applyBorder="1"/>
    <xf numFmtId="176" fontId="4" fillId="0" borderId="0" xfId="0" applyNumberFormat="1" applyFont="1"/>
    <xf numFmtId="10" fontId="8" fillId="0" borderId="0" xfId="0" applyNumberFormat="1" applyFont="1"/>
    <xf numFmtId="14" fontId="11" fillId="0" borderId="0" xfId="0" applyNumberFormat="1" applyFont="1"/>
    <xf numFmtId="0" fontId="39" fillId="0" borderId="0" xfId="0" applyFont="1"/>
    <xf numFmtId="0" fontId="39" fillId="0" borderId="4" xfId="0" applyFont="1" applyBorder="1"/>
    <xf numFmtId="0" fontId="40" fillId="0" borderId="0" xfId="0" applyFont="1"/>
    <xf numFmtId="0" fontId="31" fillId="0" borderId="69" xfId="0" applyFont="1" applyBorder="1"/>
    <xf numFmtId="0" fontId="0" fillId="0" borderId="69" xfId="0" applyBorder="1"/>
    <xf numFmtId="165" fontId="11" fillId="0" borderId="69" xfId="0" applyNumberFormat="1" applyFont="1" applyBorder="1"/>
    <xf numFmtId="165" fontId="11" fillId="0" borderId="0" xfId="0" applyNumberFormat="1" applyFont="1"/>
    <xf numFmtId="0" fontId="11" fillId="0" borderId="0" xfId="0" applyFont="1" applyAlignment="1">
      <alignment wrapText="1"/>
    </xf>
    <xf numFmtId="165" fontId="31" fillId="0" borderId="69" xfId="0" applyNumberFormat="1" applyFont="1" applyBorder="1"/>
    <xf numFmtId="0" fontId="4" fillId="0" borderId="28" xfId="0" applyFont="1" applyBorder="1"/>
    <xf numFmtId="10" fontId="4" fillId="0" borderId="28" xfId="0" applyNumberFormat="1" applyFont="1" applyBorder="1"/>
    <xf numFmtId="9" fontId="4" fillId="0" borderId="7" xfId="0" applyNumberFormat="1" applyFont="1" applyBorder="1"/>
    <xf numFmtId="0" fontId="4" fillId="0" borderId="37" xfId="0" applyFont="1" applyBorder="1" applyAlignment="1">
      <alignment horizontal="center"/>
    </xf>
    <xf numFmtId="0" fontId="4" fillId="0" borderId="38" xfId="0" applyFont="1" applyBorder="1" applyAlignment="1">
      <alignment horizontal="center"/>
    </xf>
    <xf numFmtId="0" fontId="4" fillId="0" borderId="38" xfId="0" applyFont="1" applyBorder="1" applyAlignment="1">
      <alignment horizontal="center" vertical="center"/>
    </xf>
    <xf numFmtId="0" fontId="4" fillId="0" borderId="61" xfId="0" applyFont="1" applyBorder="1" applyAlignment="1">
      <alignment horizontal="center" vertical="center" wrapText="1"/>
    </xf>
    <xf numFmtId="0" fontId="4" fillId="0" borderId="62" xfId="0" applyFont="1" applyBorder="1" applyAlignment="1">
      <alignment horizontal="center" vertical="center" wrapText="1"/>
    </xf>
    <xf numFmtId="0" fontId="4" fillId="0" borderId="40" xfId="0" applyFont="1" applyBorder="1" applyAlignment="1">
      <alignment horizontal="center"/>
    </xf>
    <xf numFmtId="0" fontId="4" fillId="0" borderId="11" xfId="0" applyFont="1" applyBorder="1" applyAlignment="1">
      <alignment horizontal="center" vertical="center" wrapText="1"/>
    </xf>
    <xf numFmtId="0" fontId="4" fillId="0" borderId="73" xfId="0" applyFont="1" applyBorder="1" applyAlignment="1">
      <alignment horizontal="center" vertical="center" wrapText="1"/>
    </xf>
    <xf numFmtId="166" fontId="4" fillId="0" borderId="8" xfId="0" applyNumberFormat="1" applyFont="1" applyBorder="1" applyAlignment="1">
      <alignment vertical="center"/>
    </xf>
    <xf numFmtId="9" fontId="4" fillId="0" borderId="8" xfId="0" applyNumberFormat="1" applyFont="1" applyBorder="1" applyAlignment="1">
      <alignment vertical="center"/>
    </xf>
    <xf numFmtId="166" fontId="4" fillId="0" borderId="25" xfId="0" applyNumberFormat="1" applyFont="1" applyBorder="1" applyAlignment="1">
      <alignment horizontal="center" vertical="center"/>
    </xf>
    <xf numFmtId="0" fontId="4" fillId="0" borderId="25" xfId="0" applyFont="1" applyBorder="1" applyAlignment="1">
      <alignment horizontal="center" vertical="center"/>
    </xf>
    <xf numFmtId="166" fontId="0" fillId="0" borderId="8" xfId="0" applyNumberFormat="1" applyBorder="1"/>
    <xf numFmtId="166" fontId="0" fillId="0" borderId="12" xfId="0" applyNumberFormat="1" applyBorder="1"/>
    <xf numFmtId="174" fontId="0" fillId="0" borderId="12" xfId="0" applyNumberFormat="1" applyBorder="1"/>
    <xf numFmtId="174" fontId="0" fillId="0" borderId="12" xfId="0" applyNumberFormat="1" applyBorder="1" applyAlignment="1">
      <alignment horizontal="center"/>
    </xf>
    <xf numFmtId="0" fontId="21" fillId="0" borderId="41" xfId="0" applyFont="1" applyBorder="1" applyAlignment="1">
      <alignment horizontal="center"/>
    </xf>
    <xf numFmtId="181" fontId="0" fillId="0" borderId="12" xfId="0" applyNumberFormat="1" applyBorder="1"/>
    <xf numFmtId="0" fontId="20" fillId="0" borderId="41" xfId="0" applyFont="1" applyBorder="1" applyAlignment="1">
      <alignment horizontal="center"/>
    </xf>
    <xf numFmtId="166" fontId="4" fillId="0" borderId="8" xfId="0" applyNumberFormat="1" applyFont="1" applyBorder="1"/>
    <xf numFmtId="166" fontId="4" fillId="0" borderId="12" xfId="0" applyNumberFormat="1" applyFont="1" applyBorder="1"/>
    <xf numFmtId="174" fontId="4" fillId="0" borderId="12" xfId="0" applyNumberFormat="1" applyFont="1" applyBorder="1"/>
    <xf numFmtId="0" fontId="4" fillId="0" borderId="12" xfId="0" applyFont="1" applyBorder="1"/>
    <xf numFmtId="0" fontId="20" fillId="0" borderId="41" xfId="0" applyFont="1" applyBorder="1"/>
    <xf numFmtId="0" fontId="0" fillId="0" borderId="74" xfId="0" applyBorder="1"/>
    <xf numFmtId="0" fontId="4" fillId="0" borderId="9" xfId="0" applyFont="1" applyBorder="1"/>
    <xf numFmtId="166" fontId="4" fillId="0" borderId="9" xfId="0" applyNumberFormat="1" applyFont="1" applyBorder="1"/>
    <xf numFmtId="166" fontId="4" fillId="0" borderId="21" xfId="0" applyNumberFormat="1" applyFont="1" applyBorder="1"/>
    <xf numFmtId="174" fontId="4" fillId="0" borderId="22" xfId="0" applyNumberFormat="1" applyFont="1" applyBorder="1"/>
    <xf numFmtId="174" fontId="4" fillId="0" borderId="0" xfId="0" applyNumberFormat="1" applyFont="1" applyAlignment="1">
      <alignment horizontal="center"/>
    </xf>
    <xf numFmtId="0" fontId="20" fillId="0" borderId="64" xfId="0" applyFont="1" applyBorder="1"/>
    <xf numFmtId="0" fontId="4" fillId="0" borderId="43" xfId="0" applyFont="1" applyBorder="1" applyAlignment="1">
      <alignment horizontal="left" vertical="top"/>
    </xf>
    <xf numFmtId="0" fontId="4" fillId="0" borderId="43" xfId="0" applyFont="1" applyBorder="1"/>
    <xf numFmtId="166" fontId="4" fillId="0" borderId="43" xfId="0" applyNumberFormat="1" applyFont="1" applyBorder="1"/>
    <xf numFmtId="166" fontId="4" fillId="0" borderId="75" xfId="0" applyNumberFormat="1" applyFont="1" applyBorder="1"/>
    <xf numFmtId="174" fontId="4" fillId="0" borderId="7" xfId="0" applyNumberFormat="1" applyFont="1" applyBorder="1"/>
    <xf numFmtId="174" fontId="4" fillId="0" borderId="7" xfId="0" applyNumberFormat="1" applyFont="1" applyBorder="1" applyAlignment="1">
      <alignment horizontal="center"/>
    </xf>
    <xf numFmtId="0" fontId="20" fillId="0" borderId="67" xfId="0" applyFont="1" applyBorder="1"/>
    <xf numFmtId="0" fontId="4" fillId="0" borderId="0" xfId="0" applyFont="1" applyAlignment="1">
      <alignment horizontal="left" vertical="top"/>
    </xf>
    <xf numFmtId="0" fontId="4" fillId="0" borderId="37" xfId="0" applyFont="1" applyBorder="1" applyAlignment="1">
      <alignment horizontal="center" vertical="top" wrapText="1"/>
    </xf>
    <xf numFmtId="0" fontId="4" fillId="0" borderId="38" xfId="0" applyFont="1" applyBorder="1" applyAlignment="1">
      <alignment horizontal="center" vertical="top" wrapText="1"/>
    </xf>
    <xf numFmtId="0" fontId="4" fillId="0" borderId="39" xfId="0" applyFont="1" applyBorder="1" applyAlignment="1">
      <alignment horizontal="center" vertical="center"/>
    </xf>
    <xf numFmtId="0" fontId="4" fillId="0" borderId="40" xfId="0" applyFont="1" applyBorder="1" applyAlignment="1">
      <alignment horizontal="center" vertical="top" wrapText="1"/>
    </xf>
    <xf numFmtId="0" fontId="4" fillId="0" borderId="8" xfId="0" applyFont="1" applyBorder="1" applyAlignment="1">
      <alignment horizontal="center" vertical="top" wrapText="1"/>
    </xf>
    <xf numFmtId="0" fontId="4" fillId="0" borderId="41" xfId="0" applyFont="1" applyBorder="1" applyAlignment="1">
      <alignment horizontal="center" vertical="center"/>
    </xf>
    <xf numFmtId="0" fontId="0" fillId="0" borderId="40" xfId="0" applyBorder="1" applyAlignment="1">
      <alignment horizontal="center" vertical="top" wrapText="1"/>
    </xf>
    <xf numFmtId="0" fontId="0" fillId="0" borderId="8" xfId="0" applyBorder="1" applyAlignment="1">
      <alignment horizontal="center" vertical="top" wrapText="1"/>
    </xf>
    <xf numFmtId="0" fontId="0" fillId="0" borderId="8" xfId="0" applyBorder="1" applyAlignment="1">
      <alignment horizontal="left" vertical="top" wrapText="1"/>
    </xf>
    <xf numFmtId="165" fontId="0" fillId="0" borderId="8" xfId="0" applyNumberFormat="1" applyBorder="1" applyAlignment="1">
      <alignment horizontal="center" vertical="top" wrapText="1"/>
    </xf>
    <xf numFmtId="175" fontId="0" fillId="0" borderId="8" xfId="0" applyNumberFormat="1" applyBorder="1" applyAlignment="1">
      <alignment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43" xfId="0" applyBorder="1" applyAlignment="1">
      <alignment horizontal="center" vertical="top" wrapText="1"/>
    </xf>
    <xf numFmtId="0" fontId="0" fillId="0" borderId="43" xfId="0" applyBorder="1" applyAlignment="1">
      <alignment horizontal="left" vertical="top" wrapText="1"/>
    </xf>
    <xf numFmtId="165" fontId="0" fillId="0" borderId="43" xfId="0" applyNumberFormat="1" applyBorder="1" applyAlignment="1">
      <alignment horizontal="center" vertical="top" wrapText="1"/>
    </xf>
    <xf numFmtId="175" fontId="0" fillId="0" borderId="43" xfId="0" applyNumberFormat="1" applyBorder="1" applyAlignment="1">
      <alignment vertical="top" wrapText="1"/>
    </xf>
    <xf numFmtId="0" fontId="0" fillId="0" borderId="44" xfId="0" applyBorder="1" applyAlignment="1">
      <alignment horizontal="center" vertical="top" wrapText="1"/>
    </xf>
    <xf numFmtId="0" fontId="0" fillId="0" borderId="76" xfId="0" applyBorder="1" applyAlignment="1">
      <alignment horizontal="center" vertical="top" wrapText="1"/>
    </xf>
    <xf numFmtId="0" fontId="0" fillId="0" borderId="11" xfId="0" applyBorder="1" applyAlignment="1">
      <alignment horizontal="center" vertical="top" wrapText="1"/>
    </xf>
    <xf numFmtId="0" fontId="0" fillId="0" borderId="11" xfId="0" applyBorder="1" applyAlignment="1">
      <alignment horizontal="left" vertical="top" wrapText="1"/>
    </xf>
    <xf numFmtId="165" fontId="0" fillId="0" borderId="11" xfId="0" applyNumberFormat="1" applyBorder="1" applyAlignment="1">
      <alignment horizontal="center" vertical="top" wrapText="1"/>
    </xf>
    <xf numFmtId="169" fontId="0" fillId="0" borderId="11" xfId="0" applyNumberFormat="1" applyBorder="1" applyAlignment="1">
      <alignment vertical="top" wrapText="1"/>
    </xf>
    <xf numFmtId="0" fontId="0" fillId="0" borderId="73" xfId="0" applyBorder="1" applyAlignment="1">
      <alignment horizontal="center" vertical="top" wrapText="1"/>
    </xf>
    <xf numFmtId="169" fontId="0" fillId="0" borderId="8" xfId="0" applyNumberFormat="1" applyBorder="1" applyAlignment="1">
      <alignment vertical="top" wrapText="1"/>
    </xf>
    <xf numFmtId="169" fontId="0" fillId="0" borderId="43" xfId="0" applyNumberFormat="1" applyBorder="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xf>
    <xf numFmtId="0" fontId="0" fillId="0" borderId="77" xfId="0" applyBorder="1" applyAlignment="1">
      <alignment horizontal="center" vertical="center" wrapText="1" textRotation="90"/>
    </xf>
    <xf numFmtId="0" fontId="0" fillId="0" borderId="2" xfId="0" applyBorder="1" applyAlignment="1">
      <alignment horizontal="center" vertical="center" wrapText="1" textRotation="90"/>
    </xf>
    <xf numFmtId="0" fontId="0" fillId="0" borderId="53" xfId="0" applyBorder="1" applyAlignment="1">
      <alignment horizontal="center" vertical="center" wrapText="1" textRotation="90"/>
    </xf>
    <xf numFmtId="0" fontId="0" fillId="10" borderId="78" xfId="0" applyFill="1" applyBorder="1"/>
    <xf numFmtId="0" fontId="0" fillId="10" borderId="5" xfId="0" applyFill="1" applyBorder="1" applyAlignment="1">
      <alignment horizontal="center"/>
    </xf>
    <xf numFmtId="0" fontId="0" fillId="10" borderId="55" xfId="0" applyFill="1" applyBorder="1" applyAlignment="1">
      <alignment horizontal="center"/>
    </xf>
    <xf numFmtId="0" fontId="0" fillId="10" borderId="22" xfId="0" applyFill="1" applyBorder="1" applyAlignment="1">
      <alignment horizontal="center"/>
    </xf>
    <xf numFmtId="0" fontId="0" fillId="10" borderId="79" xfId="0" applyFill="1" applyBorder="1" applyAlignment="1">
      <alignment horizontal="center"/>
    </xf>
    <xf numFmtId="0" fontId="31" fillId="0" borderId="63" xfId="0" applyFont="1" applyBorder="1"/>
    <xf numFmtId="0" fontId="31" fillId="0" borderId="10" xfId="0" applyFont="1" applyBorder="1"/>
    <xf numFmtId="0" fontId="31" fillId="0" borderId="64" xfId="0" applyFont="1" applyBorder="1"/>
    <xf numFmtId="0" fontId="0" fillId="10" borderId="64" xfId="0" applyFill="1" applyBorder="1"/>
    <xf numFmtId="0" fontId="0" fillId="10" borderId="35" xfId="0" applyFill="1" applyBorder="1" applyAlignment="1">
      <alignment horizontal="center"/>
    </xf>
    <xf numFmtId="0" fontId="0" fillId="10" borderId="57" xfId="0" applyFill="1" applyBorder="1" applyAlignment="1">
      <alignment horizontal="center"/>
    </xf>
    <xf numFmtId="0" fontId="0" fillId="0" borderId="3" xfId="0" applyBorder="1" applyAlignment="1">
      <alignment horizontal="center" vertical="center" wrapText="1" textRotation="90"/>
    </xf>
    <xf numFmtId="0" fontId="0" fillId="10" borderId="67" xfId="0" applyFill="1" applyBorder="1"/>
    <xf numFmtId="0" fontId="4" fillId="0" borderId="54" xfId="0" applyFont="1" applyBorder="1"/>
    <xf numFmtId="0" fontId="4" fillId="0" borderId="55" xfId="0" applyFont="1" applyBorder="1"/>
    <xf numFmtId="9" fontId="31" fillId="0" borderId="40" xfId="0" applyNumberFormat="1" applyFont="1" applyBorder="1" applyAlignment="1">
      <alignment horizontal="center"/>
    </xf>
    <xf numFmtId="9" fontId="31" fillId="0" borderId="8" xfId="0" applyNumberFormat="1" applyFont="1" applyBorder="1" applyAlignment="1">
      <alignment horizontal="center"/>
    </xf>
    <xf numFmtId="9" fontId="31" fillId="0" borderId="41" xfId="0" applyNumberFormat="1" applyFont="1" applyBorder="1" applyAlignment="1">
      <alignment horizontal="center"/>
    </xf>
    <xf numFmtId="0" fontId="4" fillId="0" borderId="54" xfId="0" applyFont="1" applyBorder="1" applyAlignment="1">
      <alignment horizontal="center"/>
    </xf>
    <xf numFmtId="0" fontId="4" fillId="0" borderId="5" xfId="0" applyFont="1" applyBorder="1" applyAlignment="1">
      <alignment horizontal="center"/>
    </xf>
    <xf numFmtId="169" fontId="0" fillId="0" borderId="40" xfId="0" applyNumberFormat="1" applyBorder="1" applyAlignment="1">
      <alignment horizontal="center"/>
    </xf>
    <xf numFmtId="169" fontId="0" fillId="0" borderId="8" xfId="0" applyNumberFormat="1" applyBorder="1" applyAlignment="1">
      <alignment horizontal="center"/>
    </xf>
    <xf numFmtId="169" fontId="0" fillId="0" borderId="41" xfId="0" applyNumberFormat="1" applyBorder="1" applyAlignment="1">
      <alignment horizontal="center"/>
    </xf>
    <xf numFmtId="0" fontId="0" fillId="0" borderId="58" xfId="0" applyBorder="1"/>
    <xf numFmtId="0" fontId="0" fillId="0" borderId="35" xfId="0" applyBorder="1"/>
    <xf numFmtId="0" fontId="4" fillId="0" borderId="56" xfId="0" applyFont="1" applyBorder="1"/>
    <xf numFmtId="166" fontId="4" fillId="0" borderId="57" xfId="0" applyNumberFormat="1" applyFont="1" applyBorder="1"/>
    <xf numFmtId="174" fontId="0" fillId="0" borderId="27" xfId="0" applyNumberFormat="1" applyBorder="1" applyAlignment="1">
      <alignment horizontal="left"/>
    </xf>
    <xf numFmtId="174" fontId="0" fillId="0" borderId="28" xfId="0" applyNumberFormat="1" applyBorder="1" applyAlignment="1">
      <alignment horizontal="left"/>
    </xf>
    <xf numFmtId="174" fontId="0" fillId="0" borderId="29" xfId="0" applyNumberFormat="1" applyBorder="1" applyAlignment="1">
      <alignment horizontal="left"/>
    </xf>
    <xf numFmtId="174" fontId="4" fillId="0" borderId="29" xfId="0" applyNumberFormat="1" applyFont="1" applyBorder="1"/>
    <xf numFmtId="174" fontId="0" fillId="0" borderId="32" xfId="0" applyNumberFormat="1" applyBorder="1" applyAlignment="1">
      <alignment horizontal="left"/>
    </xf>
    <xf numFmtId="174" fontId="0" fillId="0" borderId="7" xfId="0" applyNumberFormat="1" applyBorder="1" applyAlignment="1">
      <alignment horizontal="left"/>
    </xf>
    <xf numFmtId="174" fontId="0" fillId="0" borderId="33" xfId="0" applyNumberFormat="1" applyBorder="1" applyAlignment="1">
      <alignment horizontal="left"/>
    </xf>
    <xf numFmtId="174" fontId="4" fillId="0" borderId="33" xfId="0" applyNumberFormat="1" applyFont="1" applyBorder="1"/>
    <xf numFmtId="9" fontId="0" fillId="12" borderId="59" xfId="0" applyNumberFormat="1" applyFill="1" applyBorder="1"/>
    <xf numFmtId="182" fontId="0" fillId="0" borderId="0" xfId="0" applyNumberFormat="1"/>
    <xf numFmtId="0" fontId="0" fillId="0" borderId="80" xfId="0" applyBorder="1"/>
    <xf numFmtId="0" fontId="4" fillId="0" borderId="69" xfId="0" applyFont="1" applyBorder="1"/>
    <xf numFmtId="166" fontId="4" fillId="0" borderId="1" xfId="0" applyNumberFormat="1" applyFont="1" applyBorder="1"/>
    <xf numFmtId="183" fontId="0" fillId="0" borderId="0" xfId="0" applyNumberFormat="1"/>
    <xf numFmtId="0" fontId="0" fillId="6" borderId="0" xfId="0" applyFill="1"/>
    <xf numFmtId="10" fontId="4" fillId="5" borderId="0" xfId="0" applyNumberFormat="1" applyFont="1" applyFill="1"/>
    <xf numFmtId="10" fontId="4" fillId="0" borderId="0" xfId="0" applyNumberFormat="1" applyFont="1"/>
    <xf numFmtId="165" fontId="9" fillId="29" borderId="0" xfId="0" applyNumberFormat="1" applyFont="1" applyFill="1"/>
    <xf numFmtId="165" fontId="9" fillId="28" borderId="4" xfId="0" applyNumberFormat="1" applyFont="1" applyFill="1" applyBorder="1"/>
    <xf numFmtId="165" fontId="4" fillId="25" borderId="0" xfId="0" applyNumberFormat="1" applyFont="1" applyFill="1"/>
    <xf numFmtId="165" fontId="11" fillId="0" borderId="0" xfId="0" applyNumberFormat="1" applyFont="1" applyAlignment="1">
      <alignment horizontal="right"/>
    </xf>
    <xf numFmtId="0" fontId="11" fillId="0" borderId="0" xfId="0" applyFont="1" applyAlignment="1">
      <alignment horizontal="right"/>
    </xf>
    <xf numFmtId="10" fontId="8" fillId="14" borderId="0" xfId="0" applyNumberFormat="1" applyFont="1" applyFill="1"/>
    <xf numFmtId="175" fontId="11" fillId="0" borderId="0" xfId="0" applyNumberFormat="1" applyFont="1"/>
    <xf numFmtId="165" fontId="31" fillId="0" borderId="0" xfId="0" applyNumberFormat="1" applyFont="1"/>
    <xf numFmtId="0" fontId="4" fillId="10" borderId="8" xfId="0" applyFont="1" applyFill="1" applyBorder="1" applyAlignment="1">
      <alignment horizontal="center" vertical="top" wrapText="1"/>
    </xf>
    <xf numFmtId="0" fontId="0" fillId="0" borderId="8" xfId="0" applyBorder="1" applyAlignment="1">
      <alignment horizontal="center" vertical="top"/>
    </xf>
    <xf numFmtId="0" fontId="0" fillId="0" borderId="8" xfId="0" applyBorder="1" applyAlignment="1">
      <alignment vertical="top" wrapText="1"/>
    </xf>
    <xf numFmtId="165" fontId="0" fillId="0" borderId="8" xfId="0" applyNumberFormat="1" applyBorder="1" applyAlignment="1">
      <alignment vertical="top" wrapText="1"/>
    </xf>
    <xf numFmtId="0" fontId="4" fillId="0" borderId="4" xfId="0" applyFont="1" applyBorder="1" applyAlignment="1">
      <alignment horizontal="center"/>
    </xf>
    <xf numFmtId="10" fontId="0" fillId="0" borderId="8" xfId="0" applyNumberFormat="1" applyBorder="1" applyAlignment="1">
      <alignment vertical="top"/>
    </xf>
    <xf numFmtId="184" fontId="0" fillId="0" borderId="0" xfId="0" applyNumberFormat="1"/>
    <xf numFmtId="185" fontId="0" fillId="0" borderId="0" xfId="0" applyNumberFormat="1"/>
  </cellXfs>
  <cellStyles count="1">
    <cellStyle name="Normal" xfId="0" builtinId="0"/>
  </cellStyles>
  <dxfs count="8">
    <dxf>
      <font>
        <b/>
        <i/>
        <color theme="0"/>
      </font>
      <fill>
        <patternFill>
          <bgColor rgb="FFFF0000"/>
        </patternFill>
      </fill>
    </dxf>
    <dxf>
      <font>
        <b/>
        <i/>
        <color theme="0"/>
      </font>
      <fill>
        <patternFill>
          <bgColor rgb="FFFF0000"/>
        </patternFill>
      </fill>
    </dxf>
    <dxf>
      <font>
        <b/>
        <i/>
        <color theme="0"/>
      </font>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45.xml"/><Relationship Id="rId6" Type="http://schemas.openxmlformats.org/officeDocument/2006/relationships/worksheet" Target="worksheets/sheet2.xml"/><Relationship Id="rId7" Type="http://schemas.openxmlformats.org/officeDocument/2006/relationships/worksheet" Target="worksheets/sheet1.xml"/><Relationship Id="rId8" Type="http://schemas.openxmlformats.org/officeDocument/2006/relationships/worksheet" Target="worksheets/sheet8.xml"/><Relationship Id="rId9" Type="http://schemas.openxmlformats.org/officeDocument/2006/relationships/worksheet" Target="worksheets/sheet4.xml"/><Relationship Id="rId10" Type="http://schemas.openxmlformats.org/officeDocument/2006/relationships/worksheet" Target="worksheets/sheet12.xml"/><Relationship Id="rId11" Type="http://schemas.openxmlformats.org/officeDocument/2006/relationships/worksheet" Target="worksheets/sheet7.xml"/><Relationship Id="rId12" Type="http://schemas.openxmlformats.org/officeDocument/2006/relationships/worksheet" Target="worksheets/sheet6.xml"/><Relationship Id="rId13" Type="http://schemas.openxmlformats.org/officeDocument/2006/relationships/worksheet" Target="worksheets/sheet10.xml"/><Relationship Id="rId14" Type="http://schemas.openxmlformats.org/officeDocument/2006/relationships/worksheet" Target="worksheets/sheet26.xml"/><Relationship Id="rId15" Type="http://schemas.openxmlformats.org/officeDocument/2006/relationships/worksheet" Target="worksheets/sheet25.xml"/><Relationship Id="rId16" Type="http://schemas.openxmlformats.org/officeDocument/2006/relationships/worksheet" Target="worksheets/sheet55.xml"/><Relationship Id="rId17" Type="http://schemas.openxmlformats.org/officeDocument/2006/relationships/worksheet" Target="worksheets/sheet39.xml"/><Relationship Id="rId18" Type="http://schemas.openxmlformats.org/officeDocument/2006/relationships/worksheet" Target="worksheets/sheet44.xml"/><Relationship Id="rId19" Type="http://schemas.openxmlformats.org/officeDocument/2006/relationships/worksheet" Target="worksheets/sheet5.xml"/><Relationship Id="rId20" Type="http://schemas.openxmlformats.org/officeDocument/2006/relationships/worksheet" Target="worksheets/sheet47.xml"/><Relationship Id="rId21" Type="http://schemas.openxmlformats.org/officeDocument/2006/relationships/worksheet" Target="worksheets/sheet9.xml"/><Relationship Id="rId22" Type="http://schemas.openxmlformats.org/officeDocument/2006/relationships/worksheet" Target="worksheets/sheet42.xml"/><Relationship Id="rId23" Type="http://schemas.openxmlformats.org/officeDocument/2006/relationships/worksheet" Target="worksheets/sheet27.xml"/><Relationship Id="rId24" Type="http://schemas.openxmlformats.org/officeDocument/2006/relationships/worksheet" Target="worksheets/sheet17.xml"/><Relationship Id="rId25" Type="http://schemas.openxmlformats.org/officeDocument/2006/relationships/worksheet" Target="worksheets/sheet18.xml"/><Relationship Id="rId26" Type="http://schemas.openxmlformats.org/officeDocument/2006/relationships/worksheet" Target="worksheets/sheet19.xml"/><Relationship Id="rId27" Type="http://schemas.openxmlformats.org/officeDocument/2006/relationships/worksheet" Target="worksheets/sheet20.xml"/><Relationship Id="rId28" Type="http://schemas.openxmlformats.org/officeDocument/2006/relationships/worksheet" Target="worksheets/sheet43.xml"/><Relationship Id="rId29" Type="http://schemas.openxmlformats.org/officeDocument/2006/relationships/worksheet" Target="worksheets/sheet21.xml"/><Relationship Id="rId30" Type="http://schemas.openxmlformats.org/officeDocument/2006/relationships/worksheet" Target="worksheets/sheet22.xml"/><Relationship Id="rId31" Type="http://schemas.openxmlformats.org/officeDocument/2006/relationships/worksheet" Target="worksheets/sheet23.xml"/><Relationship Id="rId32" Type="http://schemas.openxmlformats.org/officeDocument/2006/relationships/worksheet" Target="worksheets/sheet14.xml"/><Relationship Id="rId33" Type="http://schemas.openxmlformats.org/officeDocument/2006/relationships/worksheet" Target="worksheets/sheet15.xml"/><Relationship Id="rId34" Type="http://schemas.openxmlformats.org/officeDocument/2006/relationships/worksheet" Target="worksheets/sheet38.xml"/><Relationship Id="rId35" Type="http://schemas.openxmlformats.org/officeDocument/2006/relationships/worksheet" Target="worksheets/sheet29.xml"/><Relationship Id="rId36" Type="http://schemas.openxmlformats.org/officeDocument/2006/relationships/worksheet" Target="worksheets/sheet32.xml"/><Relationship Id="rId37" Type="http://schemas.openxmlformats.org/officeDocument/2006/relationships/worksheet" Target="worksheets/sheet36.xml"/><Relationship Id="rId38" Type="http://schemas.openxmlformats.org/officeDocument/2006/relationships/worksheet" Target="worksheets/sheet56.xml"/><Relationship Id="rId39" Type="http://schemas.openxmlformats.org/officeDocument/2006/relationships/worksheet" Target="worksheets/sheet34.xml"/><Relationship Id="rId40" Type="http://schemas.openxmlformats.org/officeDocument/2006/relationships/worksheet" Target="worksheets/sheet31.xml"/><Relationship Id="rId41" Type="http://schemas.openxmlformats.org/officeDocument/2006/relationships/worksheet" Target="worksheets/sheet35.xml"/><Relationship Id="rId42" Type="http://schemas.openxmlformats.org/officeDocument/2006/relationships/worksheet" Target="worksheets/sheet28.xml"/><Relationship Id="rId43" Type="http://schemas.openxmlformats.org/officeDocument/2006/relationships/worksheet" Target="worksheets/sheet33.xml"/><Relationship Id="rId44" Type="http://schemas.openxmlformats.org/officeDocument/2006/relationships/worksheet" Target="worksheets/sheet11.xml"/><Relationship Id="rId45" Type="http://schemas.openxmlformats.org/officeDocument/2006/relationships/worksheet" Target="worksheets/sheet24.xml"/><Relationship Id="rId46" Type="http://schemas.openxmlformats.org/officeDocument/2006/relationships/worksheet" Target="worksheets/sheet30.xml"/><Relationship Id="rId47" Type="http://schemas.openxmlformats.org/officeDocument/2006/relationships/worksheet" Target="worksheets/sheet37.xml"/><Relationship Id="rId48" Type="http://schemas.openxmlformats.org/officeDocument/2006/relationships/worksheet" Target="worksheets/sheet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12</xdr:col>
      <xdr:colOff>328351</xdr:colOff>
      <xdr:row>66</xdr:row>
      <xdr:rowOff>167192</xdr:rowOff>
    </xdr:from>
    <xdr:to>
      <xdr:col>28</xdr:col>
      <xdr:colOff>403137</xdr:colOff>
      <xdr:row>90</xdr:row>
      <xdr:rowOff>72567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12</xdr:col>
      <xdr:colOff>425824</xdr:colOff>
      <xdr:row>30</xdr:row>
      <xdr:rowOff>168088</xdr:rowOff>
    </xdr:from>
    <xdr:to>
      <xdr:col>27</xdr:col>
      <xdr:colOff>173826</xdr:colOff>
      <xdr:row>65</xdr:row>
      <xdr:rowOff>140440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12</xdr:col>
      <xdr:colOff>179294</xdr:colOff>
      <xdr:row>92</xdr:row>
      <xdr:rowOff>78441</xdr:rowOff>
    </xdr:from>
    <xdr:to>
      <xdr:col>31</xdr:col>
      <xdr:colOff>53164</xdr:colOff>
      <xdr:row>118</xdr:row>
      <xdr:rowOff>126764</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12</xdr:col>
      <xdr:colOff>515469</xdr:colOff>
      <xdr:row>2</xdr:row>
      <xdr:rowOff>50197</xdr:rowOff>
    </xdr:from>
    <xdr:to>
      <xdr:col>34</xdr:col>
      <xdr:colOff>416041</xdr:colOff>
      <xdr:row>29</xdr:row>
      <xdr:rowOff>103515</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33</xdr:col>
      <xdr:colOff>126310</xdr:colOff>
      <xdr:row>49</xdr:row>
      <xdr:rowOff>106092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0</xdr:colOff>
      <xdr:row>51</xdr:row>
      <xdr:rowOff>0</xdr:rowOff>
    </xdr:from>
    <xdr:to>
      <xdr:col>33</xdr:col>
      <xdr:colOff>188650</xdr:colOff>
      <xdr:row>100</xdr:row>
      <xdr:rowOff>29882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4</xdr:col>
      <xdr:colOff>0</xdr:colOff>
      <xdr:row>101</xdr:row>
      <xdr:rowOff>0</xdr:rowOff>
    </xdr:from>
    <xdr:to>
      <xdr:col>33</xdr:col>
      <xdr:colOff>217229</xdr:colOff>
      <xdr:row>150</xdr:row>
      <xdr:rowOff>106092</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P1026"/>
  <sheetViews>
    <sheetView workbookViewId="0" showGridLines="0" zoomScale="115" zoomScaleNormal="115">
      <selection activeCell="I36" sqref="I36"/>
    </sheetView>
  </sheetViews>
  <sheetFormatPr defaultRowHeight="15" outlineLevelRow="0" outlineLevelCol="0" x14ac:dyDescent="0.2" defaultColWidth="8.83203125"/>
  <cols>
    <col min="1" max="1" width="18.5" customWidth="1"/>
    <col min="2" max="2" width="34.33203125" customWidth="1"/>
    <col min="3" max="3" width="21.5" customWidth="1"/>
    <col min="4" max="4" width="18" customWidth="1"/>
    <col min="5" max="5" width="18.83203125" customWidth="1"/>
    <col min="6" max="6" width="19.6640625" customWidth="1"/>
    <col min="7" max="7" width="11.33203125" customWidth="1"/>
    <col min="8" max="13" width="11.5" customWidth="1"/>
  </cols>
  <sheetData>
    <row r="1" spans="1:1" x14ac:dyDescent="0.25">
      <c r="A1" t="str">
        <f>'BALANCE SHEET'!A1</f>
        <v>PT RAJA VOLTAMA ELEKTRIK</v>
      </c>
    </row>
    <row r="2" spans="1:1" x14ac:dyDescent="0.25">
      <c r="A2" t="s">
        <v>2280</v>
      </c>
    </row>
    <row r="3" spans="1:13" x14ac:dyDescent="0.25">
      <c r="A3" t="s">
        <v>2227</v>
      </c>
      <c r="E3" s="31"/>
      <c r="F3" s="31"/>
      <c r="G3" s="31"/>
      <c r="H3" s="51" t="s">
        <v>2225</v>
      </c>
      <c r="I3" s="51"/>
      <c r="J3" s="51"/>
      <c r="K3" s="51"/>
      <c r="L3" s="31"/>
      <c r="M3" s="31" t="s">
        <v>2281</v>
      </c>
    </row>
    <row r="5" spans="1:16" x14ac:dyDescent="0.25">
      <c r="A5" s="24"/>
      <c r="B5" s="24"/>
      <c r="C5" s="24">
        <f>D5-1</f>
        <v>2018</v>
      </c>
      <c r="D5" s="24">
        <f>E5-1</f>
        <v>2019</v>
      </c>
      <c r="E5" s="24">
        <f>F5-1</f>
        <v>2020</v>
      </c>
      <c r="F5" s="24">
        <f>YEAR(HOME!B10)</f>
        <v>2021</v>
      </c>
      <c r="G5" s="20"/>
      <c r="H5" s="52">
        <f>D5</f>
        <v>2019</v>
      </c>
      <c r="I5" s="52">
        <f>E5</f>
        <v>2020</v>
      </c>
      <c r="J5" s="52">
        <f>F5</f>
        <v>2021</v>
      </c>
      <c r="K5" s="52" t="s">
        <v>2229</v>
      </c>
      <c r="M5" s="52">
        <v>2021</v>
      </c>
      <c r="N5" s="52">
        <v>2022</v>
      </c>
      <c r="O5" s="52">
        <v>2023</v>
      </c>
      <c r="P5" s="52" t="s">
        <v>2229</v>
      </c>
    </row>
    <row r="6" spans="1:16" x14ac:dyDescent="0.25">
      <c r="A6" t="s">
        <v>2282</v>
      </c>
      <c r="C6" s="26">
        <f>SUM(C100:C119)</f>
      </c>
      <c r="D6" s="26">
        <f>SUM(D100:D119)</f>
      </c>
      <c r="E6" s="26">
        <f>SUM(E100:E119)</f>
      </c>
      <c r="F6" s="26">
        <f>SUM(F100:F119)</f>
      </c>
      <c r="G6" s="53"/>
      <c r="H6" s="29">
        <f>(D6-C6)/C6</f>
        <v>0.5239724520503038</v>
      </c>
      <c r="I6" s="29">
        <f>(E6-D6)/D6</f>
        <v>0.1387498971628963</v>
      </c>
      <c r="J6" s="29">
        <f>(F6-E6)/E6</f>
        <v>0.02863968126787499</v>
      </c>
      <c r="K6" s="30">
        <f>AVERAGE(H6:J6)</f>
        <v>0.23045401016035838</v>
      </c>
      <c r="L6" s="26"/>
      <c r="M6" s="31">
        <f t="shared" ref="M6:O7" si="0">(D6-C6)/C6</f>
        <v>0.5239724520503038</v>
      </c>
      <c r="N6" s="31">
        <f t="shared" si="0"/>
        <v>0.1387498971628963</v>
      </c>
      <c r="O6" s="31">
        <f t="shared" si="0"/>
        <v>0.02863968126787499</v>
      </c>
      <c r="P6" s="31">
        <f>AVERAGE(M6:O6)</f>
        <v>0.23045401016035838</v>
      </c>
    </row>
    <row r="7" spans="1:16" x14ac:dyDescent="0.25">
      <c r="A7" t="s">
        <v>2283</v>
      </c>
      <c r="C7" s="26">
        <f>SUM(C200:C219)</f>
      </c>
      <c r="D7" s="26">
        <f>SUM(D200:D219)</f>
      </c>
      <c r="E7" s="26">
        <f>SUM(E200:E219)</f>
      </c>
      <c r="F7" s="26">
        <f>SUM(F200:F219)</f>
      </c>
      <c r="G7" s="31"/>
      <c r="H7" s="29">
        <f t="shared" ref="H7:J8" si="1">D7/D$6</f>
        <v>-0.637878589501852</v>
      </c>
      <c r="I7" s="29">
        <f t="shared" si="1"/>
        <v>-0.594383834178856</v>
      </c>
      <c r="J7" s="29">
        <f t="shared" si="1"/>
        <v>-0.42609069129828375</v>
      </c>
      <c r="K7" s="30">
        <f>AVERAGE(H7:J7)</f>
        <v>-0.5527843716596639</v>
      </c>
      <c r="L7" s="26"/>
      <c r="M7" s="31">
        <f t="shared" si="0"/>
        <v>0.7545352340295315</v>
      </c>
      <c r="N7" s="31">
        <f t="shared" si="0"/>
        <v>0.0611024436092869</v>
      </c>
      <c r="O7" s="31">
        <f t="shared" si="0"/>
        <v>-0.26260815371302954</v>
      </c>
      <c r="P7" s="31">
        <f>AVERAGE(M7:O7)</f>
        <v>0.1843431746419296</v>
      </c>
    </row>
    <row r="8" spans="1:13" x14ac:dyDescent="0.25">
      <c r="A8" s="4" t="s">
        <v>2284</v>
      </c>
      <c r="B8" s="4"/>
      <c r="C8" s="37">
        <f>SUM(C6:C7)</f>
        <v>15248394355</v>
      </c>
      <c r="D8" s="37">
        <f>SUM(D6:D7)</f>
        <v>18870106297</v>
      </c>
      <c r="E8" s="37">
        <f>SUM(E6:E7)</f>
        <v>24069316044</v>
      </c>
      <c r="F8" s="37">
        <f>SUM(F6:F7)</f>
        <v>35031201811</v>
      </c>
      <c r="G8" s="37"/>
      <c r="H8" s="54">
        <f t="shared" si="1"/>
        <v>0.3621214104981481</v>
      </c>
      <c r="I8" s="54">
        <f t="shared" si="1"/>
        <v>0.405616165821144</v>
      </c>
      <c r="J8" s="54">
        <f t="shared" si="1"/>
        <v>0.5739093087017162</v>
      </c>
      <c r="K8" s="30">
        <f>AVERAGE(H8:J8)</f>
        <v>0.4472156283403361</v>
      </c>
      <c r="L8" s="37"/>
      <c r="M8" s="37"/>
    </row>
    <row r="9" spans="2:13" x14ac:dyDescent="0.25">
      <c r="B9" s="55" t="s">
        <v>2285</v>
      </c>
      <c r="C9" s="56">
        <f>+C8/C6</f>
        <v>0.4459447839523043</v>
      </c>
      <c r="D9" s="56">
        <f>+D8/D6</f>
        <v>0.3621214104981481</v>
      </c>
      <c r="E9" s="56">
        <f>+E8/E6</f>
        <v>0.405616165821144</v>
      </c>
      <c r="F9" s="56">
        <f>+F8/F6</f>
        <v>0.5739093087017162</v>
      </c>
      <c r="G9" s="31"/>
      <c r="H9" s="57"/>
      <c r="I9" s="57"/>
      <c r="J9" s="57">
        <f>J8-I8</f>
        <v>0.16829314288057218</v>
      </c>
      <c r="K9" s="58"/>
      <c r="L9" s="31"/>
      <c r="M9" s="31"/>
    </row>
    <row r="10" spans="8:11" x14ac:dyDescent="0.25">
      <c r="H10" s="27"/>
      <c r="I10" s="27"/>
      <c r="J10" s="27"/>
      <c r="K10" s="28"/>
    </row>
    <row r="11" spans="1:11" x14ac:dyDescent="0.25">
      <c r="A11" t="s">
        <v>2286</v>
      </c>
      <c r="H11" s="27"/>
      <c r="I11" s="27"/>
      <c r="J11" s="27"/>
      <c r="K11" s="28"/>
    </row>
    <row r="12" spans="2:16" x14ac:dyDescent="0.25">
      <c r="B12" t="s">
        <v>2287</v>
      </c>
      <c r="C12" s="26"/>
      <c r="D12" s="26"/>
      <c r="E12" s="26"/>
      <c r="F12" s="26"/>
      <c r="H12" s="29">
        <f t="shared" ref="H12:J13" si="2">D12/D$6</f>
        <v>-0.17496348174487505</v>
      </c>
      <c r="I12" s="29">
        <f t="shared" si="2"/>
        <v>-0.13694158250912</v>
      </c>
      <c r="J12" s="29">
        <f t="shared" si="2"/>
        <v>-0.32980409050465737</v>
      </c>
      <c r="K12" s="30">
        <f>AVERAGE(H12:J12)</f>
        <v>-0.21390305158621747</v>
      </c>
      <c r="M12" s="31">
        <f t="shared" ref="M12:O13" si="3">(D12-C12)/C12</f>
        <v>0.033665556130520045</v>
      </c>
      <c r="N12" s="31">
        <f t="shared" si="3"/>
        <v>-0.10871565057802433</v>
      </c>
      <c r="O12" s="31">
        <f t="shared" si="3"/>
        <v>1.4773306129638082</v>
      </c>
      <c r="P12" s="31">
        <f>AVERAGE(M12:O12)</f>
        <v>0.4674268395054346</v>
      </c>
    </row>
    <row r="13" spans="2:16" x14ac:dyDescent="0.25">
      <c r="B13" t="s">
        <v>2288</v>
      </c>
      <c r="C13" s="26"/>
      <c r="D13" s="26"/>
      <c r="E13" s="26"/>
      <c r="F13" s="26"/>
      <c r="H13" s="29">
        <f t="shared" si="2"/>
        <v>-0.07108884532352727</v>
      </c>
      <c r="I13" s="29">
        <f t="shared" si="2"/>
        <v>-0.16059562736903285</v>
      </c>
      <c r="J13" s="29">
        <f t="shared" si="2"/>
        <v>-0.12134155005465289</v>
      </c>
      <c r="K13" s="30">
        <f>AVERAGE(H13:J13)</f>
        <v>-0.11767534091573767</v>
      </c>
      <c r="M13" s="31">
        <f t="shared" si="3"/>
        <v>0.43612242733464424</v>
      </c>
      <c r="N13" s="31">
        <f t="shared" si="3"/>
        <v>1.5725309409516088</v>
      </c>
      <c r="O13" s="31">
        <f t="shared" si="3"/>
        <v>-0.22278871836309994</v>
      </c>
      <c r="P13" s="31">
        <f>AVERAGE(M13:O13)</f>
        <v>0.595288216641051</v>
      </c>
    </row>
    <row r="14" spans="3:11" x14ac:dyDescent="0.25">
      <c r="C14" s="31"/>
      <c r="D14" s="31"/>
      <c r="E14" s="31"/>
      <c r="F14" s="31"/>
      <c r="H14" s="27"/>
      <c r="I14" s="27"/>
      <c r="J14" s="27"/>
      <c r="K14" s="28"/>
    </row>
    <row r="15" spans="1:16" x14ac:dyDescent="0.25">
      <c r="A15" t="s">
        <v>2289</v>
      </c>
      <c r="C15" s="26">
        <f>SUM(C300:C319)</f>
      </c>
      <c r="D15" s="26">
        <f>SUM(D300:D319)</f>
      </c>
      <c r="E15" s="26">
        <f>SUM(E300:E319)</f>
      </c>
      <c r="F15" s="26">
        <f>SUM(F300:F319)</f>
      </c>
      <c r="H15" s="29">
        <f>D15/D$6</f>
        <v>-0.24605232706840233</v>
      </c>
      <c r="I15" s="29">
        <f>E15/E$6</f>
        <v>-0.29753720987815285</v>
      </c>
      <c r="J15" s="29">
        <f>F15/F$6</f>
        <v>-0.4511456405593103</v>
      </c>
      <c r="K15" s="30">
        <f>AVERAGE(H15:J15)</f>
        <v>-0.33157839250195514</v>
      </c>
      <c r="M15" s="31">
        <f>(D15-C15)/C15</f>
        <v>0.12473029775650425</v>
      </c>
      <c r="N15" s="31">
        <f>(E15-D15)/D15</f>
        <v>0.3770260626581673</v>
      </c>
      <c r="O15" s="31">
        <f>(F15-E15)/E15</f>
        <v>0.559691670498504</v>
      </c>
      <c r="P15" s="31">
        <f>AVERAGE(M15:O15)</f>
        <v>0.35381601030439186</v>
      </c>
    </row>
    <row r="16" spans="1:11" x14ac:dyDescent="0.25">
      <c r="A16" t="s">
        <v>2290</v>
      </c>
      <c r="B16" s="12"/>
      <c r="H16" s="27"/>
      <c r="I16" s="27"/>
      <c r="J16" s="27"/>
      <c r="K16" s="28"/>
    </row>
    <row r="17" spans="1:11" x14ac:dyDescent="0.25">
      <c r="A17" s="34"/>
      <c r="B17" s="34"/>
      <c r="C17" s="34"/>
      <c r="D17" s="34"/>
      <c r="E17" s="34"/>
      <c r="F17" s="34"/>
      <c r="H17" s="27"/>
      <c r="I17" s="27"/>
      <c r="J17" s="27"/>
      <c r="K17" s="28"/>
    </row>
    <row r="18" spans="1:16" x14ac:dyDescent="0.25">
      <c r="A18" s="4" t="s">
        <v>2291</v>
      </c>
      <c r="C18" s="37">
        <f>C8+C15</f>
        <v>3848542021</v>
      </c>
      <c r="D18" s="37">
        <f>D8+D15</f>
        <v>6048346987</v>
      </c>
      <c r="E18" s="37">
        <f>E8+E15</f>
        <v>6413419305</v>
      </c>
      <c r="F18" s="37">
        <f>F8+F15</f>
        <v>7493446732</v>
      </c>
      <c r="H18" s="54">
        <f>D18/D$6</f>
        <v>0.11606908342974578</v>
      </c>
      <c r="I18" s="54">
        <f>E18/E$6</f>
        <v>0.10807895594299115</v>
      </c>
      <c r="J18" s="54">
        <f>F18/F$6</f>
        <v>0.12276366814240595</v>
      </c>
      <c r="K18" s="30">
        <f>AVERAGE(H18:J18)</f>
        <v>0.11563723583838097</v>
      </c>
      <c r="M18" s="31">
        <f>(D18-C18)/C18</f>
        <v>0.5715943736606014</v>
      </c>
      <c r="N18" s="31">
        <f>(E18-D18)/D18</f>
        <v>0.060359023512484865</v>
      </c>
      <c r="O18" s="31">
        <f>(F18-E18)/E18</f>
        <v>0.16840118751599387</v>
      </c>
      <c r="P18" s="31">
        <f>AVERAGE(M18:O18)</f>
        <v>0.2667848615630267</v>
      </c>
    </row>
    <row r="19" spans="2:11" x14ac:dyDescent="0.25">
      <c r="B19" s="55" t="s">
        <v>2292</v>
      </c>
      <c r="C19" s="56"/>
      <c r="D19" s="59">
        <f>D18/D6</f>
        <v>0.11606908342974578</v>
      </c>
      <c r="E19" s="59">
        <f>E18/E6</f>
        <v>0.10807895594299115</v>
      </c>
      <c r="F19" s="59">
        <f>F18/F6</f>
        <v>0.12276366814240595</v>
      </c>
      <c r="H19" s="29"/>
      <c r="I19" s="29"/>
      <c r="J19" s="29"/>
      <c r="K19" s="30"/>
    </row>
    <row r="20" spans="2:11" x14ac:dyDescent="0.25">
      <c r="B20" s="55"/>
      <c r="C20" s="31"/>
      <c r="D20" s="31"/>
      <c r="E20" s="31"/>
      <c r="F20" s="31"/>
      <c r="H20" s="27"/>
      <c r="I20" s="27"/>
      <c r="J20" s="27"/>
      <c r="K20" s="28"/>
    </row>
    <row r="21" spans="1:11" x14ac:dyDescent="0.25">
      <c r="A21" s="34" t="s">
        <v>2293</v>
      </c>
      <c r="B21" s="34"/>
      <c r="C21" s="35"/>
      <c r="D21" s="35"/>
      <c r="E21" s="35"/>
      <c r="F21" s="35">
        <v>-600812472</v>
      </c>
      <c r="H21" s="27"/>
      <c r="I21" s="27"/>
      <c r="J21" s="27"/>
      <c r="K21" s="28"/>
    </row>
    <row r="22" spans="1:16" x14ac:dyDescent="0.25">
      <c r="A22" s="4" t="s">
        <v>2294</v>
      </c>
      <c r="C22" s="37">
        <f>+C18+C21</f>
        <v>3838185482</v>
      </c>
      <c r="D22" s="37">
        <f>+D18+D21</f>
        <v>5874471249</v>
      </c>
      <c r="E22" s="37">
        <f>+E18+E21</f>
        <v>6252076314</v>
      </c>
      <c r="F22" s="37">
        <f>+F18+F21</f>
        <v>7333474245</v>
      </c>
      <c r="H22" s="54">
        <f t="shared" ref="H22:J23" si="4">D22/D$6</f>
        <v>0.11273237050905723</v>
      </c>
      <c r="I22" s="54">
        <f t="shared" si="4"/>
        <v>0.1053600035111106</v>
      </c>
      <c r="J22" s="54">
        <f t="shared" si="4"/>
        <v>0.12014287026282434</v>
      </c>
      <c r="K22" s="30">
        <f>AVERAGE(H22:J22)</f>
        <v>0.11274508142766405</v>
      </c>
      <c r="M22" s="31">
        <f>(D22-C22)/C22</f>
        <v>0.5305334451786142</v>
      </c>
      <c r="N22" s="31">
        <f>(E22-D22)/D22</f>
        <v>0.06427898767302316</v>
      </c>
      <c r="O22" s="31">
        <f>(F22-E22)/E22</f>
        <v>0.17296620781459002</v>
      </c>
      <c r="P22" s="31">
        <f>AVERAGE(M22:O22)</f>
        <v>0.2559262135554092</v>
      </c>
    </row>
    <row r="23" spans="2:16" x14ac:dyDescent="0.25">
      <c r="B23" s="55" t="s">
        <v>2295</v>
      </c>
      <c r="C23" s="56"/>
      <c r="D23" s="59">
        <f>+D22/D6</f>
        <v>0.11273237050905723</v>
      </c>
      <c r="E23" s="59">
        <f>+E22/E6</f>
        <v>0.1053600035111106</v>
      </c>
      <c r="F23" s="59">
        <f>+F22/F6</f>
        <v>0.12014287026282434</v>
      </c>
      <c r="H23" s="29">
        <f t="shared" si="4"/>
        <v>2.1633585086921166e-12</v>
      </c>
      <c r="I23" s="29">
        <f t="shared" si="4"/>
        <v>1.775527006124967e-12</v>
      </c>
      <c r="J23" s="29">
        <f t="shared" si="4"/>
        <v>1.968277080243546e-12</v>
      </c>
      <c r="K23" s="30">
        <f>AVERAGE(H23:J23)</f>
        <v>1.9690541983535434e-12</v>
      </c>
      <c r="M23" s="31"/>
      <c r="N23" s="31"/>
      <c r="O23" s="31"/>
      <c r="P23" s="31"/>
    </row>
    <row r="24" spans="3:11" x14ac:dyDescent="0.25">
      <c r="C24" s="26"/>
      <c r="D24" s="26"/>
      <c r="E24" s="26"/>
      <c r="F24" s="26"/>
      <c r="H24" s="27"/>
      <c r="I24" s="27"/>
      <c r="J24" s="27"/>
      <c r="K24" s="28"/>
    </row>
    <row r="25" spans="1:11" x14ac:dyDescent="0.25">
      <c r="A25" t="s">
        <v>2296</v>
      </c>
      <c r="C25" s="26"/>
      <c r="D25" s="26"/>
      <c r="E25" s="26"/>
      <c r="F25" s="26"/>
      <c r="H25" s="27"/>
      <c r="I25" s="27"/>
      <c r="J25" s="27"/>
      <c r="K25" s="28"/>
    </row>
    <row r="26" spans="2:16" x14ac:dyDescent="0.25">
      <c r="B26" t="s">
        <v>2297</v>
      </c>
      <c r="C26" s="26"/>
      <c r="D26" s="26"/>
      <c r="E26" s="26"/>
      <c r="F26" s="26"/>
      <c r="H26" s="29">
        <f t="shared" ref="H26:J28" si="5">D26/D$6</f>
        <v>0</v>
      </c>
      <c r="I26" s="29">
        <f t="shared" si="5"/>
        <v>0.002475543730558971</v>
      </c>
      <c r="J26" s="29">
        <f t="shared" si="5"/>
        <v>0.0017234745716463043</v>
      </c>
      <c r="K26" s="30">
        <f>AVERAGE(H26:J26)</f>
        <v>0.0013996727674017585</v>
      </c>
      <c r="M26" s="31"/>
      <c r="N26" s="31"/>
      <c r="O26" s="31"/>
      <c r="P26" s="31"/>
    </row>
    <row r="27" spans="2:16" x14ac:dyDescent="0.25">
      <c r="B27" t="s">
        <v>2298</v>
      </c>
      <c r="C27" s="26"/>
      <c r="D27" s="26"/>
      <c r="E27" s="26"/>
      <c r="F27" s="26">
        <v>9259301</v>
      </c>
      <c r="H27" s="29">
        <f t="shared" si="5"/>
        <v>0</v>
      </c>
      <c r="I27" s="29">
        <f t="shared" si="5"/>
        <v>-0.0004951087056669891</v>
      </c>
      <c r="J27" s="29">
        <f t="shared" si="5"/>
        <v>-0.00031919354011752244</v>
      </c>
      <c r="K27" s="30">
        <f>AVERAGE(H27:J27)</f>
        <v>-0.0002714340819281705</v>
      </c>
      <c r="M27" s="31" t="e">
        <f t="shared" ref="M27:O28" si="6">(D27-C27)/C27</f>
        <v>#DIV/0!</v>
      </c>
      <c r="N27" s="31" t="e">
        <f t="shared" si="6"/>
        <v>#DIV/0!</v>
      </c>
      <c r="O27" s="31">
        <f t="shared" si="6"/>
        <v>-0.3368423184421005</v>
      </c>
      <c r="P27" s="31" t="e">
        <f>AVERAGE(M27:O27)</f>
        <v>#DIV/0!</v>
      </c>
    </row>
    <row r="28" spans="1:16" x14ac:dyDescent="0.25">
      <c r="A28" t="s">
        <v>2299</v>
      </c>
      <c r="C28" s="26">
        <f>+C26+C27</f>
        <v>0</v>
      </c>
      <c r="D28" s="26">
        <f>+D26+D27</f>
        <v>0</v>
      </c>
      <c r="E28" s="26">
        <f>+E26+E27</f>
        <v>117519272</v>
      </c>
      <c r="F28" s="26">
        <f>+F26+F27</f>
        <v>85716770</v>
      </c>
      <c r="H28" s="29">
        <f t="shared" si="5"/>
        <v>0</v>
      </c>
      <c r="I28" s="29">
        <f t="shared" si="5"/>
        <v>0.001980435024891982</v>
      </c>
      <c r="J28" s="29">
        <f t="shared" si="5"/>
        <v>0.0014042810315287818</v>
      </c>
      <c r="K28" s="30">
        <f>AVERAGE(H28:J28)</f>
        <v>0.001128238685473588</v>
      </c>
      <c r="M28" s="31" t="e">
        <f t="shared" si="6"/>
        <v>#DIV/0!</v>
      </c>
      <c r="N28" s="31" t="e">
        <f t="shared" si="6"/>
        <v>#DIV/0!</v>
      </c>
      <c r="O28" s="31">
        <f t="shared" si="6"/>
        <v>-0.2706152059893632</v>
      </c>
      <c r="P28" s="31" t="e">
        <f>AVERAGE(M28:O28)</f>
        <v>#DIV/0!</v>
      </c>
    </row>
    <row r="29" spans="3:11" x14ac:dyDescent="0.25">
      <c r="C29" s="26"/>
      <c r="D29" s="26"/>
      <c r="E29" s="26"/>
      <c r="F29" s="26"/>
      <c r="H29" s="27"/>
      <c r="I29" s="27"/>
      <c r="J29" s="27"/>
      <c r="K29" s="28"/>
    </row>
    <row r="30" spans="1:16" x14ac:dyDescent="0.25">
      <c r="A30" t="s">
        <v>2300</v>
      </c>
      <c r="C30" s="26">
        <f>SUM(C400:C419)</f>
      </c>
      <c r="D30" s="26">
        <f>SUM(D400:D419)</f>
      </c>
      <c r="E30" s="26">
        <f>SUM(E400:E419)</f>
      </c>
      <c r="F30" s="26">
        <f>SUM(F400:F419)</f>
      </c>
      <c r="H30" s="29">
        <f>D30/D$6</f>
        <v>0</v>
      </c>
      <c r="I30" s="29">
        <f>E30/E$6</f>
        <v>0</v>
      </c>
      <c r="J30" s="29">
        <f>F30/F$6</f>
        <v>0</v>
      </c>
      <c r="K30" s="30">
        <f>AVERAGE(H30:J30)</f>
        <v>0</v>
      </c>
      <c r="M30" s="31">
        <f>(D30-C30)/C30</f>
        <v>-1</v>
      </c>
      <c r="N30" s="31" t="e">
        <f>(E30-D30)/D30</f>
        <v>#DIV/0!</v>
      </c>
      <c r="O30" s="31" t="e">
        <f>(F30-E30)/E30</f>
        <v>#DIV/0!</v>
      </c>
      <c r="P30" s="31" t="e">
        <f>AVERAGE(M30:O30)</f>
        <v>#DIV/0!</v>
      </c>
    </row>
    <row r="31" spans="1:11" x14ac:dyDescent="0.25">
      <c r="A31" s="34"/>
      <c r="B31" s="34"/>
      <c r="C31" s="35"/>
      <c r="D31" s="35"/>
      <c r="E31" s="35"/>
      <c r="F31" s="35"/>
      <c r="H31" s="27"/>
      <c r="I31" s="27"/>
      <c r="J31" s="27"/>
      <c r="K31" s="28"/>
    </row>
    <row r="32" spans="1:16" x14ac:dyDescent="0.25">
      <c r="A32" s="4" t="s">
        <v>2301</v>
      </c>
      <c r="C32" s="37">
        <f>+C22+C28+C30</f>
        <v>4798400000</v>
      </c>
      <c r="D32" s="37">
        <f>+D22+D28+D30</f>
        <v>5874471249</v>
      </c>
      <c r="E32" s="37">
        <f>+E22+E28+E30</f>
        <v>6369595586</v>
      </c>
      <c r="F32" s="37">
        <f>+F22+F28+F30</f>
        <v>7419191015</v>
      </c>
      <c r="H32" s="54">
        <f>D32/D$6</f>
        <v>0.11273237050905723</v>
      </c>
      <c r="I32" s="54">
        <f>E32/E$6</f>
        <v>0.10734043853600259</v>
      </c>
      <c r="J32" s="54">
        <f>F32/F$6</f>
        <v>0.12154715129435313</v>
      </c>
      <c r="K32" s="30">
        <f>AVERAGE(H32:J32)</f>
        <v>0.11387332011313765</v>
      </c>
      <c r="M32" s="31">
        <f>(D32-C32)/C32</f>
        <v>0.22425626229576526</v>
      </c>
      <c r="N32" s="31">
        <f>(E32-D32)/D32</f>
        <v>0.08428406847412592</v>
      </c>
      <c r="O32" s="31">
        <f>(F32-E32)/E32</f>
        <v>0.1647821144731621</v>
      </c>
      <c r="P32" s="31">
        <f>AVERAGE(M32:O32)</f>
        <v>0.15777414841435108</v>
      </c>
    </row>
    <row r="33" spans="1:11" x14ac:dyDescent="0.25">
      <c r="A33" t="s">
        <v>2302</v>
      </c>
      <c r="B33" s="31"/>
      <c r="C33" s="26"/>
      <c r="D33" s="26"/>
      <c r="E33" s="26"/>
      <c r="F33" s="26">
        <v>-673813682</v>
      </c>
      <c r="H33" s="29"/>
      <c r="I33" s="29"/>
      <c r="J33" s="29">
        <f>(F33-E33)/E33</f>
        <v>0.17296622753786103</v>
      </c>
      <c r="K33" s="30"/>
    </row>
    <row r="34" spans="1:11" x14ac:dyDescent="0.25">
      <c r="A34" s="34"/>
      <c r="B34" s="34"/>
      <c r="C34" s="35"/>
      <c r="D34" s="35"/>
      <c r="E34" s="35"/>
      <c r="F34" s="35"/>
      <c r="H34" s="27"/>
      <c r="I34" s="27"/>
      <c r="J34" s="27"/>
      <c r="K34" s="28"/>
    </row>
    <row r="35" spans="1:16" x14ac:dyDescent="0.25">
      <c r="A35" s="40" t="s">
        <v>2303</v>
      </c>
      <c r="B35" s="41"/>
      <c r="C35" s="42">
        <f>+C32+C33</f>
        <v>3680698625</v>
      </c>
      <c r="D35" s="42">
        <f>+D32+D33</f>
        <v>4405853437</v>
      </c>
      <c r="E35" s="42">
        <f>+E32+E33</f>
        <v>4994138866</v>
      </c>
      <c r="F35" s="42">
        <f>+F32+F33</f>
        <v>5805826735</v>
      </c>
      <c r="H35" s="54">
        <f>D35/D$6</f>
        <v>0.08454927788659047</v>
      </c>
      <c r="I35" s="54">
        <f>E35/E$6</f>
        <v>0.08416123892769456</v>
      </c>
      <c r="J35" s="54">
        <f>F35/F$6</f>
        <v>0.09511572071956491</v>
      </c>
      <c r="K35" s="30">
        <f>AVERAGE(H35:J35)</f>
        <v>0.08794207917794998</v>
      </c>
      <c r="M35" s="31">
        <f>(D35-C35)/C35</f>
        <v>0.19701553587533943</v>
      </c>
      <c r="N35" s="31">
        <f>(E35-D35)/D35</f>
        <v>0.13352360386290354</v>
      </c>
      <c r="O35" s="31">
        <f>(F35-E35)/E35</f>
        <v>0.16252809358705567</v>
      </c>
      <c r="P35" s="31">
        <f>AVERAGE(M35:O35)</f>
        <v>0.16435574444176623</v>
      </c>
    </row>
    <row r="36" spans="1:9" x14ac:dyDescent="0.25">
      <c r="A36" s="41"/>
      <c r="B36" s="60" t="s">
        <v>2304</v>
      </c>
      <c r="C36" s="61"/>
      <c r="D36" s="62">
        <f>+D35/D6</f>
        <v>0.08454927788659047</v>
      </c>
      <c r="E36" s="62">
        <f>+E35/E6</f>
        <v>0.08416123892769456</v>
      </c>
      <c r="F36" s="62">
        <f>+F35/F6</f>
        <v>0.09511572071956491</v>
      </c>
      <c r="I36" s="63">
        <f>J35-I35</f>
        <v>0.010954481791870349</v>
      </c>
    </row>
    <row r="38" spans="6:6" x14ac:dyDescent="0.25">
      <c r="F38" s="64"/>
    </row>
    <row r="1000" spans="2:6" x14ac:dyDescent="0.25">
      <c r="B1000" t="s">
        <v>2305</v>
      </c>
      <c r="F1000">
        <v>17298993649</v>
      </c>
    </row>
    <row r="1001" spans="2:6" x14ac:dyDescent="0.25">
      <c r="B1001" t="s">
        <v>2306</v>
      </c>
      <c r="F1001">
        <v>-1681734103</v>
      </c>
    </row>
    <row r="1002" spans="2:6" x14ac:dyDescent="0.25">
      <c r="B1002" t="s">
        <v>2307</v>
      </c>
      <c r="F1002">
        <v>-567317727</v>
      </c>
    </row>
    <row r="1003" spans="2:6" x14ac:dyDescent="0.25">
      <c r="B1003" t="s">
        <v>2308</v>
      </c>
      <c r="F1003">
        <v>-806095500</v>
      </c>
    </row>
    <row r="1004" spans="2:6" x14ac:dyDescent="0.25">
      <c r="B1004" t="s">
        <v>2309</v>
      </c>
      <c r="F1004">
        <v>-470963990</v>
      </c>
    </row>
    <row r="1005" spans="2:6" x14ac:dyDescent="0.25">
      <c r="B1005" t="s">
        <v>2310</v>
      </c>
      <c r="F1005">
        <v>-6699039850</v>
      </c>
    </row>
    <row r="1006" spans="2:6" x14ac:dyDescent="0.25">
      <c r="B1006" t="s">
        <v>2311</v>
      </c>
      <c r="F1006">
        <v>-367647700</v>
      </c>
    </row>
    <row r="1007" spans="2:2" x14ac:dyDescent="0.25">
      <c r="B1007" t="s">
        <v>2312</v>
      </c>
    </row>
    <row r="1008" spans="2:6" x14ac:dyDescent="0.25">
      <c r="B1008" t="s">
        <v>2313</v>
      </c>
      <c r="F1008">
        <v>-543625269</v>
      </c>
    </row>
    <row r="1009" spans="2:6" x14ac:dyDescent="0.25">
      <c r="B1009" t="s">
        <v>2314</v>
      </c>
      <c r="F1009">
        <v>-10767100</v>
      </c>
    </row>
    <row r="1010" spans="2:6" x14ac:dyDescent="0.25">
      <c r="B1010" t="s">
        <v>2315</v>
      </c>
      <c r="F1010">
        <v>-772299645</v>
      </c>
    </row>
    <row r="1011" spans="2:6" x14ac:dyDescent="0.25">
      <c r="B1011" t="s">
        <v>2316</v>
      </c>
      <c r="F1011">
        <v>-146537000</v>
      </c>
    </row>
    <row r="1012" spans="2:6" x14ac:dyDescent="0.25">
      <c r="B1012" t="s">
        <v>2317</v>
      </c>
      <c r="F1012">
        <v>-507940000</v>
      </c>
    </row>
    <row r="1013" spans="2:6" x14ac:dyDescent="0.25">
      <c r="B1013" t="s">
        <v>2318</v>
      </c>
      <c r="F1013">
        <v>-449519500</v>
      </c>
    </row>
    <row r="1014" spans="2:6" x14ac:dyDescent="0.25">
      <c r="B1014" t="s">
        <v>2319</v>
      </c>
      <c r="F1014">
        <v>-1418500</v>
      </c>
    </row>
    <row r="1015" spans="2:6" x14ac:dyDescent="0.25">
      <c r="B1015" t="s">
        <v>2320</v>
      </c>
      <c r="F1015">
        <v>-24268976</v>
      </c>
    </row>
    <row r="1016" spans="2:6" x14ac:dyDescent="0.25">
      <c r="B1016" t="s">
        <v>2321</v>
      </c>
      <c r="F1016">
        <v>-37800600</v>
      </c>
    </row>
    <row r="1017" spans="2:2" x14ac:dyDescent="0.25">
      <c r="B1017" t="s">
        <v>2322</v>
      </c>
    </row>
    <row r="1018" spans="2:6" x14ac:dyDescent="0.25">
      <c r="B1018" t="s">
        <v>2323</v>
      </c>
      <c r="F1018">
        <v>-64306088</v>
      </c>
    </row>
    <row r="1019" spans="2:2" x14ac:dyDescent="0.25">
      <c r="B1019" t="s">
        <v>2324</v>
      </c>
    </row>
    <row r="1020" spans="2:2" x14ac:dyDescent="0.25">
      <c r="B1020" t="s">
        <v>2325</v>
      </c>
    </row>
    <row r="1021" spans="2:6" x14ac:dyDescent="0.25">
      <c r="B1021" t="s">
        <v>2326</v>
      </c>
      <c r="F1021">
        <v>9247176</v>
      </c>
    </row>
    <row r="1022" spans="2:6" x14ac:dyDescent="0.25">
      <c r="B1022" t="s">
        <v>2327</v>
      </c>
      <c r="F1022">
        <v>12125</v>
      </c>
    </row>
    <row r="1023" spans="2:2" x14ac:dyDescent="0.25">
      <c r="B1023" t="s">
        <v>2328</v>
      </c>
    </row>
    <row r="1024" spans="2:2" x14ac:dyDescent="0.25">
      <c r="B1024" t="s">
        <v>2329</v>
      </c>
    </row>
    <row r="1025" spans="2:2" x14ac:dyDescent="0.25">
      <c r="B1025" t="s">
        <v>2330</v>
      </c>
    </row>
    <row r="1026" spans="2:6" x14ac:dyDescent="0.25">
      <c r="B1026" t="s">
        <v>2331</v>
      </c>
      <c r="F1026">
        <v>-291385178</v>
      </c>
    </row>
  </sheetData>
  <mergeCells count="1">
    <mergeCell ref="H3:K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Q1013"/>
  <sheetViews>
    <sheetView workbookViewId="0" showGridLines="0" zoomScale="85" zoomScaleNormal="85">
      <selection activeCell="F52" sqref="F52"/>
    </sheetView>
  </sheetViews>
  <sheetFormatPr defaultRowHeight="15" outlineLevelRow="0" outlineLevelCol="0" x14ac:dyDescent="0.2" defaultColWidth="8.83203125"/>
  <cols>
    <col min="1" max="1" width="16.5" customWidth="1"/>
    <col min="2" max="2" width="52.5" customWidth="1"/>
    <col min="3" max="5" width="18" customWidth="1"/>
    <col min="6" max="6" width="20.5" customWidth="1"/>
    <col min="7" max="7" width="21.5" customWidth="1"/>
    <col min="8" max="11" width="11.5" customWidth="1"/>
  </cols>
  <sheetData>
    <row r="1" spans="1:15" x14ac:dyDescent="0.25">
      <c r="A1" t="str">
        <f>HOME!B4</f>
        <v>PT RAJA VOLTAMA ELEKTRIK</v>
      </c>
      <c r="O1" t="s">
        <v>2223</v>
      </c>
    </row>
    <row r="2" spans="1:16" x14ac:dyDescent="0.25">
      <c r="A2" t="s">
        <v>2224</v>
      </c>
      <c r="H2" s="20" t="s">
        <v>2225</v>
      </c>
      <c r="I2" s="20"/>
      <c r="J2" s="20"/>
      <c r="K2" s="20"/>
      <c r="O2" s="21"/>
      <c r="P2" s="22" t="s">
        <v>2226</v>
      </c>
    </row>
    <row r="3" spans="1:16" x14ac:dyDescent="0.25">
      <c r="A3" t="s">
        <v>2227</v>
      </c>
      <c r="O3" s="23"/>
      <c r="P3" s="22" t="s">
        <v>2228</v>
      </c>
    </row>
    <row r="4" spans="1:17" x14ac:dyDescent="0.25">
      <c r="A4" s="24"/>
      <c r="B4" s="24"/>
      <c r="C4" s="24">
        <f>D4-1</f>
        <v>2018</v>
      </c>
      <c r="D4" s="24">
        <f>E4-1</f>
        <v>2019</v>
      </c>
      <c r="E4" s="24">
        <f>F4-1</f>
        <v>2020</v>
      </c>
      <c r="F4" s="24">
        <f>YEAR(HOME!B10)</f>
        <v>2021</v>
      </c>
      <c r="H4" s="25">
        <v>2021</v>
      </c>
      <c r="I4" s="25">
        <v>2022</v>
      </c>
      <c r="J4" s="25">
        <v>2023</v>
      </c>
      <c r="K4" s="25" t="s">
        <v>2229</v>
      </c>
      <c r="M4" t="s">
        <v>2230</v>
      </c>
      <c r="N4" s="25">
        <v>2021</v>
      </c>
      <c r="O4" s="25">
        <v>2022</v>
      </c>
      <c r="P4" s="25">
        <v>2023</v>
      </c>
      <c r="Q4" s="25" t="s">
        <v>2229</v>
      </c>
    </row>
    <row r="5" spans="1:11" x14ac:dyDescent="0.25">
      <c r="A5" s="4" t="s">
        <v>2231</v>
      </c>
      <c r="C5" s="26"/>
      <c r="D5" s="26"/>
      <c r="E5" s="26"/>
      <c r="F5" s="26"/>
      <c r="H5" s="27"/>
      <c r="I5" s="27"/>
      <c r="J5" s="27"/>
      <c r="K5" s="28"/>
    </row>
    <row r="6" spans="3:11" x14ac:dyDescent="0.25">
      <c r="C6" s="26"/>
      <c r="D6" s="26"/>
      <c r="E6" s="26"/>
      <c r="F6" s="26"/>
      <c r="H6" s="27"/>
      <c r="I6" s="27"/>
      <c r="J6" s="27"/>
      <c r="K6" s="28"/>
    </row>
    <row r="7" spans="1:11" x14ac:dyDescent="0.25">
      <c r="A7" s="4" t="s">
        <v>2232</v>
      </c>
      <c r="C7" s="26"/>
      <c r="D7" s="26"/>
      <c r="E7" s="26"/>
      <c r="F7" s="26"/>
      <c r="H7" s="27"/>
      <c r="I7" s="27"/>
      <c r="J7" s="27"/>
      <c r="K7" s="28"/>
    </row>
    <row r="8" spans="2:17" x14ac:dyDescent="0.25">
      <c r="B8" t="s">
        <v>2233</v>
      </c>
      <c r="C8" s="26"/>
      <c r="D8" s="26"/>
      <c r="E8" s="26"/>
      <c r="F8" s="26">
        <v>82771246</v>
      </c>
      <c r="H8" s="29">
        <f t="shared" ref="H8:J14" si="0">D8/D$27</f>
        <v>0.29929419192407447</v>
      </c>
      <c r="I8" s="29">
        <f t="shared" si="0"/>
        <v>0.11125799079079146</v>
      </c>
      <c r="J8" s="29">
        <f t="shared" si="0"/>
        <v>0.1972624211095539</v>
      </c>
      <c r="K8" s="30">
        <f>AVERAGE(H8:J8)</f>
        <v>0.20260486794147328</v>
      </c>
      <c r="N8" s="31">
        <f>IFERROR((D8-C8)/C8,0)</f>
        <v>-0.45839127976767224</v>
      </c>
      <c r="O8" s="31">
        <f>IFERROR((E8-D8)/D8,0)</f>
        <v>-0.5669059093514048</v>
      </c>
      <c r="P8" s="31">
        <f>IFERROR((F8-E8)/E8,0)</f>
        <v>0.9897275247711531</v>
      </c>
      <c r="Q8" s="31">
        <f>AVERAGE(N8:P8)</f>
        <v>-0.011856554782641285</v>
      </c>
    </row>
    <row r="9" spans="2:17" x14ac:dyDescent="0.25">
      <c r="B9" t="s">
        <v>2234</v>
      </c>
      <c r="C9" s="26"/>
      <c r="D9" s="26"/>
      <c r="E9" s="26"/>
      <c r="F9" s="26"/>
      <c r="H9" s="29">
        <f t="shared" si="0"/>
        <v>0.01292793387268177</v>
      </c>
      <c r="I9" s="29">
        <f t="shared" si="0"/>
        <v>0.17428840281020594</v>
      </c>
      <c r="J9" s="29">
        <f t="shared" si="0"/>
        <v>0.28696674992796056</v>
      </c>
      <c r="K9" s="30">
        <f t="shared" ref="K9:K14" si="1">AVERAGE(H9:J9)</f>
        <v>0.15806102887028275</v>
      </c>
      <c r="N9" s="31">
        <f t="shared" ref="N9:N14" si="2">IFERROR((D9-C9)/C9,0)</f>
        <v>-0.8300092261691796</v>
      </c>
      <c r="O9" s="31">
        <f t="shared" ref="O9:O14" si="3">IFERROR((E9-D9)/D9,0)</f>
        <v>14.706835754399972</v>
      </c>
      <c r="P9" s="31">
        <f t="shared" ref="P9:P14" si="4">IFERROR((F9-E9)/E9,0)</f>
        <v>0.8477514444430392</v>
      </c>
      <c r="Q9" s="31">
        <f t="shared" ref="Q9:Q14" si="5">AVERAGE(N9:P9)</f>
        <v>4.908192657557944</v>
      </c>
    </row>
    <row r="10" spans="2:17" x14ac:dyDescent="0.25">
      <c r="B10" t="s">
        <v>2235</v>
      </c>
      <c r="C10" s="32"/>
      <c r="D10" s="32"/>
      <c r="E10" s="32"/>
      <c r="F10" s="32"/>
      <c r="H10" s="29">
        <f t="shared" si="0"/>
        <v>0.18457883146834608</v>
      </c>
      <c r="I10" s="29">
        <f t="shared" si="0"/>
        <v>0.09469533958118997</v>
      </c>
      <c r="J10" s="29">
        <f t="shared" si="0"/>
        <v>0.10054967164454265</v>
      </c>
      <c r="K10" s="30">
        <f t="shared" si="1"/>
        <v>0.1266079475646929</v>
      </c>
      <c r="N10" s="31">
        <f t="shared" si="2"/>
        <v>1.7609136245824812</v>
      </c>
      <c r="O10" s="31">
        <f t="shared" si="3"/>
        <v>-0.40228239460728954</v>
      </c>
      <c r="P10" s="31">
        <f t="shared" si="4"/>
        <v>0.1916055362071343</v>
      </c>
      <c r="Q10" s="31">
        <f t="shared" si="5"/>
        <v>0.516745588727442</v>
      </c>
    </row>
    <row r="11" spans="2:17" x14ac:dyDescent="0.25">
      <c r="B11" t="s">
        <v>2236</v>
      </c>
      <c r="C11" s="32"/>
      <c r="D11" s="32"/>
      <c r="E11" s="32"/>
      <c r="F11" s="32"/>
      <c r="H11" s="29">
        <f t="shared" si="0"/>
        <v>0</v>
      </c>
      <c r="I11" s="29">
        <f t="shared" si="0"/>
        <v>0</v>
      </c>
      <c r="J11" s="29">
        <f t="shared" si="0"/>
        <v>0.029729946190816356</v>
      </c>
      <c r="K11" s="30">
        <f t="shared" si="1"/>
        <v>0.009909982063605452</v>
      </c>
      <c r="N11" s="31">
        <f t="shared" si="2"/>
        <v>0</v>
      </c>
      <c r="O11" s="31">
        <f t="shared" si="3"/>
        <v>0</v>
      </c>
      <c r="P11" s="31">
        <f t="shared" si="4"/>
        <v>0</v>
      </c>
      <c r="Q11" s="31">
        <f t="shared" si="5"/>
        <v>0</v>
      </c>
    </row>
    <row r="12" spans="2:17" x14ac:dyDescent="0.25">
      <c r="B12" t="s">
        <v>2237</v>
      </c>
      <c r="C12" s="32"/>
      <c r="D12" s="32"/>
      <c r="E12" s="32"/>
      <c r="F12" s="32"/>
      <c r="H12" s="29">
        <f t="shared" si="0"/>
        <v>0.11208836682274075</v>
      </c>
      <c r="I12" s="29">
        <f t="shared" si="0"/>
        <v>0.10703254307942509</v>
      </c>
      <c r="J12" s="29">
        <f t="shared" si="0"/>
        <v>0.04232467468380309</v>
      </c>
      <c r="K12" s="30">
        <f t="shared" si="1"/>
        <v>0.08714852819532297</v>
      </c>
      <c r="N12" s="31">
        <f t="shared" si="2"/>
        <v>1.259072104996796</v>
      </c>
      <c r="O12" s="31">
        <f t="shared" si="3"/>
        <v>0.11251182879435193</v>
      </c>
      <c r="P12" s="31">
        <f t="shared" si="4"/>
        <v>-0.5562296870239565</v>
      </c>
      <c r="Q12" s="31">
        <f t="shared" si="5"/>
        <v>0.27178474892239707</v>
      </c>
    </row>
    <row r="13" spans="2:17" x14ac:dyDescent="0.25">
      <c r="B13" t="s">
        <v>2238</v>
      </c>
      <c r="C13" s="32"/>
      <c r="D13" s="32"/>
      <c r="E13" s="32"/>
      <c r="F13" s="32"/>
      <c r="H13" s="29">
        <f t="shared" si="0"/>
        <v>0.15307415352474382</v>
      </c>
      <c r="I13" s="29">
        <f t="shared" si="0"/>
        <v>0.17800494161940456</v>
      </c>
      <c r="J13" s="29">
        <f t="shared" si="0"/>
        <v>0.08712780220759485</v>
      </c>
      <c r="K13" s="30">
        <f t="shared" si="1"/>
        <v>0.13940229911724775</v>
      </c>
      <c r="N13" s="31">
        <f t="shared" si="2"/>
        <v>0</v>
      </c>
      <c r="O13" s="31">
        <f t="shared" si="3"/>
        <v>0.354813535172775</v>
      </c>
      <c r="P13" s="31">
        <f t="shared" si="4"/>
        <v>-0.4507056125852652</v>
      </c>
      <c r="Q13" s="31">
        <f t="shared" si="5"/>
        <v>-0.03196402580416341</v>
      </c>
    </row>
    <row r="14" spans="2:17" x14ac:dyDescent="0.25">
      <c r="B14" t="s">
        <v>2239</v>
      </c>
      <c r="C14" s="32"/>
      <c r="D14" s="32"/>
      <c r="E14" s="32"/>
      <c r="F14" s="32"/>
      <c r="H14" s="29">
        <f t="shared" si="0"/>
        <v>0</v>
      </c>
      <c r="I14" s="29">
        <f t="shared" si="0"/>
        <v>0.13413722985385276</v>
      </c>
      <c r="J14" s="29">
        <f t="shared" si="0"/>
        <v>0.06980024474989714</v>
      </c>
      <c r="K14" s="30">
        <f t="shared" si="1"/>
        <v>0.06797915820124996</v>
      </c>
      <c r="N14" s="31">
        <f t="shared" si="2"/>
        <v>0</v>
      </c>
      <c r="O14" s="31">
        <f t="shared" si="3"/>
        <v>0</v>
      </c>
      <c r="P14" s="31">
        <f t="shared" si="4"/>
        <v>-0.4160333122506974</v>
      </c>
      <c r="Q14" s="31">
        <f t="shared" si="5"/>
        <v>-0.13867777075023247</v>
      </c>
    </row>
    <row r="15" spans="3:17" x14ac:dyDescent="0.25">
      <c r="C15" s="26"/>
      <c r="D15" s="26"/>
      <c r="E15" s="26"/>
      <c r="F15" s="26"/>
      <c r="H15" s="27"/>
      <c r="I15" s="27"/>
      <c r="J15" s="27"/>
      <c r="K15" s="28"/>
      <c r="N15" s="31"/>
      <c r="O15" s="31"/>
      <c r="P15" s="31"/>
      <c r="Q15" s="31"/>
    </row>
    <row r="16" spans="1:17" x14ac:dyDescent="0.25">
      <c r="A16" s="33" t="s">
        <v>2232</v>
      </c>
      <c r="B16" s="34"/>
      <c r="C16" s="35">
        <f>SUM(C8:C14)+SUM(C100:C139)</f>
      </c>
      <c r="D16" s="35">
        <f>SUM(D8:D14)+SUM(D100:D139)</f>
      </c>
      <c r="E16" s="35">
        <f>SUM(E8:E14)+SUM(E100:E139)</f>
      </c>
      <c r="F16" s="35">
        <f>SUM(F8:F14)+SUM(F100:F139)</f>
      </c>
      <c r="H16" s="27"/>
      <c r="I16" s="27"/>
      <c r="J16" s="27"/>
      <c r="K16" s="28"/>
      <c r="N16" s="31"/>
      <c r="O16" s="31"/>
      <c r="P16" s="31"/>
      <c r="Q16" s="31"/>
    </row>
    <row r="17" spans="3:17" x14ac:dyDescent="0.25">
      <c r="C17" s="26"/>
      <c r="D17" s="26"/>
      <c r="E17" s="26"/>
      <c r="F17" s="26"/>
      <c r="H17" s="27"/>
      <c r="I17" s="27"/>
      <c r="J17" s="27"/>
      <c r="K17" s="28"/>
      <c r="N17" s="31"/>
      <c r="O17" s="31"/>
      <c r="P17" s="31"/>
      <c r="Q17" s="31"/>
    </row>
    <row r="18" spans="1:17" x14ac:dyDescent="0.25">
      <c r="A18" s="4" t="s">
        <v>2240</v>
      </c>
      <c r="C18" s="26"/>
      <c r="D18" s="26"/>
      <c r="E18" s="26"/>
      <c r="F18" s="26"/>
      <c r="H18" s="27"/>
      <c r="I18" s="27"/>
      <c r="J18" s="27"/>
      <c r="K18" s="28"/>
      <c r="N18" s="31"/>
      <c r="O18" s="31"/>
      <c r="P18" s="31"/>
      <c r="Q18" s="31"/>
    </row>
    <row r="19" spans="1:17" x14ac:dyDescent="0.25">
      <c r="A19" t="s">
        <v>2241</v>
      </c>
      <c r="C19" s="26"/>
      <c r="D19" s="26"/>
      <c r="E19" s="26"/>
      <c r="F19" s="26"/>
      <c r="H19" s="27"/>
      <c r="I19" s="27"/>
      <c r="J19" s="27"/>
      <c r="K19" s="28"/>
      <c r="N19" s="31"/>
      <c r="O19" s="31"/>
      <c r="P19" s="31"/>
      <c r="Q19" s="31"/>
    </row>
    <row r="20" spans="2:17" x14ac:dyDescent="0.25">
      <c r="B20" t="s">
        <v>2242</v>
      </c>
      <c r="C20" s="26"/>
      <c r="D20" s="36"/>
      <c r="E20" s="36">
        <v>21000894104</v>
      </c>
      <c r="F20" s="36">
        <v>21000894104</v>
      </c>
      <c r="H20" s="29">
        <f t="shared" ref="H20:J21" si="6">D20/D$27</f>
        <v>0.25374026841759106</v>
      </c>
      <c r="I20" s="29">
        <f t="shared" si="6"/>
        <v>0.21944543986714599</v>
      </c>
      <c r="J20" s="29">
        <f t="shared" si="6"/>
        <v>0.20780202375556883</v>
      </c>
      <c r="K20" s="30">
        <f>AVERAGE(H20:J20)</f>
        <v>0.22699591068010197</v>
      </c>
      <c r="N20" s="31">
        <f t="shared" ref="N20:N25" si="7">IFERROR((D20-C20)/C20,0)</f>
        <v>23.99226431131122</v>
      </c>
      <c r="O20" s="31">
        <f t="shared" ref="O20:O25" si="8">IFERROR((E20-D20)/D20,0)</f>
        <v>0.00759615118739841</v>
      </c>
      <c r="P20" s="31">
        <f t="shared" ref="P20:P25" si="9">IFERROR((F20-E20)/E20,0)</f>
        <v>0.06268285440424437</v>
      </c>
      <c r="Q20" s="31">
        <f t="shared" ref="Q20:Q25" si="10">AVERAGE(N20:P20)</f>
        <v>8.020847772300955</v>
      </c>
    </row>
    <row r="21" spans="2:17" x14ac:dyDescent="0.25">
      <c r="B21" t="s">
        <v>2243</v>
      </c>
      <c r="C21" s="26"/>
      <c r="D21" s="36"/>
      <c r="E21" s="36">
        <v>-633096847</v>
      </c>
      <c r="F21" s="36">
        <v>-4120916663</v>
      </c>
      <c r="H21" s="29">
        <f t="shared" si="6"/>
        <v>-0.015703746030177976</v>
      </c>
      <c r="I21" s="29">
        <f t="shared" si="6"/>
        <v>-0.018861887602015733</v>
      </c>
      <c r="J21" s="29">
        <f t="shared" si="6"/>
        <v>-0.021563534269737353</v>
      </c>
      <c r="K21" s="30">
        <f>AVERAGE(H21:J21)</f>
        <v>-0.01870972263397702</v>
      </c>
      <c r="N21" s="31">
        <f t="shared" si="7"/>
        <v>0.7555794290361552</v>
      </c>
      <c r="O21" s="31">
        <f t="shared" si="8"/>
        <v>0.399365697543345</v>
      </c>
      <c r="P21" s="31">
        <f t="shared" si="9"/>
        <v>0.2829663098744645</v>
      </c>
      <c r="Q21" s="31">
        <f t="shared" si="10"/>
        <v>0.47930381215132156</v>
      </c>
    </row>
    <row r="22" spans="2:17" x14ac:dyDescent="0.25">
      <c r="B22" t="s">
        <v>2244</v>
      </c>
      <c r="C22" s="37">
        <f>C20+C21</f>
        <v>31069618</v>
      </c>
      <c r="D22" s="37">
        <f>D20+D21</f>
        <v>6123781380</v>
      </c>
      <c r="E22" s="37">
        <f>E20+E21</f>
        <v>6012024389</v>
      </c>
      <c r="F22" s="37">
        <f>F20+F21</f>
        <v>6264339945</v>
      </c>
      <c r="H22" s="27"/>
      <c r="I22" s="27"/>
      <c r="J22" s="27"/>
      <c r="K22" s="28"/>
      <c r="N22" s="31">
        <f t="shared" si="7"/>
        <v>196.09870201815806</v>
      </c>
      <c r="O22" s="31">
        <f t="shared" si="8"/>
        <v>-0.018249670271540622</v>
      </c>
      <c r="P22" s="31">
        <f t="shared" si="9"/>
        <v>0.041968485101566345</v>
      </c>
      <c r="Q22" s="31">
        <f t="shared" si="10"/>
        <v>65.3741402776627</v>
      </c>
    </row>
    <row r="23" spans="1:17" x14ac:dyDescent="0.25">
      <c r="A23" t="s">
        <v>2240</v>
      </c>
      <c r="C23" s="26">
        <v>0</v>
      </c>
      <c r="D23" s="26">
        <v>0</v>
      </c>
      <c r="E23" s="26">
        <v>0</v>
      </c>
      <c r="F23" s="26">
        <v>0</v>
      </c>
      <c r="G23" s="26"/>
      <c r="H23" s="27"/>
      <c r="I23" s="27"/>
      <c r="J23" s="27"/>
      <c r="K23" s="28"/>
      <c r="N23" s="31">
        <f t="shared" si="7"/>
        <v>0</v>
      </c>
      <c r="O23" s="31">
        <f t="shared" si="8"/>
        <v>0</v>
      </c>
      <c r="P23" s="31">
        <f t="shared" si="9"/>
        <v>0</v>
      </c>
      <c r="Q23" s="31">
        <f t="shared" si="10"/>
        <v>0</v>
      </c>
    </row>
    <row r="24" spans="1:17" x14ac:dyDescent="0.25">
      <c r="A24" t="s">
        <v>2245</v>
      </c>
      <c r="C24" s="26"/>
      <c r="D24" s="26"/>
      <c r="E24" s="26"/>
      <c r="F24" s="26"/>
      <c r="G24" s="26"/>
      <c r="H24" s="27"/>
      <c r="I24" s="27"/>
      <c r="J24" s="27"/>
      <c r="K24" s="28"/>
      <c r="N24" s="31">
        <f t="shared" si="7"/>
        <v>0</v>
      </c>
      <c r="O24" s="31">
        <f t="shared" si="8"/>
        <v>0</v>
      </c>
      <c r="P24" s="31">
        <f t="shared" si="9"/>
        <v>0</v>
      </c>
      <c r="Q24" s="31">
        <f t="shared" si="10"/>
        <v>0</v>
      </c>
    </row>
    <row r="25" spans="1:17" x14ac:dyDescent="0.25">
      <c r="A25" t="s">
        <v>2246</v>
      </c>
      <c r="C25" s="26">
        <f>C22+C23+C24</f>
        <v>31069618</v>
      </c>
      <c r="D25" s="26">
        <f>D22+D23+D24</f>
        <v>6123781380</v>
      </c>
      <c r="E25" s="26">
        <f>E22+E23+E24</f>
        <v>6012024389</v>
      </c>
      <c r="F25" s="26">
        <f>F22+F23+F24</f>
        <v>6264339945</v>
      </c>
      <c r="G25" s="26"/>
      <c r="H25" s="27"/>
      <c r="I25" s="27"/>
      <c r="J25" s="27"/>
      <c r="K25" s="28"/>
      <c r="N25" s="31">
        <f t="shared" si="7"/>
        <v>196.09870201815806</v>
      </c>
      <c r="O25" s="31">
        <f t="shared" si="8"/>
        <v>-0.018249670271540622</v>
      </c>
      <c r="P25" s="31">
        <f t="shared" si="9"/>
        <v>0.041968485101566345</v>
      </c>
      <c r="Q25" s="31">
        <f t="shared" si="10"/>
        <v>65.3741402776627</v>
      </c>
    </row>
    <row r="26" spans="3:17" x14ac:dyDescent="0.25">
      <c r="C26" s="26"/>
      <c r="D26" s="26"/>
      <c r="E26" s="26"/>
      <c r="F26" s="26"/>
      <c r="G26" s="26"/>
      <c r="H26" s="27"/>
      <c r="I26" s="27"/>
      <c r="J26" s="27"/>
      <c r="K26" s="28"/>
      <c r="N26" s="31"/>
      <c r="O26" s="31"/>
      <c r="P26" s="31"/>
      <c r="Q26" s="31"/>
    </row>
    <row r="27" spans="1:17" x14ac:dyDescent="0.25">
      <c r="A27" s="33" t="s">
        <v>2231</v>
      </c>
      <c r="B27" s="34"/>
      <c r="C27" s="38">
        <f>+C16+C25</f>
        <v>19200305499</v>
      </c>
      <c r="D27" s="38">
        <f>+D16+D25</f>
        <v>25726226037</v>
      </c>
      <c r="E27" s="38">
        <f>+E16+E25</f>
        <v>29972668851</v>
      </c>
      <c r="F27" s="38">
        <f>+F16+F25</f>
        <v>33636118733</v>
      </c>
      <c r="G27" s="26"/>
      <c r="H27" s="27"/>
      <c r="I27" s="27"/>
      <c r="J27" s="27"/>
      <c r="K27" s="28"/>
      <c r="N27" s="31"/>
      <c r="O27" s="31"/>
      <c r="P27" s="31"/>
      <c r="Q27" s="31"/>
    </row>
    <row r="28" spans="3:17" x14ac:dyDescent="0.25">
      <c r="C28" s="26"/>
      <c r="D28" s="26"/>
      <c r="E28" s="26"/>
      <c r="F28" s="26"/>
      <c r="H28" s="27"/>
      <c r="I28" s="27"/>
      <c r="J28" s="27"/>
      <c r="K28" s="28"/>
      <c r="N28" s="31"/>
      <c r="O28" s="31"/>
      <c r="P28" s="31"/>
      <c r="Q28" s="31"/>
    </row>
    <row r="29" spans="1:17" x14ac:dyDescent="0.25">
      <c r="A29" s="4" t="s">
        <v>2247</v>
      </c>
      <c r="C29" s="26"/>
      <c r="D29" s="26"/>
      <c r="E29" s="26"/>
      <c r="F29" s="26"/>
      <c r="H29" s="27"/>
      <c r="I29" s="27"/>
      <c r="J29" s="27"/>
      <c r="K29" s="28"/>
      <c r="N29" s="31"/>
      <c r="O29" s="31"/>
      <c r="P29" s="31"/>
      <c r="Q29" s="31"/>
    </row>
    <row r="30" spans="1:17" x14ac:dyDescent="0.25">
      <c r="A30" s="4" t="s">
        <v>2248</v>
      </c>
      <c r="C30" s="26"/>
      <c r="D30" s="26"/>
      <c r="E30" s="26"/>
      <c r="F30" s="26"/>
      <c r="H30" s="27"/>
      <c r="I30" s="27"/>
      <c r="J30" s="27"/>
      <c r="K30" s="28"/>
      <c r="N30" s="31"/>
      <c r="O30" s="31"/>
      <c r="P30" s="31"/>
      <c r="Q30" s="31"/>
    </row>
    <row r="31" spans="2:17" x14ac:dyDescent="0.25">
      <c r="B31" t="s">
        <v>2249</v>
      </c>
      <c r="C31" s="39"/>
      <c r="D31" s="39"/>
      <c r="E31" s="39"/>
      <c r="F31" s="39"/>
      <c r="H31" s="29">
        <f t="shared" ref="H31:J34" si="11">D31/D$51</f>
        <v>0</v>
      </c>
      <c r="I31" s="29">
        <f t="shared" si="11"/>
        <v>0</v>
      </c>
      <c r="J31" s="29">
        <f t="shared" si="11"/>
        <v>0.029729946189932487</v>
      </c>
      <c r="K31" s="30">
        <f>AVERAGE(H31:J31)</f>
        <v>0.009909982063310828</v>
      </c>
      <c r="N31" s="31">
        <f t="shared" ref="N31:P34" si="12">IFERROR((D31-C31)/C31,0)</f>
        <v>-1</v>
      </c>
      <c r="O31" s="31">
        <f t="shared" si="12"/>
        <v>0</v>
      </c>
      <c r="P31" s="31">
        <f t="shared" si="12"/>
        <v>0</v>
      </c>
      <c r="Q31" s="31">
        <f>AVERAGE(N31:P31)</f>
        <v>-0.3333333333333333</v>
      </c>
    </row>
    <row r="32" spans="2:17" x14ac:dyDescent="0.25">
      <c r="B32" t="s">
        <v>2250</v>
      </c>
      <c r="C32" s="39"/>
      <c r="D32" s="39"/>
      <c r="E32" s="39"/>
      <c r="F32" s="39"/>
      <c r="H32" s="29">
        <f t="shared" si="11"/>
        <v>0.11692035184927424</v>
      </c>
      <c r="I32" s="29">
        <f t="shared" si="11"/>
        <v>0.08605673511499605</v>
      </c>
      <c r="J32" s="29">
        <f t="shared" si="11"/>
        <v>0.03259064173453277</v>
      </c>
      <c r="K32" s="30">
        <f>AVERAGE(H32:J32)</f>
        <v>0.07852257623293436</v>
      </c>
      <c r="N32" s="31">
        <f t="shared" si="12"/>
        <v>0.11256727474283273</v>
      </c>
      <c r="O32" s="31">
        <f t="shared" si="12"/>
        <v>-0.14248033906759602</v>
      </c>
      <c r="P32" s="31">
        <f t="shared" si="12"/>
        <v>-0.5750004129722566</v>
      </c>
      <c r="Q32" s="31">
        <f>AVERAGE(N32:P32)</f>
        <v>-0.20163782576567327</v>
      </c>
    </row>
    <row r="33" spans="2:17" x14ac:dyDescent="0.25">
      <c r="B33" t="s">
        <v>2251</v>
      </c>
      <c r="C33" s="39"/>
      <c r="D33" s="39"/>
      <c r="E33" s="39"/>
      <c r="F33" s="39"/>
      <c r="H33" s="29">
        <f t="shared" si="11"/>
        <v>0.029933958633980885</v>
      </c>
      <c r="I33" s="29">
        <f t="shared" si="11"/>
        <v>0.012112653357790238</v>
      </c>
      <c r="J33" s="29">
        <f t="shared" si="11"/>
        <v>0.014284966669305729</v>
      </c>
      <c r="K33" s="30">
        <f>AVERAGE(H33:J33)</f>
        <v>0.018777192887025618</v>
      </c>
      <c r="N33" s="31">
        <f t="shared" si="12"/>
        <v>0.842166886121477</v>
      </c>
      <c r="O33" s="31">
        <f t="shared" si="12"/>
        <v>-0.5285621268118645</v>
      </c>
      <c r="P33" s="31">
        <f t="shared" si="12"/>
        <v>0.3234892072891585</v>
      </c>
      <c r="Q33" s="31">
        <f>AVERAGE(N33:P33)</f>
        <v>0.21236465553292364</v>
      </c>
    </row>
    <row r="34" spans="2:17" x14ac:dyDescent="0.25">
      <c r="B34" t="s">
        <v>2252</v>
      </c>
      <c r="C34" s="39"/>
      <c r="D34" s="39"/>
      <c r="E34" s="39"/>
      <c r="F34" s="39"/>
      <c r="H34" s="29">
        <f t="shared" si="11"/>
        <v>0.1274533401550708</v>
      </c>
      <c r="I34" s="29">
        <f t="shared" si="11"/>
        <v>0.11232920287269216</v>
      </c>
      <c r="J34" s="29">
        <f t="shared" si="11"/>
        <v>0.05033050969369907</v>
      </c>
      <c r="K34" s="30">
        <f>AVERAGE(H34:J34)</f>
        <v>0.09670435090715401</v>
      </c>
      <c r="N34" s="31">
        <f t="shared" si="12"/>
        <v>0</v>
      </c>
      <c r="O34" s="31">
        <f t="shared" si="12"/>
        <v>0.026811655719321977</v>
      </c>
      <c r="P34" s="31">
        <f t="shared" si="12"/>
        <v>-0.49717239425140625</v>
      </c>
      <c r="Q34" s="31">
        <f>AVERAGE(N34:P34)</f>
        <v>-0.1567869128440281</v>
      </c>
    </row>
    <row r="35" spans="1:11" x14ac:dyDescent="0.25">
      <c r="A35" s="40" t="s">
        <v>2248</v>
      </c>
      <c r="B35" s="41"/>
      <c r="C35" s="42">
        <f>SUM(C31:C34)+SUM(C200:C219)</f>
      </c>
      <c r="D35" s="42">
        <f>SUM(D31:D34)+SUM(D200:D219)</f>
      </c>
      <c r="E35" s="42">
        <f>SUM(E31:E34)+SUM(E200:E219)</f>
      </c>
      <c r="F35" s="42">
        <f>SUM(F31:F34)+SUM(F200:F219)</f>
      </c>
      <c r="H35" s="27"/>
      <c r="I35" s="27"/>
      <c r="J35" s="27"/>
      <c r="K35" s="28"/>
    </row>
    <row r="36" spans="3:11" x14ac:dyDescent="0.25">
      <c r="C36" s="26"/>
      <c r="D36" s="26"/>
      <c r="E36" s="26"/>
      <c r="F36" s="26"/>
      <c r="H36" s="27"/>
      <c r="I36" s="27"/>
      <c r="J36" s="27"/>
      <c r="K36" s="28"/>
    </row>
    <row r="37" spans="1:11" x14ac:dyDescent="0.25">
      <c r="A37" s="4" t="s">
        <v>2253</v>
      </c>
      <c r="C37" s="26"/>
      <c r="D37" s="26"/>
      <c r="E37" s="26"/>
      <c r="F37" s="26"/>
      <c r="H37" s="27"/>
      <c r="I37" s="27"/>
      <c r="J37" s="27"/>
      <c r="K37" s="28"/>
    </row>
    <row r="38" spans="2:17" x14ac:dyDescent="0.25">
      <c r="B38" t="s">
        <v>2254</v>
      </c>
      <c r="C38" s="26"/>
      <c r="D38" s="26"/>
      <c r="E38" s="26"/>
      <c r="F38" s="26"/>
      <c r="H38" s="29">
        <f t="shared" ref="H38:J40" si="13">D38/D$51</f>
        <v>0</v>
      </c>
      <c r="I38" s="29">
        <f t="shared" si="13"/>
        <v>0</v>
      </c>
      <c r="J38" s="29">
        <f t="shared" si="13"/>
        <v>0</v>
      </c>
      <c r="K38" s="30">
        <f>AVERAGE(H38:J38)</f>
        <v>0</v>
      </c>
      <c r="N38" s="31">
        <f t="shared" ref="N38:P39" si="14">IFERROR((D38-C38)/C38,0)</f>
        <v>0</v>
      </c>
      <c r="O38" s="31">
        <f t="shared" si="14"/>
        <v>0</v>
      </c>
      <c r="P38" s="31">
        <f t="shared" si="14"/>
        <v>0</v>
      </c>
      <c r="Q38" s="31">
        <f>AVERAGE(N38:P38)</f>
        <v>0</v>
      </c>
    </row>
    <row r="39" spans="2:17" x14ac:dyDescent="0.25">
      <c r="B39" t="s">
        <v>2255</v>
      </c>
      <c r="C39" s="26"/>
      <c r="D39" s="26"/>
      <c r="E39" s="26"/>
      <c r="F39" s="26"/>
      <c r="H39" s="29">
        <f t="shared" si="13"/>
        <v>0</v>
      </c>
      <c r="I39" s="29">
        <f t="shared" si="13"/>
        <v>0</v>
      </c>
      <c r="J39" s="29">
        <f t="shared" si="13"/>
        <v>0</v>
      </c>
      <c r="K39" s="30">
        <f>AVERAGE(H39:J39)</f>
        <v>0</v>
      </c>
      <c r="N39" s="31">
        <f t="shared" si="14"/>
        <v>0</v>
      </c>
      <c r="O39" s="31">
        <f t="shared" si="14"/>
        <v>0</v>
      </c>
      <c r="P39" s="31">
        <f t="shared" si="14"/>
        <v>0</v>
      </c>
      <c r="Q39" s="31">
        <f>AVERAGE(N39:P39)</f>
        <v>0</v>
      </c>
    </row>
    <row r="40" ht="16" customHeight="1" spans="1:17" x14ac:dyDescent="0.25">
      <c r="A40" s="43" t="s">
        <v>2253</v>
      </c>
      <c r="B40" s="44"/>
      <c r="C40" s="45">
        <f>+C38+C39</f>
        <v>0</v>
      </c>
      <c r="D40" s="45">
        <f>+D38+D39</f>
        <v>0</v>
      </c>
      <c r="E40" s="45">
        <f>+E38+E39</f>
        <v>0</v>
      </c>
      <c r="F40" s="45">
        <f>+F38+F39</f>
        <v>0</v>
      </c>
      <c r="H40" s="29">
        <f t="shared" si="13"/>
        <v>0</v>
      </c>
      <c r="I40" s="29">
        <f t="shared" si="13"/>
        <v>0</v>
      </c>
      <c r="J40" s="29">
        <f t="shared" si="13"/>
        <v>0</v>
      </c>
      <c r="K40" s="30">
        <f>AVERAGE(H40:J40)</f>
        <v>0</v>
      </c>
      <c r="N40" s="31"/>
      <c r="O40" s="31"/>
      <c r="P40" s="31"/>
      <c r="Q40" s="31"/>
    </row>
    <row r="41" ht="16" customHeight="1" spans="1:11" x14ac:dyDescent="0.25">
      <c r="A41" s="4" t="s">
        <v>2256</v>
      </c>
      <c r="C41" s="37">
        <f>+C35+C40</f>
        <v>4936833523</v>
      </c>
      <c r="D41" s="37">
        <f>+D35+D40</f>
        <v>7056900624</v>
      </c>
      <c r="E41" s="37">
        <f>+E35+E40</f>
        <v>6309204572</v>
      </c>
      <c r="F41" s="37">
        <f>+F35+F40</f>
        <v>4269636530</v>
      </c>
      <c r="H41" s="27"/>
      <c r="I41" s="27"/>
      <c r="J41" s="27"/>
      <c r="K41" s="28"/>
    </row>
    <row r="42" spans="1:11" x14ac:dyDescent="0.25">
      <c r="A42" s="4" t="s">
        <v>2257</v>
      </c>
      <c r="C42" s="26"/>
      <c r="D42" s="26"/>
      <c r="E42" s="26"/>
      <c r="F42" s="26"/>
      <c r="H42" s="27"/>
      <c r="I42" s="27"/>
      <c r="J42" s="27"/>
      <c r="K42" s="28"/>
    </row>
    <row r="43" spans="1:17" x14ac:dyDescent="0.25">
      <c r="A43" t="s">
        <v>2258</v>
      </c>
      <c r="C43" s="26"/>
      <c r="D43" s="26"/>
      <c r="E43" s="26"/>
      <c r="F43" s="26">
        <v>5280000000</v>
      </c>
      <c r="H43" s="29">
        <f>D43/D$51</f>
        <v>0.07774167874928713</v>
      </c>
      <c r="I43" s="29">
        <f>E43/E$51</f>
        <v>0.06672745793650846</v>
      </c>
      <c r="J43" s="29">
        <f>F43/F$51</f>
        <v>0.05945989237986497</v>
      </c>
      <c r="K43" s="30">
        <f>AVERAGE(H43:J43)</f>
        <v>0.06797634302188686</v>
      </c>
      <c r="N43" s="31">
        <f>IFERROR((D43-C43)/C43,0)</f>
        <v>0</v>
      </c>
      <c r="O43" s="31">
        <f>IFERROR((E43-D43)/D43,0)</f>
        <v>0</v>
      </c>
      <c r="P43" s="31">
        <f>IFERROR((F43-E43)/E43,0)</f>
        <v>0</v>
      </c>
      <c r="Q43" s="31">
        <f>AVERAGE(N43:P43)</f>
        <v>0</v>
      </c>
    </row>
    <row r="44" spans="1:11" x14ac:dyDescent="0.25">
      <c r="A44" t="s">
        <v>2259</v>
      </c>
      <c r="C44" s="26"/>
      <c r="D44" s="26"/>
      <c r="E44" s="26"/>
      <c r="F44" s="26"/>
      <c r="H44" s="29"/>
      <c r="I44" s="29"/>
      <c r="J44" s="29"/>
      <c r="K44" s="30"/>
    </row>
    <row r="45" spans="1:11" x14ac:dyDescent="0.25">
      <c r="A45" t="s">
        <v>2260</v>
      </c>
      <c r="C45" s="26"/>
      <c r="D45" s="26"/>
      <c r="E45" s="26"/>
      <c r="F45" s="26"/>
      <c r="H45" s="27"/>
      <c r="I45" s="27"/>
      <c r="J45" s="27"/>
      <c r="K45" s="28"/>
    </row>
    <row r="46" spans="2:17" x14ac:dyDescent="0.25">
      <c r="B46" t="s">
        <v>2261</v>
      </c>
      <c r="C46" s="26"/>
      <c r="D46" s="26"/>
      <c r="E46" s="26"/>
      <c r="F46" s="26"/>
      <c r="G46" s="26"/>
      <c r="H46" s="29">
        <f t="shared" ref="H46:J48" si="15">D46/D$51</f>
        <v>0.17125922125784826</v>
      </c>
      <c r="I46" s="29">
        <f t="shared" si="15"/>
        <v>0.16662309555504853</v>
      </c>
      <c r="J46" s="29">
        <f t="shared" si="15"/>
        <v>0.17260691641962142</v>
      </c>
      <c r="K46" s="30">
        <f>AVERAGE(H46:J46)</f>
        <v>0.17016307774417275</v>
      </c>
      <c r="N46" s="31">
        <f t="shared" ref="N46:P48" si="16">IFERROR((D46-C46)/C46,0)</f>
        <v>0.19701553587533943</v>
      </c>
      <c r="O46" s="31">
        <f t="shared" si="16"/>
        <v>0.13352360386290354</v>
      </c>
      <c r="P46" s="31">
        <f t="shared" si="16"/>
        <v>0.16252809358705567</v>
      </c>
      <c r="Q46" s="31">
        <f>AVERAGE(N46:P46)</f>
        <v>0.16435574444176623</v>
      </c>
    </row>
    <row r="47" spans="2:17" x14ac:dyDescent="0.25">
      <c r="B47" t="s">
        <v>2262</v>
      </c>
      <c r="C47" s="26"/>
      <c r="D47" s="26"/>
      <c r="E47" s="26"/>
      <c r="F47" s="26"/>
      <c r="H47" s="29">
        <f t="shared" si="15"/>
        <v>0.47669144935453867</v>
      </c>
      <c r="I47" s="29">
        <f t="shared" si="15"/>
        <v>0.5561508551629646</v>
      </c>
      <c r="J47" s="29">
        <f t="shared" si="15"/>
        <v>0.6409971269130436</v>
      </c>
      <c r="K47" s="30">
        <f>AVERAGE(H47:J47)</f>
        <v>0.5579464771435156</v>
      </c>
      <c r="N47" s="31">
        <f t="shared" si="16"/>
        <v>0.42884723555832366</v>
      </c>
      <c r="O47" s="31">
        <f t="shared" si="16"/>
        <v>0.359266400707923</v>
      </c>
      <c r="P47" s="31">
        <f t="shared" si="16"/>
        <v>0.293432993526263</v>
      </c>
      <c r="Q47" s="31">
        <f>AVERAGE(N47:P47)</f>
        <v>0.36051554326416985</v>
      </c>
    </row>
    <row r="48" spans="1:17" x14ac:dyDescent="0.25">
      <c r="A48" t="s">
        <v>2263</v>
      </c>
      <c r="C48" s="26">
        <f>+C47+C46</f>
        <v>12263471976</v>
      </c>
      <c r="D48" s="26">
        <f>+D47+D46</f>
        <v>16669325413</v>
      </c>
      <c r="E48" s="26">
        <f>+E47+E46</f>
        <v>21663464279</v>
      </c>
      <c r="F48" s="26">
        <f>+F47+F46</f>
        <v>27366482204</v>
      </c>
      <c r="H48" s="29">
        <f t="shared" si="15"/>
        <v>0.647950670612387</v>
      </c>
      <c r="I48" s="29">
        <f t="shared" si="15"/>
        <v>0.7227739507180131</v>
      </c>
      <c r="J48" s="29">
        <f t="shared" si="15"/>
        <v>0.813604043332665</v>
      </c>
      <c r="K48" s="30">
        <f>AVERAGE(H48:J48)</f>
        <v>0.7281095548876882</v>
      </c>
      <c r="N48" s="31">
        <f t="shared" si="16"/>
        <v>0.359266400707923</v>
      </c>
      <c r="O48" s="31">
        <f t="shared" si="16"/>
        <v>0.2996005382500478</v>
      </c>
      <c r="P48" s="31">
        <f t="shared" si="16"/>
        <v>0.2632551216902256</v>
      </c>
      <c r="Q48" s="31">
        <f>AVERAGE(N48:P48)</f>
        <v>0.30737402021606547</v>
      </c>
    </row>
    <row r="49" spans="1:11" x14ac:dyDescent="0.25">
      <c r="A49" s="33" t="s">
        <v>2257</v>
      </c>
      <c r="B49" s="34"/>
      <c r="C49" s="38">
        <f>+C43+C48+SUM(C300:C319)</f>
      </c>
      <c r="D49" s="38">
        <f>+D43+D48+D44+SUM(D300:D319)</f>
      </c>
      <c r="E49" s="38">
        <f>+E43+E48+E44+SUM(E300:E319)</f>
      </c>
      <c r="F49" s="38">
        <f>+F43+F48+F44+SUM(F300:F319)</f>
      </c>
      <c r="H49" s="46"/>
      <c r="I49" s="46"/>
      <c r="J49" s="46"/>
      <c r="K49" s="46"/>
    </row>
    <row r="50" spans="1:6" x14ac:dyDescent="0.25">
      <c r="A50" s="4"/>
      <c r="C50" s="37"/>
      <c r="D50" s="37"/>
      <c r="E50" s="37"/>
      <c r="F50" s="37"/>
    </row>
    <row r="51" ht="16" customHeight="1" spans="1:6" x14ac:dyDescent="0.25">
      <c r="A51" s="47" t="s">
        <v>2264</v>
      </c>
      <c r="B51" s="48"/>
      <c r="C51" s="49">
        <f>C35+C40+C49</f>
        <v>19200305499</v>
      </c>
      <c r="D51" s="49">
        <f>D35+D40+D49</f>
        <v>25726226037</v>
      </c>
      <c r="E51" s="49">
        <f>E35+E40+E49</f>
        <v>29972668851</v>
      </c>
      <c r="F51" s="49">
        <f>F35+F40+F49</f>
        <v>33636118734</v>
      </c>
    </row>
    <row r="52" spans="3:6" x14ac:dyDescent="0.25">
      <c r="C52" s="26"/>
      <c r="D52" s="26"/>
      <c r="E52" s="26"/>
      <c r="F52" s="50">
        <f>F27-F51</f>
        <v>-1</v>
      </c>
    </row>
    <row r="53" spans="3:6" x14ac:dyDescent="0.25">
      <c r="C53" s="26"/>
      <c r="D53" s="26"/>
      <c r="E53" s="26"/>
      <c r="F53" s="26"/>
    </row>
    <row r="54" spans="3:6" x14ac:dyDescent="0.25">
      <c r="C54" s="26"/>
      <c r="D54" s="26"/>
      <c r="E54" s="26"/>
      <c r="F54" s="26"/>
    </row>
    <row r="55" spans="3:6" x14ac:dyDescent="0.25">
      <c r="C55" s="26"/>
      <c r="D55" s="26"/>
      <c r="E55" s="26"/>
      <c r="F55" s="31"/>
    </row>
    <row r="56" spans="3:6" x14ac:dyDescent="0.25">
      <c r="C56" s="26"/>
      <c r="D56" s="26"/>
      <c r="E56" s="26"/>
      <c r="F56" s="26"/>
    </row>
    <row r="57" spans="3:6" x14ac:dyDescent="0.25">
      <c r="C57" s="26"/>
      <c r="D57" s="26"/>
      <c r="E57" s="26"/>
      <c r="F57" s="26"/>
    </row>
    <row r="58" spans="3:6" x14ac:dyDescent="0.25">
      <c r="C58" s="26"/>
      <c r="D58" s="26"/>
      <c r="E58" s="26"/>
      <c r="F58" s="26"/>
    </row>
    <row r="59" spans="3:6" x14ac:dyDescent="0.25">
      <c r="C59" s="26"/>
      <c r="D59" s="26"/>
      <c r="E59" s="26"/>
      <c r="F59" s="26"/>
    </row>
    <row r="60" spans="3:6" x14ac:dyDescent="0.25">
      <c r="C60" s="26"/>
      <c r="D60" s="26"/>
      <c r="E60" s="26"/>
      <c r="F60" s="26"/>
    </row>
    <row r="61" spans="3:6" x14ac:dyDescent="0.25">
      <c r="C61" s="26"/>
      <c r="D61" s="26"/>
      <c r="E61" s="26"/>
      <c r="F61" s="26"/>
    </row>
    <row r="62" spans="3:6" x14ac:dyDescent="0.25">
      <c r="C62" s="26"/>
      <c r="D62" s="26"/>
      <c r="E62" s="26"/>
      <c r="F62" s="26"/>
    </row>
    <row r="63" spans="3:6" x14ac:dyDescent="0.25">
      <c r="C63" s="26"/>
      <c r="D63" s="26"/>
      <c r="E63" s="26"/>
      <c r="F63" s="26"/>
    </row>
    <row r="64" spans="3:6" x14ac:dyDescent="0.25">
      <c r="C64" s="26"/>
      <c r="D64" s="26"/>
      <c r="E64" s="26"/>
      <c r="F64" s="26"/>
    </row>
    <row r="65" spans="3:6" x14ac:dyDescent="0.25">
      <c r="C65" s="26"/>
      <c r="D65" s="26"/>
      <c r="E65" s="26"/>
      <c r="F65" s="26"/>
    </row>
    <row r="66" spans="3:6" x14ac:dyDescent="0.25">
      <c r="C66" s="26"/>
      <c r="D66" s="26"/>
      <c r="E66" s="26"/>
      <c r="F66" s="26"/>
    </row>
    <row r="67" spans="3:6" x14ac:dyDescent="0.25">
      <c r="C67" s="26"/>
      <c r="D67" s="26"/>
      <c r="E67" s="26"/>
      <c r="F67" s="26"/>
    </row>
    <row r="68" spans="3:6" x14ac:dyDescent="0.25">
      <c r="C68" s="26"/>
      <c r="D68" s="26"/>
      <c r="E68" s="26"/>
      <c r="F68" s="26"/>
    </row>
    <row r="69" spans="3:6" x14ac:dyDescent="0.25">
      <c r="C69" s="26"/>
      <c r="D69" s="26"/>
      <c r="E69" s="26"/>
      <c r="F69" s="26"/>
    </row>
    <row r="110" spans="2:6" x14ac:dyDescent="0.25">
      <c r="B110" t="s">
        <v>2265</v>
      </c>
      <c r="F110">
        <v>21000000</v>
      </c>
    </row>
    <row r="1000" spans="2:6" x14ac:dyDescent="0.25">
      <c r="B1000" t="s">
        <v>2266</v>
      </c>
      <c r="F1000">
        <v>337031731</v>
      </c>
    </row>
    <row r="1001" spans="2:6" x14ac:dyDescent="0.25">
      <c r="B1001" t="s">
        <v>2267</v>
      </c>
      <c r="F1001">
        <v>191055111</v>
      </c>
    </row>
    <row r="1002" spans="2:6" x14ac:dyDescent="0.25">
      <c r="B1002" t="s">
        <v>2268</v>
      </c>
      <c r="F1002">
        <v>635077549</v>
      </c>
    </row>
    <row r="1003" spans="2:6" x14ac:dyDescent="0.25">
      <c r="B1003" t="s">
        <v>2269</v>
      </c>
      <c r="F1003">
        <v>1823364600</v>
      </c>
    </row>
    <row r="1004" spans="2:6" x14ac:dyDescent="0.25">
      <c r="B1004" t="s">
        <v>2270</v>
      </c>
      <c r="F1004">
        <v>1075354928</v>
      </c>
    </row>
    <row r="1005" spans="2:6" x14ac:dyDescent="0.25">
      <c r="B1005" t="s">
        <v>2271</v>
      </c>
      <c r="F1005">
        <v>263030563</v>
      </c>
    </row>
    <row r="1006" spans="2:6" x14ac:dyDescent="0.25">
      <c r="B1006" t="s">
        <v>2272</v>
      </c>
      <c r="F1006">
        <v>11451679</v>
      </c>
    </row>
    <row r="1007" spans="2:6" x14ac:dyDescent="0.25">
      <c r="B1007" t="s">
        <v>2273</v>
      </c>
      <c r="F1007">
        <v>81022</v>
      </c>
    </row>
    <row r="1008" spans="2:6" x14ac:dyDescent="0.25">
      <c r="B1008" t="s">
        <v>2274</v>
      </c>
      <c r="F1008">
        <v>102761900</v>
      </c>
    </row>
    <row r="1009" spans="2:6" x14ac:dyDescent="0.25">
      <c r="B1009" t="s">
        <v>2275</v>
      </c>
      <c r="F1009">
        <v>301193090</v>
      </c>
    </row>
    <row r="1010" spans="2:6" x14ac:dyDescent="0.25">
      <c r="B1010" t="s">
        <v>2276</v>
      </c>
      <c r="F1010">
        <v>5289183925</v>
      </c>
    </row>
    <row r="1011" spans="2:6" x14ac:dyDescent="0.25">
      <c r="B1011" t="s">
        <v>2277</v>
      </c>
      <c r="F1011">
        <v>3909531302</v>
      </c>
    </row>
    <row r="1012" spans="2:6" x14ac:dyDescent="0.25">
      <c r="B1012" t="s">
        <v>2278</v>
      </c>
      <c r="F1012">
        <v>2590960070</v>
      </c>
    </row>
    <row r="1013" spans="2:6" x14ac:dyDescent="0.25">
      <c r="B1013" t="s">
        <v>2279</v>
      </c>
      <c r="F1013">
        <v>-2500000000</v>
      </c>
    </row>
  </sheetData>
  <mergeCells count="1">
    <mergeCell ref="H2:K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howGridLines="0" zoomScale="100" zoomScaleNormal="100">
      <selection activeCell="A12" sqref="A12"/>
    </sheetView>
  </sheetViews>
  <sheetFormatPr defaultRowHeight="15" outlineLevelRow="0" outlineLevelCol="0" x14ac:dyDescent="0.2" defaultColWidth="8.83203125"/>
  <cols>
    <col min="1" max="1" width="43.83203125" customWidth="1"/>
    <col min="2" max="2" width="30.5" customWidth="1"/>
    <col min="3" max="3" width="33.5" customWidth="1"/>
    <col min="4" max="4" width="31" customWidth="1"/>
    <col min="5" max="5" width="32" customWidth="1"/>
  </cols>
  <sheetData>
    <row r="1" ht="26" customHeight="1" spans="1:5" x14ac:dyDescent="0.25">
      <c r="A1" s="1" t="s">
        <v>0</v>
      </c>
      <c r="B1" s="1"/>
      <c r="C1" s="1"/>
      <c r="D1" s="1"/>
      <c r="E1" s="1"/>
    </row>
    <row r="2" spans="1:5" x14ac:dyDescent="0.25">
      <c r="A2" s="2"/>
      <c r="B2" s="2"/>
      <c r="C2" s="2"/>
      <c r="D2" s="2"/>
      <c r="E2" s="2"/>
    </row>
    <row r="4" spans="1:4" x14ac:dyDescent="0.25">
      <c r="A4" s="3" t="s">
        <v>1</v>
      </c>
      <c r="B4" s="4" t="s">
        <v>2</v>
      </c>
      <c r="C4" s="5" t="s">
        <v>3</v>
      </c>
      <c r="D4" s="4" t="s">
        <v>4</v>
      </c>
    </row>
    <row r="5" spans="1:2" x14ac:dyDescent="0.25">
      <c r="A5" s="6" t="s">
        <v>5</v>
      </c>
      <c r="B5" s="7" t="s">
        <v>6</v>
      </c>
    </row>
    <row r="6" spans="1:2" x14ac:dyDescent="0.25">
      <c r="A6" s="6" t="s">
        <v>7</v>
      </c>
      <c r="B6" s="8">
        <v>5280000000</v>
      </c>
    </row>
    <row r="7" spans="1:2" x14ac:dyDescent="0.25">
      <c r="A7" s="6" t="s">
        <v>8</v>
      </c>
      <c r="B7" s="8">
        <v>1610000000</v>
      </c>
    </row>
    <row r="8" spans="1:2" x14ac:dyDescent="0.25">
      <c r="A8" s="6" t="s">
        <v>9</v>
      </c>
      <c r="B8" s="9">
        <f>IF(B7/B6&gt;100%,"Data Tidak Valid",IF(B7/B6&lt;=0,"Data Tidak Valid",B7/B6))</f>
        <v>0.3</v>
      </c>
    </row>
    <row r="9" spans="1:2" x14ac:dyDescent="0.25">
      <c r="A9" s="6" t="s">
        <v>10</v>
      </c>
      <c r="B9" s="10">
        <v>2022</v>
      </c>
    </row>
    <row r="10" spans="1:3" x14ac:dyDescent="0.25">
      <c r="A10" s="6" t="s">
        <v>11</v>
      </c>
      <c r="B10" s="11">
        <f>DATE(B9-1, 12, 31)</f>
        <v>44561</v>
      </c>
      <c r="C10" s="12"/>
    </row>
    <row r="11" spans="1:3" x14ac:dyDescent="0.25">
      <c r="A11" s="6" t="s">
        <v>12</v>
      </c>
      <c r="B11" s="11">
        <f>DATE(B9, 12, 31)</f>
        <v>44926</v>
      </c>
      <c r="C11" s="12"/>
    </row>
    <row r="12" spans="1:2" x14ac:dyDescent="0.25">
      <c r="A12" s="6" t="s">
        <v>13</v>
      </c>
      <c r="B12" s="13" t="s">
        <v>14</v>
      </c>
    </row>
    <row r="13" spans="1:2" x14ac:dyDescent="0.25">
      <c r="A13" s="6"/>
      <c r="B13" s="3"/>
    </row>
    <row r="14" spans="1:2" x14ac:dyDescent="0.25">
      <c r="A14" s="3"/>
      <c r="B14" s="14"/>
    </row>
    <row r="15" spans="1:2" x14ac:dyDescent="0.25">
      <c r="A15" s="3" t="s">
        <v>15</v>
      </c>
      <c r="B15" s="15">
        <f>DLOM!F34</f>
        <v>0.4</v>
      </c>
    </row>
    <row r="16" spans="1:2" x14ac:dyDescent="0.25">
      <c r="A16" s="3" t="s">
        <v>16</v>
      </c>
      <c r="B16" s="15">
        <f>'DLOC(PFC)'!E24</f>
        <v>0.5399999999999999</v>
      </c>
    </row>
    <row r="17" ht="16" customHeight="1" x14ac:dyDescent="0.25"/>
    <row r="18" ht="16" customHeight="1" spans="1:5" x14ac:dyDescent="0.25">
      <c r="A18" s="16" t="s">
        <v>17</v>
      </c>
      <c r="B18" s="16" t="s">
        <v>18</v>
      </c>
      <c r="C18" s="16" t="s">
        <v>19</v>
      </c>
      <c r="D18" s="16" t="s">
        <v>20</v>
      </c>
      <c r="E18" s="16" t="s">
        <v>21</v>
      </c>
    </row>
    <row r="19" spans="1:5" x14ac:dyDescent="0.25">
      <c r="A19" s="17"/>
      <c r="B19" s="17"/>
      <c r="C19" s="17"/>
      <c r="D19" s="17"/>
      <c r="E19" s="17"/>
    </row>
    <row r="20" spans="1:5" x14ac:dyDescent="0.25">
      <c r="A20" s="17"/>
      <c r="B20" s="17"/>
      <c r="C20" s="17"/>
      <c r="D20" s="17"/>
      <c r="E20" s="17"/>
    </row>
    <row r="21" spans="1:5" x14ac:dyDescent="0.25">
      <c r="A21" s="17"/>
      <c r="B21" s="17"/>
      <c r="C21" s="17"/>
      <c r="D21" s="17"/>
      <c r="E21" s="17"/>
    </row>
    <row r="22" spans="1:5" x14ac:dyDescent="0.25">
      <c r="A22" s="17"/>
      <c r="B22" s="17"/>
      <c r="C22" s="17"/>
      <c r="D22" s="17"/>
      <c r="E22" s="17"/>
    </row>
    <row r="23" spans="1:5" x14ac:dyDescent="0.25">
      <c r="A23" s="17"/>
      <c r="B23" s="17"/>
      <c r="C23" s="17"/>
      <c r="D23" s="17"/>
      <c r="E23" s="17"/>
    </row>
    <row r="24" spans="1:5" x14ac:dyDescent="0.25">
      <c r="A24" s="17"/>
      <c r="B24" s="17"/>
      <c r="C24" s="17"/>
      <c r="D24" s="17"/>
      <c r="E24" s="17"/>
    </row>
    <row r="25" spans="1:5" x14ac:dyDescent="0.25">
      <c r="A25" s="17"/>
      <c r="B25" s="17"/>
      <c r="C25" s="17"/>
      <c r="D25" s="17"/>
      <c r="E25" s="17"/>
    </row>
    <row r="26" spans="1:5" x14ac:dyDescent="0.25">
      <c r="A26" s="17"/>
      <c r="B26" s="17"/>
      <c r="C26" s="17"/>
      <c r="D26" s="17"/>
      <c r="E26" s="17"/>
    </row>
    <row r="27" spans="1:5" x14ac:dyDescent="0.25">
      <c r="A27" s="17"/>
      <c r="B27" s="17"/>
      <c r="C27" s="17"/>
      <c r="D27" s="17"/>
      <c r="E27" s="17"/>
    </row>
    <row r="28" spans="1:5" x14ac:dyDescent="0.25">
      <c r="A28" s="17"/>
      <c r="B28" s="17"/>
      <c r="C28" s="17"/>
      <c r="D28" s="17"/>
      <c r="E28" s="17"/>
    </row>
    <row r="29" spans="1:5" x14ac:dyDescent="0.25">
      <c r="A29" s="17"/>
      <c r="B29" s="17"/>
      <c r="C29" s="17"/>
      <c r="D29" s="17"/>
      <c r="E29" s="17"/>
    </row>
    <row r="30" spans="1:5" x14ac:dyDescent="0.25">
      <c r="A30" s="17"/>
      <c r="B30" s="17"/>
      <c r="C30" s="17"/>
      <c r="D30" s="17"/>
      <c r="E30" s="17"/>
    </row>
    <row r="31" spans="1:5" x14ac:dyDescent="0.25">
      <c r="A31" s="17"/>
      <c r="B31" s="17"/>
      <c r="C31" s="17"/>
      <c r="D31" s="17"/>
      <c r="E31" s="17"/>
    </row>
    <row r="32" spans="1:5" x14ac:dyDescent="0.25">
      <c r="A32" s="17"/>
      <c r="B32" s="17"/>
      <c r="C32" s="17"/>
      <c r="D32" s="17"/>
      <c r="E32" s="17"/>
    </row>
    <row r="33" ht="16" customHeight="1" spans="1:5" x14ac:dyDescent="0.25">
      <c r="A33" s="18"/>
      <c r="B33" s="18"/>
      <c r="C33" s="18"/>
      <c r="D33" s="18"/>
      <c r="E33" s="18"/>
    </row>
  </sheetData>
  <mergeCells count="2">
    <mergeCell ref="A1:E1"/>
    <mergeCell ref="A2:E2"/>
  </mergeCells>
  <dataValidations count="2">
    <dataValidation type="list" allowBlank="1" showInputMessage="1" showErrorMessage="1" sqref="B12">
      <formula1>"bisnis,saham"</formula1>
    </dataValidation>
    <dataValidation type="list" allowBlank="1" showErrorMessage="1" sqref="B5">
      <formula1>"terbuka (Tbk),tertutup"</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350"/>
  <sheetViews>
    <sheetView workbookViewId="0" showGridLines="0" zoomScale="100" zoomScaleNormal="100">
      <selection activeCell="F72" sqref="F72"/>
    </sheetView>
  </sheetViews>
  <sheetFormatPr defaultRowHeight="15" outlineLevelRow="0" outlineLevelCol="0" x14ac:dyDescent="0.2" defaultColWidth="8.83203125"/>
  <cols>
    <col min="1" max="1" width="12.5" customWidth="1"/>
    <col min="2" max="2" width="32" customWidth="1"/>
    <col min="3" max="5" width="16.33203125" customWidth="1"/>
    <col min="6" max="6" width="13.6640625" customWidth="1"/>
    <col min="7" max="7" width="16.33203125" customWidth="1"/>
    <col min="8" max="8" width="19.6640625" customWidth="1"/>
    <col min="9" max="9" width="16.33203125" customWidth="1"/>
  </cols>
  <sheetData>
    <row r="1" spans="1:1" x14ac:dyDescent="0.25">
      <c r="A1" t="str">
        <f>'INCOME STATEMENT'!A1</f>
        <v>PT RAJA VOLTAMA ELEKTRIK</v>
      </c>
    </row>
    <row r="2" spans="1:1" x14ac:dyDescent="0.25">
      <c r="A2" t="s">
        <v>2350</v>
      </c>
    </row>
    <row r="3" spans="1:1" x14ac:dyDescent="0.25">
      <c r="A3" t="s">
        <v>2227</v>
      </c>
    </row>
    <row r="5" spans="1:5" x14ac:dyDescent="0.25">
      <c r="A5" s="24"/>
      <c r="B5" s="24"/>
      <c r="C5" s="24">
        <f>'BALANCE SHEET'!D4</f>
        <v>2019</v>
      </c>
      <c r="D5" s="24">
        <f>C5+1</f>
        <v>2020</v>
      </c>
      <c r="E5" s="24">
        <f>D5+1</f>
        <v>2021</v>
      </c>
    </row>
    <row r="6" spans="1:5" x14ac:dyDescent="0.25">
      <c r="A6" s="4" t="s">
        <v>2351</v>
      </c>
      <c r="C6" s="26"/>
      <c r="D6" s="26"/>
      <c r="E6" s="26"/>
    </row>
    <row r="7" spans="1:5" x14ac:dyDescent="0.25">
      <c r="A7" s="4" t="s">
        <v>2242</v>
      </c>
      <c r="C7" s="26"/>
      <c r="D7" s="26"/>
      <c r="E7" s="26"/>
    </row>
    <row r="8" spans="2:8" x14ac:dyDescent="0.25">
      <c r="B8" t="s">
        <v>2352</v>
      </c>
      <c r="C8" s="26"/>
      <c r="D8" s="36"/>
      <c r="E8" s="36"/>
      <c r="G8" s="71"/>
      <c r="H8" t="s">
        <v>2353</v>
      </c>
    </row>
    <row r="9" spans="2:5" x14ac:dyDescent="0.25">
      <c r="B9" t="s">
        <v>2354</v>
      </c>
      <c r="C9" s="26"/>
      <c r="D9" s="36"/>
      <c r="E9" s="36"/>
    </row>
    <row r="10" spans="2:5" x14ac:dyDescent="0.25">
      <c r="B10" t="s">
        <v>2355</v>
      </c>
      <c r="C10" s="26"/>
      <c r="D10" s="36"/>
      <c r="E10" s="36"/>
    </row>
    <row r="11" spans="2:6" x14ac:dyDescent="0.25">
      <c r="B11" t="s">
        <v>2356</v>
      </c>
      <c r="C11" s="26"/>
      <c r="D11" s="36"/>
      <c r="E11" s="36"/>
      <c r="F11" s="26"/>
    </row>
    <row r="12" spans="2:6" x14ac:dyDescent="0.25">
      <c r="B12" t="s">
        <v>2357</v>
      </c>
      <c r="C12" s="26"/>
      <c r="D12" s="36"/>
      <c r="E12" s="36"/>
      <c r="F12" s="26"/>
    </row>
    <row r="13" spans="1:5" x14ac:dyDescent="0.25">
      <c r="A13" s="34"/>
      <c r="B13" s="34" t="s">
        <v>2358</v>
      </c>
      <c r="C13" s="35"/>
      <c r="D13" s="72"/>
      <c r="E13" s="72"/>
    </row>
    <row r="14" spans="1:5" x14ac:dyDescent="0.25">
      <c r="A14" s="4" t="s">
        <v>2359</v>
      </c>
      <c r="C14" s="73">
        <f>SUM(C8:C13)+SUM(C100:C139)</f>
      </c>
      <c r="D14" s="73">
        <f>SUM(D8:D13)+SUM(D100:D139)</f>
      </c>
      <c r="E14" s="73">
        <f>SUM(E8:E13)+SUM(E100:E139)</f>
      </c>
    </row>
    <row r="15" spans="3:5" x14ac:dyDescent="0.25">
      <c r="C15" s="26"/>
      <c r="D15" s="26"/>
      <c r="E15" s="26"/>
    </row>
    <row r="16" spans="1:9" x14ac:dyDescent="0.25">
      <c r="A16" s="4" t="s">
        <v>2360</v>
      </c>
      <c r="C16" s="26"/>
      <c r="D16" s="26"/>
      <c r="E16" s="26"/>
      <c r="G16" s="24">
        <f>$D$5</f>
        <v>2020</v>
      </c>
      <c r="H16" s="24">
        <f>$E$5</f>
        <v>2021</v>
      </c>
      <c r="I16" s="24" t="s">
        <v>2361</v>
      </c>
    </row>
    <row r="17" spans="2:9" x14ac:dyDescent="0.25">
      <c r="B17" t="s">
        <v>2352</v>
      </c>
      <c r="C17" s="26"/>
      <c r="D17" s="26"/>
      <c r="E17" s="26"/>
      <c r="G17" s="31">
        <f t="shared" ref="G17:H22" si="0">IFERROR((D17-C17)/C17,0)</f>
        <v>0</v>
      </c>
      <c r="H17" s="31">
        <f t="shared" si="0"/>
        <v>0</v>
      </c>
      <c r="I17" s="74">
        <f t="shared" ref="I17:I22" si="1">AVERAGE(G17:H17)</f>
        <v>0</v>
      </c>
    </row>
    <row r="18" spans="2:9" x14ac:dyDescent="0.25">
      <c r="B18" t="s">
        <v>2362</v>
      </c>
      <c r="C18" s="26"/>
      <c r="D18" s="26"/>
      <c r="E18" s="26"/>
      <c r="G18" s="31">
        <f t="shared" si="0"/>
        <v>0</v>
      </c>
      <c r="H18" s="31">
        <f t="shared" si="0"/>
        <v>0</v>
      </c>
      <c r="I18" s="74">
        <f t="shared" si="1"/>
        <v>0</v>
      </c>
    </row>
    <row r="19" spans="2:9" x14ac:dyDescent="0.25">
      <c r="B19" t="s">
        <v>2355</v>
      </c>
      <c r="C19" s="26"/>
      <c r="D19" s="26"/>
      <c r="E19" s="26"/>
      <c r="G19" s="31">
        <f t="shared" si="0"/>
        <v>0</v>
      </c>
      <c r="H19" s="31">
        <f t="shared" si="0"/>
        <v>0</v>
      </c>
      <c r="I19" s="74">
        <f t="shared" si="1"/>
        <v>0</v>
      </c>
    </row>
    <row r="20" spans="2:9" x14ac:dyDescent="0.25">
      <c r="B20" t="s">
        <v>2356</v>
      </c>
      <c r="C20" s="26"/>
      <c r="D20" s="26"/>
      <c r="E20" s="26"/>
      <c r="G20" s="31">
        <f t="shared" si="0"/>
        <v>0</v>
      </c>
      <c r="H20" s="31">
        <f t="shared" si="0"/>
        <v>0</v>
      </c>
      <c r="I20" s="74">
        <f t="shared" si="1"/>
        <v>0</v>
      </c>
    </row>
    <row r="21" spans="2:9" x14ac:dyDescent="0.25">
      <c r="B21" t="s">
        <v>2357</v>
      </c>
      <c r="C21" s="26"/>
      <c r="D21" s="26"/>
      <c r="E21" s="26"/>
      <c r="F21" s="26"/>
      <c r="G21" s="31">
        <f t="shared" si="0"/>
        <v>0</v>
      </c>
      <c r="H21" s="31">
        <f t="shared" si="0"/>
        <v>5.90695042955673</v>
      </c>
      <c r="I21" s="74">
        <f t="shared" si="1"/>
        <v>2.953475214778365</v>
      </c>
    </row>
    <row r="22" spans="1:9" x14ac:dyDescent="0.25">
      <c r="A22" s="34"/>
      <c r="B22" s="34" t="s">
        <v>2358</v>
      </c>
      <c r="C22" s="35"/>
      <c r="D22" s="35"/>
      <c r="E22" s="35"/>
      <c r="G22" s="31">
        <f t="shared" si="0"/>
        <v>0</v>
      </c>
      <c r="H22" s="31">
        <f t="shared" si="0"/>
        <v>0</v>
      </c>
      <c r="I22" s="74">
        <f t="shared" si="1"/>
        <v>0</v>
      </c>
    </row>
    <row r="23" spans="1:5" x14ac:dyDescent="0.25">
      <c r="A23" s="4" t="s">
        <v>2359</v>
      </c>
      <c r="C23" s="75">
        <f>SUM(C17:C22)+SUM(C140:C179)</f>
      </c>
      <c r="D23" s="75">
        <f>SUM(D17:D22)+SUM(D140:D179)</f>
      </c>
      <c r="E23" s="75">
        <f>SUM(E17:E22)+SUM(E140:E179)</f>
      </c>
    </row>
    <row r="24" spans="3:5" x14ac:dyDescent="0.25">
      <c r="C24" s="26"/>
      <c r="D24" s="26"/>
      <c r="E24" s="26"/>
    </row>
    <row r="25" spans="1:5" x14ac:dyDescent="0.25">
      <c r="A25" s="4" t="s">
        <v>2363</v>
      </c>
      <c r="C25" s="26"/>
      <c r="D25" s="26"/>
      <c r="E25" s="26"/>
    </row>
    <row r="26" spans="2:5" x14ac:dyDescent="0.25">
      <c r="B26" t="s">
        <v>2352</v>
      </c>
      <c r="C26" s="36">
        <f t="shared" ref="C26:E31" si="2">+C8+C17</f>
        <v>0</v>
      </c>
      <c r="D26" s="36">
        <f t="shared" si="2"/>
        <v>0</v>
      </c>
      <c r="E26" s="36">
        <f t="shared" si="2"/>
        <v>0</v>
      </c>
    </row>
    <row r="27" spans="2:5" x14ac:dyDescent="0.25">
      <c r="B27" t="s">
        <v>2354</v>
      </c>
      <c r="C27" s="36">
        <f t="shared" si="2"/>
        <v>4947437500</v>
      </c>
      <c r="D27" s="36">
        <f t="shared" si="2"/>
        <v>4947437500</v>
      </c>
      <c r="E27" s="36">
        <f t="shared" si="2"/>
        <v>4947437500</v>
      </c>
    </row>
    <row r="28" spans="2:5" x14ac:dyDescent="0.25">
      <c r="B28" t="s">
        <v>2355</v>
      </c>
      <c r="C28" s="36">
        <f t="shared" si="2"/>
        <v>0</v>
      </c>
      <c r="D28" s="36">
        <f t="shared" si="2"/>
        <v>0</v>
      </c>
      <c r="E28" s="36">
        <f t="shared" si="2"/>
        <v>0</v>
      </c>
    </row>
    <row r="29" spans="2:5" x14ac:dyDescent="0.25">
      <c r="B29" t="s">
        <v>2356</v>
      </c>
      <c r="C29" s="36">
        <f t="shared" si="2"/>
        <v>1490000000</v>
      </c>
      <c r="D29" s="36">
        <f t="shared" si="2"/>
        <v>1490000000</v>
      </c>
      <c r="E29" s="36">
        <f t="shared" si="2"/>
        <v>1559800000</v>
      </c>
    </row>
    <row r="30" spans="2:5" x14ac:dyDescent="0.25">
      <c r="B30" t="s">
        <v>2357</v>
      </c>
      <c r="C30" s="36">
        <f t="shared" si="2"/>
        <v>90342000</v>
      </c>
      <c r="D30" s="36">
        <f t="shared" si="2"/>
        <v>139928000</v>
      </c>
      <c r="E30" s="36">
        <f t="shared" si="2"/>
        <v>482416044</v>
      </c>
    </row>
    <row r="31" spans="1:5" x14ac:dyDescent="0.25">
      <c r="A31" s="34"/>
      <c r="B31" s="34" t="s">
        <v>2358</v>
      </c>
      <c r="C31" s="72">
        <f t="shared" si="2"/>
        <v>0</v>
      </c>
      <c r="D31" s="72">
        <f>+D13+D22</f>
        <v>0</v>
      </c>
      <c r="E31" s="72">
        <f>+E13+E22</f>
        <v>0</v>
      </c>
    </row>
    <row r="32" spans="1:5" x14ac:dyDescent="0.25">
      <c r="A32" s="4" t="s">
        <v>2359</v>
      </c>
      <c r="C32" s="73">
        <f>+C14+C23+SUM(C180:C219)</f>
      </c>
      <c r="D32" s="73">
        <f>+D14+D23+SUM(D180:D219)</f>
      </c>
      <c r="E32" s="73">
        <f>+E14+E23+SUM(E180:E219)</f>
      </c>
    </row>
    <row r="33" spans="3:5" x14ac:dyDescent="0.25">
      <c r="C33" s="26"/>
      <c r="D33" s="26"/>
      <c r="E33" s="26"/>
    </row>
    <row r="34" spans="1:1" x14ac:dyDescent="0.25">
      <c r="A34" s="4" t="s">
        <v>2364</v>
      </c>
    </row>
    <row r="35" spans="1:5" x14ac:dyDescent="0.25">
      <c r="A35" s="4" t="s">
        <v>2242</v>
      </c>
      <c r="C35" s="26"/>
      <c r="D35" s="26"/>
      <c r="E35" s="26"/>
    </row>
    <row r="36" spans="2:5" x14ac:dyDescent="0.25">
      <c r="B36" t="s">
        <v>2352</v>
      </c>
      <c r="C36" s="26"/>
      <c r="D36" s="36"/>
      <c r="E36" s="36"/>
    </row>
    <row r="37" spans="2:5" x14ac:dyDescent="0.25">
      <c r="B37" t="s">
        <v>2354</v>
      </c>
      <c r="C37" s="26"/>
      <c r="D37" s="36"/>
      <c r="E37" s="36"/>
    </row>
    <row r="38" spans="2:5" x14ac:dyDescent="0.25">
      <c r="B38" t="s">
        <v>2355</v>
      </c>
      <c r="C38" s="26"/>
      <c r="D38" s="36"/>
      <c r="E38" s="36"/>
    </row>
    <row r="39" spans="2:5" x14ac:dyDescent="0.25">
      <c r="B39" t="s">
        <v>2356</v>
      </c>
      <c r="C39" s="26"/>
      <c r="D39" s="36"/>
      <c r="E39" s="36"/>
    </row>
    <row r="40" spans="2:5" x14ac:dyDescent="0.25">
      <c r="B40" t="s">
        <v>2357</v>
      </c>
      <c r="C40" s="26"/>
      <c r="D40" s="36"/>
      <c r="E40" s="36"/>
    </row>
    <row r="41" spans="1:5" x14ac:dyDescent="0.25">
      <c r="A41" s="34"/>
      <c r="B41" s="34" t="s">
        <v>2358</v>
      </c>
      <c r="C41" s="35"/>
      <c r="D41" s="72"/>
      <c r="E41" s="72"/>
    </row>
    <row r="42" spans="1:5" x14ac:dyDescent="0.25">
      <c r="A42" s="4" t="s">
        <v>2359</v>
      </c>
      <c r="C42" s="73">
        <f>SUM(C36:C41)+SUM(C220:C259)</f>
      </c>
      <c r="D42" s="73">
        <f>SUM(D36:D41)+SUM(D220:D259)</f>
      </c>
      <c r="E42" s="73">
        <f>SUM(E36:E41)+SUM(E220:E259)</f>
      </c>
    </row>
    <row r="43" spans="3:5" x14ac:dyDescent="0.25">
      <c r="C43" s="26"/>
      <c r="D43" s="26"/>
      <c r="E43" s="26"/>
    </row>
    <row r="44" spans="1:9" x14ac:dyDescent="0.25">
      <c r="A44" s="4" t="s">
        <v>2360</v>
      </c>
      <c r="C44" s="26"/>
      <c r="D44" s="26"/>
      <c r="E44" s="26"/>
      <c r="G44" s="24">
        <f>$D$5</f>
        <v>2020</v>
      </c>
      <c r="H44" s="24">
        <f>$E$5</f>
        <v>2021</v>
      </c>
      <c r="I44" s="24" t="s">
        <v>2361</v>
      </c>
    </row>
    <row r="45" spans="2:9" x14ac:dyDescent="0.25">
      <c r="B45" t="s">
        <v>2352</v>
      </c>
      <c r="C45" s="26"/>
      <c r="D45" s="26"/>
      <c r="E45" s="26"/>
      <c r="F45" s="26"/>
      <c r="G45" s="31">
        <f t="shared" ref="G45:H50" si="3">IFERROR((D45-C45)/C45,0)</f>
        <v>0</v>
      </c>
      <c r="H45" s="31">
        <f t="shared" si="3"/>
        <v>0</v>
      </c>
      <c r="I45" s="74">
        <f t="shared" ref="I45:I50" si="4">AVERAGE(G45:H45)</f>
        <v>0</v>
      </c>
    </row>
    <row r="46" spans="2:10" x14ac:dyDescent="0.25">
      <c r="B46" t="s">
        <v>2354</v>
      </c>
      <c r="C46" s="26"/>
      <c r="D46" s="26"/>
      <c r="E46" s="26"/>
      <c r="F46" s="26"/>
      <c r="G46" s="31">
        <f t="shared" si="3"/>
        <v>0</v>
      </c>
      <c r="H46" s="31">
        <f t="shared" si="3"/>
        <v>0</v>
      </c>
      <c r="I46" s="74">
        <f t="shared" si="4"/>
        <v>0</v>
      </c>
      <c r="J46" s="26"/>
    </row>
    <row r="47" spans="2:9" x14ac:dyDescent="0.25">
      <c r="B47" t="s">
        <v>2355</v>
      </c>
      <c r="C47" s="26"/>
      <c r="D47" s="26"/>
      <c r="E47" s="26"/>
      <c r="G47" s="31">
        <f t="shared" si="3"/>
        <v>0</v>
      </c>
      <c r="H47" s="31">
        <f t="shared" si="3"/>
        <v>0</v>
      </c>
      <c r="I47" s="74">
        <f t="shared" si="4"/>
        <v>0</v>
      </c>
    </row>
    <row r="48" spans="2:9" x14ac:dyDescent="0.25">
      <c r="B48" t="s">
        <v>2356</v>
      </c>
      <c r="C48" s="26"/>
      <c r="D48" s="26"/>
      <c r="E48" s="26"/>
      <c r="F48" s="26"/>
      <c r="G48" s="31">
        <f t="shared" si="3"/>
        <v>-0.12871843487251106</v>
      </c>
      <c r="H48" s="31">
        <f t="shared" si="3"/>
        <v>-0.3396808790199028</v>
      </c>
      <c r="I48" s="74">
        <f t="shared" si="4"/>
        <v>-0.23419965694620692</v>
      </c>
    </row>
    <row r="49" spans="2:9" x14ac:dyDescent="0.25">
      <c r="B49" t="s">
        <v>2357</v>
      </c>
      <c r="C49" s="26"/>
      <c r="D49" s="26"/>
      <c r="E49" s="26"/>
      <c r="F49" s="26"/>
      <c r="G49" s="31">
        <f t="shared" si="3"/>
        <v>1.1532923538347986</v>
      </c>
      <c r="H49" s="31">
        <f t="shared" si="3"/>
        <v>2.8906848320467096</v>
      </c>
      <c r="I49" s="74">
        <f t="shared" si="4"/>
        <v>2.021988592940754</v>
      </c>
    </row>
    <row r="50" spans="1:9" x14ac:dyDescent="0.25">
      <c r="A50" s="34"/>
      <c r="B50" s="34" t="s">
        <v>2358</v>
      </c>
      <c r="C50" s="35"/>
      <c r="D50" s="35"/>
      <c r="E50" s="35"/>
      <c r="F50" s="64"/>
      <c r="G50" s="31">
        <f t="shared" si="3"/>
        <v>0</v>
      </c>
      <c r="H50" s="31">
        <f t="shared" si="3"/>
        <v>0</v>
      </c>
      <c r="I50" s="74">
        <f t="shared" si="4"/>
        <v>0</v>
      </c>
    </row>
    <row r="51" spans="1:5" x14ac:dyDescent="0.25">
      <c r="A51" s="4" t="s">
        <v>2359</v>
      </c>
      <c r="C51" s="76">
        <f>SUM(C45:C50)+SUM(C260:C299)</f>
      </c>
      <c r="D51" s="76">
        <f>SUM(D45:D50)+SUM(D260:D299)</f>
      </c>
      <c r="E51" s="76">
        <f>SUM(E45:E50)+SUM(E260:E299)</f>
      </c>
    </row>
    <row r="52" spans="3:10" x14ac:dyDescent="0.25">
      <c r="C52" s="26"/>
      <c r="D52" s="31">
        <f>(D51-C51)/C51</f>
        <v>-0.07207875661180516</v>
      </c>
      <c r="E52" s="31">
        <f>(E51-D51)/D51</f>
        <v>-0.008494344820965914</v>
      </c>
      <c r="F52" s="26"/>
      <c r="G52" s="26"/>
      <c r="H52" s="26"/>
      <c r="I52" s="26"/>
      <c r="J52" s="26"/>
    </row>
    <row r="53" spans="1:10" x14ac:dyDescent="0.25">
      <c r="A53" s="4" t="s">
        <v>2363</v>
      </c>
      <c r="C53" s="26"/>
      <c r="D53" s="26"/>
      <c r="E53" s="26"/>
      <c r="F53" s="31"/>
      <c r="G53" s="31"/>
      <c r="H53" s="31"/>
      <c r="I53" s="31"/>
      <c r="J53" s="31"/>
    </row>
    <row r="54" spans="2:5" x14ac:dyDescent="0.25">
      <c r="B54" t="s">
        <v>2352</v>
      </c>
      <c r="C54" s="36">
        <f t="shared" ref="C54:E59" si="5">+C36+C45</f>
        <v>0</v>
      </c>
      <c r="D54" s="36">
        <f t="shared" si="5"/>
        <v>0</v>
      </c>
      <c r="E54" s="36">
        <f t="shared" si="5"/>
        <v>0</v>
      </c>
    </row>
    <row r="55" spans="2:5" x14ac:dyDescent="0.25">
      <c r="B55" t="s">
        <v>2354</v>
      </c>
      <c r="C55" s="36">
        <f t="shared" si="5"/>
        <v>0</v>
      </c>
      <c r="D55" s="36">
        <f t="shared" si="5"/>
        <v>0</v>
      </c>
      <c r="E55" s="36">
        <f t="shared" si="5"/>
        <v>0</v>
      </c>
    </row>
    <row r="56" spans="2:5" x14ac:dyDescent="0.25">
      <c r="B56" t="s">
        <v>2355</v>
      </c>
      <c r="C56" s="36">
        <f t="shared" si="5"/>
        <v>0</v>
      </c>
      <c r="D56" s="36">
        <f t="shared" si="5"/>
        <v>0</v>
      </c>
      <c r="E56" s="36">
        <f t="shared" si="5"/>
        <v>0</v>
      </c>
    </row>
    <row r="57" spans="2:5" x14ac:dyDescent="0.25">
      <c r="B57" t="s">
        <v>2356</v>
      </c>
      <c r="C57" s="36">
        <f t="shared" si="5"/>
        <v>346418457</v>
      </c>
      <c r="D57" s="36">
        <f t="shared" si="5"/>
        <v>491220093</v>
      </c>
      <c r="E57" s="36">
        <f t="shared" si="5"/>
        <v>586835382</v>
      </c>
    </row>
    <row r="58" spans="2:5" x14ac:dyDescent="0.25">
      <c r="B58" t="s">
        <v>2357</v>
      </c>
      <c r="C58" s="36">
        <f t="shared" si="5"/>
        <v>57579663</v>
      </c>
      <c r="D58" s="36">
        <f t="shared" si="5"/>
        <v>74121018</v>
      </c>
      <c r="E58" s="36">
        <f t="shared" si="5"/>
        <v>138478217</v>
      </c>
    </row>
    <row r="59" spans="1:5" x14ac:dyDescent="0.25">
      <c r="A59" s="34"/>
      <c r="B59" s="34" t="s">
        <v>2358</v>
      </c>
      <c r="C59" s="72">
        <f t="shared" si="5"/>
        <v>0</v>
      </c>
      <c r="D59" s="72">
        <f t="shared" si="5"/>
        <v>0</v>
      </c>
      <c r="E59" s="72">
        <f t="shared" si="5"/>
        <v>0</v>
      </c>
    </row>
    <row r="60" spans="1:5" x14ac:dyDescent="0.25">
      <c r="A60" s="4" t="s">
        <v>2359</v>
      </c>
      <c r="C60" s="73">
        <f>+C42+C51+SUM(C300:C339)</f>
      </c>
      <c r="D60" s="73">
        <f>+D42+D51+SUM(D300:D339)</f>
      </c>
      <c r="E60" s="73">
        <f>+E42+E51+SUM(E300:E339)</f>
      </c>
    </row>
    <row r="62" spans="1:1" x14ac:dyDescent="0.25">
      <c r="A62" s="4" t="s">
        <v>2365</v>
      </c>
    </row>
    <row r="63" spans="2:9" x14ac:dyDescent="0.25">
      <c r="B63" t="s">
        <v>2352</v>
      </c>
      <c r="C63" s="36">
        <f>+C26-C54</f>
        <v>0</v>
      </c>
      <c r="D63" s="36">
        <f>+D26-D54</f>
        <v>0</v>
      </c>
      <c r="E63" s="36">
        <f>+E26-E54</f>
        <v>0</v>
      </c>
      <c r="G63" s="50">
        <f>E63</f>
        <v>0</v>
      </c>
      <c r="H63" s="50">
        <f>G63</f>
        <v>0</v>
      </c>
      <c r="I63" s="77"/>
    </row>
    <row r="64" spans="2:9" x14ac:dyDescent="0.25">
      <c r="B64" t="s">
        <v>2354</v>
      </c>
      <c r="C64" s="36">
        <f>+C27-C55</f>
        <v>4947437500</v>
      </c>
      <c r="D64" s="36">
        <f t="shared" ref="D64:E68" si="6">+D27-D55</f>
        <v>4947437500</v>
      </c>
      <c r="E64" s="36">
        <f t="shared" si="6"/>
        <v>4947437500</v>
      </c>
      <c r="G64" s="50">
        <f>SUM(E64:E68)</f>
        <v>6264339945</v>
      </c>
      <c r="H64" s="50">
        <v>166342337027.92767</v>
      </c>
      <c r="I64" s="77"/>
    </row>
    <row r="65" spans="2:9" x14ac:dyDescent="0.25">
      <c r="B65" t="s">
        <v>2355</v>
      </c>
      <c r="C65" s="36">
        <f>+C28-C56</f>
        <v>0</v>
      </c>
      <c r="D65" s="36">
        <f t="shared" si="6"/>
        <v>0</v>
      </c>
      <c r="E65" s="36">
        <f t="shared" si="6"/>
        <v>0</v>
      </c>
      <c r="G65" s="77"/>
      <c r="H65" s="50">
        <v>143860102075.67972</v>
      </c>
      <c r="I65" s="77"/>
    </row>
    <row r="66" spans="2:9" x14ac:dyDescent="0.25">
      <c r="B66" t="s">
        <v>2356</v>
      </c>
      <c r="C66" s="36">
        <f>+C29-C57</f>
        <v>1143581543</v>
      </c>
      <c r="D66" s="36">
        <f t="shared" si="6"/>
        <v>998779907</v>
      </c>
      <c r="E66" s="36">
        <f t="shared" si="6"/>
        <v>972964618</v>
      </c>
      <c r="G66" s="77"/>
      <c r="H66" s="50">
        <f>SUM(H64:H65)</f>
        <v>310202439103.6074</v>
      </c>
      <c r="I66" s="77"/>
    </row>
    <row r="67" spans="2:9" x14ac:dyDescent="0.25">
      <c r="B67" t="s">
        <v>2357</v>
      </c>
      <c r="C67" s="36">
        <f>+C30-C58</f>
        <v>32762337</v>
      </c>
      <c r="D67" s="36">
        <f t="shared" si="6"/>
        <v>65806982</v>
      </c>
      <c r="E67" s="36">
        <f t="shared" si="6"/>
        <v>343937827</v>
      </c>
      <c r="G67" s="77"/>
      <c r="H67" s="50">
        <f>SUM(H63:H65)</f>
        <v>310202439103.6074</v>
      </c>
      <c r="I67" s="50">
        <f>H66-G64</f>
        <v>303938099158.6074</v>
      </c>
    </row>
    <row r="68" spans="1:9" x14ac:dyDescent="0.25">
      <c r="A68" s="34"/>
      <c r="B68" s="34" t="s">
        <v>2358</v>
      </c>
      <c r="C68" s="72">
        <f>+C31-C59</f>
        <v>0</v>
      </c>
      <c r="D68" s="72">
        <f t="shared" si="6"/>
        <v>0</v>
      </c>
      <c r="E68" s="72">
        <f t="shared" si="6"/>
        <v>0</v>
      </c>
      <c r="G68" s="77"/>
      <c r="H68" s="77"/>
      <c r="I68" s="50">
        <f>H67-E69</f>
        <v>303938099158.6074</v>
      </c>
    </row>
    <row r="69" spans="1:9" x14ac:dyDescent="0.25">
      <c r="A69" s="4" t="s">
        <v>2359</v>
      </c>
      <c r="C69" s="73">
        <f>SUM(C63:C68)+SUM(C340:C379)</f>
      </c>
      <c r="D69" s="73">
        <f>SUM(D63:D68)+SUM(D340:D379)</f>
      </c>
      <c r="E69" s="73">
        <f>SUM(E63:E68)+SUM(E340:E379)</f>
      </c>
      <c r="G69" s="77"/>
      <c r="H69" s="77"/>
      <c r="I69" s="77"/>
    </row>
    <row r="70" spans="7:9" x14ac:dyDescent="0.25">
      <c r="G70" s="77"/>
      <c r="H70" s="77"/>
      <c r="I70" s="77"/>
    </row>
    <row r="71" spans="7:9" x14ac:dyDescent="0.25">
      <c r="G71" s="77"/>
      <c r="H71" s="77"/>
      <c r="I71" s="77"/>
    </row>
    <row r="72" spans="7:9" x14ac:dyDescent="0.25">
      <c r="G72" s="77" t="s">
        <v>2366</v>
      </c>
      <c r="H72" s="50">
        <f>E63</f>
        <v>0</v>
      </c>
      <c r="I72" s="77"/>
    </row>
    <row r="73" spans="7:9" x14ac:dyDescent="0.25">
      <c r="G73" s="77" t="s">
        <v>2367</v>
      </c>
      <c r="H73" s="50">
        <f>'ADJUSTMENT TANAH'!J10</f>
        <v>0</v>
      </c>
      <c r="I73" s="77"/>
    </row>
    <row r="74" spans="7:9" x14ac:dyDescent="0.25">
      <c r="G74" s="77" t="s">
        <v>2368</v>
      </c>
      <c r="H74" s="50">
        <f>H73-H72</f>
        <v>0</v>
      </c>
      <c r="I74" s="77"/>
    </row>
    <row r="75" spans="7:9" x14ac:dyDescent="0.25">
      <c r="G75" s="77"/>
      <c r="H75" s="77"/>
      <c r="I75" s="77"/>
    </row>
    <row r="100" spans="2:5" x14ac:dyDescent="0.25">
      <c r="B100" t="s">
        <v>2369</v>
      </c>
      <c r="D100">
        <v>4633090390</v>
      </c>
      <c r="E100">
        <v>4633090390</v>
      </c>
    </row>
    <row r="101" spans="2:5" x14ac:dyDescent="0.25">
      <c r="B101" t="s">
        <v>2370</v>
      </c>
      <c r="D101">
        <v>3184183925</v>
      </c>
      <c r="E101">
        <v>3184183925</v>
      </c>
    </row>
    <row r="102" spans="2:5" x14ac:dyDescent="0.25">
      <c r="B102" t="s">
        <v>2371</v>
      </c>
      <c r="D102">
        <v>8145509610</v>
      </c>
      <c r="E102">
        <v>8145509610</v>
      </c>
    </row>
    <row r="103" spans="2:5" x14ac:dyDescent="0.25">
      <c r="B103" t="s">
        <v>2372</v>
      </c>
      <c r="D103">
        <v>2000000000</v>
      </c>
      <c r="E103">
        <v>2000000000</v>
      </c>
    </row>
    <row r="104" spans="2:5" x14ac:dyDescent="0.25">
      <c r="B104" t="s">
        <v>2373</v>
      </c>
      <c r="D104">
        <v>310592860</v>
      </c>
      <c r="E104">
        <v>310592860</v>
      </c>
    </row>
    <row r="105" spans="2:5" x14ac:dyDescent="0.25">
      <c r="B105" t="s">
        <v>2374</v>
      </c>
      <c r="D105">
        <v>105000000</v>
      </c>
      <c r="E105">
        <v>105000000</v>
      </c>
    </row>
    <row r="106" spans="2:5" x14ac:dyDescent="0.25">
      <c r="B106" t="s">
        <v>2375</v>
      </c>
      <c r="D106">
        <v>131056000</v>
      </c>
      <c r="E106">
        <v>131056000</v>
      </c>
    </row>
    <row r="107" spans="2:5" x14ac:dyDescent="0.25">
      <c r="B107" t="s">
        <v>2376</v>
      </c>
      <c r="D107">
        <v>625000000</v>
      </c>
      <c r="E107">
        <v>625000000</v>
      </c>
    </row>
    <row r="108" spans="2:5" x14ac:dyDescent="0.25">
      <c r="B108" t="s">
        <v>2377</v>
      </c>
      <c r="D108">
        <v>1582972728</v>
      </c>
      <c r="E108">
        <v>1582972728</v>
      </c>
    </row>
    <row r="109" spans="2:5" x14ac:dyDescent="0.25">
      <c r="B109" t="s">
        <v>2378</v>
      </c>
      <c r="D109">
        <v>107039091</v>
      </c>
      <c r="E109">
        <v>107039091</v>
      </c>
    </row>
    <row r="110" spans="2:5" x14ac:dyDescent="0.25">
      <c r="B110" t="s">
        <v>2379</v>
      </c>
      <c r="D110">
        <v>176449500</v>
      </c>
      <c r="E110">
        <v>176449500</v>
      </c>
    </row>
    <row r="140" spans="2:2" x14ac:dyDescent="0.25">
      <c r="B140" t="s">
        <v>2369</v>
      </c>
    </row>
    <row r="141" spans="2:2" x14ac:dyDescent="0.25">
      <c r="B141" t="s">
        <v>2370</v>
      </c>
    </row>
    <row r="142" spans="2:2" x14ac:dyDescent="0.25">
      <c r="B142" t="s">
        <v>2371</v>
      </c>
    </row>
    <row r="143" spans="2:2" x14ac:dyDescent="0.25">
      <c r="B143" t="s">
        <v>2372</v>
      </c>
    </row>
    <row r="144" spans="2:2" x14ac:dyDescent="0.25">
      <c r="B144" t="s">
        <v>2373</v>
      </c>
    </row>
    <row r="145" spans="2:2" x14ac:dyDescent="0.25">
      <c r="B145" t="s">
        <v>2374</v>
      </c>
    </row>
    <row r="146" spans="2:2" x14ac:dyDescent="0.25">
      <c r="B146" t="s">
        <v>2375</v>
      </c>
    </row>
    <row r="147" spans="2:2" x14ac:dyDescent="0.25">
      <c r="B147" t="s">
        <v>2376</v>
      </c>
    </row>
    <row r="148" spans="2:2" x14ac:dyDescent="0.25">
      <c r="B148" t="s">
        <v>2377</v>
      </c>
    </row>
    <row r="149" spans="2:2" x14ac:dyDescent="0.25">
      <c r="B149" t="s">
        <v>2378</v>
      </c>
    </row>
    <row r="150" spans="2:2" x14ac:dyDescent="0.25">
      <c r="B150" t="s">
        <v>2379</v>
      </c>
    </row>
    <row r="180" spans="2:5" x14ac:dyDescent="0.25">
      <c r="B180" t="s">
        <v>2369</v>
      </c>
      <c r="C180">
        <f>+C100+C140</f>
      </c>
      <c r="D180">
        <f>+D100+D140</f>
      </c>
      <c r="E180">
        <f>+E100+E140</f>
      </c>
    </row>
    <row r="181" spans="2:5" x14ac:dyDescent="0.25">
      <c r="B181" t="s">
        <v>2370</v>
      </c>
      <c r="C181">
        <f>+C101+C141</f>
      </c>
      <c r="D181">
        <f>+D101+D141</f>
      </c>
      <c r="E181">
        <f>+E101+E141</f>
      </c>
    </row>
    <row r="182" spans="2:5" x14ac:dyDescent="0.25">
      <c r="B182" t="s">
        <v>2371</v>
      </c>
      <c r="C182">
        <f>+C102+C142</f>
      </c>
      <c r="D182">
        <f>+D102+D142</f>
      </c>
      <c r="E182">
        <f>+E102+E142</f>
      </c>
    </row>
    <row r="183" spans="2:5" x14ac:dyDescent="0.25">
      <c r="B183" t="s">
        <v>2372</v>
      </c>
      <c r="C183">
        <f>+C103+C143</f>
      </c>
      <c r="D183">
        <f>+D103+D143</f>
      </c>
      <c r="E183">
        <f>+E103+E143</f>
      </c>
    </row>
    <row r="184" spans="2:5" x14ac:dyDescent="0.25">
      <c r="B184" t="s">
        <v>2373</v>
      </c>
      <c r="C184">
        <f>+C104+C144</f>
      </c>
      <c r="D184">
        <f>+D104+D144</f>
      </c>
      <c r="E184">
        <f>+E104+E144</f>
      </c>
    </row>
    <row r="185" spans="2:5" x14ac:dyDescent="0.25">
      <c r="B185" t="s">
        <v>2374</v>
      </c>
      <c r="C185">
        <f>+C105+C145</f>
      </c>
      <c r="D185">
        <f>+D105+D145</f>
      </c>
      <c r="E185">
        <f>+E105+E145</f>
      </c>
    </row>
    <row r="186" spans="2:5" x14ac:dyDescent="0.25">
      <c r="B186" t="s">
        <v>2375</v>
      </c>
      <c r="C186">
        <f>+C106+C146</f>
      </c>
      <c r="D186">
        <f>+D106+D146</f>
      </c>
      <c r="E186">
        <f>+E106+E146</f>
      </c>
    </row>
    <row r="187" spans="2:5" x14ac:dyDescent="0.25">
      <c r="B187" t="s">
        <v>2376</v>
      </c>
      <c r="C187">
        <f>+C107+C147</f>
      </c>
      <c r="D187">
        <f>+D107+D147</f>
      </c>
      <c r="E187">
        <f>+E107+E147</f>
      </c>
    </row>
    <row r="188" spans="2:5" x14ac:dyDescent="0.25">
      <c r="B188" t="s">
        <v>2377</v>
      </c>
      <c r="C188">
        <f>+C108+C148</f>
      </c>
      <c r="D188">
        <f>+D108+D148</f>
      </c>
      <c r="E188">
        <f>+E108+E148</f>
      </c>
    </row>
    <row r="189" spans="2:5" x14ac:dyDescent="0.25">
      <c r="B189" t="s">
        <v>2378</v>
      </c>
      <c r="C189">
        <f>+C109+C149</f>
      </c>
      <c r="D189">
        <f>+D109+D149</f>
      </c>
      <c r="E189">
        <f>+E109+E149</f>
      </c>
    </row>
    <row r="190" spans="2:5" x14ac:dyDescent="0.25">
      <c r="B190" t="s">
        <v>2379</v>
      </c>
      <c r="C190">
        <f>+C110+C150</f>
      </c>
      <c r="D190">
        <f>+D110+D150</f>
      </c>
      <c r="E190">
        <f>+E110+E150</f>
      </c>
    </row>
    <row r="220" spans="2:5" x14ac:dyDescent="0.25">
      <c r="B220" t="s">
        <v>2369</v>
      </c>
      <c r="E220">
        <v>877577926</v>
      </c>
    </row>
    <row r="221" spans="2:5" x14ac:dyDescent="0.25">
      <c r="B221" t="s">
        <v>2370</v>
      </c>
      <c r="E221">
        <v>603132961</v>
      </c>
    </row>
    <row r="222" spans="2:5" x14ac:dyDescent="0.25">
      <c r="B222" t="s">
        <v>2371</v>
      </c>
      <c r="D222">
        <v>405704374</v>
      </c>
      <c r="E222">
        <v>1542883654</v>
      </c>
    </row>
    <row r="223" spans="2:5" x14ac:dyDescent="0.25">
      <c r="B223" t="s">
        <v>2372</v>
      </c>
      <c r="E223">
        <v>378830479</v>
      </c>
    </row>
    <row r="224" spans="2:5" x14ac:dyDescent="0.25">
      <c r="B224" t="s">
        <v>2373</v>
      </c>
      <c r="D224">
        <v>15529644</v>
      </c>
      <c r="E224">
        <v>58831021</v>
      </c>
    </row>
    <row r="225" spans="2:5" x14ac:dyDescent="0.25">
      <c r="B225" t="s">
        <v>2374</v>
      </c>
      <c r="E225">
        <v>19888600</v>
      </c>
    </row>
    <row r="226" spans="2:5" x14ac:dyDescent="0.25">
      <c r="B226" t="s">
        <v>2375</v>
      </c>
      <c r="D226">
        <v>8279196</v>
      </c>
      <c r="E226">
        <v>24824004</v>
      </c>
    </row>
    <row r="227" spans="2:5" x14ac:dyDescent="0.25">
      <c r="B227" t="s">
        <v>2376</v>
      </c>
      <c r="D227">
        <v>51562500</v>
      </c>
      <c r="E227">
        <v>118384525</v>
      </c>
    </row>
    <row r="228" spans="2:5" x14ac:dyDescent="0.25">
      <c r="B228" t="s">
        <v>2377</v>
      </c>
      <c r="D228">
        <v>130959465</v>
      </c>
      <c r="E228">
        <v>299839158</v>
      </c>
    </row>
    <row r="229" spans="2:5" x14ac:dyDescent="0.25">
      <c r="B229" t="s">
        <v>2378</v>
      </c>
      <c r="D229">
        <v>10199916</v>
      </c>
      <c r="E229">
        <v>20274835</v>
      </c>
    </row>
    <row r="230" spans="2:5" x14ac:dyDescent="0.25">
      <c r="B230" t="s">
        <v>2379</v>
      </c>
      <c r="D230">
        <v>10861752</v>
      </c>
      <c r="E230">
        <v>176449500</v>
      </c>
    </row>
    <row r="260" spans="2:2" x14ac:dyDescent="0.25">
      <c r="B260" t="s">
        <v>2369</v>
      </c>
    </row>
    <row r="261" spans="2:2" x14ac:dyDescent="0.25">
      <c r="B261" t="s">
        <v>2370</v>
      </c>
    </row>
    <row r="262" spans="2:2" x14ac:dyDescent="0.25">
      <c r="B262" t="s">
        <v>2371</v>
      </c>
    </row>
    <row r="263" spans="2:2" x14ac:dyDescent="0.25">
      <c r="B263" t="s">
        <v>2372</v>
      </c>
    </row>
    <row r="264" spans="2:2" x14ac:dyDescent="0.25">
      <c r="B264" t="s">
        <v>2373</v>
      </c>
    </row>
    <row r="265" spans="2:2" x14ac:dyDescent="0.25">
      <c r="B265" t="s">
        <v>2374</v>
      </c>
    </row>
    <row r="266" spans="2:2" x14ac:dyDescent="0.25">
      <c r="B266" t="s">
        <v>2375</v>
      </c>
    </row>
    <row r="267" spans="2:2" x14ac:dyDescent="0.25">
      <c r="B267" t="s">
        <v>2376</v>
      </c>
    </row>
    <row r="268" spans="2:2" x14ac:dyDescent="0.25">
      <c r="B268" t="s">
        <v>2377</v>
      </c>
    </row>
    <row r="269" spans="2:2" x14ac:dyDescent="0.25">
      <c r="B269" t="s">
        <v>2378</v>
      </c>
    </row>
    <row r="270" spans="2:2" x14ac:dyDescent="0.25">
      <c r="B270" t="s">
        <v>2379</v>
      </c>
    </row>
    <row r="300" spans="2:5" x14ac:dyDescent="0.25">
      <c r="B300" t="s">
        <v>2369</v>
      </c>
      <c r="C300">
        <f>+C220+C260</f>
      </c>
      <c r="D300">
        <f>+D220+D260</f>
      </c>
      <c r="E300">
        <f>+E220+E260</f>
      </c>
    </row>
    <row r="301" spans="2:5" x14ac:dyDescent="0.25">
      <c r="B301" t="s">
        <v>2370</v>
      </c>
      <c r="C301">
        <f>+C221+C261</f>
      </c>
      <c r="D301">
        <f>+D221+D261</f>
      </c>
      <c r="E301">
        <f>+E221+E261</f>
      </c>
    </row>
    <row r="302" spans="2:5" x14ac:dyDescent="0.25">
      <c r="B302" t="s">
        <v>2371</v>
      </c>
      <c r="C302">
        <f>+C222+C262</f>
      </c>
      <c r="D302">
        <f>+D222+D262</f>
      </c>
      <c r="E302">
        <f>+E222+E262</f>
      </c>
    </row>
    <row r="303" spans="2:5" x14ac:dyDescent="0.25">
      <c r="B303" t="s">
        <v>2372</v>
      </c>
      <c r="C303">
        <f>+C223+C263</f>
      </c>
      <c r="D303">
        <f>+D223+D263</f>
      </c>
      <c r="E303">
        <f>+E223+E263</f>
      </c>
    </row>
    <row r="304" spans="2:5" x14ac:dyDescent="0.25">
      <c r="B304" t="s">
        <v>2373</v>
      </c>
      <c r="C304">
        <f>+C224+C264</f>
      </c>
      <c r="D304">
        <f>+D224+D264</f>
      </c>
      <c r="E304">
        <f>+E224+E264</f>
      </c>
    </row>
    <row r="305" spans="2:5" x14ac:dyDescent="0.25">
      <c r="B305" t="s">
        <v>2374</v>
      </c>
      <c r="C305">
        <f>+C225+C265</f>
      </c>
      <c r="D305">
        <f>+D225+D265</f>
      </c>
      <c r="E305">
        <f>+E225+E265</f>
      </c>
    </row>
    <row r="306" spans="2:5" x14ac:dyDescent="0.25">
      <c r="B306" t="s">
        <v>2375</v>
      </c>
      <c r="C306">
        <f>+C226+C266</f>
      </c>
      <c r="D306">
        <f>+D226+D266</f>
      </c>
      <c r="E306">
        <f>+E226+E266</f>
      </c>
    </row>
    <row r="307" spans="2:5" x14ac:dyDescent="0.25">
      <c r="B307" t="s">
        <v>2376</v>
      </c>
      <c r="C307">
        <f>+C227+C267</f>
      </c>
      <c r="D307">
        <f>+D227+D267</f>
      </c>
      <c r="E307">
        <f>+E227+E267</f>
      </c>
    </row>
    <row r="308" spans="2:5" x14ac:dyDescent="0.25">
      <c r="B308" t="s">
        <v>2377</v>
      </c>
      <c r="C308">
        <f>+C228+C268</f>
      </c>
      <c r="D308">
        <f>+D228+D268</f>
      </c>
      <c r="E308">
        <f>+E228+E268</f>
      </c>
    </row>
    <row r="309" spans="2:5" x14ac:dyDescent="0.25">
      <c r="B309" t="s">
        <v>2378</v>
      </c>
      <c r="C309">
        <f>+C229+C269</f>
      </c>
      <c r="D309">
        <f>+D229+D269</f>
      </c>
      <c r="E309">
        <f>+E229+E269</f>
      </c>
    </row>
    <row r="310" spans="2:5" x14ac:dyDescent="0.25">
      <c r="B310" t="s">
        <v>2379</v>
      </c>
      <c r="C310">
        <f>+C230+C270</f>
      </c>
      <c r="D310">
        <f>+D230+D270</f>
      </c>
      <c r="E310">
        <f>+E230+E270</f>
      </c>
    </row>
    <row r="340" spans="2:5" x14ac:dyDescent="0.25">
      <c r="B340" t="s">
        <v>2369</v>
      </c>
      <c r="C340">
        <f>+C180-C300</f>
      </c>
      <c r="D340">
        <f>+D180-D300</f>
      </c>
      <c r="E340">
        <f>+E180-E300</f>
      </c>
    </row>
    <row r="341" spans="2:5" x14ac:dyDescent="0.25">
      <c r="B341" t="s">
        <v>2370</v>
      </c>
      <c r="C341">
        <f>+C181-C301</f>
      </c>
      <c r="D341">
        <f>+D181-D301</f>
      </c>
      <c r="E341">
        <f>+E181-E301</f>
      </c>
    </row>
    <row r="342" spans="2:5" x14ac:dyDescent="0.25">
      <c r="B342" t="s">
        <v>2371</v>
      </c>
      <c r="C342">
        <f>+C182-C302</f>
      </c>
      <c r="D342">
        <f>+D182-D302</f>
      </c>
      <c r="E342">
        <f>+E182-E302</f>
      </c>
    </row>
    <row r="343" spans="2:5" x14ac:dyDescent="0.25">
      <c r="B343" t="s">
        <v>2372</v>
      </c>
      <c r="C343">
        <f>+C183-C303</f>
      </c>
      <c r="D343">
        <f>+D183-D303</f>
      </c>
      <c r="E343">
        <f>+E183-E303</f>
      </c>
    </row>
    <row r="344" spans="2:5" x14ac:dyDescent="0.25">
      <c r="B344" t="s">
        <v>2373</v>
      </c>
      <c r="C344">
        <f>+C184-C304</f>
      </c>
      <c r="D344">
        <f>+D184-D304</f>
      </c>
      <c r="E344">
        <f>+E184-E304</f>
      </c>
    </row>
    <row r="345" spans="2:5" x14ac:dyDescent="0.25">
      <c r="B345" t="s">
        <v>2374</v>
      </c>
      <c r="C345">
        <f>+C185-C305</f>
      </c>
      <c r="D345">
        <f>+D185-D305</f>
      </c>
      <c r="E345">
        <f>+E185-E305</f>
      </c>
    </row>
    <row r="346" spans="2:5" x14ac:dyDescent="0.25">
      <c r="B346" t="s">
        <v>2375</v>
      </c>
      <c r="C346">
        <f>+C186-C306</f>
      </c>
      <c r="D346">
        <f>+D186-D306</f>
      </c>
      <c r="E346">
        <f>+E186-E306</f>
      </c>
    </row>
    <row r="347" spans="2:5" x14ac:dyDescent="0.25">
      <c r="B347" t="s">
        <v>2376</v>
      </c>
      <c r="C347">
        <f>+C187-C307</f>
      </c>
      <c r="D347">
        <f>+D187-D307</f>
      </c>
      <c r="E347">
        <f>+E187-E307</f>
      </c>
    </row>
    <row r="348" spans="2:5" x14ac:dyDescent="0.25">
      <c r="B348" t="s">
        <v>2377</v>
      </c>
      <c r="C348">
        <f>+C188-C308</f>
      </c>
      <c r="D348">
        <f>+D188-D308</f>
      </c>
      <c r="E348">
        <f>+E188-E308</f>
      </c>
    </row>
    <row r="349" spans="2:5" x14ac:dyDescent="0.25">
      <c r="B349" t="s">
        <v>2378</v>
      </c>
      <c r="C349">
        <f>+C189-C309</f>
      </c>
      <c r="D349">
        <f>+D189-D309</f>
      </c>
      <c r="E349">
        <f>+E189-E309</f>
      </c>
    </row>
    <row r="350" spans="2:5" x14ac:dyDescent="0.25">
      <c r="B350" t="s">
        <v>2379</v>
      </c>
      <c r="C350">
        <f>+C190-C310</f>
      </c>
      <c r="D350">
        <f>+D190-D310</f>
      </c>
      <c r="E350">
        <f>+E190-E310</f>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26"/>
  <sheetViews>
    <sheetView workbookViewId="0" zoomScale="100" zoomScaleNormal="100">
      <selection activeCell="C19" sqref="C19"/>
    </sheetView>
  </sheetViews>
  <sheetFormatPr defaultRowHeight="15" outlineLevelRow="0" outlineLevelCol="0" x14ac:dyDescent="0.2" defaultColWidth="8.83203125"/>
  <cols>
    <col min="1" max="1" width="16.6640625" customWidth="1"/>
    <col min="2" max="2" width="26.6640625" customWidth="1"/>
    <col min="3" max="5" width="16.6640625" customWidth="1"/>
  </cols>
  <sheetData>
    <row r="1" spans="1:1" x14ac:dyDescent="0.25">
      <c r="A1" t="str">
        <f>HOME!B4</f>
        <v>PT RAJA VOLTAMA ELEKTRIK</v>
      </c>
    </row>
    <row r="2" spans="1:1" x14ac:dyDescent="0.25">
      <c r="A2" t="s">
        <v>2551</v>
      </c>
    </row>
    <row r="3" spans="1:1" x14ac:dyDescent="0.25">
      <c r="A3" t="str">
        <f>'BALANCE SHEET'!A3</f>
        <v>(IDR)</v>
      </c>
    </row>
    <row r="5" spans="1:5" x14ac:dyDescent="0.25">
      <c r="A5" s="24"/>
      <c r="B5" s="24"/>
      <c r="C5" s="24">
        <f>'FIXED ASSET'!C5</f>
        <v>2019</v>
      </c>
      <c r="D5" s="24">
        <f>'FIXED ASSET'!D5</f>
        <v>2020</v>
      </c>
      <c r="E5" s="24">
        <f>'FIXED ASSET'!E5</f>
        <v>2021</v>
      </c>
    </row>
    <row r="6" spans="1:1" x14ac:dyDescent="0.25">
      <c r="A6" s="4"/>
    </row>
    <row r="7" spans="1:7" x14ac:dyDescent="0.25">
      <c r="A7" s="4" t="s">
        <v>2552</v>
      </c>
      <c r="C7" s="26"/>
      <c r="D7" s="26"/>
      <c r="E7" s="26"/>
      <c r="F7" s="26"/>
      <c r="G7" s="26"/>
    </row>
    <row r="8" spans="1:7" x14ac:dyDescent="0.25">
      <c r="A8" s="4" t="s">
        <v>2553</v>
      </c>
      <c r="C8" s="26"/>
      <c r="D8" s="26"/>
      <c r="E8" s="26"/>
      <c r="F8" s="26"/>
      <c r="G8" s="26"/>
    </row>
    <row r="9" spans="1:7" x14ac:dyDescent="0.25">
      <c r="A9" t="s">
        <v>2242</v>
      </c>
      <c r="C9" s="26">
        <v>0</v>
      </c>
      <c r="D9" s="26">
        <v>0</v>
      </c>
      <c r="E9" s="26">
        <v>0</v>
      </c>
      <c r="F9" s="26"/>
      <c r="G9" s="26"/>
    </row>
    <row r="10" spans="2:7" x14ac:dyDescent="0.25">
      <c r="B10" t="s">
        <v>2259</v>
      </c>
      <c r="C10" s="26">
        <v>0</v>
      </c>
      <c r="D10" s="26">
        <v>0</v>
      </c>
      <c r="E10" s="26">
        <v>0</v>
      </c>
      <c r="F10" s="26"/>
      <c r="G10" s="26"/>
    </row>
    <row r="11" spans="1:7" x14ac:dyDescent="0.25">
      <c r="A11" s="34"/>
      <c r="B11" s="34" t="s">
        <v>2554</v>
      </c>
      <c r="C11" s="35">
        <v>0</v>
      </c>
      <c r="D11" s="35">
        <v>0</v>
      </c>
      <c r="E11" s="35">
        <v>0</v>
      </c>
      <c r="F11" s="26"/>
      <c r="G11" s="26"/>
    </row>
    <row r="12" spans="1:7" x14ac:dyDescent="0.25">
      <c r="A12" s="4" t="s">
        <v>2363</v>
      </c>
      <c r="C12" s="37">
        <f>SUM(C9:C11)</f>
        <v>0</v>
      </c>
      <c r="D12" s="37">
        <f>SUM(D9:D11)</f>
        <v>0</v>
      </c>
      <c r="E12" s="37">
        <f>SUM(E9:E11)</f>
        <v>0</v>
      </c>
      <c r="F12" s="26"/>
      <c r="G12" s="26"/>
    </row>
    <row r="13" spans="3:7" x14ac:dyDescent="0.25">
      <c r="C13" s="26"/>
      <c r="D13" s="26"/>
      <c r="E13" s="26"/>
      <c r="F13" s="26"/>
      <c r="G13" s="26"/>
    </row>
    <row r="14" spans="1:7" x14ac:dyDescent="0.25">
      <c r="A14" t="s">
        <v>2555</v>
      </c>
      <c r="B14" s="31"/>
      <c r="C14" s="26">
        <v>0</v>
      </c>
      <c r="D14" s="26">
        <v>0</v>
      </c>
      <c r="E14" s="26">
        <v>0</v>
      </c>
      <c r="F14" s="26"/>
      <c r="G14" s="26"/>
    </row>
    <row r="15" spans="3:7" x14ac:dyDescent="0.25">
      <c r="C15" s="31"/>
      <c r="D15" s="31"/>
      <c r="E15" s="26"/>
      <c r="F15" s="26"/>
      <c r="G15" s="26"/>
    </row>
    <row r="16" spans="1:7" x14ac:dyDescent="0.25">
      <c r="A16" s="4" t="s">
        <v>2556</v>
      </c>
      <c r="C16" s="26">
        <v>8</v>
      </c>
      <c r="D16" s="26"/>
      <c r="E16" s="26"/>
      <c r="F16" s="26"/>
      <c r="G16" s="26"/>
    </row>
    <row r="17" spans="1:7" x14ac:dyDescent="0.25">
      <c r="A17" s="4" t="s">
        <v>2553</v>
      </c>
      <c r="C17" s="31">
        <v>0.13</v>
      </c>
      <c r="D17" s="31">
        <v>0.13</v>
      </c>
      <c r="E17" s="31">
        <v>0.13</v>
      </c>
      <c r="F17" s="26"/>
      <c r="G17" s="26"/>
    </row>
    <row r="18" spans="1:7" x14ac:dyDescent="0.25">
      <c r="A18" t="s">
        <v>2242</v>
      </c>
      <c r="C18" s="26">
        <v>0</v>
      </c>
      <c r="D18" s="26">
        <f>C21</f>
        <v>0</v>
      </c>
      <c r="E18" s="26">
        <f>D21</f>
        <v>0</v>
      </c>
      <c r="F18" s="26"/>
      <c r="G18" s="26"/>
    </row>
    <row r="19" spans="2:7" x14ac:dyDescent="0.25">
      <c r="B19" t="s">
        <v>2259</v>
      </c>
      <c r="C19" s="26">
        <v>0</v>
      </c>
      <c r="D19" s="26">
        <v>0</v>
      </c>
      <c r="E19" s="26">
        <v>0</v>
      </c>
      <c r="F19" s="26"/>
      <c r="G19" s="26"/>
    </row>
    <row r="20" spans="1:7" x14ac:dyDescent="0.25">
      <c r="A20" s="34"/>
      <c r="B20" s="34" t="s">
        <v>2554</v>
      </c>
      <c r="C20" s="35">
        <v>0</v>
      </c>
      <c r="D20" s="35">
        <v>0</v>
      </c>
      <c r="E20" s="35">
        <v>0</v>
      </c>
      <c r="F20" s="26"/>
      <c r="G20" s="26"/>
    </row>
    <row r="21" spans="1:7" x14ac:dyDescent="0.25">
      <c r="A21" s="4" t="s">
        <v>2363</v>
      </c>
      <c r="C21" s="37">
        <f>SUM(C18:C20)</f>
        <v>0</v>
      </c>
      <c r="D21" s="37">
        <f>SUM(D18:D20)</f>
        <v>0</v>
      </c>
      <c r="E21" s="37">
        <f>SUM(E18:E20)</f>
        <v>0</v>
      </c>
      <c r="F21" s="26"/>
      <c r="G21" s="26"/>
    </row>
    <row r="22" spans="3:7" x14ac:dyDescent="0.25">
      <c r="C22" s="26"/>
      <c r="D22" s="26"/>
      <c r="E22" s="26"/>
      <c r="F22" s="26"/>
      <c r="G22" s="26"/>
    </row>
    <row r="23" spans="1:7" x14ac:dyDescent="0.25">
      <c r="A23" s="33" t="s">
        <v>2555</v>
      </c>
      <c r="B23" s="34"/>
      <c r="C23" s="38">
        <v>0</v>
      </c>
      <c r="D23" s="38">
        <v>0</v>
      </c>
      <c r="E23" s="38">
        <v>0</v>
      </c>
      <c r="F23" s="26"/>
      <c r="G23" s="26"/>
    </row>
    <row r="24" spans="3:7" x14ac:dyDescent="0.25">
      <c r="C24" s="31"/>
      <c r="D24" s="31"/>
      <c r="E24" s="31"/>
      <c r="F24" s="26"/>
      <c r="G24" s="26"/>
    </row>
    <row r="25" spans="3:7" x14ac:dyDescent="0.25">
      <c r="C25" s="26"/>
      <c r="D25" s="26"/>
      <c r="E25" s="26"/>
      <c r="F25" s="26"/>
      <c r="G25" s="26"/>
    </row>
    <row r="26" spans="3:7" x14ac:dyDescent="0.25">
      <c r="C26" s="26"/>
      <c r="D26" s="26"/>
      <c r="E26" s="26"/>
      <c r="F26" s="26"/>
      <c r="G26"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19"/>
  <sheetViews>
    <sheetView workbookViewId="0" showGridLines="0" zoomScale="100" zoomScaleNormal="100">
      <selection activeCell="D7" sqref="D7"/>
    </sheetView>
  </sheetViews>
  <sheetFormatPr defaultRowHeight="15" outlineLevelRow="0" outlineLevelCol="0" x14ac:dyDescent="0.2" defaultColWidth="8.83203125"/>
  <cols>
    <col min="1" max="1" width="21.83203125" customWidth="1"/>
    <col min="2" max="2" width="25" customWidth="1"/>
    <col min="3" max="5" width="16.33203125" customWidth="1"/>
  </cols>
  <sheetData>
    <row r="1" spans="1:1" x14ac:dyDescent="0.25">
      <c r="A1" t="str">
        <f>HOME!B4</f>
        <v>PT RAJA VOLTAMA ELEKTRIK</v>
      </c>
    </row>
    <row r="2" spans="1:1" x14ac:dyDescent="0.25">
      <c r="A2" t="s">
        <v>2426</v>
      </c>
    </row>
    <row r="3" spans="1:1" x14ac:dyDescent="0.25">
      <c r="A3" t="str">
        <f>'BALANCE SHEET'!A3</f>
        <v>(IDR)</v>
      </c>
    </row>
    <row r="5" spans="1:5" x14ac:dyDescent="0.25">
      <c r="A5" s="83"/>
      <c r="B5" s="83"/>
      <c r="C5" s="24">
        <f>'ACC PAYABLES'!C5</f>
        <v>2019</v>
      </c>
      <c r="D5" s="24">
        <f>'ACC PAYABLES'!D5</f>
        <v>2020</v>
      </c>
      <c r="E5" s="24">
        <f>'ACC PAYABLES'!E5</f>
        <v>2021</v>
      </c>
    </row>
    <row r="7" spans="1:5" x14ac:dyDescent="0.25">
      <c r="A7" t="s">
        <v>2301</v>
      </c>
      <c r="C7" s="26">
        <f>'INCOME STATEMENT'!D32</f>
        <v>5874471249</v>
      </c>
      <c r="D7" s="26">
        <f>'INCOME STATEMENT'!E32</f>
        <v>6369595586</v>
      </c>
      <c r="E7" s="26">
        <f>'INCOME STATEMENT'!F32</f>
        <v>7419191015</v>
      </c>
    </row>
    <row r="8" spans="1:5" x14ac:dyDescent="0.25">
      <c r="A8" t="s">
        <v>2434</v>
      </c>
      <c r="C8" s="26">
        <f>'INCOME STATEMENT'!D27*-1</f>
        <v>0</v>
      </c>
      <c r="D8" s="26">
        <f>'INCOME STATEMENT'!E27*-1</f>
        <v>29379815</v>
      </c>
      <c r="E8" s="26">
        <f>'INCOME STATEMENT'!F27*-1</f>
        <v>19483450</v>
      </c>
    </row>
    <row r="9" spans="1:5" x14ac:dyDescent="0.25">
      <c r="A9" t="s">
        <v>2435</v>
      </c>
      <c r="C9" s="26">
        <f>'INCOME STATEMENT'!D26*-1</f>
        <v>0</v>
      </c>
      <c r="D9" s="26">
        <f>'INCOME STATEMENT'!E26*-1</f>
        <v>-146899087</v>
      </c>
      <c r="E9" s="26">
        <f>'INCOME STATEMENT'!F26*-1</f>
        <v>-105200220</v>
      </c>
    </row>
    <row r="10" spans="1:5" x14ac:dyDescent="0.25">
      <c r="A10" s="34" t="s">
        <v>2300</v>
      </c>
      <c r="B10" s="34"/>
      <c r="C10" s="35">
        <f>'INCOME STATEMENT'!D30*-1</f>
        <v>0</v>
      </c>
      <c r="D10" s="35">
        <f>'INCOME STATEMENT'!E30*-1</f>
        <v>0</v>
      </c>
      <c r="E10" s="35">
        <f>'INCOME STATEMENT'!F30*-1</f>
        <v>0</v>
      </c>
    </row>
    <row r="11" spans="1:5" x14ac:dyDescent="0.25">
      <c r="A11" s="4" t="s">
        <v>2294</v>
      </c>
      <c r="C11" s="37">
        <f>SUM(C7:C10)</f>
        <v>5874471249</v>
      </c>
      <c r="D11" s="37">
        <f>SUM(D7:D10)</f>
        <v>6252076314</v>
      </c>
      <c r="E11" s="37">
        <f>SUM(E7:E10)</f>
        <v>7333474245</v>
      </c>
    </row>
    <row r="12" spans="3:5" x14ac:dyDescent="0.25">
      <c r="C12" s="26"/>
      <c r="D12" s="26"/>
      <c r="E12" s="26"/>
    </row>
    <row r="13" spans="1:5" x14ac:dyDescent="0.25">
      <c r="A13" t="s">
        <v>2436</v>
      </c>
      <c r="C13" s="26">
        <f>'INCOME STATEMENT'!D33*-1</f>
        <v>1468617812</v>
      </c>
      <c r="D13" s="26">
        <f>'INCOME STATEMENT'!E33*-1</f>
        <v>1375456720</v>
      </c>
      <c r="E13" s="26">
        <f>'INCOME STATEMENT'!F33*-1</f>
        <v>1613364280</v>
      </c>
    </row>
    <row r="14" spans="1:5" x14ac:dyDescent="0.25">
      <c r="A14" t="s">
        <v>2437</v>
      </c>
      <c r="C14" s="26">
        <f>'INCOME STATEMENT'!$B$33*'INCOME STATEMENT'!D27*-1</f>
        <v>0</v>
      </c>
      <c r="D14" s="26">
        <f>'INCOME STATEMENT'!$B$33*'INCOME STATEMENT'!E27*-1</f>
        <v>0</v>
      </c>
      <c r="E14" s="26">
        <f>'INCOME STATEMENT'!$B$33*'INCOME STATEMENT'!F27*-1</f>
        <v>0</v>
      </c>
    </row>
    <row r="15" spans="1:5" x14ac:dyDescent="0.25">
      <c r="A15" t="s">
        <v>2438</v>
      </c>
      <c r="C15" s="26">
        <f>'INCOME STATEMENT'!$B$33*'INCOME STATEMENT'!D26*-1</f>
        <v>0</v>
      </c>
      <c r="D15" s="26">
        <f>'INCOME STATEMENT'!$B$33*'INCOME STATEMENT'!E26*-1</f>
        <v>0</v>
      </c>
      <c r="E15" s="26">
        <f>'INCOME STATEMENT'!$B$33*'INCOME STATEMENT'!F26*-1</f>
        <v>0</v>
      </c>
    </row>
    <row r="16" spans="1:5" x14ac:dyDescent="0.25">
      <c r="A16" s="34" t="s">
        <v>2439</v>
      </c>
      <c r="B16" s="34"/>
      <c r="C16" s="35">
        <f>'INCOME STATEMENT'!$B$33*'INCOME STATEMENT'!D30*-1</f>
        <v>0</v>
      </c>
      <c r="D16" s="35">
        <f>'INCOME STATEMENT'!$B$33*'INCOME STATEMENT'!E30*-1</f>
        <v>0</v>
      </c>
      <c r="E16" s="35">
        <f>'INCOME STATEMENT'!$B$33*'INCOME STATEMENT'!F30*-1</f>
        <v>0</v>
      </c>
    </row>
    <row r="17" spans="1:5" x14ac:dyDescent="0.25">
      <c r="A17" s="4" t="s">
        <v>2440</v>
      </c>
      <c r="C17" s="37">
        <f>SUM(C13:C16)</f>
        <v>1468617812</v>
      </c>
      <c r="D17" s="37">
        <f>SUM(D13:D16)</f>
        <v>1375456720</v>
      </c>
      <c r="E17" s="37">
        <f>SUM(E13:E16)</f>
        <v>1613364280</v>
      </c>
    </row>
    <row r="18" spans="3:5" x14ac:dyDescent="0.25">
      <c r="C18" s="26"/>
      <c r="D18" s="26"/>
      <c r="E18" s="26"/>
    </row>
    <row r="19" ht="16" customHeight="1" spans="1:5" x14ac:dyDescent="0.25">
      <c r="A19" s="47" t="s">
        <v>2426</v>
      </c>
      <c r="B19" s="48"/>
      <c r="C19" s="90">
        <f>C11-C17</f>
        <v>4405853437</v>
      </c>
      <c r="D19" s="90">
        <f>D11-D17</f>
        <v>4876619594</v>
      </c>
      <c r="E19" s="90">
        <f>E11-E17</f>
        <v>5720109965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29"/>
  <sheetViews>
    <sheetView workbookViewId="0" showGridLines="0" zoomScale="100" zoomScaleNormal="100">
      <selection activeCell="D17" sqref="D17"/>
    </sheetView>
  </sheetViews>
  <sheetFormatPr defaultRowHeight="15" outlineLevelRow="0" outlineLevelCol="0" x14ac:dyDescent="0.2" defaultColWidth="8.83203125"/>
  <cols>
    <col min="1" max="2" width="22.1640625" customWidth="1"/>
    <col min="3" max="4" width="17" customWidth="1"/>
    <col min="5" max="5" width="16.33203125" customWidth="1"/>
  </cols>
  <sheetData>
    <row r="1" spans="1:1" x14ac:dyDescent="0.25">
      <c r="A1" t="str">
        <f>HOME!B4</f>
        <v>PT RAJA VOLTAMA ELEKTRIK</v>
      </c>
    </row>
    <row r="2" spans="1:1" x14ac:dyDescent="0.25">
      <c r="A2" t="s">
        <v>2425</v>
      </c>
    </row>
    <row r="3" spans="1:1" x14ac:dyDescent="0.25">
      <c r="A3" t="str">
        <f>'BALANCE SHEET'!A3</f>
        <v>(IDR)</v>
      </c>
    </row>
    <row r="5" spans="1:5" x14ac:dyDescent="0.25">
      <c r="A5" s="83"/>
      <c r="B5" s="83"/>
      <c r="C5" s="24">
        <f>NOPLAT!C5</f>
        <v>2019</v>
      </c>
      <c r="D5" s="24">
        <f>NOPLAT!D5</f>
        <v>2020</v>
      </c>
      <c r="E5" s="24">
        <f>NOPLAT!E5</f>
        <v>2021</v>
      </c>
    </row>
    <row r="7" spans="1:5" x14ac:dyDescent="0.25">
      <c r="A7" s="4" t="s">
        <v>2426</v>
      </c>
      <c r="C7" s="84">
        <f>NOPLAT!C19</f>
        <v>4405853437</v>
      </c>
      <c r="D7" s="84">
        <f>NOPLAT!D19</f>
        <v>4876619594</v>
      </c>
      <c r="E7" s="84">
        <f>NOPLAT!E19</f>
        <v>5720109965</v>
      </c>
    </row>
    <row r="8" spans="1:5" x14ac:dyDescent="0.25">
      <c r="A8" s="34" t="s">
        <v>2427</v>
      </c>
      <c r="B8" s="34"/>
      <c r="C8" s="85">
        <f>'FIXED ASSET'!C51*-1</f>
        <v>-173875738</v>
      </c>
      <c r="D8" s="85">
        <f>'FIXED ASSET'!D51*-1</f>
        <v>-161342991</v>
      </c>
      <c r="E8" s="85">
        <f>'FIXED ASSET'!E51*-1</f>
        <v>-159972488</v>
      </c>
    </row>
    <row r="9" spans="1:5" x14ac:dyDescent="0.25">
      <c r="A9" s="4" t="s">
        <v>2428</v>
      </c>
      <c r="C9" s="37">
        <f>+C7+C8</f>
        <v>4231977699</v>
      </c>
      <c r="D9" s="37">
        <f>+D7+D8</f>
        <v>4715276603</v>
      </c>
      <c r="E9" s="37">
        <f>+E7+E8</f>
        <v>5560137477</v>
      </c>
    </row>
    <row r="10" spans="3:5" x14ac:dyDescent="0.25">
      <c r="C10" s="26"/>
      <c r="D10" s="26"/>
      <c r="E10" s="26"/>
    </row>
    <row r="11" spans="1:5" x14ac:dyDescent="0.25">
      <c r="A11" s="4" t="s">
        <v>2333</v>
      </c>
      <c r="C11" s="26"/>
      <c r="D11" s="26"/>
      <c r="E11" s="26"/>
    </row>
    <row r="12" spans="1:5" x14ac:dyDescent="0.25">
      <c r="A12" t="s">
        <v>2429</v>
      </c>
      <c r="C12" s="86">
        <f>'CASH FLOW STATEMENT'!C8</f>
        <v>-7632127401</v>
      </c>
      <c r="D12" s="86">
        <f>'CASH FLOW STATEMENT'!D8</f>
        <v>-2434646395</v>
      </c>
      <c r="E12" s="86">
        <f>'CASH FLOW STATEMENT'!E8</f>
        <v>1913225999</v>
      </c>
    </row>
    <row r="13" spans="1:5" x14ac:dyDescent="0.25">
      <c r="A13" s="34" t="s">
        <v>2430</v>
      </c>
      <c r="B13" s="34"/>
      <c r="C13" s="87">
        <f>'CASH FLOW STATEMENT'!C9</f>
        <v>2120067101</v>
      </c>
      <c r="D13" s="88">
        <f>'CASH FLOW STATEMENT'!D9</f>
        <v>-747696052</v>
      </c>
      <c r="E13" s="88">
        <f>'CASH FLOW STATEMENT'!E9</f>
        <v>-2039568042</v>
      </c>
    </row>
    <row r="14" spans="1:5" x14ac:dyDescent="0.25">
      <c r="A14" s="4" t="s">
        <v>2431</v>
      </c>
      <c r="C14" s="68">
        <f>'CASH FLOW STATEMENT'!C10</f>
        <v>-5512060300</v>
      </c>
      <c r="D14" s="68">
        <f>'CASH FLOW STATEMENT'!D10</f>
        <v>-3182342447</v>
      </c>
      <c r="E14" s="68">
        <f>'CASH FLOW STATEMENT'!E10</f>
        <v>-126342043</v>
      </c>
    </row>
    <row r="15" spans="3:5" x14ac:dyDescent="0.25">
      <c r="C15" s="26"/>
      <c r="D15" s="26"/>
      <c r="E15" s="26"/>
    </row>
    <row r="16" spans="1:5" x14ac:dyDescent="0.25">
      <c r="A16" t="s">
        <v>2432</v>
      </c>
      <c r="C16" s="89">
        <f>'FIXED ASSET'!C23*-1</f>
        <v>0</v>
      </c>
      <c r="D16" s="89">
        <f>'FIXED ASSET'!D23*-1</f>
        <v>-49586000</v>
      </c>
      <c r="E16" s="89">
        <f>'FIXED ASSET'!E23*-1</f>
        <v>-412288044</v>
      </c>
    </row>
    <row r="17" spans="1:5" x14ac:dyDescent="0.25">
      <c r="A17" s="34"/>
      <c r="B17" s="34"/>
      <c r="C17" s="34"/>
      <c r="D17" s="34"/>
      <c r="E17" s="34"/>
    </row>
    <row r="18" spans="1:5" x14ac:dyDescent="0.25">
      <c r="A18" s="4" t="s">
        <v>2433</v>
      </c>
      <c r="B18" s="4"/>
      <c r="C18" s="37">
        <f>+C14+C16</f>
        <v>-5512060300</v>
      </c>
      <c r="D18" s="37">
        <f>+D14+D16</f>
        <v>-3231928447</v>
      </c>
      <c r="E18" s="37">
        <f>+E14+E16</f>
        <v>-538630087</v>
      </c>
    </row>
    <row r="19" spans="3:5" x14ac:dyDescent="0.25">
      <c r="C19" s="26"/>
      <c r="D19" s="26"/>
      <c r="E19" s="26"/>
    </row>
    <row r="20" ht="16" customHeight="1" spans="1:5" x14ac:dyDescent="0.25">
      <c r="A20" s="47" t="s">
        <v>2425</v>
      </c>
      <c r="B20" s="47"/>
      <c r="C20" s="49">
        <f>+C9+C18</f>
        <v>-1280082601</v>
      </c>
      <c r="D20" s="49">
        <f>+D9+D18</f>
        <v>1483348156</v>
      </c>
      <c r="E20" s="49">
        <f>+E9+E18</f>
        <v>5021507390</v>
      </c>
    </row>
    <row r="21" spans="3:5" x14ac:dyDescent="0.25">
      <c r="C21" s="26"/>
      <c r="D21" s="26"/>
      <c r="E21" s="26"/>
    </row>
    <row r="22" spans="3:5" x14ac:dyDescent="0.25">
      <c r="C22" s="26"/>
      <c r="D22" s="26"/>
      <c r="E22" s="26"/>
    </row>
    <row r="23" spans="3:5" x14ac:dyDescent="0.25">
      <c r="C23" s="26"/>
      <c r="D23" s="26"/>
      <c r="E23" s="26"/>
    </row>
    <row r="24" spans="3:5" x14ac:dyDescent="0.25">
      <c r="C24" s="26"/>
      <c r="D24" s="26"/>
      <c r="E24" s="26"/>
    </row>
    <row r="25" spans="3:5" x14ac:dyDescent="0.25">
      <c r="C25" s="26"/>
      <c r="D25" s="26"/>
      <c r="E25" s="26"/>
    </row>
    <row r="26" spans="3:5" x14ac:dyDescent="0.25">
      <c r="C26" s="26"/>
      <c r="D26" s="26"/>
      <c r="E26" s="26"/>
    </row>
    <row r="27" spans="3:5" x14ac:dyDescent="0.25">
      <c r="C27" s="26"/>
      <c r="D27" s="26"/>
      <c r="E27" s="26"/>
    </row>
    <row r="28" spans="3:5" x14ac:dyDescent="0.25">
      <c r="C28" s="26"/>
      <c r="D28" s="26"/>
      <c r="E28" s="26"/>
    </row>
    <row r="29" spans="3:5" x14ac:dyDescent="0.25">
      <c r="C29" s="26"/>
      <c r="D29" s="26"/>
      <c r="E29"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51"/>
  <sheetViews>
    <sheetView workbookViewId="0" showGridLines="0" zoomScale="100" zoomScaleNormal="100">
      <selection activeCell="J6" sqref="J6"/>
    </sheetView>
  </sheetViews>
  <sheetFormatPr defaultRowHeight="15" outlineLevelRow="0" outlineLevelCol="0" x14ac:dyDescent="0.2" defaultColWidth="8.83203125"/>
  <cols>
    <col min="1" max="2" width="21.33203125" customWidth="1"/>
    <col min="3" max="5" width="19.6640625" customWidth="1"/>
  </cols>
  <sheetData>
    <row r="1" spans="1:1" x14ac:dyDescent="0.25">
      <c r="A1" t="str">
        <f>HOME!B4</f>
        <v>PT RAJA VOLTAMA ELEKTRIK</v>
      </c>
    </row>
    <row r="2" spans="1:1" x14ac:dyDescent="0.25">
      <c r="A2" t="s">
        <v>2332</v>
      </c>
    </row>
    <row r="3" spans="1:1" x14ac:dyDescent="0.25">
      <c r="A3" t="str">
        <f>'BALANCE SHEET'!A3</f>
        <v>(IDR)</v>
      </c>
    </row>
    <row r="4" spans="1:9" x14ac:dyDescent="0.25">
      <c r="A4" s="24"/>
      <c r="B4" s="24"/>
      <c r="C4" s="24">
        <f>'INCOME STATEMENT'!D5</f>
        <v>2019</v>
      </c>
      <c r="D4" s="24">
        <f>'INCOME STATEMENT'!E5</f>
        <v>2020</v>
      </c>
      <c r="E4" s="24">
        <f>'INCOME STATEMENT'!F5</f>
        <v>2021</v>
      </c>
      <c r="I4" t="s">
        <v>2223</v>
      </c>
    </row>
    <row r="5" spans="1:10" x14ac:dyDescent="0.25">
      <c r="A5" t="s">
        <v>2291</v>
      </c>
      <c r="C5" s="26">
        <f>'INCOME STATEMENT'!D18</f>
        <v>6048346987</v>
      </c>
      <c r="D5" s="26">
        <f>'INCOME STATEMENT'!E18</f>
        <v>6413419305</v>
      </c>
      <c r="E5" s="26">
        <f>'INCOME STATEMENT'!F18</f>
        <v>7493446732</v>
      </c>
      <c r="I5" s="65"/>
      <c r="J5" t="str">
        <f>"Angkanya didapat dari saldo "&amp;C4&amp;" - "&amp;C4-1&amp;", karena "&amp;C4-1&amp;" ada LK-nya sehingga diisi sekalian di Balance Sheet biar otomatis nyambung."</f>
        <v>Angkanya didapat dari saldo 2019 - 2018, karena 2018 ada LK-nya sehingga diisi sekalian di Balance Sheet biar otomatis nyambung.</v>
      </c>
    </row>
    <row r="6" spans="1:5" x14ac:dyDescent="0.25">
      <c r="A6" t="s">
        <v>2302</v>
      </c>
      <c r="C6" s="26">
        <f>'INCOME STATEMENT'!D33</f>
        <v>-1468617812</v>
      </c>
      <c r="D6" s="26">
        <f>'INCOME STATEMENT'!E33</f>
        <v>-1375456720</v>
      </c>
      <c r="E6" s="26">
        <f>'INCOME STATEMENT'!F33</f>
        <v>-1613364280</v>
      </c>
    </row>
    <row r="7" spans="1:5" x14ac:dyDescent="0.25">
      <c r="A7" t="s">
        <v>2333</v>
      </c>
      <c r="C7" s="26"/>
      <c r="D7" s="26"/>
      <c r="E7" s="26"/>
    </row>
    <row r="8" spans="2:5" x14ac:dyDescent="0.25">
      <c r="B8" t="s">
        <v>2232</v>
      </c>
      <c r="C8" s="66">
        <f>('BALANCE SHEET'!D10+'BALANCE SHEET'!D11+'BALANCE SHEET'!D12+'BALANCE SHEET'!D14)*-1</f>
        <v>-7632127401</v>
      </c>
      <c r="D8" s="67">
        <f>(('BALANCE SHEET'!E10+'BALANCE SHEET'!E11+'BALANCE SHEET'!E12+'BALANCE SHEET'!E14)-('BALANCE SHEET'!D10+'BALANCE SHEET'!D11+'BALANCE SHEET'!D12+'BALANCE SHEET'!D14))*-1</f>
        <v>-2434646395</v>
      </c>
      <c r="E8" s="67">
        <f>(('BALANCE SHEET'!F10+'BALANCE SHEET'!F11+'BALANCE SHEET'!F12+'BALANCE SHEET'!F14)-('BALANCE SHEET'!E10+'BALANCE SHEET'!E11+'BALANCE SHEET'!E12+'BALANCE SHEET'!E14))*-1</f>
        <v>1913225999</v>
      </c>
    </row>
    <row r="9" spans="2:5" x14ac:dyDescent="0.25">
      <c r="B9" t="s">
        <v>2248</v>
      </c>
      <c r="C9" s="39">
        <f>('BALANCE SHEET'!D31+'BALANCE SHEET'!D32+'BALANCE SHEET'!D33+'BALANCE SHEET'!D34)-('BALANCE SHEET'!C31+'BALANCE SHEET'!C32+'BALANCE SHEET'!C33+'BALANCE SHEET'!C34)</f>
        <v>2120067101</v>
      </c>
      <c r="D9" s="39">
        <f>('BALANCE SHEET'!E31+'BALANCE SHEET'!E32+'BALANCE SHEET'!E33+'BALANCE SHEET'!E34)-('BALANCE SHEET'!D31+'BALANCE SHEET'!D32+'BALANCE SHEET'!D33+'BALANCE SHEET'!D34)</f>
        <v>-747696052</v>
      </c>
      <c r="E9" s="39">
        <f>('BALANCE SHEET'!F31+'BALANCE SHEET'!F32+'BALANCE SHEET'!F33+'BALANCE SHEET'!F34)-('BALANCE SHEET'!E31+'BALANCE SHEET'!E32+'BALANCE SHEET'!E33+'BALANCE SHEET'!E34)</f>
        <v>-2039568042</v>
      </c>
    </row>
    <row r="10" spans="1:5" x14ac:dyDescent="0.25">
      <c r="A10" t="s">
        <v>2334</v>
      </c>
      <c r="C10" s="68">
        <f>+C8+C9</f>
        <v>-5512060300</v>
      </c>
      <c r="D10" s="68">
        <f>+D8+D9</f>
        <v>-3182342447</v>
      </c>
      <c r="E10" s="68">
        <f>+E8+E9</f>
        <v>-126342043</v>
      </c>
    </row>
    <row r="11" spans="1:5" x14ac:dyDescent="0.25">
      <c r="A11" s="33" t="s">
        <v>2335</v>
      </c>
      <c r="B11" s="33"/>
      <c r="C11" s="38">
        <f>SUM(C5:C9)</f>
        <v>-932331125</v>
      </c>
      <c r="D11" s="38">
        <f>SUM(D5:D9)</f>
        <v>1855620138</v>
      </c>
      <c r="E11" s="38">
        <f>SUM(E5:E9)</f>
        <v>5753740409</v>
      </c>
    </row>
    <row r="12" spans="3:5" x14ac:dyDescent="0.25">
      <c r="C12" s="26"/>
      <c r="D12" s="26"/>
      <c r="E12" s="26"/>
    </row>
    <row r="13" spans="1:5" x14ac:dyDescent="0.25">
      <c r="A13" s="34" t="s">
        <v>2336</v>
      </c>
      <c r="B13" s="34"/>
      <c r="C13" s="35">
        <f>'INCOME STATEMENT'!D30</f>
        <v>0</v>
      </c>
      <c r="D13" s="35">
        <f>'INCOME STATEMENT'!E30</f>
        <v>0</v>
      </c>
      <c r="E13" s="35">
        <f>'INCOME STATEMENT'!F30</f>
        <v>0</v>
      </c>
    </row>
    <row r="14" spans="3:5" x14ac:dyDescent="0.25">
      <c r="C14" s="26"/>
      <c r="D14" s="26"/>
      <c r="E14" s="26"/>
    </row>
    <row r="15" spans="3:5" x14ac:dyDescent="0.25">
      <c r="C15" s="26"/>
      <c r="D15" s="26"/>
      <c r="E15" s="26"/>
    </row>
    <row r="16" spans="2:2" x14ac:dyDescent="0.25">
      <c r="B16" s="4"/>
    </row>
    <row r="17" spans="1:5" x14ac:dyDescent="0.25">
      <c r="A17" s="33" t="s">
        <v>2337</v>
      </c>
      <c r="B17" s="33"/>
      <c r="C17" s="38">
        <f>'FIXED ASSET'!C23*-1</f>
        <v>0</v>
      </c>
      <c r="D17" s="38">
        <f>'FIXED ASSET'!D23*-1</f>
        <v>-49586000</v>
      </c>
      <c r="E17" s="38">
        <f>'FIXED ASSET'!E23*-1</f>
        <v>-412288044</v>
      </c>
    </row>
    <row r="18" spans="3:5" x14ac:dyDescent="0.25">
      <c r="C18" s="26"/>
      <c r="D18" s="26"/>
      <c r="E18" s="26"/>
    </row>
    <row r="19" spans="1:5" x14ac:dyDescent="0.25">
      <c r="A19" s="33" t="s">
        <v>2338</v>
      </c>
      <c r="B19" s="34"/>
      <c r="C19" s="38">
        <f>C11+C13+C17</f>
        <v>-932331125</v>
      </c>
      <c r="D19" s="38">
        <f>D11+D13+D17</f>
        <v>1806034138</v>
      </c>
      <c r="E19" s="38">
        <f>E11+E13+E17</f>
        <v>5341452365</v>
      </c>
    </row>
    <row r="20" spans="3:5" x14ac:dyDescent="0.25">
      <c r="C20" s="26"/>
      <c r="D20" s="26"/>
      <c r="E20" s="26"/>
    </row>
    <row r="21" spans="1:5" x14ac:dyDescent="0.25">
      <c r="A21" t="s">
        <v>2339</v>
      </c>
      <c r="C21" s="26"/>
      <c r="D21" s="26"/>
      <c r="E21" s="26"/>
    </row>
    <row r="22" spans="2:5" x14ac:dyDescent="0.25">
      <c r="B22" t="s">
        <v>2340</v>
      </c>
      <c r="C22" s="69">
        <v>0</v>
      </c>
      <c r="D22" s="69">
        <v>0</v>
      </c>
      <c r="E22" s="69">
        <v>0</v>
      </c>
    </row>
    <row r="23" spans="2:5" x14ac:dyDescent="0.25">
      <c r="B23" t="s">
        <v>2341</v>
      </c>
      <c r="C23" s="26">
        <f>'ACC PAYABLES'!C10+'ACC PAYABLES'!C19</f>
        <v>0</v>
      </c>
      <c r="D23" s="26">
        <f>'ACC PAYABLES'!D10+'ACC PAYABLES'!D19</f>
        <v>0</v>
      </c>
      <c r="E23" s="26">
        <f>'ACC PAYABLES'!E10+'ACC PAYABLES'!E19</f>
        <v>0</v>
      </c>
    </row>
    <row r="24" spans="2:5" x14ac:dyDescent="0.25">
      <c r="B24" t="s">
        <v>2342</v>
      </c>
      <c r="C24" s="26">
        <f>'INCOME STATEMENT'!D27</f>
        <v>0</v>
      </c>
      <c r="D24" s="26">
        <f>'INCOME STATEMENT'!E27</f>
        <v>-29379815</v>
      </c>
      <c r="E24" s="26">
        <f>'INCOME STATEMENT'!F27</f>
        <v>-19483450</v>
      </c>
    </row>
    <row r="25" spans="2:5" x14ac:dyDescent="0.25">
      <c r="B25" t="s">
        <v>2297</v>
      </c>
      <c r="C25" s="26">
        <f>'INCOME STATEMENT'!D26</f>
        <v>0</v>
      </c>
      <c r="D25" s="26">
        <f>'INCOME STATEMENT'!E26</f>
        <v>146899087</v>
      </c>
      <c r="E25" s="26">
        <f>'INCOME STATEMENT'!F26</f>
        <v>105200220</v>
      </c>
    </row>
    <row r="26" spans="2:5" x14ac:dyDescent="0.25">
      <c r="B26" t="s">
        <v>2343</v>
      </c>
      <c r="C26" s="26">
        <f>'ACC PAYABLES'!C20</f>
        <v>0</v>
      </c>
      <c r="D26" s="26">
        <f>'ACC PAYABLES'!D20</f>
        <v>0</v>
      </c>
      <c r="E26" s="26">
        <f>'ACC PAYABLES'!E20</f>
        <v>0</v>
      </c>
    </row>
    <row r="27" spans="3:5" x14ac:dyDescent="0.25">
      <c r="C27" s="26"/>
      <c r="D27" s="26"/>
      <c r="E27" s="26"/>
    </row>
    <row r="28" spans="1:5" x14ac:dyDescent="0.25">
      <c r="A28" s="33" t="s">
        <v>2344</v>
      </c>
      <c r="B28" s="34"/>
      <c r="C28" s="38">
        <f>SUM(C22:C26)</f>
        <v>0</v>
      </c>
      <c r="D28" s="38">
        <f>SUM(D22:D26)</f>
        <v>117519272</v>
      </c>
      <c r="E28" s="38">
        <f>SUM(E22:E26)</f>
        <v>85716770</v>
      </c>
    </row>
    <row r="29" spans="3:5" x14ac:dyDescent="0.25">
      <c r="C29" s="26"/>
      <c r="D29" s="26"/>
      <c r="E29" s="26"/>
    </row>
    <row r="30" ht="16" customHeight="1" spans="1:5" x14ac:dyDescent="0.25">
      <c r="A30" s="43" t="s">
        <v>2345</v>
      </c>
      <c r="B30" s="43"/>
      <c r="C30" s="45">
        <f>+C11+C13+C17+C28</f>
        <v>-932331125</v>
      </c>
      <c r="D30" s="45">
        <f>+D11+D13+D17+D28</f>
        <v>1923553410</v>
      </c>
      <c r="E30" s="45">
        <f>+E11+E13+E17+E28</f>
        <v>5427169135</v>
      </c>
    </row>
    <row r="31" ht="16" customHeight="1" spans="3:5" x14ac:dyDescent="0.25">
      <c r="C31" s="26"/>
      <c r="D31" s="26"/>
      <c r="E31" s="26"/>
    </row>
    <row r="32" spans="1:5" x14ac:dyDescent="0.25">
      <c r="A32" t="s">
        <v>2346</v>
      </c>
      <c r="C32" s="65">
        <f>+'BALANCE SHEET'!C8+'BALANCE SHEET'!C9</f>
        <v>16172870131</v>
      </c>
      <c r="D32" s="26">
        <f>C33</f>
        <v>8032296982</v>
      </c>
      <c r="E32" s="26">
        <f>D33</f>
        <v>8558587497</v>
      </c>
    </row>
    <row r="33" spans="1:5" x14ac:dyDescent="0.25">
      <c r="A33" s="33" t="s">
        <v>2347</v>
      </c>
      <c r="B33" s="34"/>
      <c r="C33" s="38">
        <f>'BALANCE SHEET'!D8+'BALANCE SHEET'!D9</f>
        <v>8032296982</v>
      </c>
      <c r="D33" s="38">
        <f>'BALANCE SHEET'!E8+'BALANCE SHEET'!E9</f>
        <v>8558587497</v>
      </c>
      <c r="E33" s="38">
        <f>'BALANCE SHEET'!F8+'BALANCE SHEET'!F9</f>
        <v>16287589891</v>
      </c>
    </row>
    <row r="34" spans="3:5" x14ac:dyDescent="0.25">
      <c r="C34" s="26"/>
      <c r="D34" s="26"/>
      <c r="E34" s="26"/>
    </row>
    <row r="35" spans="1:5" x14ac:dyDescent="0.25">
      <c r="A35" t="s">
        <v>2348</v>
      </c>
      <c r="C35" s="26">
        <f>'BALANCE SHEET'!D9</f>
        <v>332586949</v>
      </c>
      <c r="D35" s="26">
        <f>'BALANCE SHEET'!E9</f>
        <v>5223888582</v>
      </c>
      <c r="E35" s="26">
        <f>'BALANCE SHEET'!F9</f>
        <v>9652447673</v>
      </c>
    </row>
    <row r="36" ht="16" customHeight="1" spans="1:5" x14ac:dyDescent="0.25">
      <c r="A36" s="48" t="s">
        <v>2349</v>
      </c>
      <c r="B36" s="48"/>
      <c r="C36" s="70">
        <f>'BALANCE SHEET'!D8</f>
        <v>7699710033</v>
      </c>
      <c r="D36" s="70">
        <f>'BALANCE SHEET'!E8</f>
        <v>3334698915</v>
      </c>
      <c r="E36" s="70">
        <f>'BALANCE SHEET'!F8</f>
        <v>6635142218</v>
      </c>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selection activeCell="B8" sqref="B8"/>
    </sheetView>
  </sheetViews>
  <sheetFormatPr defaultRowHeight="15" outlineLevelRow="0" outlineLevelCol="0" x14ac:dyDescent="0.2" defaultColWidth="8.83203125"/>
  <cols>
    <col min="1" max="1" width="51.1640625" customWidth="1"/>
    <col min="2" max="4" width="20.5" customWidth="1"/>
    <col min="5" max="11" width="10.5" hidden="1" customWidth="1"/>
  </cols>
  <sheetData>
    <row r="1" spans="1:1" x14ac:dyDescent="0.25">
      <c r="A1" t="str">
        <f>HOME!B4</f>
        <v>PT RAJA VOLTAMA ELEKTRIK</v>
      </c>
    </row>
    <row r="2" spans="1:1" x14ac:dyDescent="0.25">
      <c r="A2" t="s">
        <v>2561</v>
      </c>
    </row>
    <row r="3" spans="1:1" x14ac:dyDescent="0.25">
      <c r="A3" t="str">
        <f>'BALANCE SHEET'!A3</f>
        <v>(IDR)</v>
      </c>
    </row>
    <row r="4" spans="5:11" x14ac:dyDescent="0.25">
      <c r="E4" s="197" t="s">
        <v>19</v>
      </c>
      <c r="F4" s="197"/>
      <c r="G4" s="197"/>
      <c r="H4" s="197"/>
      <c r="I4" s="197"/>
      <c r="J4" s="197"/>
      <c r="K4" s="197"/>
    </row>
    <row r="5" spans="1:11" x14ac:dyDescent="0.25">
      <c r="A5" s="83"/>
      <c r="B5" s="24">
        <f>FCF!C5</f>
        <v>2019</v>
      </c>
      <c r="C5" s="24">
        <f>B5+1</f>
        <v>2020</v>
      </c>
      <c r="D5" s="24">
        <f t="shared" ref="D5:K5" si="0">C5+1</f>
        <v>2021</v>
      </c>
      <c r="E5" s="24">
        <f t="shared" si="0"/>
        <v>2022</v>
      </c>
      <c r="F5" s="24">
        <f t="shared" si="0"/>
        <v>2023</v>
      </c>
      <c r="G5" s="24">
        <f t="shared" si="0"/>
        <v>2024</v>
      </c>
      <c r="H5" s="24">
        <f t="shared" si="0"/>
        <v>2025</v>
      </c>
      <c r="I5" s="24">
        <f t="shared" si="0"/>
        <v>2026</v>
      </c>
      <c r="J5" s="24">
        <f t="shared" si="0"/>
        <v>2027</v>
      </c>
      <c r="K5" s="24">
        <f t="shared" si="0"/>
        <v>2028</v>
      </c>
    </row>
    <row r="6" spans="2:11" x14ac:dyDescent="0.25">
      <c r="B6" s="23"/>
      <c r="C6" s="23"/>
      <c r="D6" s="23"/>
      <c r="E6" s="198"/>
      <c r="F6" s="198"/>
      <c r="G6" s="198"/>
      <c r="H6" s="198"/>
      <c r="I6" s="198"/>
      <c r="J6" s="198"/>
      <c r="K6" s="198"/>
    </row>
    <row r="7" spans="1:11" x14ac:dyDescent="0.25">
      <c r="A7" s="4" t="s">
        <v>2425</v>
      </c>
      <c r="B7" s="92">
        <f>FCF!C20</f>
        <v>-1280082601</v>
      </c>
      <c r="C7" s="92">
        <f>FCF!D20</f>
        <v>1483348156</v>
      </c>
      <c r="D7" s="92">
        <f>FCF!E20</f>
        <v>5021507390</v>
      </c>
      <c r="E7" s="69">
        <f>DCF!D20</f>
        <v>-36528651640.709785</v>
      </c>
      <c r="F7" s="69">
        <f>DCF!E20</f>
        <v>-634461085546.7982</v>
      </c>
      <c r="G7" s="69">
        <f>DCF!F20</f>
        <v>-9845395220476.354</v>
      </c>
      <c r="H7" s="69">
        <f>DCF!G20</f>
        <v>0</v>
      </c>
      <c r="I7" s="69">
        <f>DCF!H20</f>
        <v>0</v>
      </c>
      <c r="J7" s="69">
        <f>DCF!I20</f>
        <v>0</v>
      </c>
      <c r="K7" s="69">
        <f>DCF!J20</f>
        <v>0</v>
      </c>
    </row>
    <row r="8" spans="1:11" x14ac:dyDescent="0.25">
      <c r="A8" s="33" t="s">
        <v>2562</v>
      </c>
      <c r="B8" s="199">
        <f>'INCOME STATEMENT'!D30</f>
        <v>0</v>
      </c>
      <c r="C8" s="199">
        <f>'INCOME STATEMENT'!E30</f>
        <v>0</v>
      </c>
      <c r="D8" s="199">
        <f>'INCOME STATEMENT'!F30</f>
        <v>0</v>
      </c>
      <c r="E8" s="200">
        <f>'PROY LR'!D34</f>
        <v>0</v>
      </c>
      <c r="F8" s="200">
        <f>'PROY LR'!E34</f>
        <v>0</v>
      </c>
      <c r="G8" s="200">
        <f>'PROY LR'!F34</f>
        <v>0</v>
      </c>
      <c r="H8" s="200">
        <f>'PROY LR'!G34</f>
        <v>0</v>
      </c>
      <c r="I8" s="200">
        <f>'PROY LR'!H34</f>
        <v>0</v>
      </c>
      <c r="J8" s="200">
        <f>'PROY LR'!I34</f>
        <v>0</v>
      </c>
      <c r="K8" s="200">
        <f>'PROY LR'!J34</f>
        <v>0</v>
      </c>
    </row>
    <row r="9" spans="1:11" x14ac:dyDescent="0.25">
      <c r="A9" s="33" t="s">
        <v>2563</v>
      </c>
      <c r="B9" s="199">
        <f>B7+B8</f>
        <v>-1280082601</v>
      </c>
      <c r="C9" s="199">
        <f>C7+C8</f>
        <v>1483348156</v>
      </c>
      <c r="D9" s="199">
        <f>D7+D8</f>
        <v>5021507390</v>
      </c>
      <c r="E9" s="201">
        <f>E7+E8</f>
        <v>-36528651640.709785</v>
      </c>
      <c r="F9" s="201">
        <f t="shared" ref="F9:K9" si="1">F7+F8</f>
        <v>-634461085546.7982</v>
      </c>
      <c r="G9" s="201">
        <f t="shared" si="1"/>
        <v>-9845395220476.354</v>
      </c>
      <c r="H9" s="201">
        <f t="shared" si="1"/>
        <v>0</v>
      </c>
      <c r="I9" s="201">
        <f t="shared" si="1"/>
        <v>0</v>
      </c>
      <c r="J9" s="201">
        <f t="shared" si="1"/>
        <v>0</v>
      </c>
      <c r="K9" s="201">
        <f t="shared" si="1"/>
        <v>0</v>
      </c>
    </row>
  </sheetData>
  <mergeCells count="1">
    <mergeCell ref="E4:K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28"/>
  <sheetViews>
    <sheetView workbookViewId="0" zoomScale="100" zoomScaleNormal="100">
      <selection activeCell="F9" sqref="F9"/>
    </sheetView>
  </sheetViews>
  <sheetFormatPr defaultRowHeight="15" outlineLevelRow="0" outlineLevelCol="0" x14ac:dyDescent="0.2" defaultColWidth="8.83203125"/>
  <cols>
    <col min="1" max="1" width="42.5" customWidth="1"/>
    <col min="2" max="3" width="17" customWidth="1"/>
    <col min="4" max="4" width="18" customWidth="1"/>
    <col min="9" max="9" width="16.83203125" customWidth="1"/>
  </cols>
  <sheetData>
    <row r="1" spans="1:1" x14ac:dyDescent="0.25">
      <c r="A1" t="str">
        <f>HOME!B4</f>
        <v>PT RAJA VOLTAMA ELEKTRIK</v>
      </c>
    </row>
    <row r="2" spans="1:1" x14ac:dyDescent="0.25">
      <c r="A2" t="s">
        <v>2441</v>
      </c>
    </row>
    <row r="3" spans="1:1" x14ac:dyDescent="0.25">
      <c r="A3" t="str">
        <f>'BALANCE SHEET'!A3</f>
        <v>(IDR)</v>
      </c>
    </row>
    <row r="5" spans="1:4" x14ac:dyDescent="0.25">
      <c r="A5" s="83"/>
      <c r="B5" s="24">
        <f>'BALANCE SHEET'!D4</f>
        <v>2019</v>
      </c>
      <c r="C5" s="24">
        <f>B5+1</f>
        <v>2020</v>
      </c>
      <c r="D5" s="24">
        <f>C5+1</f>
        <v>2021</v>
      </c>
    </row>
    <row r="6" spans="1:4" x14ac:dyDescent="0.25">
      <c r="A6" s="20"/>
      <c r="B6" s="23"/>
      <c r="C6" s="23"/>
      <c r="D6" s="23"/>
    </row>
    <row r="7" spans="1:4" x14ac:dyDescent="0.25">
      <c r="A7" s="91" t="s">
        <v>2426</v>
      </c>
      <c r="B7" s="92">
        <f>FCF!C20</f>
        <v>-1280082601</v>
      </c>
      <c r="C7" s="92">
        <f>FCF!D20</f>
        <v>1483348156</v>
      </c>
      <c r="D7" s="92">
        <f>FCF!E20</f>
        <v>5021507390</v>
      </c>
    </row>
    <row r="8" spans="1:4" x14ac:dyDescent="0.25">
      <c r="A8" t="s">
        <v>2442</v>
      </c>
      <c r="B8" s="92">
        <f>'BALANCE SHEET'!D27</f>
        <v>25726226037</v>
      </c>
      <c r="C8" s="92">
        <f>'BALANCE SHEET'!E27</f>
        <v>29972668851</v>
      </c>
      <c r="D8" s="92">
        <f>'BALANCE SHEET'!F27</f>
        <v>33636118733</v>
      </c>
    </row>
    <row r="9" spans="1:6" x14ac:dyDescent="0.25">
      <c r="A9" t="s">
        <v>2443</v>
      </c>
      <c r="B9" s="65"/>
      <c r="C9" s="65"/>
      <c r="D9" s="65"/>
      <c r="F9" t="s">
        <v>2444</v>
      </c>
    </row>
    <row r="10" spans="1:4" x14ac:dyDescent="0.25">
      <c r="A10" t="s">
        <v>2445</v>
      </c>
      <c r="B10" s="65">
        <f>'BALANCE SHEET'!D8*-1</f>
        <v>-7699710033</v>
      </c>
      <c r="C10" s="65">
        <f>'BALANCE SHEET'!E8*-1</f>
        <v>-3334698915</v>
      </c>
      <c r="D10" s="65">
        <f>'BALANCE SHEET'!F8*-1</f>
        <v>-6635142218</v>
      </c>
    </row>
    <row r="11" spans="1:4" x14ac:dyDescent="0.25">
      <c r="A11" t="s">
        <v>2446</v>
      </c>
      <c r="B11" s="65">
        <v>0</v>
      </c>
      <c r="C11" s="65">
        <v>0</v>
      </c>
      <c r="D11" s="65">
        <v>0</v>
      </c>
    </row>
    <row r="12" spans="1:4" x14ac:dyDescent="0.25">
      <c r="A12" t="s">
        <v>2447</v>
      </c>
      <c r="B12" s="92">
        <f>SUM(B8:B11)</f>
        <v>18026516004</v>
      </c>
      <c r="C12" s="92">
        <f>SUM(C8:C11)</f>
        <v>26637969936</v>
      </c>
      <c r="D12" s="92">
        <f>SUM(D8:D11)</f>
        <v>27000976515</v>
      </c>
    </row>
    <row r="13" spans="1:4" x14ac:dyDescent="0.25">
      <c r="A13" t="s">
        <v>2448</v>
      </c>
      <c r="B13" s="39"/>
      <c r="C13" s="92">
        <f>B12</f>
        <v>18026516004</v>
      </c>
      <c r="D13" s="92">
        <f>C12</f>
        <v>26637969936</v>
      </c>
    </row>
    <row r="14" spans="2:4" x14ac:dyDescent="0.25">
      <c r="B14" s="39"/>
      <c r="C14" s="39"/>
      <c r="D14" s="39"/>
    </row>
    <row r="15" spans="1:4" x14ac:dyDescent="0.25">
      <c r="A15" s="4" t="s">
        <v>2449</v>
      </c>
      <c r="B15" s="39"/>
      <c r="C15" s="93">
        <f>C7/C13</f>
        <v>0.08228701295751503</v>
      </c>
      <c r="D15" s="93">
        <f>D7/D13</f>
        <v>0.18850938724176808</v>
      </c>
    </row>
    <row r="16" spans="2:4" x14ac:dyDescent="0.25">
      <c r="B16" s="26"/>
      <c r="C16" s="26"/>
      <c r="D16" s="26"/>
    </row>
    <row r="17" spans="2:4" x14ac:dyDescent="0.25">
      <c r="B17" s="26"/>
      <c r="C17" s="26"/>
      <c r="D17" s="26"/>
    </row>
    <row r="18" spans="1:4" x14ac:dyDescent="0.25">
      <c r="A18" s="4" t="s">
        <v>2450</v>
      </c>
      <c r="B18" s="26"/>
      <c r="C18" s="26"/>
      <c r="D18" s="26"/>
    </row>
    <row r="19" spans="1:4" x14ac:dyDescent="0.25">
      <c r="A19" t="s">
        <v>2451</v>
      </c>
      <c r="B19" s="26"/>
      <c r="C19" s="26"/>
      <c r="D19" s="26"/>
    </row>
    <row r="20" spans="1:4" x14ac:dyDescent="0.25">
      <c r="A20" t="s">
        <v>2452</v>
      </c>
      <c r="B20" s="26"/>
      <c r="C20" s="26"/>
      <c r="D20" s="26"/>
    </row>
    <row r="21" spans="2:4" x14ac:dyDescent="0.25">
      <c r="B21" s="26"/>
      <c r="C21" s="26"/>
      <c r="D21" s="26"/>
    </row>
    <row r="22" spans="2:4" x14ac:dyDescent="0.25">
      <c r="B22" s="26"/>
      <c r="C22" s="26"/>
      <c r="D22" s="26"/>
    </row>
    <row r="27" spans="9:9" x14ac:dyDescent="0.25">
      <c r="I27" s="64"/>
    </row>
    <row r="28" spans="9:9" x14ac:dyDescent="0.25">
      <c r="I28" s="6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E23"/>
  <sheetViews>
    <sheetView workbookViewId="0" showGridLines="0" zoomScale="100" zoomScaleNormal="100">
      <selection activeCell="A15" sqref="A15"/>
    </sheetView>
  </sheetViews>
  <sheetFormatPr defaultRowHeight="15" outlineLevelRow="0" outlineLevelCol="0" x14ac:dyDescent="0.2" defaultColWidth="8.83203125"/>
  <cols>
    <col min="1" max="1" width="66.5" customWidth="1"/>
    <col min="2" max="3" width="17" customWidth="1"/>
    <col min="4" max="4" width="19.6640625" customWidth="1"/>
    <col min="5" max="5" width="20.5" customWidth="1"/>
    <col min="6" max="8" width="12.33203125" customWidth="1"/>
    <col min="9" max="10" width="11.5" customWidth="1"/>
  </cols>
  <sheetData>
    <row r="1" spans="1:1" x14ac:dyDescent="0.25">
      <c r="A1" t="str">
        <f>HOME!B4</f>
        <v>PT RAJA VOLTAMA ELEKTRIK</v>
      </c>
    </row>
    <row r="2" spans="1:1" x14ac:dyDescent="0.25">
      <c r="A2" t="s">
        <v>2919</v>
      </c>
    </row>
    <row r="4" spans="1:3" x14ac:dyDescent="0.25">
      <c r="A4" s="567"/>
      <c r="B4" s="24">
        <f>ROIC!C5</f>
        <v>2020</v>
      </c>
      <c r="C4" s="24">
        <f>ROIC!D5</f>
        <v>2021</v>
      </c>
    </row>
    <row r="6" spans="1:3" x14ac:dyDescent="0.25">
      <c r="A6" t="s">
        <v>2920</v>
      </c>
      <c r="B6" s="26">
        <f>'FIXED ASSET'!D69</f>
        <v>6012024389</v>
      </c>
      <c r="C6" s="26">
        <f>'FIXED ASSET'!E69</f>
        <v>6264339945</v>
      </c>
    </row>
    <row r="7" spans="1:3" x14ac:dyDescent="0.25">
      <c r="A7" t="s">
        <v>2921</v>
      </c>
      <c r="B7" s="26">
        <f>'BALANCE SHEET'!E16</f>
        <v>23960644462</v>
      </c>
      <c r="C7" s="26">
        <f>'BALANCE SHEET'!F16</f>
        <v>27371778788</v>
      </c>
    </row>
    <row r="8" spans="1:5" x14ac:dyDescent="0.25">
      <c r="A8" t="s">
        <v>2922</v>
      </c>
      <c r="B8" s="37">
        <f>'BALANCE SHEET'!D22*-1</f>
        <v>-6123781380</v>
      </c>
      <c r="C8" s="37">
        <f>'BALANCE SHEET'!E22*-1</f>
        <v>-6012024389</v>
      </c>
      <c r="E8" s="77"/>
    </row>
    <row r="9" spans="1:3" x14ac:dyDescent="0.25">
      <c r="A9" t="s">
        <v>2923</v>
      </c>
      <c r="B9" s="37">
        <f>'BALANCE SHEET'!D16*-1</f>
        <v>-19602444657</v>
      </c>
      <c r="C9" s="37">
        <f>'BALANCE SHEET'!E16*-1</f>
        <v>-23960644462</v>
      </c>
    </row>
    <row r="10" spans="1:3" x14ac:dyDescent="0.25">
      <c r="A10" s="4" t="s">
        <v>2924</v>
      </c>
      <c r="B10" s="37">
        <f>SUM(B6:B9)</f>
        <v>4246442814</v>
      </c>
      <c r="C10" s="37">
        <f>SUM(C6:C9)</f>
        <v>3663449882</v>
      </c>
    </row>
    <row r="11" spans="2:3" x14ac:dyDescent="0.25">
      <c r="B11" s="26"/>
      <c r="C11" s="26"/>
    </row>
    <row r="12" spans="1:3" x14ac:dyDescent="0.25">
      <c r="A12" s="4" t="s">
        <v>2925</v>
      </c>
      <c r="B12" s="37">
        <f>ROIC!B12</f>
        <v>18026516004</v>
      </c>
      <c r="C12" s="37">
        <f>ROIC!C12</f>
        <v>26637969936</v>
      </c>
    </row>
    <row r="14" spans="1:3" x14ac:dyDescent="0.25">
      <c r="A14" s="4" t="s">
        <v>2926</v>
      </c>
      <c r="B14" s="568">
        <f>B10/B12</f>
        <v>0.2355664740240285</v>
      </c>
      <c r="C14" s="568">
        <f>C10/C12</f>
        <v>0.1375273675434634</v>
      </c>
    </row>
    <row r="15" spans="1:2" x14ac:dyDescent="0.25">
      <c r="A15" s="4" t="s">
        <v>2383</v>
      </c>
      <c r="B15" s="569">
        <f>AVERAGE(B14:C14)</f>
        <v>0.18654692078374596</v>
      </c>
    </row>
    <row r="20" spans="1:1" x14ac:dyDescent="0.25">
      <c r="A20" s="277"/>
    </row>
    <row r="23" spans="2:2" x14ac:dyDescent="0.25">
      <c r="B23" s="569"/>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30"/>
  <sheetViews>
    <sheetView workbookViewId="0" showGridLines="0" zoomScale="100" zoomScaleNormal="100">
      <selection activeCell="B7" sqref="B7"/>
    </sheetView>
  </sheetViews>
  <sheetFormatPr defaultRowHeight="15" outlineLevelRow="0" outlineLevelCol="0" x14ac:dyDescent="0.2" defaultColWidth="8.83203125"/>
  <cols>
    <col min="1" max="1" width="28.6640625" customWidth="1"/>
    <col min="2" max="2" width="27.33203125" customWidth="1"/>
    <col min="3" max="3" width="34.5" customWidth="1"/>
    <col min="4" max="6" width="17" customWidth="1"/>
    <col min="7" max="7" width="12.6640625" customWidth="1"/>
  </cols>
  <sheetData>
    <row r="1" spans="1:1" x14ac:dyDescent="0.25">
      <c r="A1" t="str">
        <f>HOME!B4</f>
        <v>PT RAJA VOLTAMA ELEKTRIK</v>
      </c>
    </row>
    <row r="2" spans="1:1" x14ac:dyDescent="0.25">
      <c r="A2" t="s">
        <v>2380</v>
      </c>
    </row>
    <row r="4" spans="1:7" x14ac:dyDescent="0.25">
      <c r="A4" s="78"/>
      <c r="B4" s="78" t="s">
        <v>2381</v>
      </c>
      <c r="C4" s="24" t="s">
        <v>2382</v>
      </c>
      <c r="D4" s="24">
        <f>ROIC!B5</f>
        <v>2019</v>
      </c>
      <c r="E4" s="24">
        <f>ROIC!C5</f>
        <v>2020</v>
      </c>
      <c r="F4" s="24">
        <f>ROIC!D5</f>
        <v>2021</v>
      </c>
      <c r="G4" s="24" t="s">
        <v>2383</v>
      </c>
    </row>
    <row r="5" spans="1:7" x14ac:dyDescent="0.25">
      <c r="A5" s="79" t="s">
        <v>2384</v>
      </c>
      <c r="B5" t="s">
        <v>2384</v>
      </c>
      <c r="C5" t="s">
        <v>2382</v>
      </c>
      <c r="D5" s="46" t="s">
        <v>2385</v>
      </c>
      <c r="E5" s="46" t="s">
        <v>2386</v>
      </c>
      <c r="F5" s="46" t="s">
        <v>2387</v>
      </c>
      <c r="G5" s="80" t="s">
        <v>2388</v>
      </c>
    </row>
    <row r="6" spans="2:7" x14ac:dyDescent="0.25">
      <c r="B6" t="s">
        <v>2285</v>
      </c>
      <c r="C6" t="s">
        <v>2389</v>
      </c>
      <c r="D6" s="46">
        <f>'INCOME STATEMENT'!D9</f>
        <v>0.3621214104981481</v>
      </c>
      <c r="E6" s="46">
        <f>'INCOME STATEMENT'!E9</f>
        <v>0.405616165821144</v>
      </c>
      <c r="F6" s="46">
        <f>'INCOME STATEMENT'!F9</f>
        <v>0.5739093087017162</v>
      </c>
      <c r="G6" s="80">
        <f t="shared" ref="G6:G11" si="0">AVERAGE(D6:F6)</f>
        <v>0.4472156283403361</v>
      </c>
    </row>
    <row r="7" spans="2:7" x14ac:dyDescent="0.25">
      <c r="B7" t="s">
        <v>2390</v>
      </c>
      <c r="C7" t="s">
        <v>2391</v>
      </c>
      <c r="D7" s="46">
        <f>'INCOME STATEMENT'!D19</f>
        <v>0.11606908342974578</v>
      </c>
      <c r="E7" s="46">
        <f>'INCOME STATEMENT'!E19</f>
        <v>0.10807895594299115</v>
      </c>
      <c r="F7" s="46">
        <f>'INCOME STATEMENT'!F19</f>
        <v>0.12276366814240595</v>
      </c>
      <c r="G7" s="80">
        <f t="shared" si="0"/>
        <v>0.11563723583838097</v>
      </c>
    </row>
    <row r="8" spans="2:7" x14ac:dyDescent="0.25">
      <c r="B8" t="s">
        <v>2392</v>
      </c>
      <c r="C8" t="s">
        <v>2393</v>
      </c>
      <c r="D8" s="46">
        <f>'INCOME STATEMENT'!D23</f>
        <v>0.11273237050905723</v>
      </c>
      <c r="E8" s="46">
        <f>'INCOME STATEMENT'!E23</f>
        <v>0.1053600035111106</v>
      </c>
      <c r="F8" s="46">
        <f>'INCOME STATEMENT'!F23</f>
        <v>0.12014287026282434</v>
      </c>
      <c r="G8" s="80">
        <f t="shared" si="0"/>
        <v>0.11274508142766405</v>
      </c>
    </row>
    <row r="9" spans="2:7" x14ac:dyDescent="0.25">
      <c r="B9" t="s">
        <v>2304</v>
      </c>
      <c r="C9" t="s">
        <v>2394</v>
      </c>
      <c r="D9" s="46">
        <f>'INCOME STATEMENT'!D36</f>
        <v>0.08454927788659047</v>
      </c>
      <c r="E9" s="46">
        <f>'INCOME STATEMENT'!E36</f>
        <v>0.08416123892769456</v>
      </c>
      <c r="F9" s="46">
        <f>'INCOME STATEMENT'!F36</f>
        <v>0.09511572071956491</v>
      </c>
      <c r="G9" s="80">
        <f t="shared" si="0"/>
        <v>0.08794207917794998</v>
      </c>
    </row>
    <row r="10" spans="2:7" x14ac:dyDescent="0.25">
      <c r="B10" t="s">
        <v>2395</v>
      </c>
      <c r="C10" t="s">
        <v>2396</v>
      </c>
      <c r="D10" s="46">
        <f>'INCOME STATEMENT'!D35/'BALANCE SHEET'!D27</f>
        <v>0.17125922125784826</v>
      </c>
      <c r="E10" s="46">
        <f>'INCOME STATEMENT'!E35/'BALANCE SHEET'!E27</f>
        <v>0.16662309555504853</v>
      </c>
      <c r="F10" s="46">
        <f>'INCOME STATEMENT'!F35/'BALANCE SHEET'!F27</f>
        <v>0.172606916424753</v>
      </c>
      <c r="G10" s="80">
        <f t="shared" si="0"/>
        <v>0.17016307774588327</v>
      </c>
    </row>
    <row r="11" spans="2:7" x14ac:dyDescent="0.25">
      <c r="B11" t="s">
        <v>2397</v>
      </c>
      <c r="C11" t="s">
        <v>2398</v>
      </c>
      <c r="D11" s="46">
        <f>'INCOME STATEMENT'!D35/'BALANCE SHEET'!D49</f>
        <v>0.23599424936543636</v>
      </c>
      <c r="E11" s="46">
        <f>'INCOME STATEMENT'!E35/'BALANCE SHEET'!E49</f>
        <v>0.21104850951312393</v>
      </c>
      <c r="F11" s="46">
        <f>'INCOME STATEMENT'!F35/'BALANCE SHEET'!F49</f>
        <v>0.19770249274900178</v>
      </c>
      <c r="G11" s="80">
        <f t="shared" si="0"/>
        <v>0.214915083875854</v>
      </c>
    </row>
    <row r="12" spans="4:7" x14ac:dyDescent="0.25">
      <c r="D12" s="46"/>
      <c r="E12" s="46"/>
      <c r="F12" s="46"/>
      <c r="G12" s="80"/>
    </row>
    <row r="13" spans="1:9" x14ac:dyDescent="0.25">
      <c r="A13" s="79" t="s">
        <v>2399</v>
      </c>
      <c r="B13" t="s">
        <v>2399</v>
      </c>
      <c r="C13" t="s">
        <v>2382</v>
      </c>
      <c r="D13" s="64" t="s">
        <v>2385</v>
      </c>
      <c r="E13" s="64" t="s">
        <v>2386</v>
      </c>
      <c r="F13" s="64" t="s">
        <v>2387</v>
      </c>
      <c r="G13" s="81" t="s">
        <v>2388</v>
      </c>
      <c r="I13" s="31"/>
    </row>
    <row r="14" spans="2:7" x14ac:dyDescent="0.25">
      <c r="B14" t="s">
        <v>2400</v>
      </c>
      <c r="C14" t="s">
        <v>2401</v>
      </c>
      <c r="D14" s="64">
        <f>'BALANCE SHEET'!D16/'BALANCE SHEET'!D35</f>
        <v>2.777769689760619</v>
      </c>
      <c r="E14" s="64">
        <f>'BALANCE SHEET'!E16/'BALANCE SHEET'!E35</f>
        <v>3.797728253785967</v>
      </c>
      <c r="F14" s="64">
        <f>'BALANCE SHEET'!F16/'BALANCE SHEET'!F35</f>
        <v>6.410798342124921</v>
      </c>
      <c r="G14" s="81">
        <f>AVERAGE(D14:F14)</f>
        <v>4.328765428557169</v>
      </c>
    </row>
    <row r="15" spans="2:7" x14ac:dyDescent="0.25">
      <c r="B15" t="s">
        <v>2402</v>
      </c>
      <c r="C15" t="s">
        <v>2403</v>
      </c>
      <c r="D15" s="64">
        <f>('BALANCE SHEET'!D8+'BALANCE SHEET'!D9+'BALANCE SHEET'!D10)/'BALANCE SHEET'!D35</f>
        <v>1.8111086442868973</v>
      </c>
      <c r="E15" s="64">
        <f>('BALANCE SHEET'!E8+'BALANCE SHEET'!E9+'BALANCE SHEET'!E10)/'BALANCE SHEET'!E35</f>
        <v>1.8063861176064588</v>
      </c>
      <c r="F15" s="64">
        <f>('BALANCE SHEET'!F8+'BALANCE SHEET'!F9+'BALANCE SHEET'!F10)/'BALANCE SHEET'!F35</f>
        <v>4.606877060094855</v>
      </c>
      <c r="G15" s="81">
        <f>AVERAGE(D15:F15)</f>
        <v>2.7414572739960703</v>
      </c>
    </row>
    <row r="16" spans="2:7" x14ac:dyDescent="0.25">
      <c r="B16" t="s">
        <v>2404</v>
      </c>
      <c r="C16" t="s">
        <v>2405</v>
      </c>
      <c r="D16" s="64">
        <f>('BALANCE SHEET'!D8+'BALANCE SHEET'!D9)/'BALANCE SHEET'!D35</f>
        <v>1.1382188031219753</v>
      </c>
      <c r="E16" s="64">
        <f>('BALANCE SHEET'!E8+'BALANCE SHEET'!E9)/'BALANCE SHEET'!E35</f>
        <v>1.3565240117562003</v>
      </c>
      <c r="F16" s="64">
        <f>('BALANCE SHEET'!F8+'BALANCE SHEET'!F9)/'BALANCE SHEET'!F35</f>
        <v>3.8147485802497574</v>
      </c>
      <c r="G16" s="81">
        <f>AVERAGE(D16:F16)</f>
        <v>2.1031637983759777</v>
      </c>
    </row>
    <row r="17" spans="4:7" x14ac:dyDescent="0.25">
      <c r="D17" s="64"/>
      <c r="E17" s="64"/>
      <c r="F17" s="64"/>
      <c r="G17" s="81"/>
    </row>
    <row r="18" spans="1:7" x14ac:dyDescent="0.25">
      <c r="A18" s="79" t="s">
        <v>2406</v>
      </c>
      <c r="B18" t="s">
        <v>2406</v>
      </c>
      <c r="C18" t="s">
        <v>2382</v>
      </c>
      <c r="D18" s="46" t="s">
        <v>2385</v>
      </c>
      <c r="E18" s="46" t="s">
        <v>2386</v>
      </c>
      <c r="F18" s="46" t="s">
        <v>2387</v>
      </c>
      <c r="G18" s="80" t="s">
        <v>2388</v>
      </c>
    </row>
    <row r="19" spans="2:7" x14ac:dyDescent="0.25">
      <c r="B19" t="s">
        <v>2407</v>
      </c>
      <c r="C19" t="s">
        <v>2408</v>
      </c>
      <c r="D19" s="46">
        <f>('BALANCE SHEET'!D35+'BALANCE SHEET'!D40)/'BALANCE SHEET'!D27</f>
        <v>0.2743076506383259</v>
      </c>
      <c r="E19" s="46">
        <f>('BALANCE SHEET'!E35+'BALANCE SHEET'!E40)/'BALANCE SHEET'!E27</f>
        <v>0.21049859134547844</v>
      </c>
      <c r="F19" s="46">
        <f>('BALANCE SHEET'!F35+'BALANCE SHEET'!F40)/'BALANCE SHEET'!F27</f>
        <v>0.12693606429124385</v>
      </c>
      <c r="G19" s="80">
        <f>AVERAGE(D19:F19)</f>
        <v>0.20391410209168273</v>
      </c>
    </row>
    <row r="20" spans="2:7" x14ac:dyDescent="0.25">
      <c r="B20" t="s">
        <v>2409</v>
      </c>
      <c r="C20" t="s">
        <v>2410</v>
      </c>
      <c r="D20" s="46">
        <f>('BALANCE SHEET'!D35+'BALANCE SHEET'!D40)/'BALANCE SHEET'!D49</f>
        <v>0.37799440889739233</v>
      </c>
      <c r="E20" s="46">
        <f>('BALANCE SHEET'!E35+'BALANCE SHEET'!E40)/'BALANCE SHEET'!E49</f>
        <v>0.26662218589858233</v>
      </c>
      <c r="F20" s="46">
        <f>('BALANCE SHEET'!F35+'BALANCE SHEET'!F40)/'BALANCE SHEET'!F49</f>
        <v>0.1453914874904027</v>
      </c>
      <c r="G20" s="80">
        <f>AVERAGE(D20:F20)</f>
        <v>0.2633360274287924</v>
      </c>
    </row>
    <row r="21" spans="2:7" x14ac:dyDescent="0.25">
      <c r="B21" t="s">
        <v>2411</v>
      </c>
      <c r="C21" t="s">
        <v>2412</v>
      </c>
      <c r="D21" s="46">
        <f>'BALANCE SHEET'!D38/('BALANCE SHEET'!D38+'BALANCE SHEET'!D49)</f>
        <v>0</v>
      </c>
      <c r="E21" s="46">
        <f>'BALANCE SHEET'!E38/('BALANCE SHEET'!E38+'BALANCE SHEET'!E49)</f>
        <v>0</v>
      </c>
      <c r="F21" s="46">
        <f>'BALANCE SHEET'!F38/('BALANCE SHEET'!F38+'BALANCE SHEET'!F49)</f>
        <v>0</v>
      </c>
      <c r="G21" s="80">
        <f>AVERAGE(D21:F21)</f>
        <v>0</v>
      </c>
    </row>
    <row r="22" spans="2:7" x14ac:dyDescent="0.25">
      <c r="B22" t="s">
        <v>2413</v>
      </c>
      <c r="C22" t="s">
        <v>2414</v>
      </c>
      <c r="D22" s="64">
        <f>IFERROR(ABS('INCOME STATEMENT'!D22/'INCOME STATEMENT'!D27),0)</f>
        <v>0</v>
      </c>
      <c r="E22" s="64">
        <f>IFERROR(ABS('INCOME STATEMENT'!E22/'INCOME STATEMENT'!E27),0)</f>
        <v>212.80175909889152</v>
      </c>
      <c r="F22" s="64">
        <f>IFERROR(ABS('INCOME STATEMENT'!F22/'INCOME STATEMENT'!F27),0)</f>
        <v>376.39505554714384</v>
      </c>
      <c r="G22" s="81">
        <f>AVERAGE(D22:F22)</f>
        <v>196.3989382153451</v>
      </c>
    </row>
    <row r="23" spans="2:7" x14ac:dyDescent="0.25">
      <c r="B23" t="s">
        <v>2415</v>
      </c>
      <c r="D23" s="31">
        <f>'BALANCE SHEET'!D49/'BALANCE SHEET'!D27</f>
        <v>0.725692349361674</v>
      </c>
      <c r="E23" s="31">
        <f>'BALANCE SHEET'!E49/'BALANCE SHEET'!E27</f>
        <v>0.7895014086545216</v>
      </c>
      <c r="F23" s="31">
        <f>'BALANCE SHEET'!F49/'BALANCE SHEET'!F27</f>
        <v>0.8730639357384861</v>
      </c>
      <c r="G23" s="80">
        <f>AVERAGE(D23:F23)</f>
        <v>0.7960858979182271</v>
      </c>
    </row>
    <row r="24" spans="4:7" x14ac:dyDescent="0.25">
      <c r="D24" s="31"/>
      <c r="E24" s="31"/>
      <c r="F24" s="31"/>
      <c r="G24" s="80"/>
    </row>
    <row r="25" spans="1:7" x14ac:dyDescent="0.25">
      <c r="A25" s="79" t="s">
        <v>2416</v>
      </c>
      <c r="B25" t="s">
        <v>2416</v>
      </c>
      <c r="C25" t="s">
        <v>2417</v>
      </c>
      <c r="D25" s="46" t="s">
        <v>2385</v>
      </c>
      <c r="E25" s="46" t="s">
        <v>2386</v>
      </c>
      <c r="F25" s="46" t="s">
        <v>2387</v>
      </c>
      <c r="G25" s="80" t="s">
        <v>2388</v>
      </c>
    </row>
    <row r="26" spans="2:7" x14ac:dyDescent="0.25">
      <c r="B26" t="s">
        <v>2418</v>
      </c>
      <c r="C26" t="s">
        <v>2418</v>
      </c>
      <c r="D26" s="46">
        <f>'CASH FLOW STATEMENT'!C11/'INCOME STATEMENT'!D6</f>
        <v>-0.017891635411190033</v>
      </c>
      <c r="E26" s="46">
        <f>'CASH FLOW STATEMENT'!D11/'INCOME STATEMENT'!E6</f>
        <v>0.03127091456276289</v>
      </c>
      <c r="F26" s="46">
        <f>'CASH FLOW STATEMENT'!E11/'INCOME STATEMENT'!F6</f>
        <v>0.09426240065624679</v>
      </c>
      <c r="G26" s="80">
        <f>AVERAGE(D26:F26)</f>
        <v>0.03588055993593988</v>
      </c>
    </row>
    <row r="27" spans="2:7" x14ac:dyDescent="0.25">
      <c r="B27" t="s">
        <v>2419</v>
      </c>
      <c r="C27" t="s">
        <v>2420</v>
      </c>
      <c r="D27" s="46">
        <f>FCF!C20/'CASH FLOW STATEMENT'!C11</f>
        <v>1.372991383292068</v>
      </c>
      <c r="E27" s="46">
        <f>FCF!D20/'CASH FLOW STATEMENT'!D11</f>
        <v>0.7993813634717085</v>
      </c>
      <c r="F27" s="46">
        <f>FCF!E20/'CASH FLOW STATEMENT'!E11</f>
        <v>0.8727379118712688</v>
      </c>
      <c r="G27" s="80">
        <f>AVERAGE(D27:F27)</f>
        <v>1.0150368862116819</v>
      </c>
    </row>
    <row r="28" spans="2:7" x14ac:dyDescent="0.25">
      <c r="B28" t="s">
        <v>2421</v>
      </c>
      <c r="C28" t="s">
        <v>2422</v>
      </c>
      <c r="D28" s="82">
        <f>IFERROR('CASH FLOW STATEMENT'!C11/'BALANCE SHEET'!D31,0)</f>
        <v>0</v>
      </c>
      <c r="E28" s="82">
        <f>IFERROR('CASH FLOW STATEMENT'!D11/'BALANCE SHEET'!E31,0)</f>
        <v>0</v>
      </c>
      <c r="F28" s="82">
        <f>IFERROR('CASH FLOW STATEMENT'!E11/'BALANCE SHEET'!F31,0)</f>
        <v>5.753740409</v>
      </c>
      <c r="G28" s="81">
        <f>AVERAGE(D28:F28)</f>
        <v>1.9179134696666666</v>
      </c>
    </row>
    <row r="30" spans="2:7" x14ac:dyDescent="0.25">
      <c r="B30" t="s">
        <v>2423</v>
      </c>
      <c r="C30" t="s">
        <v>2424</v>
      </c>
      <c r="D30" s="82">
        <f>IFERROR(ABS('CASH FLOW STATEMENT'!C11/'CASH FLOW STATEMENT'!C17),0)</f>
        <v>0</v>
      </c>
      <c r="E30" s="82">
        <f>IFERROR(ABS('CASH FLOW STATEMENT'!D11/'CASH FLOW STATEMENT'!D17),0)</f>
        <v>37.42225906505868</v>
      </c>
      <c r="F30" s="82">
        <f>IFERROR(ABS('CASH FLOW STATEMENT'!E11/'CASH FLOW STATEMENT'!E17),0)</f>
        <v>13.955632458262603</v>
      </c>
      <c r="G30" s="81">
        <f>AVERAGE(D30:F30)</f>
        <v>17.125963841107094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I36"/>
  <sheetViews>
    <sheetView workbookViewId="0" zoomScale="115" zoomScaleNormal="115">
      <selection activeCell="F23" sqref="F23"/>
    </sheetView>
  </sheetViews>
  <sheetFormatPr defaultRowHeight="15" outlineLevelRow="0" outlineLevelCol="0" x14ac:dyDescent="0.2" defaultColWidth="8.83203125"/>
  <cols>
    <col min="1" max="1" width="26.5" customWidth="1"/>
    <col min="2" max="2" width="18.83203125" customWidth="1"/>
    <col min="3" max="3" width="16.5" customWidth="1"/>
    <col min="4" max="4" width="18.5" customWidth="1"/>
    <col min="5" max="5" width="12.5" customWidth="1"/>
    <col min="8" max="8" width="14.33203125" customWidth="1"/>
  </cols>
  <sheetData>
    <row r="1" spans="1:1" x14ac:dyDescent="0.25">
      <c r="A1" t="str">
        <f>HOME!B4</f>
        <v>PT RAJA VOLTAMA ELEKTRIK</v>
      </c>
    </row>
    <row r="2" spans="1:1" x14ac:dyDescent="0.25">
      <c r="A2" t="s">
        <v>2705</v>
      </c>
    </row>
    <row r="4" spans="1:2" x14ac:dyDescent="0.25">
      <c r="A4" t="s">
        <v>2706</v>
      </c>
      <c r="B4" s="294"/>
    </row>
    <row r="5" spans="1:2" x14ac:dyDescent="0.25">
      <c r="A5" t="s">
        <v>2707</v>
      </c>
      <c r="B5" s="294"/>
    </row>
    <row r="6" spans="1:2" x14ac:dyDescent="0.25">
      <c r="A6" t="s">
        <v>2708</v>
      </c>
      <c r="B6" s="294"/>
    </row>
    <row r="7" spans="2:2" x14ac:dyDescent="0.25">
      <c r="B7" s="46"/>
    </row>
    <row r="10" spans="1:9" x14ac:dyDescent="0.25">
      <c r="A10" s="24" t="s">
        <v>2709</v>
      </c>
      <c r="B10" s="24" t="s">
        <v>2710</v>
      </c>
      <c r="C10" s="24" t="s">
        <v>2711</v>
      </c>
      <c r="D10" s="24" t="s">
        <v>2712</v>
      </c>
      <c r="E10" s="24" t="s">
        <v>2713</v>
      </c>
      <c r="H10" t="s">
        <v>2714</v>
      </c>
      <c r="I10" t="s">
        <v>2715</v>
      </c>
    </row>
    <row r="11" spans="1:5" x14ac:dyDescent="0.25">
      <c r="C11" s="26"/>
      <c r="D11" s="26"/>
      <c r="E11" s="295">
        <f>B11/(1+((1-'INCOME STATEMENT'!$B$33)*(D11/C11)))</f>
        <v>0.6666666666666666</v>
      </c>
    </row>
    <row r="12" spans="1:5" x14ac:dyDescent="0.25">
      <c r="C12" s="26"/>
      <c r="D12" s="26"/>
      <c r="E12" s="295">
        <f>B12/(1+((1-'INCOME STATEMENT'!$B$33)*(D12/C12)))</f>
        <v>0.37837837837837834</v>
      </c>
    </row>
    <row r="13" spans="1:5" x14ac:dyDescent="0.25">
      <c r="A13" s="34"/>
      <c r="B13" s="34"/>
      <c r="C13" s="35"/>
      <c r="D13" s="35"/>
      <c r="E13" s="295">
        <f>B13/(1+((1-'INCOME STATEMENT'!$B$33)*(D13/C13)))</f>
        <v>0.16216216216216214</v>
      </c>
    </row>
    <row r="14" spans="1:5" x14ac:dyDescent="0.25">
      <c r="A14" s="33"/>
      <c r="B14" s="296"/>
      <c r="C14" s="35"/>
      <c r="D14" s="35"/>
      <c r="E14" s="296">
        <f>AVERAGE(E11:E13)</f>
        <v>0.4024024024024024</v>
      </c>
    </row>
    <row r="15" spans="1:5" x14ac:dyDescent="0.25">
      <c r="A15" s="297"/>
      <c r="B15" s="297"/>
      <c r="C15" s="297"/>
      <c r="D15" s="297"/>
      <c r="E15" s="298">
        <f>E14*(1+((1-'INCOME STATEMENT'!B33)*(D14/C14)))</f>
        <v>0.9858858858858859</v>
      </c>
    </row>
    <row r="16" spans="1:4" x14ac:dyDescent="0.25"/>
    <row r="17" spans="1:5" x14ac:dyDescent="0.25">
      <c r="A17" s="24"/>
      <c r="B17" s="24"/>
      <c r="C17" s="24"/>
      <c r="D17" s="24"/>
      <c r="E17" s="24" t="s">
        <v>2716</v>
      </c>
    </row>
    <row r="18" spans="1:4" x14ac:dyDescent="0.25">
      <c r="A18" s="20"/>
      <c r="B18" s="20"/>
      <c r="C18" s="20"/>
      <c r="D18" s="20"/>
    </row>
    <row r="19" spans="1:5" x14ac:dyDescent="0.25">
      <c r="B19" s="14"/>
      <c r="C19" s="53"/>
      <c r="D19" s="53"/>
      <c r="E19" s="46">
        <f>C19*D19</f>
        <v>0.07693877551020409</v>
      </c>
    </row>
    <row r="20" spans="1:5" x14ac:dyDescent="0.25">
      <c r="B20" s="14"/>
      <c r="C20" s="53"/>
      <c r="D20" s="53"/>
      <c r="E20" s="46">
        <f>C20*D20</f>
        <v>0.032458981430410004</v>
      </c>
    </row>
    <row r="22" ht="16" customHeight="1" spans="1:6" x14ac:dyDescent="0.25">
      <c r="A22" s="299" t="s">
        <v>2717</v>
      </c>
      <c r="B22" s="299"/>
      <c r="C22" s="299"/>
      <c r="D22" s="299"/>
      <c r="E22" s="300"/>
      <c r="F22" t="s">
        <v>2718</v>
      </c>
    </row>
    <row r="26" spans="1:1" x14ac:dyDescent="0.25">
      <c r="A26" t="s">
        <v>2719</v>
      </c>
    </row>
    <row r="27" spans="1:2" x14ac:dyDescent="0.25">
      <c r="B27" s="31"/>
    </row>
    <row r="28" spans="1:2" x14ac:dyDescent="0.25">
      <c r="B28" s="31"/>
    </row>
    <row r="29" spans="1:2" x14ac:dyDescent="0.25">
      <c r="B29" s="31"/>
    </row>
    <row r="30" spans="1:2" x14ac:dyDescent="0.25">
      <c r="A30" s="4"/>
      <c r="B30" s="74"/>
    </row>
    <row r="31" spans="1:2" x14ac:dyDescent="0.25"/>
    <row r="32" spans="1:2" x14ac:dyDescent="0.25"/>
    <row r="33" spans="1:2" x14ac:dyDescent="0.25"/>
    <row r="34" spans="1:2" x14ac:dyDescent="0.25"/>
    <row r="35" spans="1:2" x14ac:dyDescent="0.25"/>
    <row r="36" spans="1:2" x14ac:dyDescent="0.25"/>
  </sheetData>
  <mergeCells count="2">
    <mergeCell ref="A15:D15"/>
    <mergeCell ref="A22:D22"/>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Q69"/>
  <sheetViews>
    <sheetView workbookViewId="0" showGridLines="0" zoomScale="100" zoomScaleNormal="100">
      <selection activeCell="N30" sqref="N30"/>
    </sheetView>
  </sheetViews>
  <sheetFormatPr defaultRowHeight="15" outlineLevelRow="0" outlineLevelCol="0" x14ac:dyDescent="0.2" defaultColWidth="8.83203125"/>
  <cols>
    <col min="1" max="1" width="17.6640625" style="3" customWidth="1"/>
    <col min="2" max="2" width="17.83203125" style="3" hidden="1" customWidth="1"/>
    <col min="3" max="5" width="17.83203125" style="3" customWidth="1"/>
    <col min="6" max="6" width="8.83203125" style="3" customWidth="1"/>
    <col min="7" max="7" width="18" style="3" customWidth="1"/>
    <col min="8" max="10" width="14.5" style="3" customWidth="1"/>
    <col min="11" max="13" width="8.83203125" style="3" customWidth="1"/>
    <col min="14" max="14" width="21.6640625" style="3" customWidth="1"/>
    <col min="15" max="15" width="18.5" style="3" customWidth="1"/>
    <col min="16" max="16" width="24.1640625" style="3" customWidth="1"/>
    <col min="17" max="17" width="24.33203125" style="3" customWidth="1"/>
    <col min="18" max="16384" width="8.83203125" style="3" customWidth="1"/>
  </cols>
  <sheetData>
    <row r="2" ht="19" customHeight="1" spans="1:10" x14ac:dyDescent="0.25">
      <c r="A2" s="301" t="s">
        <v>2720</v>
      </c>
      <c r="B2" s="301"/>
      <c r="C2" s="301"/>
      <c r="D2" s="301"/>
      <c r="E2" s="301"/>
      <c r="F2" s="301"/>
      <c r="G2" s="301"/>
      <c r="H2" s="301"/>
      <c r="I2" s="301"/>
      <c r="J2" s="301"/>
    </row>
    <row r="3" ht="2.25" customHeight="1" x14ac:dyDescent="0.25"/>
    <row r="4" ht="16" customHeight="1" spans="1:10" x14ac:dyDescent="0.25">
      <c r="A4" s="302" t="str">
        <f>HOME!B4</f>
        <v>PT RAJA VOLTAMA ELEKTRIK</v>
      </c>
      <c r="B4" s="302"/>
      <c r="C4" s="302"/>
      <c r="D4" s="302"/>
      <c r="E4" s="302"/>
      <c r="F4" s="302"/>
      <c r="G4" s="302"/>
      <c r="H4" s="302"/>
      <c r="I4" s="302"/>
      <c r="J4" s="302"/>
    </row>
    <row r="5" ht="8.25" customHeight="1" x14ac:dyDescent="0.25"/>
    <row r="6" spans="1:10" x14ac:dyDescent="0.25">
      <c r="A6" s="303" t="str">
        <f>"DATA PENJUALAN "&amp;HOME!B4</f>
        <v>DATA PENJUALAN PT RAJA VOLTAMA ELEKTRIK</v>
      </c>
      <c r="B6" s="303"/>
      <c r="C6" s="303"/>
      <c r="D6" s="303"/>
      <c r="E6" s="303"/>
      <c r="G6" s="304" t="str">
        <f>"GROWTH SALES AND NET INCOME "&amp;HOME!B4</f>
        <v>GROWTH SALES AND NET INCOME PT RAJA VOLTAMA ELEKTRIK</v>
      </c>
      <c r="H6" s="304"/>
      <c r="I6" s="304"/>
      <c r="J6" s="304"/>
    </row>
    <row r="7" spans="1:10" x14ac:dyDescent="0.25">
      <c r="A7" s="305" t="s">
        <v>2721</v>
      </c>
      <c r="B7" s="305">
        <f>'INCOME STATEMENT'!C5</f>
        <v>2018</v>
      </c>
      <c r="C7" s="305">
        <f>'INCOME STATEMENT'!D5</f>
        <v>2019</v>
      </c>
      <c r="D7" s="305">
        <f>'INCOME STATEMENT'!E5</f>
        <v>2020</v>
      </c>
      <c r="E7" s="305">
        <f>'INCOME STATEMENT'!F5</f>
        <v>2021</v>
      </c>
      <c r="G7" s="306" t="s">
        <v>2721</v>
      </c>
      <c r="H7" s="306">
        <f>C7</f>
        <v>2019</v>
      </c>
      <c r="I7" s="306">
        <f>D7</f>
        <v>2020</v>
      </c>
      <c r="J7" s="306">
        <f>E7</f>
        <v>2021</v>
      </c>
    </row>
    <row r="8" spans="1:10" x14ac:dyDescent="0.25">
      <c r="A8" s="307" t="s">
        <v>2305</v>
      </c>
      <c r="B8" s="308">
        <f>'INCOME STATEMENT'!C6</f>
        <v>34193458257</v>
      </c>
      <c r="C8" s="308">
        <f>'INCOME STATEMENT'!D6</f>
        <v>52109888424</v>
      </c>
      <c r="D8" s="308">
        <f>'INCOME STATEMENT'!E6</f>
        <v>59340130084</v>
      </c>
      <c r="E8" s="308">
        <f>'INCOME STATEMENT'!F6</f>
        <v>61039612496</v>
      </c>
      <c r="G8" s="309" t="s">
        <v>2305</v>
      </c>
      <c r="H8" s="310">
        <f t="shared" ref="H8:J9" si="0">IF(B8=0,0,(C8-B8)/B8)</f>
        <v>0.5239724520503038</v>
      </c>
      <c r="I8" s="310">
        <f t="shared" si="0"/>
        <v>0.1387498971628963</v>
      </c>
      <c r="J8" s="310">
        <f t="shared" si="0"/>
        <v>0.02863968126787499</v>
      </c>
    </row>
    <row r="9" spans="1:10" x14ac:dyDescent="0.25">
      <c r="A9" s="307" t="s">
        <v>2722</v>
      </c>
      <c r="B9" s="308">
        <f>'INCOME STATEMENT'!C35</f>
        <v>3680698625</v>
      </c>
      <c r="C9" s="308">
        <f>'INCOME STATEMENT'!D35</f>
        <v>4405853437</v>
      </c>
      <c r="D9" s="308">
        <f>'INCOME STATEMENT'!E35</f>
        <v>4994138866</v>
      </c>
      <c r="E9" s="308">
        <f>'INCOME STATEMENT'!F35</f>
        <v>5805826735</v>
      </c>
      <c r="G9" s="309" t="s">
        <v>2722</v>
      </c>
      <c r="H9" s="310">
        <f t="shared" si="0"/>
        <v>0.19701553587533943</v>
      </c>
      <c r="I9" s="310">
        <f t="shared" si="0"/>
        <v>0.13352360386290354</v>
      </c>
      <c r="J9" s="310">
        <f t="shared" si="0"/>
        <v>0.16252809358705567</v>
      </c>
    </row>
    <row r="11" spans="12:12" x14ac:dyDescent="0.25">
      <c r="L11" s="3" t="s">
        <v>2723</v>
      </c>
    </row>
    <row r="12" spans="12:16" x14ac:dyDescent="0.25">
      <c r="L12" s="311" t="s">
        <v>2724</v>
      </c>
      <c r="M12" s="311" t="s">
        <v>2725</v>
      </c>
      <c r="N12" s="312" t="s">
        <v>2726</v>
      </c>
      <c r="O12" s="312" t="s">
        <v>2727</v>
      </c>
      <c r="P12" s="312" t="s">
        <v>2728</v>
      </c>
    </row>
    <row r="13" spans="12:16" x14ac:dyDescent="0.25">
      <c r="L13" s="3">
        <f>B8</f>
        <v>34193458257</v>
      </c>
      <c r="M13" s="3">
        <v>1</v>
      </c>
      <c r="N13" s="313">
        <v>-3000000</v>
      </c>
      <c r="O13" s="313">
        <v>70000000</v>
      </c>
      <c r="P13" s="313">
        <f>(N13*M13)+O13</f>
        <v>67000000</v>
      </c>
    </row>
    <row r="14" spans="12:16" x14ac:dyDescent="0.25">
      <c r="L14" s="3">
        <f>+L13+1</f>
        <v>34193458258</v>
      </c>
      <c r="M14" s="3">
        <v>2</v>
      </c>
      <c r="N14" s="313">
        <v>-3000000</v>
      </c>
      <c r="O14" s="313">
        <v>70000000</v>
      </c>
      <c r="P14" s="313">
        <f t="shared" ref="P14:P20" si="1">(N14*M14)+O14</f>
        <v>64000000</v>
      </c>
    </row>
    <row r="15" spans="12:16" x14ac:dyDescent="0.25">
      <c r="L15" s="3">
        <f t="shared" ref="L15:L20" si="2">+L14+1</f>
        <v>34193458259</v>
      </c>
      <c r="M15" s="3">
        <v>3</v>
      </c>
      <c r="N15" s="313">
        <v>-3000000</v>
      </c>
      <c r="O15" s="313">
        <v>70000000</v>
      </c>
      <c r="P15" s="313">
        <f t="shared" si="1"/>
        <v>61000000</v>
      </c>
    </row>
    <row r="16" spans="12:16" x14ac:dyDescent="0.25">
      <c r="L16" s="3">
        <f t="shared" si="2"/>
        <v>34193458260</v>
      </c>
      <c r="M16" s="3">
        <v>4</v>
      </c>
      <c r="N16" s="313">
        <v>-3000000</v>
      </c>
      <c r="O16" s="313">
        <v>70000000</v>
      </c>
      <c r="P16" s="313">
        <f t="shared" si="1"/>
        <v>58000000</v>
      </c>
    </row>
    <row r="17" spans="12:16" x14ac:dyDescent="0.25">
      <c r="L17" s="3">
        <f t="shared" si="2"/>
        <v>34193458261</v>
      </c>
      <c r="M17" s="3">
        <v>5</v>
      </c>
      <c r="N17" s="313">
        <v>-3000000</v>
      </c>
      <c r="O17" s="313">
        <v>70000000</v>
      </c>
      <c r="P17" s="313">
        <f t="shared" si="1"/>
        <v>55000000</v>
      </c>
    </row>
    <row r="18" spans="12:16" x14ac:dyDescent="0.25">
      <c r="L18" s="3">
        <f t="shared" si="2"/>
        <v>34193458262</v>
      </c>
      <c r="M18" s="3">
        <v>6</v>
      </c>
      <c r="N18" s="313">
        <v>-3000000</v>
      </c>
      <c r="O18" s="313">
        <v>70000000</v>
      </c>
      <c r="P18" s="313">
        <f t="shared" si="1"/>
        <v>52000000</v>
      </c>
    </row>
    <row r="19" spans="12:16" x14ac:dyDescent="0.25">
      <c r="L19" s="3">
        <f t="shared" si="2"/>
        <v>34193458263</v>
      </c>
      <c r="M19" s="3">
        <v>7</v>
      </c>
      <c r="N19" s="313">
        <v>-3000000</v>
      </c>
      <c r="O19" s="313">
        <v>70000000</v>
      </c>
      <c r="P19" s="313">
        <f t="shared" si="1"/>
        <v>49000000</v>
      </c>
    </row>
    <row r="20" spans="12:17" x14ac:dyDescent="0.25">
      <c r="L20" s="3">
        <f t="shared" si="2"/>
        <v>34193458264</v>
      </c>
      <c r="M20" s="3">
        <v>8</v>
      </c>
      <c r="N20" s="313">
        <v>-3000000</v>
      </c>
      <c r="O20" s="313">
        <v>70000000</v>
      </c>
      <c r="P20" s="313">
        <f t="shared" si="1"/>
        <v>46000000</v>
      </c>
      <c r="Q20" s="314"/>
    </row>
    <row r="21" spans="12:16" x14ac:dyDescent="0.25">
      <c r="L21" s="315" t="s">
        <v>2729</v>
      </c>
      <c r="M21" s="316"/>
      <c r="N21" s="316"/>
      <c r="O21" s="317"/>
      <c r="P21" s="314"/>
    </row>
    <row r="22" spans="15:17" x14ac:dyDescent="0.25">
      <c r="O22" s="314"/>
      <c r="P22" s="317"/>
      <c r="Q22" s="318"/>
    </row>
    <row r="23" spans="15:17" x14ac:dyDescent="0.25">
      <c r="O23" s="319"/>
      <c r="P23" s="317"/>
      <c r="Q23" s="318"/>
    </row>
    <row r="24" spans="15:17" x14ac:dyDescent="0.25">
      <c r="O24" s="319"/>
      <c r="P24" s="317"/>
      <c r="Q24" s="318"/>
    </row>
    <row r="25" spans="15:17" x14ac:dyDescent="0.25">
      <c r="O25" s="319"/>
      <c r="P25" s="317"/>
      <c r="Q25" s="318"/>
    </row>
    <row r="26" spans="15:17" x14ac:dyDescent="0.25">
      <c r="O26" s="319"/>
      <c r="P26" s="317"/>
      <c r="Q26" s="318"/>
    </row>
    <row r="27" spans="15:17" x14ac:dyDescent="0.25">
      <c r="O27" s="319"/>
      <c r="P27" s="317"/>
      <c r="Q27" s="318"/>
    </row>
    <row r="28" spans="15:17" x14ac:dyDescent="0.25">
      <c r="O28" s="319"/>
      <c r="P28" s="317"/>
      <c r="Q28" s="318"/>
    </row>
    <row r="29" spans="15:17" x14ac:dyDescent="0.25">
      <c r="O29" s="319"/>
      <c r="P29" s="317"/>
      <c r="Q29" s="318"/>
    </row>
    <row r="30" spans="11:17" x14ac:dyDescent="0.25">
      <c r="K30" s="320"/>
      <c r="O30" s="319"/>
      <c r="P30" s="317"/>
      <c r="Q30" s="318"/>
    </row>
    <row r="31" spans="15:17" x14ac:dyDescent="0.25">
      <c r="O31" s="319"/>
      <c r="P31" s="317"/>
      <c r="Q31" s="318"/>
    </row>
    <row r="32" spans="15:15" x14ac:dyDescent="0.25">
      <c r="O32" s="319"/>
    </row>
    <row r="36" ht="16" customHeight="1" spans="1:10" x14ac:dyDescent="0.25">
      <c r="A36" s="302" t="s">
        <v>2730</v>
      </c>
      <c r="B36" s="302"/>
      <c r="C36" s="302"/>
      <c r="D36" s="302"/>
      <c r="E36" s="302"/>
      <c r="F36" s="302"/>
      <c r="G36" s="302"/>
      <c r="H36" s="302"/>
      <c r="I36" s="302"/>
      <c r="J36" s="302"/>
    </row>
    <row r="38" spans="1:10" x14ac:dyDescent="0.25">
      <c r="A38" s="303" t="str">
        <f>"DATA PENJUALAN/PENDAPATAN INDUSTRI"</f>
        <v>DATA PENJUALAN/PENDAPATAN INDUSTRI</v>
      </c>
      <c r="B38" s="303"/>
      <c r="C38" s="303"/>
      <c r="D38" s="303"/>
      <c r="E38" s="303"/>
      <c r="G38" s="304" t="str">
        <f>"GROWTH INDUSTRI "</f>
        <v>GROWTH INDUSTRI </v>
      </c>
      <c r="H38" s="304"/>
      <c r="I38" s="304"/>
      <c r="J38" s="304"/>
    </row>
    <row r="39" spans="1:10" x14ac:dyDescent="0.25">
      <c r="A39" s="305" t="s">
        <v>2721</v>
      </c>
      <c r="B39" s="305">
        <f>B7</f>
        <v>2018</v>
      </c>
      <c r="C39" s="305">
        <f>C7</f>
        <v>2019</v>
      </c>
      <c r="D39" s="305">
        <f>D7</f>
        <v>2020</v>
      </c>
      <c r="E39" s="305">
        <f>E7</f>
        <v>2021</v>
      </c>
      <c r="G39" s="306" t="s">
        <v>2721</v>
      </c>
      <c r="H39" s="306">
        <f>C39</f>
        <v>2019</v>
      </c>
      <c r="I39" s="306">
        <f>D39</f>
        <v>2020</v>
      </c>
      <c r="J39" s="306">
        <f>E39</f>
        <v>2021</v>
      </c>
    </row>
    <row r="40" spans="1:10" x14ac:dyDescent="0.25">
      <c r="A40" s="307" t="s">
        <v>2305</v>
      </c>
      <c r="B40" s="321"/>
      <c r="C40" s="321"/>
      <c r="D40" s="321"/>
      <c r="E40" s="321"/>
      <c r="G40" s="309" t="s">
        <v>2305</v>
      </c>
      <c r="H40" s="322">
        <f t="shared" ref="H40:J41" si="3">IF(B40=0,0,(C40-B40)/B40)</f>
        <v>0</v>
      </c>
      <c r="I40" s="322">
        <f t="shared" si="3"/>
        <v>0</v>
      </c>
      <c r="J40" s="322">
        <f t="shared" si="3"/>
        <v>0</v>
      </c>
    </row>
    <row r="41" spans="1:10" x14ac:dyDescent="0.25">
      <c r="A41" s="307" t="s">
        <v>2731</v>
      </c>
      <c r="B41" s="321"/>
      <c r="C41" s="321"/>
      <c r="D41" s="321"/>
      <c r="E41" s="321"/>
      <c r="G41" s="309" t="s">
        <v>2731</v>
      </c>
      <c r="H41" s="322">
        <f t="shared" si="3"/>
        <v>0</v>
      </c>
      <c r="I41" s="322">
        <f t="shared" si="3"/>
        <v>0</v>
      </c>
      <c r="J41" s="322">
        <f t="shared" si="3"/>
        <v>0</v>
      </c>
    </row>
    <row r="58" ht="19" customHeight="1" spans="1:10" x14ac:dyDescent="0.25">
      <c r="A58" s="301" t="str">
        <f>A2</f>
        <v>GROWTH</v>
      </c>
      <c r="B58" s="301"/>
      <c r="C58" s="301"/>
      <c r="D58" s="301"/>
      <c r="E58" s="301"/>
      <c r="F58" s="301"/>
      <c r="G58" s="301"/>
      <c r="H58" s="301"/>
      <c r="I58" s="301"/>
      <c r="J58" s="301"/>
    </row>
    <row r="60" ht="16" customHeight="1" spans="1:10" x14ac:dyDescent="0.25">
      <c r="A60" s="302" t="str">
        <f>"PERBANDINGAN GROWTH INDUSTRI DENGAN "&amp;A4</f>
        <v>PERBANDINGAN GROWTH INDUSTRI DENGAN PT RAJA VOLTAMA ELEKTRIK</v>
      </c>
      <c r="B60" s="302"/>
      <c r="C60" s="302"/>
      <c r="D60" s="302"/>
      <c r="E60" s="302"/>
      <c r="F60" s="302"/>
      <c r="G60" s="302"/>
      <c r="H60" s="302"/>
      <c r="I60" s="302"/>
      <c r="J60" s="302"/>
    </row>
    <row r="62" spans="1:10" x14ac:dyDescent="0.25">
      <c r="A62" s="303" t="s">
        <v>2732</v>
      </c>
      <c r="B62" s="303"/>
      <c r="C62" s="303"/>
      <c r="D62" s="303"/>
      <c r="E62" s="303"/>
      <c r="G62" s="304" t="s">
        <v>2733</v>
      </c>
      <c r="H62" s="304"/>
      <c r="I62" s="304"/>
      <c r="J62" s="304"/>
    </row>
    <row r="63" spans="1:10" x14ac:dyDescent="0.25">
      <c r="A63" s="305" t="s">
        <v>2721</v>
      </c>
      <c r="B63" s="305">
        <f>B39</f>
        <v>2018</v>
      </c>
      <c r="C63" s="305">
        <f>C39</f>
        <v>2019</v>
      </c>
      <c r="D63" s="305">
        <f>D39</f>
        <v>2020</v>
      </c>
      <c r="E63" s="305">
        <f>E39</f>
        <v>2021</v>
      </c>
      <c r="G63" s="306" t="s">
        <v>2721</v>
      </c>
      <c r="H63" s="306">
        <f>C63</f>
        <v>2019</v>
      </c>
      <c r="I63" s="306">
        <f>D63</f>
        <v>2020</v>
      </c>
      <c r="J63" s="306">
        <f>E63</f>
        <v>2021</v>
      </c>
    </row>
    <row r="64" spans="1:10" x14ac:dyDescent="0.25">
      <c r="A64" s="307" t="s">
        <v>2305</v>
      </c>
      <c r="B64" s="323">
        <f t="shared" ref="B64:E65" si="4">B8</f>
        <v>34193458257</v>
      </c>
      <c r="C64" s="323">
        <f t="shared" si="4"/>
        <v>52109888424</v>
      </c>
      <c r="D64" s="323">
        <f t="shared" si="4"/>
        <v>59340130084</v>
      </c>
      <c r="E64" s="323">
        <f t="shared" si="4"/>
        <v>61039612496</v>
      </c>
      <c r="G64" s="309" t="s">
        <v>2305</v>
      </c>
      <c r="H64" s="310">
        <f t="shared" ref="H64:J65" si="5">IF(B64=0,0,(C64-B64)/B64)</f>
        <v>0.5239724520503038</v>
      </c>
      <c r="I64" s="310">
        <f t="shared" si="5"/>
        <v>0.1387498971628963</v>
      </c>
      <c r="J64" s="310">
        <f t="shared" si="5"/>
        <v>0.02863968126787499</v>
      </c>
    </row>
    <row r="65" spans="1:10" x14ac:dyDescent="0.25">
      <c r="A65" s="307" t="s">
        <v>2731</v>
      </c>
      <c r="B65" s="323">
        <f t="shared" si="4"/>
        <v>3680698625</v>
      </c>
      <c r="C65" s="323">
        <f t="shared" si="4"/>
        <v>4405853437</v>
      </c>
      <c r="D65" s="323">
        <f t="shared" si="4"/>
        <v>4994138866</v>
      </c>
      <c r="E65" s="323">
        <f t="shared" si="4"/>
        <v>5805826735</v>
      </c>
      <c r="G65" s="309" t="s">
        <v>2731</v>
      </c>
      <c r="H65" s="310">
        <f t="shared" si="5"/>
        <v>0.19701553587533943</v>
      </c>
      <c r="I65" s="310">
        <f t="shared" si="5"/>
        <v>0.13352360386290354</v>
      </c>
      <c r="J65" s="310">
        <f t="shared" si="5"/>
        <v>0.16252809358705567</v>
      </c>
    </row>
    <row r="66" spans="1:10" x14ac:dyDescent="0.25">
      <c r="A66" s="303" t="str">
        <f>"DATA PENJUALAN/PENDAPATAN INDUSTRI"</f>
        <v>DATA PENJUALAN/PENDAPATAN INDUSTRI</v>
      </c>
      <c r="B66" s="303"/>
      <c r="C66" s="303"/>
      <c r="D66" s="303"/>
      <c r="E66" s="303"/>
      <c r="G66" s="304" t="str">
        <f>"GROWTH INDUSTRI "</f>
        <v>GROWTH INDUSTRI </v>
      </c>
      <c r="H66" s="304"/>
      <c r="I66" s="304"/>
      <c r="J66" s="304"/>
    </row>
    <row r="67" spans="1:10" x14ac:dyDescent="0.25">
      <c r="A67" s="305" t="s">
        <v>2721</v>
      </c>
      <c r="B67" s="305">
        <f>B63</f>
        <v>2018</v>
      </c>
      <c r="C67" s="305">
        <f>C63</f>
        <v>2019</v>
      </c>
      <c r="D67" s="305">
        <f>D63</f>
        <v>2020</v>
      </c>
      <c r="E67" s="305">
        <f>E63</f>
        <v>2021</v>
      </c>
      <c r="G67" s="306" t="s">
        <v>2721</v>
      </c>
      <c r="H67" s="306">
        <f>C67</f>
        <v>2019</v>
      </c>
      <c r="I67" s="306">
        <f>D67</f>
        <v>2020</v>
      </c>
      <c r="J67" s="306">
        <f>E67</f>
        <v>2021</v>
      </c>
    </row>
    <row r="68" spans="1:10" x14ac:dyDescent="0.25">
      <c r="A68" s="307" t="s">
        <v>2305</v>
      </c>
      <c r="B68" s="323">
        <f>B40</f>
        <v>0</v>
      </c>
      <c r="C68" s="323">
        <f t="shared" ref="C68:E69" si="6">C40</f>
        <v>0</v>
      </c>
      <c r="D68" s="323">
        <f t="shared" si="6"/>
        <v>0</v>
      </c>
      <c r="E68" s="323">
        <f t="shared" si="6"/>
        <v>0</v>
      </c>
      <c r="G68" s="309" t="s">
        <v>2305</v>
      </c>
      <c r="H68" s="310">
        <f t="shared" ref="H68:J69" si="7">IF(B68=0,0,(C68-B68)/B68)</f>
        <v>0</v>
      </c>
      <c r="I68" s="310">
        <f t="shared" si="7"/>
        <v>0</v>
      </c>
      <c r="J68" s="310">
        <f t="shared" si="7"/>
        <v>0</v>
      </c>
    </row>
    <row r="69" spans="1:10" x14ac:dyDescent="0.25">
      <c r="A69" s="307" t="s">
        <v>2731</v>
      </c>
      <c r="B69" s="323">
        <f>B41</f>
        <v>0</v>
      </c>
      <c r="C69" s="323">
        <f t="shared" si="6"/>
        <v>0</v>
      </c>
      <c r="D69" s="323">
        <f t="shared" si="6"/>
        <v>0</v>
      </c>
      <c r="E69" s="323">
        <f t="shared" si="6"/>
        <v>0</v>
      </c>
      <c r="G69" s="309" t="s">
        <v>2731</v>
      </c>
      <c r="H69" s="310">
        <f t="shared" si="7"/>
        <v>0</v>
      </c>
      <c r="I69" s="310">
        <f t="shared" si="7"/>
        <v>0</v>
      </c>
      <c r="J69" s="310">
        <f t="shared" si="7"/>
        <v>0</v>
      </c>
    </row>
  </sheetData>
  <mergeCells count="13">
    <mergeCell ref="A2:J2"/>
    <mergeCell ref="A4:J4"/>
    <mergeCell ref="A6:E6"/>
    <mergeCell ref="G6:J6"/>
    <mergeCell ref="A36:J36"/>
    <mergeCell ref="A38:E38"/>
    <mergeCell ref="G38:J38"/>
    <mergeCell ref="A58:J58"/>
    <mergeCell ref="A60:J60"/>
    <mergeCell ref="A62:E62"/>
    <mergeCell ref="G62:J62"/>
    <mergeCell ref="A66:E66"/>
    <mergeCell ref="G66:J66"/>
  </mergeCells>
  <pageMargins left="1.2" right="0.7" top="0.5" bottom="0.5" header="0.3" footer="0.3"/>
  <pageSetup paperSize="9" orientation="landscape" horizontalDpi="4294967295" verticalDpi="4294967295" scale="8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7"/>
  <sheetViews>
    <sheetView workbookViewId="0" zoomScale="100" zoomScaleNormal="100">
      <selection activeCell="D17" sqref="D17"/>
    </sheetView>
  </sheetViews>
  <sheetFormatPr defaultRowHeight="15" outlineLevelRow="0" outlineLevelCol="0" x14ac:dyDescent="0.2" defaultColWidth="8.83203125"/>
  <cols>
    <col min="1" max="1" width="16.83203125" customWidth="1"/>
    <col min="2" max="10" width="16.33203125" customWidth="1"/>
  </cols>
  <sheetData>
    <row r="1" spans="1:1" x14ac:dyDescent="0.25">
      <c r="A1" t="str">
        <f>HOME!B4</f>
        <v>PT RAJA VOLTAMA ELEKTRIK</v>
      </c>
    </row>
    <row r="2" spans="1:1" x14ac:dyDescent="0.25">
      <c r="A2" t="s">
        <v>2638</v>
      </c>
    </row>
    <row r="3" spans="1:1" x14ac:dyDescent="0.25">
      <c r="A3" t="s">
        <v>2639</v>
      </c>
    </row>
    <row r="4" spans="1:1" x14ac:dyDescent="0.25">
      <c r="A4" t="str">
        <f>'BALANCE SHEET'!A3</f>
        <v>(IDR)</v>
      </c>
    </row>
    <row r="6" spans="1:10" x14ac:dyDescent="0.25">
      <c r="A6" s="226"/>
      <c r="B6" s="226"/>
      <c r="C6" s="226"/>
      <c r="D6" s="226">
        <f>'INCOME STATEMENT'!F5+1</f>
        <v>2022</v>
      </c>
      <c r="E6" s="226">
        <f t="shared" ref="E6:J6" si="0">D6+1</f>
        <v>2023</v>
      </c>
      <c r="F6" s="226">
        <f t="shared" si="0"/>
        <v>2024</v>
      </c>
      <c r="G6" s="226">
        <f t="shared" si="0"/>
        <v>2025</v>
      </c>
      <c r="H6" s="226">
        <f t="shared" si="0"/>
        <v>2026</v>
      </c>
      <c r="I6" s="226">
        <f t="shared" si="0"/>
        <v>2027</v>
      </c>
      <c r="J6" s="226">
        <f t="shared" si="0"/>
        <v>2028</v>
      </c>
    </row>
    <row r="7" spans="1:1" x14ac:dyDescent="0.25">
      <c r="A7" s="227" t="s">
        <v>2640</v>
      </c>
    </row>
    <row r="8" spans="1:10" x14ac:dyDescent="0.25">
      <c r="A8" t="s">
        <v>2641</v>
      </c>
      <c r="C8" s="31">
        <v>0.14</v>
      </c>
      <c r="D8" s="31"/>
      <c r="E8" s="31"/>
      <c r="F8" s="31"/>
      <c r="G8" s="31"/>
      <c r="H8" s="31"/>
      <c r="I8" s="31"/>
      <c r="J8" s="31"/>
    </row>
    <row r="9" spans="1:13" x14ac:dyDescent="0.25">
      <c r="A9" t="s">
        <v>2642</v>
      </c>
      <c r="C9" s="31">
        <v>0.12</v>
      </c>
      <c r="D9" s="31"/>
      <c r="E9" s="31"/>
      <c r="F9" s="31"/>
      <c r="G9" s="31"/>
      <c r="H9" s="31"/>
      <c r="I9" s="31"/>
      <c r="J9" s="31"/>
      <c r="M9" t="s">
        <v>2643</v>
      </c>
    </row>
    <row r="10" spans="1:10" x14ac:dyDescent="0.25">
      <c r="A10" t="s">
        <v>2644</v>
      </c>
      <c r="C10" s="31">
        <v>0.09</v>
      </c>
      <c r="D10" s="31"/>
      <c r="E10" s="31"/>
      <c r="F10" s="31"/>
      <c r="G10" s="31"/>
      <c r="H10" s="31"/>
      <c r="I10" s="31"/>
      <c r="J10" s="31"/>
    </row>
    <row r="11" ht="16" customHeight="1" spans="1:10" x14ac:dyDescent="0.25">
      <c r="A11" s="48" t="s">
        <v>2645</v>
      </c>
      <c r="B11" s="48"/>
      <c r="C11" s="228">
        <v>0.20638908946974405</v>
      </c>
      <c r="D11" s="228"/>
      <c r="E11" s="228"/>
      <c r="F11" s="228"/>
      <c r="G11" s="228"/>
      <c r="H11" s="228"/>
      <c r="I11" s="228"/>
      <c r="J11" s="228"/>
    </row>
    <row r="13" spans="1:1" x14ac:dyDescent="0.25">
      <c r="A13" s="227" t="s">
        <v>2646</v>
      </c>
    </row>
    <row r="14" spans="1:13" x14ac:dyDescent="0.25">
      <c r="A14" t="s">
        <v>2647</v>
      </c>
      <c r="C14" s="20" t="s">
        <v>2648</v>
      </c>
      <c r="D14" s="26">
        <v>0</v>
      </c>
      <c r="E14" s="26">
        <f t="shared" ref="E14:J14" si="1">ROUND(D14*(1+E15),-2)</f>
        <v>1146300</v>
      </c>
      <c r="F14" s="26">
        <f>ROUND(E14*(1+F15),-2)</f>
        <v>1260900</v>
      </c>
      <c r="G14" s="26">
        <f t="shared" si="1"/>
        <v>1387000</v>
      </c>
      <c r="H14" s="26">
        <f t="shared" si="1"/>
        <v>1525700</v>
      </c>
      <c r="I14" s="26">
        <f t="shared" si="1"/>
        <v>1678300</v>
      </c>
      <c r="J14" s="26">
        <f t="shared" si="1"/>
        <v>1846100</v>
      </c>
      <c r="M14" t="s">
        <v>2649</v>
      </c>
    </row>
    <row r="15" spans="2:10" x14ac:dyDescent="0.25">
      <c r="B15" t="s">
        <v>2650</v>
      </c>
      <c r="C15" s="20"/>
      <c r="D15" s="31"/>
      <c r="E15" s="31">
        <v>0.05</v>
      </c>
      <c r="F15" s="31">
        <v>0.05</v>
      </c>
      <c r="G15" s="31">
        <v>0.05</v>
      </c>
      <c r="H15" s="31">
        <v>0.05</v>
      </c>
      <c r="I15" s="31">
        <v>0.05</v>
      </c>
      <c r="J15" s="31">
        <v>0.05</v>
      </c>
    </row>
    <row r="16" spans="3:4" x14ac:dyDescent="0.25">
      <c r="C16" s="20"/>
      <c r="D16" s="31"/>
    </row>
    <row r="17" spans="1:10" x14ac:dyDescent="0.25">
      <c r="A17" t="s">
        <v>2651</v>
      </c>
      <c r="C17" s="20" t="s">
        <v>2652</v>
      </c>
      <c r="D17" s="26">
        <v>0</v>
      </c>
      <c r="E17" s="26">
        <f t="shared" ref="E17:J17" si="2">ROUNDUP(D17*(1+E18),-3)</f>
        <v>117000</v>
      </c>
      <c r="F17" s="26">
        <f t="shared" si="2"/>
        <v>123000</v>
      </c>
      <c r="G17" s="26">
        <f t="shared" si="2"/>
        <v>130000</v>
      </c>
      <c r="H17" s="26">
        <f t="shared" si="2"/>
        <v>137000</v>
      </c>
      <c r="I17" s="26">
        <f t="shared" si="2"/>
        <v>144000</v>
      </c>
      <c r="J17" s="26">
        <f t="shared" si="2"/>
        <v>152000</v>
      </c>
    </row>
    <row r="18" spans="2:13" x14ac:dyDescent="0.25">
      <c r="B18" t="s">
        <v>2650</v>
      </c>
      <c r="C18" s="20"/>
      <c r="E18" s="31">
        <v>0.05</v>
      </c>
      <c r="F18" s="31">
        <v>0.05</v>
      </c>
      <c r="G18" s="31">
        <v>0.05</v>
      </c>
      <c r="H18" s="31">
        <v>0.05</v>
      </c>
      <c r="I18" s="31">
        <v>0.05</v>
      </c>
      <c r="J18" s="31">
        <v>0.05</v>
      </c>
      <c r="M18" t="s">
        <v>2649</v>
      </c>
    </row>
    <row r="19" spans="3:3" x14ac:dyDescent="0.25">
      <c r="C19" s="20"/>
    </row>
    <row r="20" spans="1:10" x14ac:dyDescent="0.25">
      <c r="A20" t="s">
        <v>2653</v>
      </c>
      <c r="C20" s="20" t="s">
        <v>2654</v>
      </c>
      <c r="D20" s="229">
        <v>0.6123361326635516</v>
      </c>
      <c r="E20" s="230">
        <v>0.6123361326635516</v>
      </c>
      <c r="F20" s="230">
        <v>0.6123361326635516</v>
      </c>
      <c r="G20" s="230">
        <v>0.6123361326635516</v>
      </c>
      <c r="H20" s="230">
        <v>0.6123361326635516</v>
      </c>
      <c r="I20" s="230">
        <v>0.6123361326635516</v>
      </c>
      <c r="J20" s="230">
        <v>0.6123361326635516</v>
      </c>
    </row>
    <row r="21" spans="3:3" x14ac:dyDescent="0.25">
      <c r="C21" s="20"/>
    </row>
    <row r="22" spans="1:3" x14ac:dyDescent="0.25">
      <c r="A22" t="s">
        <v>2655</v>
      </c>
      <c r="C22" s="20"/>
    </row>
    <row r="23" spans="2:13" x14ac:dyDescent="0.25">
      <c r="B23" t="s">
        <v>2656</v>
      </c>
      <c r="C23" s="20" t="s">
        <v>2654</v>
      </c>
      <c r="D23" s="46">
        <v>0</v>
      </c>
      <c r="E23" s="46">
        <v>0</v>
      </c>
      <c r="F23" s="46">
        <v>0</v>
      </c>
      <c r="G23" s="46">
        <v>0</v>
      </c>
      <c r="H23" s="46">
        <v>0</v>
      </c>
      <c r="I23" s="46">
        <v>0</v>
      </c>
      <c r="J23" s="46">
        <v>0</v>
      </c>
      <c r="M23" t="s">
        <v>2657</v>
      </c>
    </row>
    <row r="24" ht="16" customHeight="1" spans="1:10" x14ac:dyDescent="0.25">
      <c r="A24" s="48"/>
      <c r="B24" s="48" t="s">
        <v>2658</v>
      </c>
      <c r="C24" s="231" t="s">
        <v>2659</v>
      </c>
      <c r="D24" s="228">
        <v>0.1478977754378156</v>
      </c>
      <c r="E24" s="228">
        <v>0.1478977754378156</v>
      </c>
      <c r="F24" s="228">
        <v>0.1478977754378156</v>
      </c>
      <c r="G24" s="228">
        <v>0.1478977754378156</v>
      </c>
      <c r="H24" s="228">
        <v>0.1478977754378156</v>
      </c>
      <c r="I24" s="228">
        <v>0.1478977754378156</v>
      </c>
      <c r="J24" s="228">
        <v>0.1478977754378156</v>
      </c>
    </row>
    <row r="25" spans="3:3" x14ac:dyDescent="0.25">
      <c r="C25" s="20"/>
    </row>
    <row r="26" spans="1:3" x14ac:dyDescent="0.25">
      <c r="A26" s="232" t="s">
        <v>2660</v>
      </c>
      <c r="C26" s="20"/>
    </row>
    <row r="27" spans="1:3" x14ac:dyDescent="0.25">
      <c r="A27" t="s">
        <v>2661</v>
      </c>
      <c r="C27" s="20"/>
    </row>
    <row r="28" spans="2:10" x14ac:dyDescent="0.25">
      <c r="B28" t="s">
        <v>2662</v>
      </c>
      <c r="C28" s="20" t="s">
        <v>2663</v>
      </c>
      <c r="D28">
        <v>35</v>
      </c>
      <c r="E28">
        <v>35</v>
      </c>
      <c r="F28">
        <v>35</v>
      </c>
      <c r="G28">
        <v>35</v>
      </c>
      <c r="H28">
        <v>35</v>
      </c>
      <c r="I28">
        <v>35</v>
      </c>
      <c r="J28">
        <v>35</v>
      </c>
    </row>
    <row r="29" spans="2:10" x14ac:dyDescent="0.25">
      <c r="B29" t="s">
        <v>2237</v>
      </c>
      <c r="C29" s="20" t="s">
        <v>2663</v>
      </c>
      <c r="D29">
        <v>50</v>
      </c>
      <c r="E29">
        <v>50</v>
      </c>
      <c r="F29">
        <v>50</v>
      </c>
      <c r="G29">
        <v>50</v>
      </c>
      <c r="H29">
        <v>50</v>
      </c>
      <c r="I29">
        <v>50</v>
      </c>
      <c r="J29">
        <v>50</v>
      </c>
    </row>
    <row r="30" spans="2:10" x14ac:dyDescent="0.25">
      <c r="B30" t="s">
        <v>2664</v>
      </c>
      <c r="C30" s="20" t="s">
        <v>2663</v>
      </c>
      <c r="D30">
        <v>90</v>
      </c>
      <c r="E30">
        <v>90</v>
      </c>
      <c r="F30">
        <v>90</v>
      </c>
      <c r="G30">
        <v>90</v>
      </c>
      <c r="H30">
        <v>90</v>
      </c>
      <c r="I30">
        <v>90</v>
      </c>
      <c r="J30">
        <v>90</v>
      </c>
    </row>
    <row r="32" spans="1:1" x14ac:dyDescent="0.25">
      <c r="A32" t="s">
        <v>2665</v>
      </c>
    </row>
    <row r="33" spans="2:10" x14ac:dyDescent="0.25">
      <c r="B33" t="s">
        <v>2352</v>
      </c>
      <c r="D33">
        <v>0</v>
      </c>
      <c r="E33">
        <v>0</v>
      </c>
      <c r="F33">
        <v>0</v>
      </c>
      <c r="G33">
        <v>0</v>
      </c>
      <c r="H33">
        <v>0</v>
      </c>
      <c r="I33">
        <v>0</v>
      </c>
      <c r="J33">
        <v>0</v>
      </c>
    </row>
    <row r="34" spans="2:10" x14ac:dyDescent="0.25">
      <c r="B34" t="s">
        <v>2354</v>
      </c>
      <c r="D34">
        <v>0</v>
      </c>
      <c r="E34">
        <v>0</v>
      </c>
      <c r="F34">
        <v>0</v>
      </c>
      <c r="G34">
        <v>0</v>
      </c>
      <c r="H34">
        <v>0</v>
      </c>
      <c r="I34">
        <v>0</v>
      </c>
      <c r="J34">
        <v>0</v>
      </c>
    </row>
    <row r="35" spans="2:10" x14ac:dyDescent="0.25">
      <c r="B35" t="s">
        <v>2666</v>
      </c>
      <c r="D35" s="26">
        <v>0</v>
      </c>
      <c r="E35" s="26">
        <v>0</v>
      </c>
      <c r="F35" s="26">
        <v>0</v>
      </c>
      <c r="G35" s="26">
        <v>0</v>
      </c>
      <c r="H35" s="26">
        <v>0</v>
      </c>
      <c r="I35" s="26">
        <v>0</v>
      </c>
      <c r="J35" s="26">
        <v>0</v>
      </c>
    </row>
    <row r="36" spans="2:10" x14ac:dyDescent="0.25">
      <c r="B36" t="s">
        <v>2287</v>
      </c>
      <c r="D36" s="26">
        <v>0</v>
      </c>
      <c r="E36" s="26">
        <v>0</v>
      </c>
      <c r="F36" s="26">
        <v>0</v>
      </c>
      <c r="G36" s="26">
        <v>0</v>
      </c>
      <c r="H36" s="26">
        <v>0</v>
      </c>
      <c r="I36" s="26">
        <v>0</v>
      </c>
      <c r="J36" s="26">
        <v>0</v>
      </c>
    </row>
    <row r="37" ht="16" customHeight="1" spans="1:10" x14ac:dyDescent="0.25">
      <c r="A37" s="233" t="s">
        <v>2667</v>
      </c>
      <c r="B37" s="233"/>
      <c r="C37" s="233"/>
      <c r="D37" s="234">
        <f>SUM(D35:D36)</f>
        <v>1500</v>
      </c>
      <c r="E37" s="234">
        <f t="shared" ref="E37:J37" si="3">SUM(E35:E36)</f>
        <v>1500</v>
      </c>
      <c r="F37" s="234">
        <f t="shared" si="3"/>
        <v>1500</v>
      </c>
      <c r="G37" s="234">
        <f t="shared" si="3"/>
        <v>1500</v>
      </c>
      <c r="H37" s="234">
        <f t="shared" si="3"/>
        <v>1500</v>
      </c>
      <c r="I37" s="234">
        <f t="shared" si="3"/>
        <v>1500</v>
      </c>
      <c r="J37" s="234">
        <f t="shared" si="3"/>
        <v>1500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40"/>
  <sheetViews>
    <sheetView workbookViewId="0" showGridLines="0" zoomScale="115" zoomScaleNormal="115">
      <selection activeCell="A41" sqref="A41"/>
    </sheetView>
  </sheetViews>
  <sheetFormatPr defaultRowHeight="15" outlineLevelRow="0" outlineLevelCol="0" x14ac:dyDescent="0.2" defaultColWidth="8.83203125"/>
  <cols>
    <col min="1" max="1" width="19.1640625" customWidth="1"/>
    <col min="2" max="2" width="31.1640625" customWidth="1"/>
    <col min="3" max="3" width="21.1640625" customWidth="1"/>
    <col min="4" max="7" width="20.5" customWidth="1"/>
    <col min="8" max="9" width="15.5" customWidth="1"/>
    <col min="10" max="10" width="16" customWidth="1"/>
    <col min="11" max="11" width="13.83203125" customWidth="1"/>
  </cols>
  <sheetData>
    <row r="1" spans="2:10" x14ac:dyDescent="0.25">
      <c r="B1" s="4"/>
      <c r="C1" s="4"/>
      <c r="D1" s="4"/>
      <c r="E1" s="4" t="s">
        <v>2668</v>
      </c>
      <c r="G1" s="4"/>
      <c r="H1" s="4"/>
      <c r="I1" s="4"/>
      <c r="J1" s="4"/>
    </row>
    <row r="2" spans="1:1" x14ac:dyDescent="0.25">
      <c r="A2" t="str">
        <f>HOME!B4</f>
        <v>PT RAJA VOLTAMA ELEKTRIK</v>
      </c>
    </row>
    <row r="3" spans="1:1" x14ac:dyDescent="0.25">
      <c r="A3" t="s">
        <v>2280</v>
      </c>
    </row>
    <row r="4" spans="1:6" x14ac:dyDescent="0.25">
      <c r="A4" t="str">
        <f>'BALANCE SHEET'!A3</f>
        <v>(IDR)</v>
      </c>
      <c r="D4">
        <v>5</v>
      </c>
      <c r="E4">
        <v>6</v>
      </c>
      <c r="F4">
        <v>7</v>
      </c>
    </row>
    <row r="6" spans="1:10" x14ac:dyDescent="0.25">
      <c r="A6" s="226"/>
      <c r="B6" s="226"/>
      <c r="C6" s="235">
        <f>'PROY BALANCE SHEET'!C5</f>
        <v>2021</v>
      </c>
      <c r="D6" s="235">
        <f>'PROY BALANCE SHEET'!D5</f>
        <v>2022</v>
      </c>
      <c r="E6" s="235">
        <f>'PROY BALANCE SHEET'!E5</f>
        <v>2023</v>
      </c>
      <c r="F6" s="235">
        <f>'PROY BALANCE SHEET'!F5</f>
        <v>2024</v>
      </c>
      <c r="G6" s="235"/>
      <c r="H6" s="235"/>
      <c r="I6" s="235"/>
      <c r="J6" s="235"/>
    </row>
    <row r="7" spans="3:13" x14ac:dyDescent="0.25">
      <c r="C7" s="236"/>
      <c r="L7" s="237"/>
      <c r="M7" t="s">
        <v>2669</v>
      </c>
    </row>
    <row r="8" spans="1:11" x14ac:dyDescent="0.25">
      <c r="A8" t="s">
        <v>2282</v>
      </c>
      <c r="C8" s="238">
        <f>'INCOME STATEMENT'!F6</f>
        <v>61039612496</v>
      </c>
      <c r="D8" s="26">
        <f>C8*(1+$C$9)</f>
        <v>75106435974.33751</v>
      </c>
      <c r="E8" s="26">
        <f>D8*(1+$C$9)</f>
        <v>92415015333.47578</v>
      </c>
      <c r="F8" s="26">
        <f>E8*(1+$C$9)</f>
        <v>113712426216.10628</v>
      </c>
      <c r="G8" s="26"/>
      <c r="H8" s="26"/>
      <c r="I8" s="26"/>
      <c r="J8" s="26"/>
      <c r="K8" t="s">
        <v>2670</v>
      </c>
    </row>
    <row r="9" spans="1:12" x14ac:dyDescent="0.25">
      <c r="A9" s="239" t="s">
        <v>2671</v>
      </c>
      <c r="C9" s="240">
        <f>'INCOME STATEMENT'!K6</f>
        <v>0.23045401016035838</v>
      </c>
      <c r="D9" s="46">
        <f>(D8-C8)/C8</f>
        <v>0.23045401016035816</v>
      </c>
      <c r="E9" s="46">
        <f>(E8-D8)/D8</f>
        <v>0.23045401016035827</v>
      </c>
      <c r="F9" s="46">
        <f>(F8-E8)/E8</f>
        <v>0.23045401016035827</v>
      </c>
      <c r="G9" s="46"/>
      <c r="H9" s="46"/>
      <c r="I9" s="46"/>
      <c r="J9" s="46"/>
      <c r="K9" s="46"/>
      <c r="L9" s="46"/>
    </row>
    <row r="10" spans="1:10" x14ac:dyDescent="0.25">
      <c r="A10" t="s">
        <v>2283</v>
      </c>
      <c r="C10" s="241">
        <f>'INCOME STATEMENT'!F7</f>
        <v>-26008410685</v>
      </c>
      <c r="D10" s="26">
        <f>ROUNDUP('KEY DRIVERS'!D20*D8,3)</f>
        <v>-41517664017.671</v>
      </c>
      <c r="E10" s="26">
        <f>ROUNDUP('KEY DRIVERS'!E20*E8,3)</f>
        <v>-51085576183.034</v>
      </c>
      <c r="F10" s="26">
        <f>ROUNDUP('KEY DRIVERS'!F20*F8,3)</f>
        <v>-62858452075.767</v>
      </c>
      <c r="G10" s="26"/>
      <c r="H10" s="26"/>
      <c r="I10" s="26"/>
      <c r="J10" s="26"/>
    </row>
    <row r="11" ht="16" customHeight="1" spans="1:10" x14ac:dyDescent="0.25">
      <c r="A11" s="47" t="s">
        <v>2284</v>
      </c>
      <c r="B11" s="47"/>
      <c r="C11" s="242">
        <f>'INCOME STATEMENT'!F8</f>
        <v>35031201811</v>
      </c>
      <c r="D11" s="49">
        <f>+D8+D10</f>
        <v>33588771956.66651</v>
      </c>
      <c r="E11" s="49">
        <f>+E8+E10</f>
        <v>41329439150.44179</v>
      </c>
      <c r="F11" s="49">
        <f>+F8+F10</f>
        <v>50853974140.33928</v>
      </c>
      <c r="G11" s="49"/>
      <c r="H11" s="49"/>
      <c r="I11" s="49"/>
      <c r="J11" s="49"/>
    </row>
    <row r="12" spans="2:10" x14ac:dyDescent="0.25">
      <c r="B12" s="55" t="s">
        <v>2285</v>
      </c>
      <c r="C12" s="243">
        <f>'INCOME STATEMENT'!F9</f>
        <v>0.5739093087017162</v>
      </c>
      <c r="D12" s="244">
        <f>+D11/D8</f>
        <v>0.4472156283403353</v>
      </c>
      <c r="E12" s="244">
        <f>+E11/E8</f>
        <v>0.44721562834033196</v>
      </c>
      <c r="F12" s="244">
        <f>+F11/F8</f>
        <v>0.4472156283403291</v>
      </c>
      <c r="G12" s="244"/>
      <c r="H12" s="244"/>
      <c r="I12" s="244"/>
      <c r="J12" s="244"/>
    </row>
    <row r="13" spans="3:3" x14ac:dyDescent="0.25">
      <c r="C13" s="236"/>
    </row>
    <row r="14" spans="1:3" x14ac:dyDescent="0.25">
      <c r="A14" t="s">
        <v>2286</v>
      </c>
      <c r="C14" s="236"/>
    </row>
    <row r="15" spans="2:10" x14ac:dyDescent="0.25">
      <c r="B15" t="s">
        <v>2287</v>
      </c>
      <c r="C15" s="241">
        <f>'INCOME STATEMENT'!F12</f>
        <v>-20131113884</v>
      </c>
      <c r="D15" s="245">
        <f>D8*'KEY DRIVERS'!D23</f>
        <v>-16065495848.675655</v>
      </c>
      <c r="E15" s="245">
        <f>E8*'KEY DRIVERS'!E23</f>
        <v>-19767853792.21755</v>
      </c>
      <c r="F15" s="245">
        <f>F8*'KEY DRIVERS'!F23</f>
        <v>-24323434970.897728</v>
      </c>
      <c r="G15" s="245"/>
      <c r="H15" s="245"/>
      <c r="I15" s="245"/>
      <c r="J15" s="245"/>
    </row>
    <row r="16" spans="1:10" x14ac:dyDescent="0.25">
      <c r="A16" s="34"/>
      <c r="B16" s="34" t="s">
        <v>2288</v>
      </c>
      <c r="C16" s="246">
        <f>'INCOME STATEMENT'!F13</f>
        <v>-7406641195</v>
      </c>
      <c r="D16" s="247">
        <f>D8*'KEY DRIVERS'!D24</f>
        <v>-8838175458.246191</v>
      </c>
      <c r="E16" s="247">
        <f>E8*'KEY DRIVERS'!E24</f>
        <v>-10874968435.099888</v>
      </c>
      <c r="F16" s="247">
        <f>F8*'KEY DRIVERS'!F24</f>
        <v>-13381148521.335972</v>
      </c>
      <c r="G16" s="247"/>
      <c r="H16" s="247"/>
      <c r="I16" s="247"/>
      <c r="J16" s="247"/>
    </row>
    <row r="17" spans="1:10" x14ac:dyDescent="0.25">
      <c r="A17" t="s">
        <v>2672</v>
      </c>
      <c r="C17" s="241">
        <f>SUM(C15:C16)</f>
        <v>-27537755079</v>
      </c>
      <c r="D17" s="245">
        <f>SUM(D15:D16)</f>
        <v>-24903671306.921844</v>
      </c>
      <c r="E17" s="245">
        <f>SUM(E15:E16)</f>
        <v>-30642822227.317436</v>
      </c>
      <c r="F17" s="245">
        <f>SUM(F15:F16)</f>
        <v>-37704583492.2337</v>
      </c>
      <c r="G17" s="245"/>
      <c r="H17" s="245"/>
      <c r="I17" s="245"/>
      <c r="J17" s="245"/>
    </row>
    <row r="18" spans="1:10" x14ac:dyDescent="0.25">
      <c r="A18" s="34"/>
      <c r="B18" s="34"/>
      <c r="C18" s="248"/>
      <c r="D18" s="34"/>
      <c r="E18" s="34"/>
      <c r="F18" s="34"/>
      <c r="G18" s="34"/>
      <c r="H18" s="34"/>
      <c r="I18" s="34"/>
      <c r="J18" s="34"/>
    </row>
    <row r="19" spans="1:10" x14ac:dyDescent="0.25">
      <c r="A19" s="4" t="s">
        <v>2291</v>
      </c>
      <c r="C19" s="241">
        <f>C11+C17</f>
        <v>7493446732</v>
      </c>
      <c r="D19" s="26">
        <f>D11+D17</f>
        <v>8685100649.744667</v>
      </c>
      <c r="E19" s="26">
        <f>E11+E17</f>
        <v>10686616923.124352</v>
      </c>
      <c r="F19" s="26">
        <f>F11+F17</f>
        <v>13149390648.105576</v>
      </c>
      <c r="G19" s="26"/>
      <c r="H19" s="26"/>
      <c r="I19" s="26"/>
      <c r="J19" s="26"/>
    </row>
    <row r="20" spans="3:10" x14ac:dyDescent="0.25">
      <c r="C20" s="240">
        <f>C19/C8</f>
        <v>0.12276366814240595</v>
      </c>
      <c r="D20" s="249">
        <f>D19/D8</f>
        <v>0.11563723583838018</v>
      </c>
      <c r="E20" s="249">
        <f>E19/E8</f>
        <v>0.11563723583837685</v>
      </c>
      <c r="F20" s="249">
        <f>F19/F8</f>
        <v>0.11563723583837393</v>
      </c>
      <c r="G20" s="244"/>
      <c r="H20" s="244"/>
      <c r="I20" s="244"/>
      <c r="J20" s="244"/>
    </row>
    <row r="21" spans="3:3" x14ac:dyDescent="0.25">
      <c r="C21" s="236"/>
    </row>
    <row r="22" spans="1:10" x14ac:dyDescent="0.25">
      <c r="A22" t="s">
        <v>2293</v>
      </c>
      <c r="C22" s="241">
        <f>'FIXED ASSET'!E51*-1</f>
        <v>-159972488</v>
      </c>
      <c r="D22" s="26">
        <f>'PROY FIXED ASSETS'!D51*-1</f>
        <v>-267708942.36900568</v>
      </c>
      <c r="E22" s="26">
        <f>'PROY FIXED ASSETS'!E51*-1</f>
        <v>-643810255.1516942</v>
      </c>
      <c r="F22" s="26">
        <f>'PROY FIXED ASSETS'!F51*-1</f>
        <v>-1819074645.0107172</v>
      </c>
      <c r="G22" s="26"/>
      <c r="H22" s="26"/>
      <c r="I22" s="26"/>
      <c r="J22" s="26"/>
    </row>
    <row r="23" spans="1:10" x14ac:dyDescent="0.25">
      <c r="A23" s="55" t="s">
        <v>2673</v>
      </c>
      <c r="C23" s="250"/>
      <c r="D23" s="251"/>
      <c r="E23" s="251"/>
      <c r="F23" s="251"/>
      <c r="G23" s="252"/>
      <c r="H23" s="31"/>
      <c r="I23" s="31"/>
      <c r="J23" s="31"/>
    </row>
    <row r="24" spans="3:10" x14ac:dyDescent="0.25">
      <c r="C24" s="241"/>
      <c r="D24" s="26"/>
      <c r="E24" s="26"/>
      <c r="F24" s="26"/>
      <c r="G24" s="26"/>
      <c r="H24" s="26"/>
      <c r="I24" s="26"/>
      <c r="J24" s="26"/>
    </row>
    <row r="25" spans="1:10" x14ac:dyDescent="0.25">
      <c r="A25" s="4" t="s">
        <v>2294</v>
      </c>
      <c r="C25" s="241">
        <f>'INCOME STATEMENT'!D22</f>
        <v>5874471249</v>
      </c>
      <c r="D25" s="26">
        <f>D19+D22</f>
        <v>8417391707.375662</v>
      </c>
      <c r="E25" s="26">
        <f>E19+E22</f>
        <v>10042806667.972658</v>
      </c>
      <c r="F25" s="26">
        <f>F19+F22</f>
        <v>11330316003.094858</v>
      </c>
      <c r="G25" s="26"/>
      <c r="H25" s="26"/>
      <c r="I25" s="26"/>
      <c r="J25" s="26"/>
    </row>
    <row r="26" spans="1:10" x14ac:dyDescent="0.25">
      <c r="A26" s="55" t="s">
        <v>2392</v>
      </c>
      <c r="C26" s="253">
        <f>'INCOME STATEMENT'!D23</f>
        <v>0.11273237050905723</v>
      </c>
      <c r="D26" s="244">
        <f>D25/D8</f>
        <v>0.11207284167034275</v>
      </c>
      <c r="E26" s="244">
        <f>E25/E8</f>
        <v>0.10867072446759439</v>
      </c>
      <c r="F26" s="244">
        <f>F25/F8</f>
        <v>0.09964008666530437</v>
      </c>
      <c r="G26" s="244"/>
      <c r="H26" s="244"/>
      <c r="I26" s="244"/>
      <c r="J26" s="244"/>
    </row>
    <row r="27" spans="3:3" x14ac:dyDescent="0.25">
      <c r="C27" s="236"/>
    </row>
    <row r="28" spans="1:3" x14ac:dyDescent="0.25">
      <c r="A28" t="s">
        <v>2674</v>
      </c>
      <c r="C28" s="236"/>
    </row>
    <row r="29" spans="1:10" x14ac:dyDescent="0.25">
      <c r="A29" t="s">
        <v>2297</v>
      </c>
      <c r="C29" s="236">
        <f>'INCOME STATEMENT'!F26</f>
        <v>105200220</v>
      </c>
      <c r="D29" s="65">
        <f>C29*(1+'INCOME STATEMENT'!$K26)</f>
        <v>105347465.88305867</v>
      </c>
      <c r="E29" s="65">
        <f>D29*(1+'INCOME STATEMENT'!$K26)</f>
        <v>105494917.86216997</v>
      </c>
      <c r="F29" s="65">
        <f>E29*(1+'INCOME STATEMENT'!$K26)</f>
        <v>105642576.22580093</v>
      </c>
      <c r="G29" s="65"/>
      <c r="H29" s="65"/>
      <c r="I29" s="65"/>
      <c r="J29" s="65"/>
    </row>
    <row r="30" spans="1:10" s="55" customFormat="1" x14ac:dyDescent="0.25">
      <c r="A30" s="55" t="s">
        <v>2675</v>
      </c>
      <c r="C30" s="250">
        <f>('INCOME STATEMENT'!F26-'INCOME STATEMENT'!E26)/'INCOME STATEMENT'!E26</f>
        <v>-0.2838606273979089</v>
      </c>
      <c r="D30" s="252">
        <f>(D29-C29)/C29</f>
        <v>0.0013996727674016954</v>
      </c>
      <c r="E30" s="252">
        <f>(E29-D29)/D29</f>
        <v>0.0013996727674017192</v>
      </c>
      <c r="F30" s="252">
        <f>(F29-E29)/E29</f>
        <v>0.0013996727674017652</v>
      </c>
      <c r="G30" s="252"/>
      <c r="H30" s="31"/>
      <c r="I30" s="31"/>
      <c r="J30" s="31"/>
    </row>
    <row r="31" spans="1:10" x14ac:dyDescent="0.25">
      <c r="A31" t="s">
        <v>2298</v>
      </c>
      <c r="C31" s="241">
        <f>'INCOME STATEMENT'!F27</f>
        <v>-19483450</v>
      </c>
      <c r="D31" s="65">
        <f>C31*(1+'INCOME STATEMENT'!$K27)</f>
        <v>-19478161.527636457</v>
      </c>
      <c r="E31" s="65">
        <f>D31*(1+'INCOME STATEMENT'!$K27)</f>
        <v>-19472874.490744554</v>
      </c>
      <c r="F31" s="65">
        <f>E31*(1+'INCOME STATEMENT'!$K27)</f>
        <v>-19467588.888934657</v>
      </c>
      <c r="G31" s="65"/>
      <c r="H31" s="65"/>
      <c r="I31" s="65"/>
      <c r="J31" s="65"/>
    </row>
    <row r="32" spans="1:10" x14ac:dyDescent="0.25">
      <c r="A32" s="254" t="s">
        <v>2676</v>
      </c>
      <c r="B32" s="34"/>
      <c r="C32" s="255">
        <f>('INCOME STATEMENT'!F27-'INCOME STATEMENT'!E27)/'INCOME STATEMENT'!E27</f>
        <v>-0.3368423184421005</v>
      </c>
      <c r="D32" s="256">
        <f>(D31-C31)/C31</f>
        <v>-0.0002714340819281372</v>
      </c>
      <c r="E32" s="256">
        <f>(E31-D31)/D31</f>
        <v>-0.00027143408192822774</v>
      </c>
      <c r="F32" s="256">
        <f>(F31-E31)/E31</f>
        <v>-0.00027143408192810837</v>
      </c>
      <c r="G32" s="257"/>
      <c r="H32" s="256"/>
      <c r="I32" s="256"/>
      <c r="J32" s="256"/>
    </row>
    <row r="33" spans="1:10" x14ac:dyDescent="0.25">
      <c r="A33" t="s">
        <v>2674</v>
      </c>
      <c r="C33" s="241">
        <f>C29+C31</f>
        <v>85716770</v>
      </c>
      <c r="D33" s="26">
        <f>D29+D31</f>
        <v>85869304.35542221</v>
      </c>
      <c r="E33" s="26">
        <f>E29+E31</f>
        <v>86022043.37142542</v>
      </c>
      <c r="F33" s="26">
        <f>F29+F31</f>
        <v>86174987.33686627</v>
      </c>
      <c r="G33" s="26"/>
      <c r="H33" s="26"/>
      <c r="I33" s="26"/>
      <c r="J33" s="26"/>
    </row>
    <row r="34" spans="1:10" x14ac:dyDescent="0.25">
      <c r="A34" s="55" t="s">
        <v>2300</v>
      </c>
      <c r="C34" s="241">
        <f>'INCOME STATEMENT'!F30</f>
        <v>0</v>
      </c>
      <c r="D34" s="65">
        <f>C34*(1+'INCOME STATEMENT'!$K30)</f>
        <v>0</v>
      </c>
      <c r="E34" s="65">
        <f>D34*(1+'INCOME STATEMENT'!$K30)</f>
        <v>0</v>
      </c>
      <c r="F34" s="65">
        <f>E34*(1+'INCOME STATEMENT'!$K30)</f>
        <v>0</v>
      </c>
      <c r="G34" s="65"/>
      <c r="H34" s="65"/>
      <c r="I34" s="65"/>
      <c r="J34" s="65"/>
    </row>
    <row r="35" spans="3:3" x14ac:dyDescent="0.25">
      <c r="C35" s="236"/>
    </row>
    <row r="36" ht="16" customHeight="1" spans="1:10" x14ac:dyDescent="0.25">
      <c r="A36" s="258" t="s">
        <v>2301</v>
      </c>
      <c r="B36" s="259"/>
      <c r="C36" s="260">
        <f>C25+C33+C34</f>
        <v>5960188019</v>
      </c>
      <c r="D36" s="261">
        <f>D25+D33+D34</f>
        <v>8503261011.731084</v>
      </c>
      <c r="E36" s="261">
        <f>E25+E33+E34</f>
        <v>10128828711.344084</v>
      </c>
      <c r="F36" s="261">
        <f>F25+F33+F34</f>
        <v>11416490990.431725</v>
      </c>
      <c r="G36" s="261"/>
      <c r="H36" s="261"/>
      <c r="I36" s="261"/>
      <c r="J36" s="261"/>
    </row>
    <row r="37" ht="16" customHeight="1" spans="1:10" x14ac:dyDescent="0.25">
      <c r="A37" t="s">
        <v>2302</v>
      </c>
      <c r="B37" s="31">
        <f>'KEY DRIVERS'!C11</f>
        <v>0.22</v>
      </c>
      <c r="C37" s="241">
        <f>'INCOME STATEMENT'!F33</f>
        <v>-1613364280</v>
      </c>
      <c r="D37" s="26">
        <f>$B$37*D36*-1</f>
        <v>-1870717422.5808384</v>
      </c>
      <c r="E37" s="26">
        <f>$B$37*E36*-1</f>
        <v>-2228342316.4956985</v>
      </c>
      <c r="F37" s="26">
        <f>$B$37*F36*-1</f>
        <v>-2511628017.8949795</v>
      </c>
      <c r="G37" s="26"/>
      <c r="H37" s="26"/>
      <c r="I37" s="26"/>
      <c r="J37" s="26"/>
    </row>
    <row r="38" spans="3:3" x14ac:dyDescent="0.25">
      <c r="C38" s="236"/>
    </row>
    <row r="39" ht="16" customHeight="1" spans="1:10" x14ac:dyDescent="0.25">
      <c r="A39" s="258" t="s">
        <v>2303</v>
      </c>
      <c r="B39" s="258" t="s">
        <v>2426</v>
      </c>
      <c r="C39" s="260">
        <f>C36+C37</f>
        <v>4346823739</v>
      </c>
      <c r="D39" s="261">
        <f>D36+D37</f>
        <v>6632543589.150246</v>
      </c>
      <c r="E39" s="261">
        <f>E36+E37</f>
        <v>7900486394.848385</v>
      </c>
      <c r="F39" s="261">
        <f>F36+F37</f>
        <v>8904862972.536745</v>
      </c>
      <c r="G39" s="261"/>
      <c r="H39" s="261"/>
      <c r="I39" s="261"/>
      <c r="J39" s="261"/>
    </row>
    <row r="40" ht="16" customHeight="1" spans="1:10" x14ac:dyDescent="0.25">
      <c r="A40" s="55" t="s">
        <v>2677</v>
      </c>
      <c r="C40" s="253">
        <f>C39/C8</f>
        <v>0.07121316078611824</v>
      </c>
      <c r="D40" s="31">
        <f>D39/D8</f>
        <v>0.08830859170865815</v>
      </c>
      <c r="E40" s="31">
        <f>E39/E8</f>
        <v>0.08548920720664066</v>
      </c>
      <c r="F40" s="31">
        <f>F39/F8</f>
        <v>0.07831037705249012</v>
      </c>
      <c r="G40" s="31"/>
      <c r="H40" s="31"/>
      <c r="I40" s="31"/>
      <c r="J40" s="31"/>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80"/>
  <sheetViews>
    <sheetView workbookViewId="0" showGridLines="0" zoomScale="85" zoomScaleNormal="85">
      <selection activeCell="K6" sqref="K6"/>
    </sheetView>
  </sheetViews>
  <sheetFormatPr defaultRowHeight="15" outlineLevelRow="0" outlineLevelCol="0" x14ac:dyDescent="0.2" defaultColWidth="8.83203125"/>
  <cols>
    <col min="1" max="1" width="16.5" customWidth="1"/>
    <col min="2" max="2" width="34.33203125" customWidth="1"/>
    <col min="3" max="3" width="18.33203125" customWidth="1"/>
    <col min="4" max="7" width="18" customWidth="1"/>
    <col min="8" max="10" width="16.5" customWidth="1"/>
    <col min="11" max="11" width="17.5" customWidth="1"/>
    <col min="20" max="20" width="19" customWidth="1"/>
    <col min="21" max="21" width="26.6640625" customWidth="1"/>
    <col min="22" max="23" width="19.6640625" customWidth="1"/>
    <col min="24" max="26" width="19" customWidth="1"/>
  </cols>
  <sheetData>
    <row r="1" spans="1:10" x14ac:dyDescent="0.25">
      <c r="A1" s="4" t="s">
        <v>2678</v>
      </c>
      <c r="B1" s="4"/>
      <c r="C1" s="4"/>
      <c r="D1" s="4"/>
      <c r="E1" s="4"/>
      <c r="F1" s="4"/>
      <c r="G1" s="4"/>
      <c r="H1" s="4"/>
      <c r="I1" s="4"/>
      <c r="J1" s="4"/>
    </row>
    <row r="2" spans="1:1" x14ac:dyDescent="0.25">
      <c r="A2" t="str">
        <f>HOME!B4</f>
        <v>PT RAJA VOLTAMA ELEKTRIK</v>
      </c>
    </row>
    <row r="3" spans="1:1" x14ac:dyDescent="0.25">
      <c r="A3" t="s">
        <v>2224</v>
      </c>
    </row>
    <row r="4" spans="1:1" x14ac:dyDescent="0.25">
      <c r="A4" t="str">
        <f>'BALANCE SHEET'!A3</f>
        <v>(IDR)</v>
      </c>
    </row>
    <row r="5" spans="1:11" x14ac:dyDescent="0.25">
      <c r="A5" s="24"/>
      <c r="B5" s="24"/>
      <c r="C5" s="24">
        <f>'BALANCE SHEET'!F4</f>
        <v>2021</v>
      </c>
      <c r="D5" s="24">
        <f>C5+1</f>
        <v>2022</v>
      </c>
      <c r="E5" s="24">
        <f>D5+1</f>
        <v>2023</v>
      </c>
      <c r="F5" s="24">
        <f>E5+1</f>
        <v>2024</v>
      </c>
      <c r="G5" s="24"/>
      <c r="H5" s="24"/>
      <c r="I5" s="24"/>
      <c r="J5" s="24"/>
      <c r="K5" t="s">
        <v>2679</v>
      </c>
    </row>
    <row r="6" spans="1:5" x14ac:dyDescent="0.25">
      <c r="A6" s="4" t="s">
        <v>2231</v>
      </c>
      <c r="C6" s="241"/>
      <c r="D6" s="26"/>
      <c r="E6" s="26"/>
    </row>
    <row r="7" spans="3:5" x14ac:dyDescent="0.25">
      <c r="C7" s="241"/>
      <c r="D7" s="26"/>
      <c r="E7" s="26"/>
    </row>
    <row r="8" spans="1:5" x14ac:dyDescent="0.25">
      <c r="A8" s="4" t="s">
        <v>2232</v>
      </c>
      <c r="C8" s="241"/>
      <c r="D8" s="26"/>
      <c r="E8" s="26"/>
    </row>
    <row r="9" spans="2:10" x14ac:dyDescent="0.25">
      <c r="B9" t="s">
        <v>2233</v>
      </c>
      <c r="C9" s="241">
        <f>'BALANCE SHEET'!F8</f>
        <v>6635142218</v>
      </c>
      <c r="D9" s="26">
        <f>C9*(1+C10)</f>
        <v>6556472290.801667</v>
      </c>
      <c r="E9" s="26">
        <f>D9*(1+D10)</f>
        <v>6478735117.904908</v>
      </c>
      <c r="F9" s="26">
        <f>E9*(1+E10)</f>
        <v>6401919640.057247</v>
      </c>
      <c r="G9" s="26"/>
      <c r="H9" s="26"/>
      <c r="I9" s="26"/>
      <c r="J9" s="26"/>
    </row>
    <row r="10" spans="2:11" x14ac:dyDescent="0.25">
      <c r="B10" s="262" t="s">
        <v>2680</v>
      </c>
      <c r="C10" s="243">
        <f>'BALANCE SHEET'!Q8</f>
        <v>-0.011856554782641285</v>
      </c>
      <c r="D10" s="263">
        <f>(D9-C9)/C9</f>
        <v>-0.011856554782641252</v>
      </c>
      <c r="E10" s="263">
        <f>(E9-D9)/D9</f>
        <v>-0.011856554782641204</v>
      </c>
      <c r="F10" s="263">
        <f>(F9-E9)/E9</f>
        <v>-0.011856554782641212</v>
      </c>
      <c r="G10" s="263"/>
      <c r="H10" s="263"/>
      <c r="I10" s="263"/>
      <c r="J10" s="263"/>
      <c r="K10" s="263">
        <f>AVERAGE(D10:J10)</f>
        <v>-0.011856554782641223</v>
      </c>
    </row>
    <row r="11" spans="2:26" x14ac:dyDescent="0.25">
      <c r="B11" t="s">
        <v>2681</v>
      </c>
      <c r="C11" s="241">
        <f>'BALANCE SHEET'!F9</f>
        <v>9652447673</v>
      </c>
      <c r="D11" s="26">
        <v>0</v>
      </c>
      <c r="E11" s="26">
        <v>0</v>
      </c>
      <c r="F11" s="26">
        <v>0</v>
      </c>
      <c r="G11" s="26"/>
      <c r="H11" s="26"/>
      <c r="I11" s="26"/>
      <c r="J11" s="26"/>
      <c r="K11" s="55"/>
      <c r="S11" s="264"/>
      <c r="T11" s="26"/>
      <c r="U11" s="26"/>
      <c r="V11" s="26"/>
      <c r="W11" s="26"/>
      <c r="X11" s="26"/>
      <c r="Y11" s="26"/>
      <c r="Z11" s="26"/>
    </row>
    <row r="12" spans="2:26" x14ac:dyDescent="0.25">
      <c r="B12" s="262" t="s">
        <v>2682</v>
      </c>
      <c r="C12" s="265">
        <f>'BALANCE SHEET'!Q9</f>
        <v>4.908192657557944</v>
      </c>
      <c r="D12" s="266">
        <f>(D11-C11)/C11</f>
        <v>-1</v>
      </c>
      <c r="E12" s="266" t="e">
        <f>(E11-D11)/D11</f>
        <v>#DIV/0!</v>
      </c>
      <c r="F12" s="266" t="e">
        <f>(F11-E11)/E11</f>
        <v>#DIV/0!</v>
      </c>
      <c r="G12" s="266"/>
      <c r="H12" s="263"/>
      <c r="I12" s="263"/>
      <c r="J12" s="263"/>
      <c r="K12" s="263" t="e">
        <f>AVERAGE(D12:J12)</f>
        <v>#DIV/0!</v>
      </c>
      <c r="S12" s="264"/>
      <c r="T12" s="26"/>
      <c r="U12" s="26"/>
      <c r="V12" s="26"/>
      <c r="W12" s="26"/>
      <c r="X12" s="26"/>
      <c r="Y12" s="26"/>
      <c r="Z12" s="26"/>
    </row>
    <row r="13" spans="2:26" x14ac:dyDescent="0.25">
      <c r="B13" t="s">
        <v>2235</v>
      </c>
      <c r="C13" s="241">
        <f>'BALANCE SHEET'!F10</f>
        <v>3382100694</v>
      </c>
      <c r="D13" s="26">
        <f>C13*(1+C14)-D64</f>
        <v>44541112546.45574</v>
      </c>
      <c r="E13" s="26">
        <f>D13*(1+D14)-E64</f>
        <v>681346079297.6064</v>
      </c>
      <c r="F13" s="26">
        <f>E13*(1+E14)-F64</f>
        <v>10515452912011.863</v>
      </c>
      <c r="G13" s="26"/>
      <c r="H13" s="26"/>
      <c r="I13" s="26"/>
      <c r="J13" s="26"/>
      <c r="K13" s="55"/>
      <c r="S13" s="264"/>
      <c r="T13" s="26"/>
      <c r="U13" s="26"/>
      <c r="V13" s="26"/>
      <c r="W13" s="26"/>
      <c r="X13" s="26"/>
      <c r="Y13" s="26"/>
      <c r="Z13" s="26"/>
    </row>
    <row r="14" spans="2:26" x14ac:dyDescent="0.25">
      <c r="B14" s="262" t="s">
        <v>2683</v>
      </c>
      <c r="C14" s="243">
        <f>'BALANCE SHEET'!Q10</f>
        <v>0.516745588727442</v>
      </c>
      <c r="D14" s="263">
        <f>(D13-C13)/C13</f>
        <v>12.169658912129286</v>
      </c>
      <c r="E14" s="263">
        <f>(E13-D13)/D13</f>
        <v>14.297015281936936</v>
      </c>
      <c r="F14" s="263">
        <f>(F13-E13)/E13</f>
        <v>14.433350585728988</v>
      </c>
      <c r="G14" s="263"/>
      <c r="H14" s="263"/>
      <c r="I14" s="263"/>
      <c r="J14" s="263"/>
      <c r="K14" s="263">
        <f>AVERAGE(D14:J14)</f>
        <v>13.63334159326507</v>
      </c>
      <c r="T14" s="64"/>
      <c r="U14" s="64"/>
      <c r="V14" s="64"/>
      <c r="W14" s="64"/>
      <c r="X14" s="64"/>
      <c r="Y14" s="64"/>
      <c r="Z14" s="64"/>
    </row>
    <row r="15" spans="2:11" x14ac:dyDescent="0.25">
      <c r="B15" t="s">
        <v>2684</v>
      </c>
      <c r="C15" s="241">
        <f>'BALANCE SHEET'!F11</f>
        <v>1000000000</v>
      </c>
      <c r="D15" s="26">
        <f>C15*(1+C16)</f>
        <v>1000000000</v>
      </c>
      <c r="E15" s="26">
        <f>D15*(1+D16)</f>
        <v>1000000000</v>
      </c>
      <c r="F15" s="26">
        <f>E15*(1+E16)</f>
        <v>1000000000</v>
      </c>
      <c r="G15" s="26"/>
      <c r="H15" s="26"/>
      <c r="I15" s="26"/>
      <c r="J15" s="26"/>
      <c r="K15" s="55"/>
    </row>
    <row r="16" spans="2:11" x14ac:dyDescent="0.25">
      <c r="B16" s="262" t="s">
        <v>2685</v>
      </c>
      <c r="C16" s="243">
        <f>'BALANCE SHEET'!Q11</f>
        <v>0</v>
      </c>
      <c r="D16" s="263">
        <f>(D15-C15)/C15</f>
        <v>0</v>
      </c>
      <c r="E16" s="263">
        <f>(E15-D15)/D15</f>
        <v>0</v>
      </c>
      <c r="F16" s="263">
        <f>(F15-E15)/E15</f>
        <v>0</v>
      </c>
      <c r="G16" s="263"/>
      <c r="H16" s="263"/>
      <c r="I16" s="263"/>
      <c r="J16" s="263"/>
      <c r="K16" s="263">
        <f>AVERAGE(D16:J16)</f>
        <v>0</v>
      </c>
    </row>
    <row r="17" spans="2:11" x14ac:dyDescent="0.25">
      <c r="B17" t="s">
        <v>2237</v>
      </c>
      <c r="C17" s="241">
        <f>'BALANCE SHEET'!F12</f>
        <v>1423637783</v>
      </c>
      <c r="D17" s="26">
        <f>C17*(1+C18)</f>
        <v>1810560820.409093</v>
      </c>
      <c r="E17" s="26">
        <f>D17*(1+D18)</f>
        <v>2302643638.3927073</v>
      </c>
      <c r="F17" s="26">
        <f>E17*(1+E18)</f>
        <v>2928467061.511024</v>
      </c>
      <c r="G17" s="26"/>
      <c r="H17" s="26"/>
      <c r="I17" s="26"/>
      <c r="J17" s="26"/>
      <c r="K17" s="55"/>
    </row>
    <row r="18" spans="2:11" x14ac:dyDescent="0.25">
      <c r="B18" s="262" t="s">
        <v>2686</v>
      </c>
      <c r="C18" s="243">
        <f>'BALANCE SHEET'!Q12</f>
        <v>0.27178474892239707</v>
      </c>
      <c r="D18" s="263">
        <f>(D17-C17)/C17</f>
        <v>0.271784748922397</v>
      </c>
      <c r="E18" s="263">
        <f>(E17-D17)/D17</f>
        <v>0.271784748922397</v>
      </c>
      <c r="F18" s="263">
        <f>(F17-E17)/E17</f>
        <v>0.271784748922397</v>
      </c>
      <c r="G18" s="266"/>
      <c r="H18" s="263"/>
      <c r="I18" s="263"/>
      <c r="J18" s="263"/>
      <c r="K18" s="263">
        <f>AVERAGE(D18:J18)</f>
        <v>0.271784748922397</v>
      </c>
    </row>
    <row r="19" spans="2:11" x14ac:dyDescent="0.25">
      <c r="B19" t="s">
        <v>2287</v>
      </c>
      <c r="C19" s="241">
        <f>'BALANCE SHEET'!F14</f>
        <v>2347809320</v>
      </c>
      <c r="D19" s="26">
        <f>C19*(1+C20)</f>
        <v>2022220357.3557808</v>
      </c>
      <c r="E19" s="26">
        <f>D19*(1+D20)</f>
        <v>1741783346.2319427</v>
      </c>
      <c r="F19" s="26">
        <f>E19*(1+E20)</f>
        <v>1500236714.6466165</v>
      </c>
      <c r="G19" s="26"/>
      <c r="H19" s="26"/>
      <c r="I19" s="26"/>
      <c r="J19" s="26"/>
      <c r="K19" s="55"/>
    </row>
    <row r="20" spans="2:11" x14ac:dyDescent="0.25">
      <c r="B20" s="262" t="s">
        <v>2687</v>
      </c>
      <c r="C20" s="263">
        <f>'BALANCE SHEET'!Q14</f>
        <v>-0.13867777075023247</v>
      </c>
      <c r="D20" s="263">
        <f>(D19-C19)/C19</f>
        <v>-0.13867777075023247</v>
      </c>
      <c r="E20" s="263">
        <f>(E19-D19)/D19</f>
        <v>-0.1386777707502325</v>
      </c>
      <c r="F20" s="263">
        <f>(F19-E19)/E19</f>
        <v>-0.1386777707502325</v>
      </c>
      <c r="G20" s="263"/>
      <c r="H20" s="263"/>
      <c r="I20" s="263"/>
      <c r="J20" s="263"/>
      <c r="K20" s="263">
        <f>AVERAGE(D20:J20)</f>
        <v>-0.13867777075023247</v>
      </c>
    </row>
    <row r="21" spans="1:10" x14ac:dyDescent="0.25">
      <c r="A21" s="33" t="s">
        <v>2232</v>
      </c>
      <c r="B21" s="34"/>
      <c r="C21" s="267">
        <f>C9+C11+C13+C15+C17+C19</f>
        <v>24441137688</v>
      </c>
      <c r="D21" s="267">
        <f>D9+D11+D13+D15+D17+D19</f>
        <v>55930366015.022285</v>
      </c>
      <c r="E21" s="267">
        <f>E9+E11+E13+E15+E17+E19</f>
        <v>692869241400.136</v>
      </c>
      <c r="F21" s="267">
        <f>F9+F11+F13+F15+F17+F19</f>
        <v>10527283535428.078</v>
      </c>
      <c r="G21" s="267"/>
      <c r="H21" s="35"/>
      <c r="I21" s="35"/>
      <c r="J21" s="35"/>
    </row>
    <row r="22" spans="3:5" x14ac:dyDescent="0.25">
      <c r="C22" s="241"/>
      <c r="D22" s="26"/>
      <c r="E22" s="26"/>
    </row>
    <row r="23" spans="1:5" x14ac:dyDescent="0.25">
      <c r="A23" s="4" t="s">
        <v>2240</v>
      </c>
      <c r="C23" s="241"/>
      <c r="D23" s="26"/>
      <c r="E23" s="26"/>
    </row>
    <row r="24" spans="1:5" x14ac:dyDescent="0.25">
      <c r="A24" t="s">
        <v>2241</v>
      </c>
      <c r="C24" s="241"/>
      <c r="D24" s="26"/>
      <c r="E24" s="26"/>
    </row>
    <row r="25" spans="2:10" x14ac:dyDescent="0.25">
      <c r="B25" t="s">
        <v>2242</v>
      </c>
      <c r="C25" s="241">
        <f>'BALANCE SHEET'!F20</f>
        <v>6989653544</v>
      </c>
      <c r="D25" s="26">
        <f>'PROY FIXED ASSETS'!D32</f>
        <v>593454381423.3119</v>
      </c>
      <c r="E25" s="26">
        <f>'PROY FIXED ASSETS'!E32</f>
        <v>598877258000.2345</v>
      </c>
      <c r="F25" s="26">
        <f>'PROY FIXED ASSETS'!F32</f>
        <v>620110313569.9087</v>
      </c>
      <c r="G25" s="26"/>
      <c r="H25" s="26"/>
      <c r="I25" s="26"/>
      <c r="J25" s="26"/>
    </row>
    <row r="26" spans="2:10" x14ac:dyDescent="0.25">
      <c r="B26" t="s">
        <v>2243</v>
      </c>
      <c r="C26" s="241">
        <f>'BALANCE SHEET'!F21</f>
        <v>-725313599</v>
      </c>
      <c r="D26" s="268">
        <f>'PROY FIXED ASSETS'!D60*-1</f>
        <v>-993022541.3690057</v>
      </c>
      <c r="E26" s="268">
        <f>'PROY FIXED ASSETS'!E60*-1</f>
        <v>-1636832796.5207</v>
      </c>
      <c r="F26" s="268">
        <f>'PROY FIXED ASSETS'!F60*-1</f>
        <v>-3455907441.531417</v>
      </c>
      <c r="G26" s="268"/>
      <c r="H26" s="268"/>
      <c r="I26" s="268"/>
      <c r="J26" s="268"/>
    </row>
    <row r="27" spans="2:11" x14ac:dyDescent="0.25">
      <c r="B27" s="262" t="s">
        <v>2688</v>
      </c>
      <c r="C27" s="265">
        <f>('BALANCE SHEET'!F21-'BALANCE SHEET'!E21)/'BALANCE SHEET'!E21</f>
        <v>0.2829663098744645</v>
      </c>
      <c r="D27" s="266">
        <f>(D26-C26)/C26</f>
        <v>0.36909406184869514</v>
      </c>
      <c r="E27" s="266">
        <f>(E26-D26)/D26</f>
        <v>0.6483339786669107</v>
      </c>
      <c r="F27" s="266">
        <f>(F26-E26)/E26</f>
        <v>1.1113380968889404</v>
      </c>
      <c r="G27" s="266"/>
      <c r="H27" s="269"/>
      <c r="I27" s="269"/>
      <c r="J27" s="269"/>
      <c r="K27" s="263">
        <f>AVERAGE(D27:J27)</f>
        <v>0.709588712468182</v>
      </c>
    </row>
    <row r="28" spans="2:11" x14ac:dyDescent="0.25">
      <c r="B28" t="s">
        <v>2244</v>
      </c>
      <c r="C28" s="241">
        <f>'BALANCE SHEET'!F22</f>
        <v>6264339945</v>
      </c>
      <c r="D28" s="26">
        <f>+D25+D26</f>
        <v>592461358881.9429</v>
      </c>
      <c r="E28" s="26">
        <f>+E25+E26</f>
        <v>597240425203.7137</v>
      </c>
      <c r="F28" s="26">
        <f>+F25+F26</f>
        <v>616654406128.3773</v>
      </c>
      <c r="G28" s="266"/>
      <c r="H28" s="269"/>
      <c r="I28" s="269"/>
      <c r="J28" s="269"/>
      <c r="K28" s="263"/>
    </row>
    <row r="29" spans="1:7" x14ac:dyDescent="0.25">
      <c r="A29" t="s">
        <v>2689</v>
      </c>
      <c r="C29" s="241">
        <f>'BALANCE SHEET'!F23</f>
        <v>0</v>
      </c>
      <c r="D29" s="26">
        <f>C29</f>
        <v>0</v>
      </c>
      <c r="E29" s="26">
        <f>D29</f>
        <v>0</v>
      </c>
      <c r="F29" s="26">
        <f>E29</f>
        <v>0</v>
      </c>
      <c r="G29" s="26"/>
    </row>
    <row r="30" spans="1:7" x14ac:dyDescent="0.25">
      <c r="A30" t="s">
        <v>2245</v>
      </c>
      <c r="C30" s="241">
        <f>'BALANCE SHEET'!F24</f>
        <v>0</v>
      </c>
      <c r="D30" s="26">
        <f>C30*(1+'BALANCE SHEET'!$Q$24)</f>
        <v>0</v>
      </c>
      <c r="E30" s="26">
        <f>D30*(1+'BALANCE SHEET'!$Q$24)</f>
        <v>0</v>
      </c>
      <c r="F30" s="26">
        <f>E30*(1+'BALANCE SHEET'!$Q$24)</f>
        <v>0</v>
      </c>
      <c r="G30" s="26"/>
    </row>
    <row r="31" ht="16" customHeight="1" spans="1:10" x14ac:dyDescent="0.25">
      <c r="A31" s="43" t="s">
        <v>2246</v>
      </c>
      <c r="B31" s="44"/>
      <c r="C31" s="270">
        <f>C25+C26+C29</f>
        <v>6264339945</v>
      </c>
      <c r="D31" s="45">
        <f>D28+D29+D30</f>
        <v>592461358881.9429</v>
      </c>
      <c r="E31" s="45">
        <f>E28+E29+E30</f>
        <v>597240425203.7137</v>
      </c>
      <c r="F31" s="45">
        <f>F28+F29+F30</f>
        <v>616654406128.3773</v>
      </c>
      <c r="G31" s="45"/>
      <c r="H31" s="45"/>
      <c r="I31" s="45"/>
      <c r="J31" s="45"/>
    </row>
    <row r="32" ht="16" customHeight="1" spans="3:6" x14ac:dyDescent="0.25">
      <c r="C32" s="241"/>
      <c r="D32" s="26"/>
      <c r="E32" s="26"/>
      <c r="F32" s="26"/>
    </row>
    <row r="33" spans="1:10" x14ac:dyDescent="0.25">
      <c r="A33" s="33" t="s">
        <v>2231</v>
      </c>
      <c r="B33" s="34"/>
      <c r="C33" s="267">
        <f>+C21+C31</f>
        <v>30705477633</v>
      </c>
      <c r="D33" s="267">
        <f>+D21+D31</f>
        <v>648391724896.9652</v>
      </c>
      <c r="E33" s="267">
        <f>+E21+E31</f>
        <v>1290109666603.8496</v>
      </c>
      <c r="F33" s="267">
        <f>+F21+F31</f>
        <v>11143937941556.455</v>
      </c>
      <c r="G33" s="267"/>
      <c r="H33" s="38"/>
      <c r="I33" s="38"/>
      <c r="J33" s="38"/>
    </row>
    <row r="34" spans="3:6" x14ac:dyDescent="0.25">
      <c r="C34" s="241"/>
      <c r="D34" s="26"/>
      <c r="E34" s="26"/>
      <c r="F34" s="26"/>
    </row>
    <row r="35" spans="1:6" x14ac:dyDescent="0.25">
      <c r="A35" s="4" t="s">
        <v>2247</v>
      </c>
      <c r="C35" s="241"/>
      <c r="D35" s="26"/>
      <c r="E35" s="26"/>
      <c r="F35" s="26"/>
    </row>
    <row r="36" spans="1:6" x14ac:dyDescent="0.25">
      <c r="A36" s="4" t="s">
        <v>2248</v>
      </c>
      <c r="C36" s="241"/>
      <c r="D36" s="26"/>
      <c r="E36" s="26"/>
      <c r="F36" s="26"/>
    </row>
    <row r="37" spans="2:10" x14ac:dyDescent="0.25">
      <c r="B37" t="s">
        <v>2249</v>
      </c>
      <c r="C37" s="241">
        <f>'BALANCE SHEET'!F31</f>
        <v>1000000000</v>
      </c>
      <c r="D37" s="26">
        <f>C37*(1+C38)</f>
        <v>666666666.6666667</v>
      </c>
      <c r="E37" s="26">
        <f>D37*(1+D38)</f>
        <v>444444444.44444454</v>
      </c>
      <c r="F37" s="26">
        <f>E37*(1+E38)</f>
        <v>296296296.2962964</v>
      </c>
      <c r="G37" s="26"/>
      <c r="H37" s="26"/>
      <c r="I37" s="26"/>
      <c r="J37" s="26"/>
    </row>
    <row r="38" spans="3:10" x14ac:dyDescent="0.25">
      <c r="C38" s="253">
        <f>'BALANCE SHEET'!Q31</f>
        <v>-0.3333333333333333</v>
      </c>
      <c r="D38" s="263">
        <f>(D37-C37)/C37</f>
        <v>-0.33333333333333326</v>
      </c>
      <c r="E38" s="263">
        <f>(E37-D37)/D37</f>
        <v>-0.33333333333333326</v>
      </c>
      <c r="F38" s="263">
        <f>(F37-E37)/E37</f>
        <v>-0.3333333333333332</v>
      </c>
      <c r="G38" s="26"/>
      <c r="H38" s="26"/>
      <c r="I38" s="26"/>
      <c r="J38" s="26"/>
    </row>
    <row r="39" spans="2:10" x14ac:dyDescent="0.25">
      <c r="B39" t="s">
        <v>2250</v>
      </c>
      <c r="C39" s="241">
        <f>'BALANCE SHEET'!F32</f>
        <v>1096222695</v>
      </c>
      <c r="D39" s="26">
        <f>C39*(1+C40)</f>
        <v>875182734.2252133</v>
      </c>
      <c r="E39" s="26">
        <f>D39*(1+D40)</f>
        <v>698712790.5483842</v>
      </c>
      <c r="F39" s="26">
        <f>E39*(1+E40)</f>
        <v>557825862.6275418</v>
      </c>
      <c r="G39" s="26"/>
      <c r="H39" s="26"/>
      <c r="I39" s="26"/>
      <c r="J39" s="26"/>
    </row>
    <row r="40" spans="3:10" x14ac:dyDescent="0.25">
      <c r="C40" s="253">
        <f>'BALANCE SHEET'!Q32</f>
        <v>-0.20163782576567327</v>
      </c>
      <c r="D40" s="263">
        <f>(D39-C39)/C39</f>
        <v>-0.20163782576567318</v>
      </c>
      <c r="E40" s="263">
        <f>(E39-D39)/D39</f>
        <v>-0.20163782576567327</v>
      </c>
      <c r="F40" s="263">
        <f>(F39-E39)/E39</f>
        <v>-0.2016378257656732</v>
      </c>
      <c r="G40" s="26"/>
      <c r="H40" s="26"/>
      <c r="I40" s="26"/>
      <c r="J40" s="26"/>
    </row>
    <row r="41" spans="2:10" x14ac:dyDescent="0.25">
      <c r="B41" t="s">
        <v>2251</v>
      </c>
      <c r="C41" s="241">
        <f>'BALANCE SHEET'!F33</f>
        <v>480490835</v>
      </c>
      <c r="D41" s="26">
        <f>C41*(1+C42)</f>
        <v>582530105.6615019</v>
      </c>
      <c r="E41" s="26">
        <f>D41*(1+D42)</f>
        <v>706238910.8878644</v>
      </c>
      <c r="F41" s="26">
        <f>E41*(1+E42)</f>
        <v>856219093.9225129</v>
      </c>
      <c r="G41" s="26"/>
      <c r="H41" s="26"/>
      <c r="I41" s="26"/>
      <c r="J41" s="26"/>
    </row>
    <row r="42" spans="3:10" x14ac:dyDescent="0.25">
      <c r="C42" s="253">
        <f>'BALANCE SHEET'!Q33</f>
        <v>0.21236465553292364</v>
      </c>
      <c r="D42" s="263">
        <f>(D41-C41)/C41</f>
        <v>0.21236465553292372</v>
      </c>
      <c r="E42" s="263">
        <f>(E41-D41)/D41</f>
        <v>0.21236465553292366</v>
      </c>
      <c r="F42" s="263">
        <f>(F41-E41)/E41</f>
        <v>0.21236465553292375</v>
      </c>
      <c r="G42" s="26"/>
      <c r="H42" s="26"/>
      <c r="I42" s="26"/>
      <c r="J42" s="26"/>
    </row>
    <row r="43" spans="2:10" x14ac:dyDescent="0.25">
      <c r="B43" t="s">
        <v>2287</v>
      </c>
      <c r="C43" s="241">
        <f>'BALANCE SHEET'!F34</f>
        <v>1692923000</v>
      </c>
      <c r="D43" s="26">
        <f>C43*(1+C44)</f>
        <v>1427494829.1473494</v>
      </c>
      <c r="E43" s="26">
        <f>D43*(1+D44)</f>
        <v>1203682321.784523</v>
      </c>
      <c r="F43" s="26">
        <f>E43*(1+E44)</f>
        <v>1014960686.5069954</v>
      </c>
      <c r="G43" s="26"/>
      <c r="H43" s="26"/>
      <c r="I43" s="26"/>
      <c r="J43" s="26"/>
    </row>
    <row r="44" spans="3:10" x14ac:dyDescent="0.25">
      <c r="C44" s="253">
        <f>'BALANCE SHEET'!Q34</f>
        <v>-0.1567869128440281</v>
      </c>
      <c r="D44" s="263">
        <f>(D43-C43)/C43</f>
        <v>-0.15678691284402813</v>
      </c>
      <c r="E44" s="263">
        <f>(E43-D43)/D43</f>
        <v>-0.15678691284402818</v>
      </c>
      <c r="F44" s="263">
        <f>(F43-E43)/E43</f>
        <v>-0.15678691284402824</v>
      </c>
      <c r="G44" s="26"/>
      <c r="H44" s="26"/>
      <c r="I44" s="26"/>
      <c r="J44" s="26"/>
    </row>
    <row r="45" spans="1:10" x14ac:dyDescent="0.25">
      <c r="A45" s="40" t="s">
        <v>2248</v>
      </c>
      <c r="B45" s="41"/>
      <c r="C45" s="271">
        <f>SUM(C37:C43)</f>
        <v>4269636529.6773934</v>
      </c>
      <c r="D45" s="42">
        <f>SUM(D37:D43)</f>
        <v>3551874335.3781247</v>
      </c>
      <c r="E45" s="42">
        <f>SUM(E37:E43)</f>
        <v>3053078467.3426094</v>
      </c>
      <c r="F45" s="42">
        <f>SUM(F37:F43)</f>
        <v>2725301939.03074</v>
      </c>
      <c r="G45" s="272"/>
      <c r="H45" s="272"/>
      <c r="I45" s="272"/>
      <c r="J45" s="272"/>
    </row>
    <row r="46" spans="3:6" x14ac:dyDescent="0.25">
      <c r="C46" s="241"/>
      <c r="D46" s="26"/>
      <c r="E46" s="26"/>
      <c r="F46" s="26"/>
    </row>
    <row r="47" spans="1:6" x14ac:dyDescent="0.25">
      <c r="A47" s="4" t="s">
        <v>2253</v>
      </c>
      <c r="C47" s="241"/>
      <c r="D47" s="26"/>
      <c r="E47" s="26"/>
      <c r="F47" s="26"/>
    </row>
    <row r="48" spans="2:10" x14ac:dyDescent="0.25">
      <c r="B48" t="s">
        <v>2254</v>
      </c>
      <c r="C48" s="241">
        <f>'BALANCE SHEET'!F38</f>
        <v>0</v>
      </c>
      <c r="D48" s="26">
        <f>IFERROR(C48*(1+C49),0)</f>
        <v>0</v>
      </c>
      <c r="E48" s="26">
        <f>IFERROR(D48*(1+D49),0)</f>
        <v>0</v>
      </c>
      <c r="F48" s="26">
        <f>IFERROR(E48*(1+E49),0)</f>
        <v>0</v>
      </c>
      <c r="G48" s="26"/>
      <c r="H48" s="26"/>
      <c r="I48" s="26"/>
      <c r="J48" s="26"/>
    </row>
    <row r="49" spans="3:10" x14ac:dyDescent="0.25">
      <c r="C49" s="253">
        <f>'BALANCE SHEET'!Q38</f>
        <v>0</v>
      </c>
      <c r="D49" s="263">
        <f>IFERROR((D48-C48)/C48,0)</f>
        <v>0</v>
      </c>
      <c r="E49" s="263">
        <f>IFERROR((E48-D48)/D48,0)</f>
        <v>0</v>
      </c>
      <c r="F49" s="263">
        <f>IFERROR((F48-E48)/E48,0)</f>
        <v>0</v>
      </c>
      <c r="G49" s="26"/>
      <c r="H49" s="26"/>
      <c r="I49" s="26"/>
      <c r="J49" s="26"/>
    </row>
    <row r="50" spans="2:10" x14ac:dyDescent="0.25">
      <c r="B50" t="s">
        <v>2690</v>
      </c>
      <c r="C50" s="241">
        <f>'BALANCE SHEET'!F39</f>
        <v>0</v>
      </c>
      <c r="D50" s="26">
        <f>C50*(1+C51)</f>
        <v>0</v>
      </c>
      <c r="E50" s="26" t="e">
        <f>D50*(1+D51)</f>
        <v>#DIV/0!</v>
      </c>
      <c r="F50" s="26" t="e">
        <f>E50*(1+E51)</f>
        <v>#DIV/0!</v>
      </c>
      <c r="G50" s="26"/>
      <c r="H50" s="26"/>
      <c r="I50" s="26"/>
      <c r="J50" s="26"/>
    </row>
    <row r="51" spans="3:10" x14ac:dyDescent="0.25">
      <c r="C51" s="253">
        <f>'BALANCE SHEET'!Q39</f>
        <v>0</v>
      </c>
      <c r="D51" s="263" t="e">
        <f>(D50-C50)/C50</f>
        <v>#DIV/0!</v>
      </c>
      <c r="E51" s="263" t="e">
        <f>(E50-D50)/D50</f>
        <v>#DIV/0!</v>
      </c>
      <c r="F51" s="263" t="e">
        <f>(F50-E50)/E50</f>
        <v>#DIV/0!</v>
      </c>
      <c r="G51" s="26"/>
      <c r="H51" s="26"/>
      <c r="I51" s="26"/>
      <c r="J51" s="26"/>
    </row>
    <row r="52" ht="16" customHeight="1" spans="1:10" x14ac:dyDescent="0.25">
      <c r="A52" s="43" t="s">
        <v>2253</v>
      </c>
      <c r="B52" s="44"/>
      <c r="C52" s="270">
        <f>C48+C50</f>
        <v>0</v>
      </c>
      <c r="D52" s="45">
        <f>+D48+D50</f>
        <v>0</v>
      </c>
      <c r="E52" s="45" t="e">
        <f>+E48+E50</f>
        <v>#DIV/0!</v>
      </c>
      <c r="F52" s="45" t="e">
        <f>+F48+F50</f>
        <v>#DIV/0!</v>
      </c>
      <c r="G52" s="45"/>
      <c r="H52" s="45"/>
      <c r="I52" s="45"/>
      <c r="J52" s="45"/>
    </row>
    <row r="53" ht="16" customHeight="1" spans="1:6" x14ac:dyDescent="0.25">
      <c r="A53" s="4"/>
      <c r="C53" s="241"/>
      <c r="D53" s="26"/>
      <c r="E53" s="26"/>
      <c r="F53" s="26"/>
    </row>
    <row r="54" spans="1:6" x14ac:dyDescent="0.25">
      <c r="A54" s="4" t="s">
        <v>2257</v>
      </c>
      <c r="C54" s="241"/>
      <c r="D54" s="26"/>
      <c r="E54" s="26"/>
      <c r="F54" s="26"/>
    </row>
    <row r="55" spans="1:10" x14ac:dyDescent="0.25">
      <c r="A55" t="s">
        <v>2258</v>
      </c>
      <c r="C55" s="241">
        <f>'BALANCE SHEET'!F43</f>
        <v>2000000000</v>
      </c>
      <c r="D55" s="26">
        <f>C55</f>
        <v>2000000000</v>
      </c>
      <c r="E55" s="26">
        <f>D55</f>
        <v>2000000000</v>
      </c>
      <c r="F55" s="26">
        <f>E55</f>
        <v>2000000000</v>
      </c>
      <c r="G55" s="26"/>
      <c r="H55" s="26"/>
      <c r="I55" s="26"/>
      <c r="J55" s="26"/>
    </row>
    <row r="56" spans="1:6" x14ac:dyDescent="0.25">
      <c r="A56" t="s">
        <v>2260</v>
      </c>
      <c r="C56" s="241"/>
      <c r="D56" s="26"/>
      <c r="E56" s="26"/>
      <c r="F56" s="26"/>
    </row>
    <row r="57" spans="2:10" x14ac:dyDescent="0.25">
      <c r="B57" t="s">
        <v>2261</v>
      </c>
      <c r="C57" s="241">
        <f>'BALANCE SHEET'!F46</f>
        <v>5805826735</v>
      </c>
      <c r="D57" s="26">
        <f>C57</f>
        <v>5805826735</v>
      </c>
      <c r="E57" s="26">
        <f>D57</f>
        <v>5805826735</v>
      </c>
      <c r="F57" s="26">
        <f>E57</f>
        <v>5805826735</v>
      </c>
      <c r="G57" s="26"/>
      <c r="H57" s="26"/>
      <c r="I57" s="26"/>
      <c r="J57" s="26"/>
    </row>
    <row r="58" spans="2:10" x14ac:dyDescent="0.25">
      <c r="B58" t="s">
        <v>2262</v>
      </c>
      <c r="C58" s="241">
        <f>'BALANCE SHEET'!F47</f>
        <v>21560655469</v>
      </c>
      <c r="D58" s="26">
        <f>C58+'PROY LR'!D39</f>
        <v>28193199058.150246</v>
      </c>
      <c r="E58" s="26">
        <f>D58+'PROY LR'!E39</f>
        <v>36093685452.99863</v>
      </c>
      <c r="F58" s="26">
        <f>E58+'PROY LR'!F39</f>
        <v>44998548425.53537</v>
      </c>
      <c r="G58" s="26"/>
      <c r="H58" s="26"/>
      <c r="I58" s="26"/>
      <c r="J58" s="26"/>
    </row>
    <row r="59" spans="1:10" x14ac:dyDescent="0.25">
      <c r="A59" t="s">
        <v>2263</v>
      </c>
      <c r="C59" s="241">
        <f>'BALANCE SHEET'!F48</f>
        <v>27366482204</v>
      </c>
      <c r="D59" s="26">
        <f>D57+D58</f>
        <v>33999025793.150246</v>
      </c>
      <c r="E59" s="26">
        <f>E57+E58</f>
        <v>41899512187.99863</v>
      </c>
      <c r="F59" s="26">
        <f>F57+F58</f>
        <v>50804375160.53537</v>
      </c>
      <c r="G59" s="26"/>
      <c r="H59" s="26"/>
      <c r="I59" s="26"/>
      <c r="J59" s="26"/>
    </row>
    <row r="60" spans="1:10" x14ac:dyDescent="0.25">
      <c r="A60" s="33" t="s">
        <v>2257</v>
      </c>
      <c r="B60" s="34"/>
      <c r="C60" s="273">
        <f>C55+C59</f>
        <v>29366482204</v>
      </c>
      <c r="D60" s="38">
        <f>D55+D59</f>
        <v>35999025793.150246</v>
      </c>
      <c r="E60" s="38">
        <f>E55+E59</f>
        <v>43899512187.99863</v>
      </c>
      <c r="F60" s="38">
        <f>F55+F59</f>
        <v>52804375160.53537</v>
      </c>
      <c r="G60" s="38"/>
      <c r="H60" s="38"/>
      <c r="I60" s="38"/>
      <c r="J60" s="38"/>
    </row>
    <row r="61" spans="1:6" x14ac:dyDescent="0.25">
      <c r="A61" s="4"/>
      <c r="C61" s="274"/>
      <c r="D61" s="37"/>
      <c r="E61" s="37"/>
      <c r="F61" s="37"/>
    </row>
    <row r="62" ht="16" customHeight="1" spans="1:10" x14ac:dyDescent="0.25">
      <c r="A62" s="47" t="s">
        <v>2264</v>
      </c>
      <c r="B62" s="48"/>
      <c r="C62" s="242">
        <f>C45+C52+C60</f>
        <v>33636118733.677395</v>
      </c>
      <c r="D62" s="49">
        <f>D45+D52+D60</f>
        <v>39550900128.52837</v>
      </c>
      <c r="E62" s="49" t="e">
        <f>E45+E52+E60</f>
        <v>#DIV/0!</v>
      </c>
      <c r="F62" s="49" t="e">
        <f>F45+F52+F60</f>
        <v>#DIV/0!</v>
      </c>
      <c r="G62" s="49"/>
      <c r="H62" s="49"/>
      <c r="I62" s="49"/>
      <c r="J62" s="49"/>
    </row>
    <row r="63" spans="1:11" x14ac:dyDescent="0.25">
      <c r="A63" s="4" t="s">
        <v>2691</v>
      </c>
      <c r="C63" s="26"/>
      <c r="D63" s="26">
        <f>D33-D62</f>
        <v>608840824768.4369</v>
      </c>
      <c r="E63" s="26" t="e">
        <f>E33-E62</f>
        <v>#DIV/0!</v>
      </c>
      <c r="F63" s="26" t="e">
        <f>F33-F62</f>
        <v>#DIV/0!</v>
      </c>
      <c r="G63" s="26"/>
      <c r="H63" s="31"/>
      <c r="I63" s="31"/>
      <c r="J63" s="31"/>
      <c r="K63" s="263" t="e">
        <f>AVERAGE(D63:J63)</f>
        <v>#DIV/0!</v>
      </c>
    </row>
    <row r="64" spans="1:7" x14ac:dyDescent="0.25">
      <c r="A64" s="275" t="s">
        <v>2692</v>
      </c>
      <c r="C64" s="26"/>
      <c r="D64" s="276">
        <v>-39411326238.19922</v>
      </c>
      <c r="E64" s="276">
        <v>-94754819494.02197</v>
      </c>
      <c r="F64" s="276">
        <v>-92891524708.56348</v>
      </c>
      <c r="G64" s="12"/>
    </row>
    <row r="65" spans="3:6" x14ac:dyDescent="0.25">
      <c r="C65" s="26"/>
      <c r="D65" s="26">
        <v>1</v>
      </c>
      <c r="E65" s="26">
        <v>2</v>
      </c>
      <c r="F65">
        <v>3</v>
      </c>
    </row>
    <row r="66" spans="3:5" x14ac:dyDescent="0.25">
      <c r="C66" s="26"/>
      <c r="D66" s="26"/>
      <c r="E66" s="26"/>
    </row>
    <row r="67" spans="3:5" x14ac:dyDescent="0.25">
      <c r="C67" s="26"/>
      <c r="D67" s="26"/>
      <c r="E67" s="26"/>
    </row>
    <row r="68" spans="3:5" x14ac:dyDescent="0.25">
      <c r="C68" s="26"/>
      <c r="D68" s="26"/>
      <c r="E68" s="26"/>
    </row>
    <row r="69" spans="3:5" x14ac:dyDescent="0.25">
      <c r="C69" s="26"/>
      <c r="D69" s="26"/>
      <c r="E69" s="26"/>
    </row>
    <row r="70" spans="3:5" x14ac:dyDescent="0.25">
      <c r="C70" s="26"/>
      <c r="D70" s="26"/>
      <c r="E70" s="26"/>
    </row>
    <row r="71" spans="3:5" x14ac:dyDescent="0.25">
      <c r="C71" s="26"/>
      <c r="D71" s="26"/>
      <c r="E71" s="26"/>
    </row>
    <row r="72" spans="3:5" x14ac:dyDescent="0.25">
      <c r="C72" s="26"/>
      <c r="D72" s="26"/>
      <c r="E72" s="26"/>
    </row>
    <row r="73" spans="3:5" x14ac:dyDescent="0.25">
      <c r="C73" s="26"/>
      <c r="D73" s="26"/>
      <c r="E73" s="26"/>
    </row>
    <row r="74" spans="3:5" x14ac:dyDescent="0.25">
      <c r="C74" s="26"/>
      <c r="D74" s="26"/>
      <c r="E74" s="26"/>
    </row>
    <row r="75" spans="3:5" x14ac:dyDescent="0.25">
      <c r="C75" s="26"/>
      <c r="D75" s="26"/>
      <c r="E75" s="26"/>
    </row>
    <row r="76" spans="3:5" x14ac:dyDescent="0.25">
      <c r="C76" s="26"/>
      <c r="D76" s="26"/>
      <c r="E76" s="26"/>
    </row>
    <row r="77" spans="3:5" x14ac:dyDescent="0.25">
      <c r="C77" s="26"/>
      <c r="D77" s="26"/>
      <c r="E77" s="26"/>
    </row>
    <row r="78" spans="3:5" x14ac:dyDescent="0.25">
      <c r="C78" s="26"/>
      <c r="D78" s="26"/>
      <c r="E78" s="26"/>
    </row>
    <row r="79" spans="3:5" x14ac:dyDescent="0.25">
      <c r="C79" s="26"/>
      <c r="D79" s="26"/>
      <c r="E79" s="26"/>
    </row>
    <row r="80" spans="3:5" x14ac:dyDescent="0.25">
      <c r="C80" s="26"/>
      <c r="D80" s="26"/>
      <c r="E80" s="26"/>
    </row>
  </sheetData>
  <conditionalFormatting sqref="D62">
    <cfRule type="cellIs" dxfId="0" priority="3" operator="notEqual">
      <formula>$D$33</formula>
    </cfRule>
  </conditionalFormatting>
  <conditionalFormatting sqref="E62">
    <cfRule type="cellIs" dxfId="1" priority="2" operator="notEqual">
      <formula>$E$33</formula>
    </cfRule>
  </conditionalFormatting>
  <conditionalFormatting sqref="F62">
    <cfRule type="cellIs" dxfId="2" priority="1" operator="notEqual">
      <formula>$F$33</formula>
    </cfRule>
  </conditionalFormatting>
  <pageMargins left="0.7" right="0.7" top="0.75" bottom="0.75" header="0.3" footer="0.3"/>
  <pageSetup paperSize="9"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51"/>
  <sheetViews>
    <sheetView workbookViewId="0" showGridLines="0" zoomScale="80" zoomScaleNormal="80">
      <selection activeCell="M11" sqref="M11"/>
    </sheetView>
  </sheetViews>
  <sheetFormatPr defaultRowHeight="15" outlineLevelRow="0" outlineLevelCol="0" x14ac:dyDescent="0.2" defaultColWidth="8.83203125"/>
  <cols>
    <col min="1" max="1" width="25.6640625" customWidth="1"/>
    <col min="2" max="2" width="21.33203125" customWidth="1"/>
    <col min="3" max="5" width="17.5" customWidth="1"/>
    <col min="6" max="6" width="19" customWidth="1"/>
    <col min="7" max="11" width="17.5" customWidth="1"/>
  </cols>
  <sheetData>
    <row r="1" spans="1:1" x14ac:dyDescent="0.25">
      <c r="A1" t="str">
        <f>HOME!B4</f>
        <v>PT RAJA VOLTAMA ELEKTRIK</v>
      </c>
    </row>
    <row r="2" spans="1:1" x14ac:dyDescent="0.25">
      <c r="A2" t="s">
        <v>2332</v>
      </c>
    </row>
    <row r="3" spans="1:1" x14ac:dyDescent="0.25">
      <c r="A3" t="str">
        <f>'BALANCE SHEET'!A3</f>
        <v>(IDR)</v>
      </c>
    </row>
    <row r="4" spans="1:10" x14ac:dyDescent="0.25">
      <c r="A4" s="24"/>
      <c r="B4" s="24"/>
      <c r="C4" s="24">
        <f>'CASH FLOW STATEMENT'!E4</f>
        <v>2021</v>
      </c>
      <c r="D4" s="24">
        <f>C4+1</f>
        <v>2022</v>
      </c>
      <c r="E4" s="24">
        <f>D4+1</f>
        <v>2023</v>
      </c>
      <c r="F4" s="24">
        <f>E4+1</f>
        <v>2024</v>
      </c>
      <c r="G4" s="24">
        <f>F4+1</f>
        <v>2025</v>
      </c>
      <c r="H4" s="24"/>
      <c r="I4" s="24"/>
      <c r="J4" s="24"/>
    </row>
    <row r="5" spans="1:10" x14ac:dyDescent="0.25">
      <c r="A5" t="s">
        <v>2291</v>
      </c>
      <c r="C5" s="241">
        <f>'INCOME STATEMENT'!F18</f>
        <v>7493446732</v>
      </c>
      <c r="D5" s="26">
        <f>'PROY LR'!D19</f>
        <v>8685100649.744667</v>
      </c>
      <c r="E5" s="26">
        <f>'PROY LR'!E19</f>
        <v>10686616923.124352</v>
      </c>
      <c r="F5" s="26">
        <f>'PROY LR'!F19</f>
        <v>13149390648.105576</v>
      </c>
      <c r="G5" s="26"/>
      <c r="H5" s="26"/>
      <c r="I5" s="26"/>
      <c r="J5" s="26"/>
    </row>
    <row r="6" spans="1:10" x14ac:dyDescent="0.25">
      <c r="A6" t="s">
        <v>2302</v>
      </c>
      <c r="C6" s="241">
        <f>'INCOME STATEMENT'!F33</f>
        <v>-1613364280</v>
      </c>
      <c r="D6" s="26">
        <f>'PROY LR'!D37</f>
        <v>-1870717422.5808384</v>
      </c>
      <c r="E6" s="26">
        <f>'PROY LR'!E37</f>
        <v>-2228342316.4956985</v>
      </c>
      <c r="F6" s="26">
        <f>'PROY LR'!F37</f>
        <v>-2511628017.8949795</v>
      </c>
      <c r="G6" s="26"/>
      <c r="H6" s="26"/>
      <c r="I6" s="26"/>
      <c r="J6" s="26"/>
    </row>
    <row r="7" spans="1:5" x14ac:dyDescent="0.25">
      <c r="A7" t="s">
        <v>2333</v>
      </c>
      <c r="C7" s="241"/>
      <c r="D7" s="26"/>
      <c r="E7" s="26"/>
    </row>
    <row r="8" spans="2:10" x14ac:dyDescent="0.25">
      <c r="B8" t="s">
        <v>2232</v>
      </c>
      <c r="C8" s="241">
        <f>'CASH FLOW STATEMENT'!E8</f>
        <v>1913225999</v>
      </c>
      <c r="D8" s="26">
        <f>(('PROY BALANCE SHEET'!D13+'PROY BALANCE SHEET'!D15+'PROY BALANCE SHEET'!D17+'PROY BALANCE SHEET'!D19)-('PROY BALANCE SHEET'!C13+'PROY BALANCE SHEET'!C15+'PROY BALANCE SHEET'!C17+'PROY BALANCE SHEET'!C19))*-1</f>
        <v>-41220345927.22062</v>
      </c>
      <c r="E8" s="26">
        <f>(('PROY BALANCE SHEET'!E13+'PROY BALANCE SHEET'!E15+'PROY BALANCE SHEET'!E17+'PROY BALANCE SHEET'!E19)-('PROY BALANCE SHEET'!D13+'PROY BALANCE SHEET'!D15+'PROY BALANCE SHEET'!D17+'PROY BALANCE SHEET'!D19))*-1</f>
        <v>-637016612558.0105</v>
      </c>
      <c r="F8" s="26">
        <f>(('PROY BALANCE SHEET'!F13+'PROY BALANCE SHEET'!F15+'PROY BALANCE SHEET'!F17+'PROY BALANCE SHEET'!F19)-('PROY BALANCE SHEET'!E13+'PROY BALANCE SHEET'!E15+'PROY BALANCE SHEET'!E17+'PROY BALANCE SHEET'!E19))*-1</f>
        <v>-9834491109505.791</v>
      </c>
      <c r="G8" s="26"/>
      <c r="H8" s="26"/>
      <c r="I8" s="26"/>
      <c r="J8" s="26"/>
    </row>
    <row r="9" spans="2:10" x14ac:dyDescent="0.25">
      <c r="B9" t="s">
        <v>2248</v>
      </c>
      <c r="C9" s="241">
        <f>'CASH FLOW STATEMENT'!E9</f>
        <v>-2039568042</v>
      </c>
      <c r="D9" s="26">
        <f>'PROY BALANCE SHEET'!D45-'PROY BALANCE SHEET'!C45</f>
        <v>-717762194.2992687</v>
      </c>
      <c r="E9" s="26">
        <f>'PROY BALANCE SHEET'!E45-'PROY BALANCE SHEET'!D45</f>
        <v>-498795868.0355153</v>
      </c>
      <c r="F9" s="26">
        <f>'PROY BALANCE SHEET'!F45-'PROY BALANCE SHEET'!E45</f>
        <v>-327776528.3118696</v>
      </c>
      <c r="G9" s="26"/>
      <c r="H9" s="26"/>
      <c r="I9" s="26"/>
      <c r="J9" s="26"/>
    </row>
    <row r="10" spans="1:13" x14ac:dyDescent="0.25">
      <c r="A10" s="277" t="s">
        <v>2334</v>
      </c>
      <c r="B10" s="277"/>
      <c r="C10" s="278">
        <f>+C8+C9</f>
        <v>-126342043</v>
      </c>
      <c r="D10" s="279">
        <f>+D8+D9</f>
        <v>-41938108121.51989</v>
      </c>
      <c r="E10" s="279">
        <f>+E8+E9</f>
        <v>-637515408426.046</v>
      </c>
      <c r="F10" s="279">
        <f>+F8+F9</f>
        <v>-9834818886034.104</v>
      </c>
      <c r="G10" s="279"/>
      <c r="H10" s="279"/>
      <c r="I10" s="279"/>
      <c r="J10" s="279"/>
      <c r="L10" s="280"/>
      <c r="M10" s="22" t="s">
        <v>2693</v>
      </c>
    </row>
    <row r="11" spans="1:10" x14ac:dyDescent="0.25">
      <c r="A11" s="33" t="s">
        <v>2335</v>
      </c>
      <c r="B11" s="33"/>
      <c r="C11" s="273">
        <f>SUM(C5:C9)</f>
        <v>5753740409</v>
      </c>
      <c r="D11" s="38">
        <f>SUM(D5:D9)</f>
        <v>-35123724894.356064</v>
      </c>
      <c r="E11" s="38">
        <f>SUM(E5:E9)</f>
        <v>-629057133819.4174</v>
      </c>
      <c r="F11" s="38">
        <f>SUM(F5:F9)</f>
        <v>-9824181123403.893</v>
      </c>
      <c r="G11" s="38"/>
      <c r="H11" s="38"/>
      <c r="I11" s="38"/>
      <c r="J11" s="38"/>
    </row>
    <row r="12" spans="3:5" x14ac:dyDescent="0.25">
      <c r="C12" s="241"/>
      <c r="D12" s="26"/>
      <c r="E12" s="26"/>
    </row>
    <row r="13" spans="1:10" x14ac:dyDescent="0.25">
      <c r="A13" s="34" t="s">
        <v>2336</v>
      </c>
      <c r="B13" s="34"/>
      <c r="C13" s="246">
        <f>'INCOME STATEMENT'!F30</f>
        <v>0</v>
      </c>
      <c r="D13" s="35">
        <f>'PROY LR'!D34</f>
        <v>0</v>
      </c>
      <c r="E13" s="35">
        <f>'PROY LR'!E34</f>
        <v>0</v>
      </c>
      <c r="F13" s="35">
        <f>'PROY LR'!F34</f>
        <v>0</v>
      </c>
      <c r="G13" s="35"/>
      <c r="H13" s="35"/>
      <c r="I13" s="35"/>
      <c r="J13" s="35"/>
    </row>
    <row r="14" spans="3:5" x14ac:dyDescent="0.25">
      <c r="C14" s="241"/>
      <c r="D14" s="26"/>
      <c r="E14" s="26"/>
    </row>
    <row r="15" spans="3:5" x14ac:dyDescent="0.25">
      <c r="C15" s="241"/>
      <c r="D15" s="26"/>
      <c r="E15" s="26"/>
    </row>
    <row r="16" spans="2:3" x14ac:dyDescent="0.25">
      <c r="B16" s="4"/>
      <c r="C16" s="236"/>
    </row>
    <row r="17" spans="1:10" x14ac:dyDescent="0.25">
      <c r="A17" s="33" t="s">
        <v>2337</v>
      </c>
      <c r="B17" s="33"/>
      <c r="C17" s="273">
        <f>'FIXED ASSET'!E23*-1</f>
        <v>-412288044</v>
      </c>
      <c r="D17" s="38">
        <f>'PROY FIXED ASSETS'!D23*-1</f>
        <v>-1423817993.311922</v>
      </c>
      <c r="E17" s="38">
        <f>'PROY FIXED ASSETS'!E23*-1</f>
        <v>-5422876576.922622</v>
      </c>
      <c r="F17" s="38">
        <f>'PROY FIXED ASSETS'!F23*-1</f>
        <v>-21233055569.6742</v>
      </c>
      <c r="G17" s="38"/>
      <c r="H17" s="38"/>
      <c r="I17" s="38"/>
      <c r="J17" s="38"/>
    </row>
    <row r="18" spans="3:5" x14ac:dyDescent="0.25">
      <c r="C18" s="241"/>
      <c r="D18" s="26"/>
      <c r="E18" s="26"/>
    </row>
    <row r="19" spans="1:10" x14ac:dyDescent="0.25">
      <c r="A19" s="33" t="s">
        <v>2338</v>
      </c>
      <c r="B19" s="34"/>
      <c r="C19" s="273">
        <f>C11+C13+C17</f>
        <v>5341452365</v>
      </c>
      <c r="D19" s="38">
        <f>D11+D13+D17</f>
        <v>-36547542887.667984</v>
      </c>
      <c r="E19" s="38">
        <f>E11+E13+E17</f>
        <v>-634480010396.34</v>
      </c>
      <c r="F19" s="38">
        <f>F11+F13+F17</f>
        <v>-9845414178973.566</v>
      </c>
      <c r="G19" s="38"/>
      <c r="H19" s="38"/>
      <c r="I19" s="38"/>
      <c r="J19" s="38"/>
    </row>
    <row r="20" spans="3:5" x14ac:dyDescent="0.25">
      <c r="C20" s="241"/>
      <c r="D20" s="26"/>
      <c r="E20" s="26"/>
    </row>
    <row r="21" spans="1:5" x14ac:dyDescent="0.25">
      <c r="A21" t="s">
        <v>2339</v>
      </c>
      <c r="C21" s="241"/>
      <c r="D21" s="26"/>
      <c r="E21" s="26"/>
    </row>
    <row r="22" spans="2:10" x14ac:dyDescent="0.25">
      <c r="B22" t="s">
        <v>2340</v>
      </c>
      <c r="C22" s="241">
        <f>'CASH FLOW STATEMENT'!E22</f>
        <v>0</v>
      </c>
      <c r="D22" s="65">
        <v>0</v>
      </c>
      <c r="E22" s="65">
        <v>0</v>
      </c>
      <c r="F22" s="65">
        <v>0</v>
      </c>
      <c r="G22" s="65"/>
      <c r="H22" s="65"/>
      <c r="I22" s="65"/>
      <c r="J22" s="65"/>
    </row>
    <row r="23" spans="2:10" x14ac:dyDescent="0.25">
      <c r="B23" t="s">
        <v>2694</v>
      </c>
      <c r="C23" s="241">
        <f>'CASH FLOW STATEMENT'!E23</f>
        <v>0</v>
      </c>
      <c r="D23" s="65">
        <v>0</v>
      </c>
      <c r="E23" s="65">
        <v>0</v>
      </c>
      <c r="F23" s="65">
        <v>0</v>
      </c>
      <c r="G23" s="65"/>
      <c r="H23" s="65"/>
      <c r="I23" s="65"/>
      <c r="J23" s="65"/>
    </row>
    <row r="24" spans="2:10" x14ac:dyDescent="0.25">
      <c r="B24" t="s">
        <v>2298</v>
      </c>
      <c r="C24" s="241">
        <f>'INCOME STATEMENT'!F27</f>
        <v>-19483450</v>
      </c>
      <c r="D24" s="26">
        <f>'PROY LR'!D31</f>
        <v>-19478161.527636457</v>
      </c>
      <c r="E24" s="26">
        <f>'PROY LR'!E31</f>
        <v>-19472874.490744554</v>
      </c>
      <c r="F24" s="26">
        <f>'PROY LR'!F31</f>
        <v>-19467588.888934657</v>
      </c>
      <c r="G24" s="26"/>
      <c r="H24" s="26"/>
      <c r="I24" s="26"/>
      <c r="J24" s="26"/>
    </row>
    <row r="25" spans="2:10" x14ac:dyDescent="0.25">
      <c r="B25" t="s">
        <v>2297</v>
      </c>
      <c r="C25" s="241">
        <f>'INCOME STATEMENT'!F26</f>
        <v>105200220</v>
      </c>
      <c r="D25" s="26">
        <f>'PROY LR'!D29</f>
        <v>105347465.88305867</v>
      </c>
      <c r="E25" s="26">
        <f>'PROY LR'!E29</f>
        <v>105494917.86216997</v>
      </c>
      <c r="F25" s="26">
        <f>'PROY LR'!F29</f>
        <v>105642576.22580093</v>
      </c>
      <c r="G25" s="26"/>
      <c r="H25" s="26"/>
      <c r="I25" s="26"/>
      <c r="J25" s="26"/>
    </row>
    <row r="26" spans="2:10" x14ac:dyDescent="0.25">
      <c r="B26" t="s">
        <v>2343</v>
      </c>
      <c r="C26" s="241">
        <f>'ACC PAYABLES'!E20</f>
        <v>0</v>
      </c>
      <c r="D26" s="26">
        <f>'PROY ACC PAYABLES'!D21</f>
        <v>0</v>
      </c>
      <c r="E26" s="26">
        <f>'PROY ACC PAYABLES'!E21</f>
        <v>0</v>
      </c>
      <c r="F26" s="26">
        <f>'PROY ACC PAYABLES'!F21</f>
        <v>0</v>
      </c>
      <c r="G26" s="26"/>
      <c r="H26" s="26"/>
      <c r="I26" s="26"/>
      <c r="J26" s="26"/>
    </row>
    <row r="27" spans="3:5" x14ac:dyDescent="0.25">
      <c r="C27" s="241"/>
      <c r="D27" s="26"/>
      <c r="E27" s="26"/>
    </row>
    <row r="28" spans="1:10" x14ac:dyDescent="0.25">
      <c r="A28" s="33" t="s">
        <v>2344</v>
      </c>
      <c r="B28" s="34"/>
      <c r="C28" s="273">
        <f>SUM(C22:C26)</f>
        <v>85716770</v>
      </c>
      <c r="D28" s="38">
        <f>SUM(D22:D26)</f>
        <v>85869304.35542221</v>
      </c>
      <c r="E28" s="38">
        <f>SUM(E22:E26)</f>
        <v>86022043.37142542</v>
      </c>
      <c r="F28" s="38">
        <f>SUM(F22:F26)</f>
        <v>86174987.33686627</v>
      </c>
      <c r="G28" s="38"/>
      <c r="H28" s="38"/>
      <c r="I28" s="38"/>
      <c r="J28" s="38"/>
    </row>
    <row r="29" spans="3:5" x14ac:dyDescent="0.25">
      <c r="C29" s="241"/>
      <c r="D29" s="26"/>
      <c r="E29" s="26"/>
    </row>
    <row r="30" ht="16" customHeight="1" spans="1:10" x14ac:dyDescent="0.25">
      <c r="A30" s="43" t="s">
        <v>2345</v>
      </c>
      <c r="B30" s="43"/>
      <c r="C30" s="270">
        <f>+C11+C13+C17+C28</f>
        <v>5427169135</v>
      </c>
      <c r="D30" s="45">
        <f>+D11+D13+D17+D28</f>
        <v>-36461673583.31256</v>
      </c>
      <c r="E30" s="45">
        <f>+E11+E13+E17+E28</f>
        <v>-634393988352.9685</v>
      </c>
      <c r="F30" s="45">
        <f>+F11+F13+F17+F28</f>
        <v>-9845328003986.23</v>
      </c>
      <c r="G30" s="45"/>
      <c r="H30" s="45"/>
      <c r="I30" s="45"/>
      <c r="J30" s="45"/>
    </row>
    <row r="31" ht="16" customHeight="1" spans="3:5" x14ac:dyDescent="0.25">
      <c r="C31" s="241"/>
      <c r="D31" s="26"/>
      <c r="E31" s="26"/>
    </row>
    <row r="32" spans="1:10" x14ac:dyDescent="0.25">
      <c r="A32" t="s">
        <v>2346</v>
      </c>
      <c r="C32" s="241">
        <f>'CASH FLOW STATEMENT'!D33</f>
        <v>8558587497</v>
      </c>
      <c r="D32" s="26">
        <f>C33</f>
        <v>16287589891</v>
      </c>
      <c r="E32" s="26">
        <f>D33</f>
        <v>6556472290.801667</v>
      </c>
      <c r="F32" s="26">
        <f>E33</f>
        <v>6478735117.904908</v>
      </c>
      <c r="G32" s="26"/>
      <c r="H32" s="26"/>
      <c r="I32" s="26"/>
      <c r="J32" s="26"/>
    </row>
    <row r="33" spans="1:10" x14ac:dyDescent="0.25">
      <c r="A33" s="33" t="s">
        <v>2347</v>
      </c>
      <c r="B33" s="34"/>
      <c r="C33" s="273">
        <f>'BALANCE SHEET'!F8+'BALANCE SHEET'!F9</f>
        <v>16287589891</v>
      </c>
      <c r="D33" s="38">
        <f>'PROY BALANCE SHEET'!D9+'PROY BALANCE SHEET'!D11</f>
        <v>6556472290.801667</v>
      </c>
      <c r="E33" s="38">
        <f>'PROY BALANCE SHEET'!E9+'PROY BALANCE SHEET'!E11</f>
        <v>6478735117.904908</v>
      </c>
      <c r="F33" s="38">
        <f>'PROY BALANCE SHEET'!F9+'PROY BALANCE SHEET'!F11</f>
        <v>6401919640.057247</v>
      </c>
      <c r="G33" s="38"/>
      <c r="H33" s="38"/>
      <c r="I33" s="38"/>
      <c r="J33" s="38"/>
    </row>
    <row r="34" spans="3:5" x14ac:dyDescent="0.25">
      <c r="C34" s="241"/>
      <c r="D34" s="26"/>
      <c r="E34" s="26"/>
    </row>
    <row r="35" spans="1:10" x14ac:dyDescent="0.25">
      <c r="A35" t="s">
        <v>2348</v>
      </c>
      <c r="C35" s="241">
        <f>'BALANCE SHEET'!F9</f>
        <v>9652447673</v>
      </c>
      <c r="D35" s="26">
        <f>'PROY BALANCE SHEET'!D11</f>
        <v>0</v>
      </c>
      <c r="E35" s="26">
        <f>'PROY BALANCE SHEET'!E11</f>
        <v>0</v>
      </c>
      <c r="F35" s="26">
        <f>'PROY BALANCE SHEET'!F11</f>
        <v>0</v>
      </c>
      <c r="G35" s="26"/>
      <c r="H35" s="26"/>
      <c r="I35" s="26"/>
      <c r="J35" s="26"/>
    </row>
    <row r="36" ht="16" customHeight="1" spans="1:10" x14ac:dyDescent="0.25">
      <c r="A36" s="48" t="s">
        <v>2349</v>
      </c>
      <c r="B36" s="48"/>
      <c r="C36" s="281">
        <f>'BALANCE SHEET'!F8</f>
        <v>6635142218</v>
      </c>
      <c r="D36" s="70">
        <f>'PROY BALANCE SHEET'!D9</f>
        <v>6556472290.801667</v>
      </c>
      <c r="E36" s="70">
        <f>'PROY BALANCE SHEET'!E9</f>
        <v>6478735117.904908</v>
      </c>
      <c r="F36" s="70">
        <f>'PROY BALANCE SHEET'!F9</f>
        <v>6401919640.057247</v>
      </c>
      <c r="G36" s="70"/>
      <c r="H36" s="70"/>
      <c r="I36" s="70"/>
      <c r="J36" s="70"/>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56"/>
  <sheetViews>
    <sheetView workbookViewId="0" zoomScale="100" zoomScaleNormal="100">
      <selection activeCell="B11" sqref="B11"/>
    </sheetView>
  </sheetViews>
  <sheetFormatPr defaultRowHeight="15" outlineLevelRow="0" outlineLevelCol="0" x14ac:dyDescent="0.2" defaultColWidth="8.83203125"/>
  <cols>
    <col min="1" max="1" width="12.5" customWidth="1"/>
    <col min="2" max="2" width="20.5" customWidth="1"/>
    <col min="3" max="10" width="16.33203125" customWidth="1"/>
  </cols>
  <sheetData>
    <row r="1" spans="1:1" x14ac:dyDescent="0.25">
      <c r="A1" t="str">
        <f>HOME!B4</f>
        <v>PT RAJA VOLTAMA ELEKTRIK</v>
      </c>
    </row>
    <row r="2" spans="1:1" x14ac:dyDescent="0.25">
      <c r="A2" t="s">
        <v>2350</v>
      </c>
    </row>
    <row r="3" spans="1:1" x14ac:dyDescent="0.25">
      <c r="A3" t="str">
        <f>'BALANCE SHEET'!A3</f>
        <v>(IDR)</v>
      </c>
    </row>
    <row r="5" spans="1:12" x14ac:dyDescent="0.25">
      <c r="A5" s="24"/>
      <c r="B5" s="24"/>
      <c r="C5" s="24">
        <f>'CASH FLOW STATEMENT'!E4</f>
        <v>2021</v>
      </c>
      <c r="D5" s="24">
        <f>C5+1</f>
        <v>2022</v>
      </c>
      <c r="E5" s="24">
        <f t="shared" ref="E5:J5" si="0">D5+1</f>
        <v>2023</v>
      </c>
      <c r="F5" s="24">
        <f t="shared" si="0"/>
        <v>2024</v>
      </c>
      <c r="G5" s="24">
        <f t="shared" si="0"/>
        <v>2025</v>
      </c>
      <c r="H5" s="24">
        <f t="shared" si="0"/>
        <v>2026</v>
      </c>
      <c r="I5" s="24">
        <f t="shared" si="0"/>
        <v>2027</v>
      </c>
      <c r="J5" s="24">
        <f t="shared" si="0"/>
        <v>2028</v>
      </c>
      <c r="L5" t="s">
        <v>2223</v>
      </c>
    </row>
    <row r="6" spans="1:3" x14ac:dyDescent="0.25">
      <c r="A6" s="4" t="s">
        <v>2351</v>
      </c>
      <c r="C6" s="241"/>
    </row>
    <row r="7" spans="1:3" x14ac:dyDescent="0.25">
      <c r="A7" s="4" t="s">
        <v>2242</v>
      </c>
      <c r="C7" s="241"/>
    </row>
    <row r="8" spans="2:10" x14ac:dyDescent="0.25">
      <c r="B8" t="s">
        <v>2352</v>
      </c>
      <c r="C8" s="241">
        <f>'FIXED ASSET'!E8</f>
        <v>0</v>
      </c>
      <c r="D8" s="26">
        <f>C22</f>
        <v>0</v>
      </c>
      <c r="E8" s="26">
        <f>D22</f>
        <v>0</v>
      </c>
      <c r="F8" s="26">
        <f t="shared" ref="F8:J11" si="1">E22</f>
        <v>0</v>
      </c>
      <c r="G8" s="26">
        <f t="shared" si="1"/>
        <v>0</v>
      </c>
      <c r="H8" s="26">
        <f t="shared" si="1"/>
        <v>0</v>
      </c>
      <c r="I8" s="26">
        <f t="shared" si="1"/>
        <v>0</v>
      </c>
      <c r="J8" s="26">
        <f t="shared" si="1"/>
        <v>0</v>
      </c>
    </row>
    <row r="9" spans="2:10" x14ac:dyDescent="0.25">
      <c r="B9" t="s">
        <v>2354</v>
      </c>
      <c r="C9" s="241">
        <f>'FIXED ASSET'!E9</f>
        <v>4947437500</v>
      </c>
      <c r="D9" s="26">
        <f t="shared" ref="D9:E11" si="2">C23</f>
        <v>4947437500</v>
      </c>
      <c r="E9" s="26">
        <f t="shared" si="2"/>
        <v>4947437500</v>
      </c>
      <c r="F9" s="26">
        <f t="shared" si="1"/>
        <v>4947437500</v>
      </c>
      <c r="G9" s="26">
        <f t="shared" si="1"/>
        <v>4947437500</v>
      </c>
      <c r="H9" s="26">
        <f t="shared" si="1"/>
        <v>4947437500</v>
      </c>
      <c r="I9" s="26">
        <f t="shared" si="1"/>
        <v>4947437500</v>
      </c>
      <c r="J9" s="26">
        <f t="shared" si="1"/>
        <v>4947437500</v>
      </c>
    </row>
    <row r="10" spans="2:10" x14ac:dyDescent="0.25">
      <c r="B10" t="s">
        <v>2666</v>
      </c>
      <c r="C10" s="241">
        <f>'FIXED ASSET'!E10</f>
        <v>0</v>
      </c>
      <c r="D10" s="26">
        <f t="shared" si="2"/>
        <v>0</v>
      </c>
      <c r="E10" s="26">
        <f t="shared" si="2"/>
        <v>0</v>
      </c>
      <c r="F10" s="26">
        <f t="shared" si="1"/>
        <v>0</v>
      </c>
      <c r="G10" s="26">
        <f t="shared" si="1"/>
        <v>0</v>
      </c>
      <c r="H10" s="26">
        <f t="shared" si="1"/>
        <v>0</v>
      </c>
      <c r="I10" s="26">
        <f t="shared" si="1"/>
        <v>0</v>
      </c>
      <c r="J10" s="26">
        <f t="shared" si="1"/>
        <v>0</v>
      </c>
    </row>
    <row r="11" spans="1:10" x14ac:dyDescent="0.25">
      <c r="A11" s="34"/>
      <c r="B11" s="34" t="s">
        <v>2695</v>
      </c>
      <c r="C11" s="246">
        <f>'FIXED ASSET'!E13</f>
        <v>0</v>
      </c>
      <c r="D11" s="26">
        <f t="shared" si="2"/>
        <v>0</v>
      </c>
      <c r="E11" s="26">
        <f t="shared" si="2"/>
        <v>0</v>
      </c>
      <c r="F11" s="26">
        <f t="shared" si="1"/>
        <v>0</v>
      </c>
      <c r="G11" s="26">
        <f t="shared" si="1"/>
        <v>0</v>
      </c>
      <c r="H11" s="26">
        <f t="shared" si="1"/>
        <v>0</v>
      </c>
      <c r="I11" s="26">
        <f t="shared" si="1"/>
        <v>0</v>
      </c>
      <c r="J11" s="26">
        <f t="shared" si="1"/>
        <v>0</v>
      </c>
    </row>
    <row r="12" spans="1:10" x14ac:dyDescent="0.25">
      <c r="A12" s="4" t="s">
        <v>2359</v>
      </c>
      <c r="C12" s="274">
        <f>'FIXED ASSET'!E14</f>
        <v>6577365500</v>
      </c>
      <c r="D12" s="37">
        <f>'FIXED ASSET'!F14</f>
        <v>0</v>
      </c>
      <c r="E12" s="37">
        <f>'FIXED ASSET'!G14</f>
        <v>0</v>
      </c>
      <c r="F12" s="37">
        <f>'FIXED ASSET'!H14</f>
        <v>0</v>
      </c>
      <c r="G12" s="37">
        <f>'FIXED ASSET'!I14</f>
        <v>0</v>
      </c>
      <c r="H12" s="37">
        <f>'FIXED ASSET'!J14</f>
        <v>0</v>
      </c>
      <c r="I12" s="37">
        <f>'FIXED ASSET'!K14</f>
        <v>0</v>
      </c>
      <c r="J12" s="37">
        <f>'FIXED ASSET'!L14</f>
        <v>0</v>
      </c>
    </row>
    <row r="13" spans="3:3" x14ac:dyDescent="0.25">
      <c r="C13" s="241"/>
    </row>
    <row r="14" spans="1:3" x14ac:dyDescent="0.25">
      <c r="A14" s="4" t="s">
        <v>2360</v>
      </c>
      <c r="C14" s="241"/>
    </row>
    <row r="15" spans="2:13" x14ac:dyDescent="0.25">
      <c r="B15" t="s">
        <v>2352</v>
      </c>
      <c r="C15" s="241">
        <f>'FIXED ASSET'!E17</f>
        <v>0</v>
      </c>
      <c r="D15" s="282">
        <v>0</v>
      </c>
      <c r="E15" s="282">
        <v>0</v>
      </c>
      <c r="F15" s="282">
        <v>0</v>
      </c>
      <c r="G15" s="282">
        <v>0</v>
      </c>
      <c r="H15" s="282">
        <v>0</v>
      </c>
      <c r="I15" s="282">
        <v>0</v>
      </c>
      <c r="J15" s="282">
        <v>0</v>
      </c>
      <c r="L15" s="283" t="s">
        <v>2696</v>
      </c>
      <c r="M15" t="s">
        <v>2697</v>
      </c>
    </row>
    <row r="16" spans="2:10" x14ac:dyDescent="0.25">
      <c r="B16" t="s">
        <v>2354</v>
      </c>
      <c r="C16" s="241">
        <f>'FIXED ASSET'!E18</f>
        <v>0</v>
      </c>
      <c r="D16" s="282">
        <v>0</v>
      </c>
      <c r="E16" s="282">
        <v>0</v>
      </c>
      <c r="F16" s="282">
        <v>0</v>
      </c>
      <c r="G16" s="282">
        <v>0</v>
      </c>
      <c r="H16" s="282">
        <v>0</v>
      </c>
      <c r="I16" s="282">
        <v>0</v>
      </c>
      <c r="J16" s="282">
        <v>0</v>
      </c>
    </row>
    <row r="17" spans="2:10" x14ac:dyDescent="0.25">
      <c r="B17" t="s">
        <v>2666</v>
      </c>
      <c r="C17" s="241">
        <f>'FIXED ASSET'!E19</f>
        <v>0</v>
      </c>
      <c r="D17" s="282">
        <v>0</v>
      </c>
      <c r="E17" s="282">
        <v>0</v>
      </c>
      <c r="F17" s="282">
        <v>0</v>
      </c>
      <c r="G17" s="282">
        <v>0</v>
      </c>
      <c r="H17" s="282">
        <v>0</v>
      </c>
      <c r="I17" s="282">
        <v>0</v>
      </c>
      <c r="J17" s="282">
        <v>0</v>
      </c>
    </row>
    <row r="18" spans="1:10" x14ac:dyDescent="0.25">
      <c r="A18" s="34"/>
      <c r="B18" s="34" t="s">
        <v>2695</v>
      </c>
      <c r="C18" s="246">
        <f>'FIXED ASSET'!E22</f>
        <v>0</v>
      </c>
      <c r="D18" s="284">
        <v>0</v>
      </c>
      <c r="E18" s="284">
        <v>0</v>
      </c>
      <c r="F18" s="284">
        <v>0</v>
      </c>
      <c r="G18" s="284">
        <v>0</v>
      </c>
      <c r="H18" s="284">
        <v>0</v>
      </c>
      <c r="I18" s="284">
        <v>0</v>
      </c>
      <c r="J18" s="284">
        <v>0</v>
      </c>
    </row>
    <row r="19" spans="1:13" x14ac:dyDescent="0.25">
      <c r="A19" s="4" t="s">
        <v>2359</v>
      </c>
      <c r="C19" s="274">
        <f>'FIXED ASSET'!E23</f>
        <v>412288044</v>
      </c>
      <c r="D19" s="285">
        <f>SUM(D15:D18)</f>
        <v>0</v>
      </c>
      <c r="E19" s="285">
        <f t="shared" ref="E19:J19" si="3">SUM(E15:E18)</f>
        <v>0</v>
      </c>
      <c r="F19" s="285">
        <f t="shared" si="3"/>
        <v>0</v>
      </c>
      <c r="G19" s="285">
        <f t="shared" si="3"/>
        <v>0</v>
      </c>
      <c r="H19" s="285">
        <f t="shared" si="3"/>
        <v>0</v>
      </c>
      <c r="I19" s="285">
        <f t="shared" si="3"/>
        <v>0</v>
      </c>
      <c r="J19" s="285">
        <f t="shared" si="3"/>
        <v>0</v>
      </c>
      <c r="L19" s="286"/>
      <c r="M19" s="22" t="s">
        <v>2698</v>
      </c>
    </row>
    <row r="20" spans="3:3" x14ac:dyDescent="0.25">
      <c r="C20" s="241"/>
    </row>
    <row r="21" spans="1:3" x14ac:dyDescent="0.25">
      <c r="A21" s="4" t="s">
        <v>2363</v>
      </c>
      <c r="C21" s="241"/>
    </row>
    <row r="22" spans="2:10" x14ac:dyDescent="0.25">
      <c r="B22" t="s">
        <v>2352</v>
      </c>
      <c r="C22" s="241">
        <f>'FIXED ASSET'!E26</f>
        <v>0</v>
      </c>
      <c r="D22" s="26">
        <f>D8+D15</f>
        <v>0</v>
      </c>
      <c r="E22" s="26">
        <f t="shared" ref="E22:J22" si="4">E8+E15</f>
        <v>0</v>
      </c>
      <c r="F22" s="26">
        <f t="shared" si="4"/>
        <v>0</v>
      </c>
      <c r="G22" s="26">
        <f t="shared" si="4"/>
        <v>0</v>
      </c>
      <c r="H22" s="26">
        <f t="shared" si="4"/>
        <v>0</v>
      </c>
      <c r="I22" s="26">
        <f t="shared" si="4"/>
        <v>0</v>
      </c>
      <c r="J22" s="26">
        <f t="shared" si="4"/>
        <v>0</v>
      </c>
    </row>
    <row r="23" spans="2:10" x14ac:dyDescent="0.25">
      <c r="B23" t="s">
        <v>2354</v>
      </c>
      <c r="C23" s="241">
        <f>'FIXED ASSET'!E27</f>
        <v>4947437500</v>
      </c>
      <c r="D23" s="26">
        <f>D9+D16</f>
        <v>4947437500</v>
      </c>
      <c r="E23" s="26">
        <f t="shared" ref="E23:J23" si="5">E9+E16</f>
        <v>4947437500</v>
      </c>
      <c r="F23" s="26">
        <f t="shared" si="5"/>
        <v>4947437500</v>
      </c>
      <c r="G23" s="26">
        <f t="shared" si="5"/>
        <v>4947437500</v>
      </c>
      <c r="H23" s="26">
        <f t="shared" si="5"/>
        <v>4947437500</v>
      </c>
      <c r="I23" s="26">
        <f t="shared" si="5"/>
        <v>4947437500</v>
      </c>
      <c r="J23" s="26">
        <f t="shared" si="5"/>
        <v>4947437500</v>
      </c>
    </row>
    <row r="24" spans="2:10" x14ac:dyDescent="0.25">
      <c r="B24" t="s">
        <v>2666</v>
      </c>
      <c r="C24" s="241">
        <f>'FIXED ASSET'!E28</f>
        <v>0</v>
      </c>
      <c r="D24" s="26">
        <f>D10+D17</f>
        <v>0</v>
      </c>
      <c r="E24" s="26">
        <f t="shared" ref="E24:J24" si="6">E10+E17</f>
        <v>0</v>
      </c>
      <c r="F24" s="26">
        <f t="shared" si="6"/>
        <v>0</v>
      </c>
      <c r="G24" s="26">
        <f t="shared" si="6"/>
        <v>0</v>
      </c>
      <c r="H24" s="26">
        <f t="shared" si="6"/>
        <v>0</v>
      </c>
      <c r="I24" s="26">
        <f t="shared" si="6"/>
        <v>0</v>
      </c>
      <c r="J24" s="26">
        <f t="shared" si="6"/>
        <v>0</v>
      </c>
    </row>
    <row r="25" spans="1:10" x14ac:dyDescent="0.25">
      <c r="A25" s="34"/>
      <c r="B25" s="34" t="s">
        <v>2695</v>
      </c>
      <c r="C25" s="246">
        <f>'FIXED ASSET'!E31</f>
        <v>0</v>
      </c>
      <c r="D25" s="35">
        <f>D11+D18</f>
        <v>0</v>
      </c>
      <c r="E25" s="35">
        <f t="shared" ref="E25:J25" si="7">E11+E18</f>
        <v>0</v>
      </c>
      <c r="F25" s="35">
        <f t="shared" si="7"/>
        <v>0</v>
      </c>
      <c r="G25" s="35">
        <f t="shared" si="7"/>
        <v>0</v>
      </c>
      <c r="H25" s="35">
        <f t="shared" si="7"/>
        <v>0</v>
      </c>
      <c r="I25" s="35">
        <f t="shared" si="7"/>
        <v>0</v>
      </c>
      <c r="J25" s="35">
        <f t="shared" si="7"/>
        <v>0</v>
      </c>
    </row>
    <row r="26" spans="1:10" x14ac:dyDescent="0.25">
      <c r="A26" s="4" t="s">
        <v>2359</v>
      </c>
      <c r="C26" s="287">
        <f>'FIXED ASSET'!E32</f>
        <v>6989653544</v>
      </c>
      <c r="D26" s="37">
        <f>SUM(D22:D25)</f>
        <v>4947437500</v>
      </c>
      <c r="E26" s="37">
        <f t="shared" ref="E26:J26" si="8">SUM(E22:E25)</f>
        <v>4947437500</v>
      </c>
      <c r="F26" s="37">
        <f t="shared" si="8"/>
        <v>4947437500</v>
      </c>
      <c r="G26" s="37">
        <f t="shared" si="8"/>
        <v>4947437500</v>
      </c>
      <c r="H26" s="37">
        <f t="shared" si="8"/>
        <v>4947437500</v>
      </c>
      <c r="I26" s="37">
        <f t="shared" si="8"/>
        <v>4947437500</v>
      </c>
      <c r="J26" s="37">
        <f t="shared" si="8"/>
        <v>4947437500</v>
      </c>
    </row>
    <row r="27" spans="3:11" x14ac:dyDescent="0.25">
      <c r="C27" s="241"/>
      <c r="D27" s="46"/>
      <c r="E27" s="46"/>
      <c r="F27" s="46"/>
      <c r="G27" s="46"/>
      <c r="H27" s="46"/>
      <c r="I27" s="46"/>
      <c r="J27" s="46"/>
      <c r="K27" s="46"/>
    </row>
    <row r="28" spans="3:3" x14ac:dyDescent="0.25">
      <c r="C28" s="241"/>
    </row>
    <row r="29" spans="1:3" x14ac:dyDescent="0.25">
      <c r="A29" s="4" t="s">
        <v>2364</v>
      </c>
      <c r="C29" s="236"/>
    </row>
    <row r="30" spans="1:3" x14ac:dyDescent="0.25">
      <c r="A30" s="4" t="s">
        <v>2242</v>
      </c>
      <c r="C30" s="241"/>
    </row>
    <row r="31" spans="2:3" x14ac:dyDescent="0.25">
      <c r="B31" t="s">
        <v>2352</v>
      </c>
      <c r="C31" s="241">
        <f>'FIXED ASSET'!E36</f>
        <v>0</v>
      </c>
    </row>
    <row r="32" spans="2:10" x14ac:dyDescent="0.25">
      <c r="B32" t="s">
        <v>2354</v>
      </c>
      <c r="C32" s="241">
        <f>'FIXED ASSET'!E37</f>
        <v>0</v>
      </c>
      <c r="D32" s="26">
        <f>C46</f>
        <v>0</v>
      </c>
      <c r="E32" s="26">
        <f t="shared" ref="E32:J32" si="9">D46</f>
        <v>0</v>
      </c>
      <c r="F32" s="26">
        <f t="shared" si="9"/>
        <v>0</v>
      </c>
      <c r="G32" s="26">
        <f t="shared" si="9"/>
        <v>0</v>
      </c>
      <c r="H32" s="26">
        <f t="shared" si="9"/>
        <v>0</v>
      </c>
      <c r="I32" s="26">
        <f t="shared" si="9"/>
        <v>0</v>
      </c>
      <c r="J32" s="26">
        <f t="shared" si="9"/>
        <v>0</v>
      </c>
    </row>
    <row r="33" spans="2:10" x14ac:dyDescent="0.25">
      <c r="B33" t="s">
        <v>2666</v>
      </c>
      <c r="C33" s="241">
        <f>'FIXED ASSET'!E38</f>
        <v>0</v>
      </c>
      <c r="D33" s="26">
        <f t="shared" ref="D33:J33" si="10">C47</f>
        <v>0</v>
      </c>
      <c r="E33" s="26">
        <f t="shared" si="10"/>
        <v>0</v>
      </c>
      <c r="F33" s="26">
        <f t="shared" si="10"/>
        <v>0</v>
      </c>
      <c r="G33" s="26">
        <f t="shared" si="10"/>
        <v>0</v>
      </c>
      <c r="H33" s="26">
        <f t="shared" si="10"/>
        <v>0</v>
      </c>
      <c r="I33" s="26">
        <f t="shared" si="10"/>
        <v>0</v>
      </c>
      <c r="J33" s="26">
        <f t="shared" si="10"/>
        <v>0</v>
      </c>
    </row>
    <row r="34" spans="1:10" x14ac:dyDescent="0.25">
      <c r="A34" s="34"/>
      <c r="B34" s="34" t="s">
        <v>2695</v>
      </c>
      <c r="C34" s="246">
        <f>'FIXED ASSET'!E41</f>
        <v>0</v>
      </c>
      <c r="D34" s="35">
        <f t="shared" ref="D34:J34" si="11">C48</f>
        <v>0</v>
      </c>
      <c r="E34" s="35">
        <f t="shared" si="11"/>
        <v>0</v>
      </c>
      <c r="F34" s="35">
        <f t="shared" si="11"/>
        <v>0</v>
      </c>
      <c r="G34" s="35">
        <f t="shared" si="11"/>
        <v>0</v>
      </c>
      <c r="H34" s="35">
        <f t="shared" si="11"/>
        <v>0</v>
      </c>
      <c r="I34" s="35">
        <f t="shared" si="11"/>
        <v>0</v>
      </c>
      <c r="J34" s="35">
        <f t="shared" si="11"/>
        <v>0</v>
      </c>
    </row>
    <row r="35" spans="1:10" x14ac:dyDescent="0.25">
      <c r="A35" s="4" t="s">
        <v>2359</v>
      </c>
      <c r="C35" s="274">
        <f>SUM(C31:C34)</f>
        <v>0</v>
      </c>
      <c r="D35" s="37">
        <f t="shared" ref="D35:J35" si="12">SUM(D31:D34)</f>
        <v>0</v>
      </c>
      <c r="E35" s="37">
        <f t="shared" si="12"/>
        <v>0</v>
      </c>
      <c r="F35" s="37">
        <f t="shared" si="12"/>
        <v>0</v>
      </c>
      <c r="G35" s="37">
        <f t="shared" si="12"/>
        <v>0</v>
      </c>
      <c r="H35" s="37">
        <f t="shared" si="12"/>
        <v>0</v>
      </c>
      <c r="I35" s="37">
        <f t="shared" si="12"/>
        <v>0</v>
      </c>
      <c r="J35" s="37">
        <f t="shared" si="12"/>
        <v>0</v>
      </c>
    </row>
    <row r="36" spans="3:3" x14ac:dyDescent="0.25">
      <c r="C36" s="241"/>
    </row>
    <row r="37" spans="1:3" x14ac:dyDescent="0.25">
      <c r="A37" s="4" t="s">
        <v>2360</v>
      </c>
      <c r="C37" s="241"/>
    </row>
    <row r="38" spans="2:13" x14ac:dyDescent="0.25">
      <c r="B38" t="s">
        <v>2352</v>
      </c>
      <c r="C38" s="241">
        <f>'FIXED ASSET'!E45</f>
        <v>0</v>
      </c>
      <c r="D38" s="282">
        <v>0</v>
      </c>
      <c r="E38" s="282">
        <v>0</v>
      </c>
      <c r="F38" s="282">
        <v>0</v>
      </c>
      <c r="G38" s="282">
        <v>0</v>
      </c>
      <c r="H38" s="282">
        <v>0</v>
      </c>
      <c r="I38" s="282">
        <v>0</v>
      </c>
      <c r="J38" s="282">
        <v>0</v>
      </c>
      <c r="L38" s="283" t="s">
        <v>2696</v>
      </c>
      <c r="M38" t="s">
        <v>2699</v>
      </c>
    </row>
    <row r="39" spans="2:10" x14ac:dyDescent="0.25">
      <c r="B39" t="s">
        <v>2354</v>
      </c>
      <c r="C39" s="241">
        <f>'FIXED ASSET'!E46</f>
        <v>0</v>
      </c>
      <c r="D39" s="282">
        <v>0</v>
      </c>
      <c r="E39" s="282">
        <v>0</v>
      </c>
      <c r="F39" s="282">
        <v>0</v>
      </c>
      <c r="G39" s="282">
        <v>0</v>
      </c>
      <c r="H39" s="282">
        <v>0</v>
      </c>
      <c r="I39" s="282">
        <v>0</v>
      </c>
      <c r="J39" s="282">
        <v>0</v>
      </c>
    </row>
    <row r="40" spans="2:10" x14ac:dyDescent="0.25">
      <c r="B40" t="s">
        <v>2666</v>
      </c>
      <c r="C40" s="241">
        <f>'FIXED ASSET'!E47</f>
        <v>0</v>
      </c>
      <c r="D40" s="282">
        <v>0</v>
      </c>
      <c r="E40" s="282">
        <v>0</v>
      </c>
      <c r="F40" s="282">
        <v>0</v>
      </c>
      <c r="G40" s="282">
        <v>0</v>
      </c>
      <c r="H40" s="282">
        <v>0</v>
      </c>
      <c r="I40" s="282">
        <v>0</v>
      </c>
      <c r="J40" s="282">
        <v>0</v>
      </c>
    </row>
    <row r="41" spans="1:10" x14ac:dyDescent="0.25">
      <c r="A41" s="34"/>
      <c r="B41" s="34" t="s">
        <v>2695</v>
      </c>
      <c r="C41" s="246">
        <f>'FIXED ASSET'!E50</f>
        <v>0</v>
      </c>
      <c r="D41" s="282">
        <v>0</v>
      </c>
      <c r="E41" s="282">
        <v>0</v>
      </c>
      <c r="F41" s="282">
        <v>0</v>
      </c>
      <c r="G41" s="282">
        <v>0</v>
      </c>
      <c r="H41" s="282">
        <v>0</v>
      </c>
      <c r="I41" s="282">
        <v>0</v>
      </c>
      <c r="J41" s="282">
        <v>0</v>
      </c>
    </row>
    <row r="42" spans="1:13" x14ac:dyDescent="0.25">
      <c r="A42" s="4" t="s">
        <v>2359</v>
      </c>
      <c r="C42" s="274">
        <f>SUM(C38:C41)</f>
        <v>0</v>
      </c>
      <c r="D42" s="288">
        <f t="shared" ref="D42:J42" si="13">SUM(D38:D41)</f>
        <v>0</v>
      </c>
      <c r="E42" s="288">
        <f t="shared" si="13"/>
        <v>0</v>
      </c>
      <c r="F42" s="288">
        <f t="shared" si="13"/>
        <v>0</v>
      </c>
      <c r="G42" s="288">
        <f t="shared" si="13"/>
        <v>0</v>
      </c>
      <c r="H42" s="288">
        <f t="shared" si="13"/>
        <v>0</v>
      </c>
      <c r="I42" s="288">
        <f t="shared" si="13"/>
        <v>0</v>
      </c>
      <c r="J42" s="288">
        <f t="shared" si="13"/>
        <v>0</v>
      </c>
      <c r="L42" s="288"/>
      <c r="M42" s="22" t="s">
        <v>2700</v>
      </c>
    </row>
    <row r="43" spans="3:8" x14ac:dyDescent="0.25">
      <c r="C43" s="253"/>
      <c r="D43" s="26"/>
      <c r="E43" s="26"/>
      <c r="F43" s="26"/>
      <c r="G43" s="26"/>
      <c r="H43" s="26"/>
    </row>
    <row r="44" spans="1:8" x14ac:dyDescent="0.25">
      <c r="A44" s="4" t="s">
        <v>2363</v>
      </c>
      <c r="C44" s="253"/>
      <c r="D44" s="31"/>
      <c r="E44" s="31"/>
      <c r="F44" s="31"/>
      <c r="G44" s="31"/>
      <c r="H44" s="31"/>
    </row>
    <row r="45" spans="2:10" x14ac:dyDescent="0.25">
      <c r="B45" t="s">
        <v>2352</v>
      </c>
      <c r="C45" s="241">
        <f>'FIXED ASSET'!E54</f>
        <v>0</v>
      </c>
      <c r="D45" s="289">
        <f>C45+D38</f>
        <v>0</v>
      </c>
      <c r="E45" s="289">
        <f t="shared" ref="E45:J45" si="14">D45+E38</f>
        <v>0</v>
      </c>
      <c r="F45" s="289">
        <f t="shared" si="14"/>
        <v>0</v>
      </c>
      <c r="G45" s="289">
        <f t="shared" si="14"/>
        <v>0</v>
      </c>
      <c r="H45" s="289">
        <f t="shared" si="14"/>
        <v>0</v>
      </c>
      <c r="I45" s="289">
        <f t="shared" si="14"/>
        <v>0</v>
      </c>
      <c r="J45" s="289">
        <f t="shared" si="14"/>
        <v>0</v>
      </c>
    </row>
    <row r="46" spans="2:10" x14ac:dyDescent="0.25">
      <c r="B46" t="s">
        <v>2354</v>
      </c>
      <c r="C46" s="241">
        <f>'FIXED ASSET'!E55</f>
        <v>0</v>
      </c>
      <c r="D46" s="289">
        <f t="shared" ref="D46:J48" si="15">C46+D39</f>
        <v>0</v>
      </c>
      <c r="E46" s="289">
        <f t="shared" si="15"/>
        <v>0</v>
      </c>
      <c r="F46" s="289">
        <f t="shared" si="15"/>
        <v>0</v>
      </c>
      <c r="G46" s="289">
        <f t="shared" si="15"/>
        <v>0</v>
      </c>
      <c r="H46" s="289">
        <f t="shared" si="15"/>
        <v>0</v>
      </c>
      <c r="I46" s="289">
        <f t="shared" si="15"/>
        <v>0</v>
      </c>
      <c r="J46" s="289">
        <f t="shared" si="15"/>
        <v>0</v>
      </c>
    </row>
    <row r="47" spans="2:10" x14ac:dyDescent="0.25">
      <c r="B47" t="s">
        <v>2666</v>
      </c>
      <c r="C47" s="241">
        <f>'FIXED ASSET'!E56</f>
        <v>0</v>
      </c>
      <c r="D47" s="289">
        <f t="shared" si="15"/>
        <v>0</v>
      </c>
      <c r="E47" s="289">
        <f t="shared" si="15"/>
        <v>0</v>
      </c>
      <c r="F47" s="289">
        <f t="shared" si="15"/>
        <v>0</v>
      </c>
      <c r="G47" s="289">
        <f t="shared" si="15"/>
        <v>0</v>
      </c>
      <c r="H47" s="289">
        <f t="shared" si="15"/>
        <v>0</v>
      </c>
      <c r="I47" s="289">
        <f t="shared" si="15"/>
        <v>0</v>
      </c>
      <c r="J47" s="289">
        <f t="shared" si="15"/>
        <v>0</v>
      </c>
    </row>
    <row r="48" spans="1:10" x14ac:dyDescent="0.25">
      <c r="A48" s="34"/>
      <c r="B48" s="34" t="s">
        <v>2695</v>
      </c>
      <c r="C48" s="246">
        <f>'FIXED ASSET'!E59</f>
        <v>0</v>
      </c>
      <c r="D48" s="289">
        <f t="shared" si="15"/>
        <v>0</v>
      </c>
      <c r="E48" s="289">
        <f t="shared" si="15"/>
        <v>0</v>
      </c>
      <c r="F48" s="289">
        <f t="shared" si="15"/>
        <v>0</v>
      </c>
      <c r="G48" s="289">
        <f t="shared" si="15"/>
        <v>0</v>
      </c>
      <c r="H48" s="289">
        <f t="shared" si="15"/>
        <v>0</v>
      </c>
      <c r="I48" s="289">
        <f t="shared" si="15"/>
        <v>0</v>
      </c>
      <c r="J48" s="289">
        <f t="shared" si="15"/>
        <v>0</v>
      </c>
    </row>
    <row r="49" spans="1:13" x14ac:dyDescent="0.25">
      <c r="A49" s="4" t="s">
        <v>2359</v>
      </c>
      <c r="C49" s="287">
        <f>SUM(C45:C48)</f>
        <v>0</v>
      </c>
      <c r="D49" s="290">
        <f t="shared" ref="D49:J49" si="16">+D35+D42</f>
        <v>0</v>
      </c>
      <c r="E49" s="290">
        <f t="shared" si="16"/>
        <v>0</v>
      </c>
      <c r="F49" s="290">
        <f t="shared" si="16"/>
        <v>0</v>
      </c>
      <c r="G49" s="290">
        <f t="shared" si="16"/>
        <v>0</v>
      </c>
      <c r="H49" s="290">
        <f t="shared" si="16"/>
        <v>0</v>
      </c>
      <c r="I49" s="290">
        <f t="shared" si="16"/>
        <v>0</v>
      </c>
      <c r="J49" s="290">
        <f t="shared" si="16"/>
        <v>0</v>
      </c>
      <c r="L49" s="290" t="s">
        <v>2696</v>
      </c>
      <c r="M49" s="22" t="s">
        <v>2701</v>
      </c>
    </row>
    <row r="50" spans="3:3" x14ac:dyDescent="0.25">
      <c r="C50" s="236"/>
    </row>
    <row r="51" spans="1:3" x14ac:dyDescent="0.25">
      <c r="A51" s="4" t="s">
        <v>2365</v>
      </c>
      <c r="C51" s="236"/>
    </row>
    <row r="52" spans="2:10" x14ac:dyDescent="0.25">
      <c r="B52" t="s">
        <v>2352</v>
      </c>
      <c r="C52" s="241">
        <f>'FIXED ASSET'!E63</f>
        <v>0</v>
      </c>
      <c r="D52" s="26">
        <f>+D22+D45</f>
        <v>0</v>
      </c>
      <c r="E52" s="26">
        <f t="shared" ref="E52:J52" si="17">+E22+E45</f>
        <v>0</v>
      </c>
      <c r="F52" s="26">
        <f t="shared" si="17"/>
        <v>0</v>
      </c>
      <c r="G52" s="26">
        <f t="shared" si="17"/>
        <v>0</v>
      </c>
      <c r="H52" s="26">
        <f t="shared" si="17"/>
        <v>0</v>
      </c>
      <c r="I52" s="26">
        <f t="shared" si="17"/>
        <v>0</v>
      </c>
      <c r="J52" s="26">
        <f t="shared" si="17"/>
        <v>0</v>
      </c>
    </row>
    <row r="53" spans="2:10" x14ac:dyDescent="0.25">
      <c r="B53" t="s">
        <v>2354</v>
      </c>
      <c r="C53" s="241">
        <f>'FIXED ASSET'!E64</f>
        <v>4947437500</v>
      </c>
      <c r="D53" s="26">
        <f t="shared" ref="D53:J53" si="18">+D23+D46</f>
        <v>4947437500</v>
      </c>
      <c r="E53" s="26">
        <f t="shared" si="18"/>
        <v>4947437500</v>
      </c>
      <c r="F53" s="26">
        <f t="shared" si="18"/>
        <v>4947437500</v>
      </c>
      <c r="G53" s="26">
        <f t="shared" si="18"/>
        <v>4947437500</v>
      </c>
      <c r="H53" s="26">
        <f t="shared" si="18"/>
        <v>4947437500</v>
      </c>
      <c r="I53" s="26">
        <f t="shared" si="18"/>
        <v>4947437500</v>
      </c>
      <c r="J53" s="26">
        <f t="shared" si="18"/>
        <v>4947437500</v>
      </c>
    </row>
    <row r="54" spans="2:10" x14ac:dyDescent="0.25">
      <c r="B54" t="s">
        <v>2666</v>
      </c>
      <c r="C54" s="241">
        <f>'FIXED ASSET'!E65</f>
        <v>0</v>
      </c>
      <c r="D54" s="26">
        <f t="shared" ref="D54:J54" si="19">+D24+D47</f>
        <v>0</v>
      </c>
      <c r="E54" s="26">
        <f t="shared" si="19"/>
        <v>0</v>
      </c>
      <c r="F54" s="26">
        <f t="shared" si="19"/>
        <v>0</v>
      </c>
      <c r="G54" s="26">
        <f t="shared" si="19"/>
        <v>0</v>
      </c>
      <c r="H54" s="26">
        <f t="shared" si="19"/>
        <v>0</v>
      </c>
      <c r="I54" s="26">
        <f t="shared" si="19"/>
        <v>0</v>
      </c>
      <c r="J54" s="26">
        <f t="shared" si="19"/>
        <v>0</v>
      </c>
    </row>
    <row r="55" spans="1:10" x14ac:dyDescent="0.25">
      <c r="A55" s="34"/>
      <c r="B55" s="34" t="s">
        <v>2695</v>
      </c>
      <c r="C55" s="246">
        <f>'FIXED ASSET'!E68</f>
        <v>0</v>
      </c>
      <c r="D55" s="35">
        <f t="shared" ref="D55:J55" si="20">+D25+D48</f>
        <v>0</v>
      </c>
      <c r="E55" s="35">
        <f t="shared" si="20"/>
        <v>0</v>
      </c>
      <c r="F55" s="35">
        <f t="shared" si="20"/>
        <v>0</v>
      </c>
      <c r="G55" s="35">
        <f t="shared" si="20"/>
        <v>0</v>
      </c>
      <c r="H55" s="35">
        <f t="shared" si="20"/>
        <v>0</v>
      </c>
      <c r="I55" s="35">
        <f t="shared" si="20"/>
        <v>0</v>
      </c>
      <c r="J55" s="35">
        <f t="shared" si="20"/>
        <v>0</v>
      </c>
    </row>
    <row r="56" spans="1:10" x14ac:dyDescent="0.25">
      <c r="A56" s="40" t="s">
        <v>2359</v>
      </c>
      <c r="B56" s="41"/>
      <c r="C56" s="271">
        <f>SUM(C52:C55)</f>
        <v>4947437500</v>
      </c>
      <c r="D56" s="42">
        <f t="shared" ref="D56:J56" si="21">SUM(D52:D55)</f>
        <v>4947437500</v>
      </c>
      <c r="E56" s="42">
        <f t="shared" si="21"/>
        <v>4947437500</v>
      </c>
      <c r="F56" s="42">
        <f t="shared" si="21"/>
        <v>4947437500</v>
      </c>
      <c r="G56" s="42">
        <f t="shared" si="21"/>
        <v>4947437500</v>
      </c>
      <c r="H56" s="42">
        <f t="shared" si="21"/>
        <v>4947437500</v>
      </c>
      <c r="I56" s="42">
        <f t="shared" si="21"/>
        <v>4947437500</v>
      </c>
      <c r="J56" s="42">
        <f t="shared" si="21"/>
        <v>4947437500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27"/>
  <sheetViews>
    <sheetView workbookViewId="0" zoomScale="100" zoomScaleNormal="100">
      <selection activeCell="D10" sqref="D10"/>
    </sheetView>
  </sheetViews>
  <sheetFormatPr defaultRowHeight="15" outlineLevelRow="0" outlineLevelCol="0" x14ac:dyDescent="0.2" defaultColWidth="8.83203125"/>
  <cols>
    <col min="1" max="1" width="16.33203125" customWidth="1"/>
    <col min="2" max="2" width="26.6640625" customWidth="1"/>
    <col min="3" max="5" width="16.6640625" customWidth="1"/>
    <col min="6" max="10" width="17.6640625" customWidth="1"/>
  </cols>
  <sheetData>
    <row r="1" spans="1:10" x14ac:dyDescent="0.25">
      <c r="A1" s="20" t="s">
        <v>2702</v>
      </c>
      <c r="B1" s="20"/>
      <c r="C1" s="20"/>
      <c r="D1" s="20"/>
      <c r="E1" s="20"/>
      <c r="F1" s="20"/>
      <c r="G1" s="20"/>
      <c r="H1" s="20"/>
      <c r="I1" s="20"/>
      <c r="J1" s="20"/>
    </row>
    <row r="2" spans="1:1" x14ac:dyDescent="0.25">
      <c r="A2" t="str">
        <f>HOME!B4</f>
        <v>PT RAJA VOLTAMA ELEKTRIK</v>
      </c>
    </row>
    <row r="3" spans="1:1" x14ac:dyDescent="0.25">
      <c r="A3" t="s">
        <v>2551</v>
      </c>
    </row>
    <row r="4" spans="1:1" x14ac:dyDescent="0.25">
      <c r="A4" t="str">
        <f>'BALANCE SHEET'!A3</f>
        <v>(IDR)</v>
      </c>
    </row>
    <row r="6" spans="1:10" x14ac:dyDescent="0.25">
      <c r="A6" s="24"/>
      <c r="B6" s="24"/>
      <c r="C6" s="24">
        <f>'ACC PAYABLES'!E5</f>
        <v>2021</v>
      </c>
      <c r="D6" s="24">
        <f>C6+1</f>
        <v>2022</v>
      </c>
      <c r="E6" s="24">
        <f t="shared" ref="E6:J6" si="0">D6+1</f>
        <v>2023</v>
      </c>
      <c r="F6" s="24">
        <f t="shared" si="0"/>
        <v>2024</v>
      </c>
      <c r="G6" s="24">
        <f t="shared" si="0"/>
        <v>2025</v>
      </c>
      <c r="H6" s="24">
        <f t="shared" si="0"/>
        <v>2026</v>
      </c>
      <c r="I6" s="24">
        <f t="shared" si="0"/>
        <v>2027</v>
      </c>
      <c r="J6" s="24">
        <f t="shared" si="0"/>
        <v>2028</v>
      </c>
    </row>
    <row r="7" spans="1:3" x14ac:dyDescent="0.25">
      <c r="A7" s="4"/>
      <c r="C7" s="236"/>
    </row>
    <row r="8" spans="1:7" x14ac:dyDescent="0.25">
      <c r="A8" s="4" t="s">
        <v>2552</v>
      </c>
      <c r="C8" s="241"/>
      <c r="D8" s="26"/>
      <c r="E8" s="26"/>
      <c r="F8" s="26"/>
      <c r="G8" s="26"/>
    </row>
    <row r="9" spans="1:7" x14ac:dyDescent="0.25">
      <c r="A9" s="4" t="s">
        <v>2553</v>
      </c>
      <c r="C9" s="241"/>
      <c r="D9" s="26"/>
      <c r="E9" s="26"/>
      <c r="F9" s="26"/>
      <c r="G9" s="26"/>
    </row>
    <row r="10" spans="1:10" x14ac:dyDescent="0.25">
      <c r="A10" t="s">
        <v>2242</v>
      </c>
      <c r="C10" s="241">
        <f>'ACC PAYABLES'!E9</f>
        <v>0</v>
      </c>
      <c r="D10" s="26">
        <f t="shared" ref="D10:J10" si="1">C13</f>
        <v>0</v>
      </c>
      <c r="E10" s="26">
        <f t="shared" si="1"/>
        <v>0</v>
      </c>
      <c r="F10" s="26">
        <f t="shared" si="1"/>
        <v>0</v>
      </c>
      <c r="G10" s="26">
        <f t="shared" si="1"/>
        <v>0</v>
      </c>
      <c r="H10" s="26">
        <f t="shared" si="1"/>
        <v>0</v>
      </c>
      <c r="I10" s="26">
        <f t="shared" si="1"/>
        <v>0</v>
      </c>
      <c r="J10" s="26">
        <f t="shared" si="1"/>
        <v>0</v>
      </c>
    </row>
    <row r="11" spans="2:10" x14ac:dyDescent="0.25">
      <c r="B11" t="s">
        <v>2259</v>
      </c>
      <c r="C11" s="241">
        <f>'ACC PAYABLES'!E10</f>
        <v>0</v>
      </c>
      <c r="D11" s="26">
        <v>0</v>
      </c>
      <c r="E11" s="26">
        <v>0</v>
      </c>
      <c r="F11" s="26">
        <v>0</v>
      </c>
      <c r="G11" s="26">
        <v>0</v>
      </c>
      <c r="H11" s="26">
        <v>0</v>
      </c>
      <c r="I11" s="26">
        <v>0</v>
      </c>
      <c r="J11" s="26">
        <v>0</v>
      </c>
    </row>
    <row r="12" spans="1:10" x14ac:dyDescent="0.25">
      <c r="A12" s="34"/>
      <c r="B12" s="34" t="s">
        <v>2554</v>
      </c>
      <c r="C12" s="246">
        <f>'ACC PAYABLES'!E11</f>
        <v>0</v>
      </c>
      <c r="D12" s="35">
        <v>0</v>
      </c>
      <c r="E12" s="35">
        <v>0</v>
      </c>
      <c r="F12" s="35">
        <v>0</v>
      </c>
      <c r="G12" s="35">
        <v>0</v>
      </c>
      <c r="H12" s="35">
        <v>0</v>
      </c>
      <c r="I12" s="35">
        <v>0</v>
      </c>
      <c r="J12" s="35">
        <v>0</v>
      </c>
    </row>
    <row r="13" spans="1:10" x14ac:dyDescent="0.25">
      <c r="A13" s="4" t="s">
        <v>2363</v>
      </c>
      <c r="C13" s="274">
        <f>SUM(C10:C12)</f>
        <v>0</v>
      </c>
      <c r="D13" s="37">
        <f>SUM(D10:D12)</f>
        <v>0</v>
      </c>
      <c r="E13" s="37">
        <f t="shared" ref="E13:J13" si="2">SUM(E10:E12)</f>
        <v>0</v>
      </c>
      <c r="F13" s="37">
        <f t="shared" si="2"/>
        <v>0</v>
      </c>
      <c r="G13" s="37">
        <f t="shared" si="2"/>
        <v>0</v>
      </c>
      <c r="H13" s="37">
        <f t="shared" si="2"/>
        <v>0</v>
      </c>
      <c r="I13" s="37">
        <f t="shared" si="2"/>
        <v>0</v>
      </c>
      <c r="J13" s="37">
        <f t="shared" si="2"/>
        <v>0</v>
      </c>
    </row>
    <row r="14" spans="3:7" x14ac:dyDescent="0.25">
      <c r="C14" s="241"/>
      <c r="D14" s="26"/>
      <c r="E14" s="26"/>
      <c r="F14" s="26"/>
      <c r="G14" s="26"/>
    </row>
    <row r="15" spans="1:10" x14ac:dyDescent="0.25">
      <c r="A15" t="s">
        <v>2555</v>
      </c>
      <c r="B15" s="31" t="s">
        <v>2703</v>
      </c>
      <c r="C15" s="241">
        <f>'ACC PAYABLES'!E14</f>
        <v>0</v>
      </c>
      <c r="D15" s="26">
        <f>D13*(RIGHT($B$15,3))*-1</f>
        <v>0</v>
      </c>
      <c r="E15" s="26">
        <f t="shared" ref="E15:J15" si="3">E13*(RIGHT($B$15,3))*-1</f>
        <v>0</v>
      </c>
      <c r="F15" s="26">
        <f t="shared" si="3"/>
        <v>0</v>
      </c>
      <c r="G15" s="26">
        <f t="shared" si="3"/>
        <v>0</v>
      </c>
      <c r="H15" s="26">
        <f t="shared" si="3"/>
        <v>0</v>
      </c>
      <c r="I15" s="26">
        <f t="shared" si="3"/>
        <v>0</v>
      </c>
      <c r="J15" s="26">
        <f t="shared" si="3"/>
        <v>0</v>
      </c>
    </row>
    <row r="16" spans="3:7" x14ac:dyDescent="0.25">
      <c r="C16" s="241"/>
      <c r="D16" s="26"/>
      <c r="E16" s="26"/>
      <c r="F16" s="26"/>
      <c r="G16" s="26"/>
    </row>
    <row r="17" spans="1:7" x14ac:dyDescent="0.25">
      <c r="A17" s="4" t="s">
        <v>2556</v>
      </c>
      <c r="C17" s="241">
        <v>8</v>
      </c>
      <c r="D17" s="26"/>
      <c r="E17" s="26"/>
      <c r="F17" s="26"/>
      <c r="G17" s="26"/>
    </row>
    <row r="18" spans="1:10" x14ac:dyDescent="0.25">
      <c r="A18" s="4" t="s">
        <v>2553</v>
      </c>
      <c r="C18" s="253">
        <f>'ACC PAYABLES'!E17</f>
        <v>0.13</v>
      </c>
      <c r="D18" s="31">
        <v>0.13</v>
      </c>
      <c r="E18" s="31">
        <v>0.13</v>
      </c>
      <c r="F18" s="31">
        <v>0.13</v>
      </c>
      <c r="G18" s="31">
        <v>0.13</v>
      </c>
      <c r="H18" s="31">
        <v>0.13</v>
      </c>
      <c r="I18" s="31">
        <v>0</v>
      </c>
      <c r="J18" s="31">
        <v>0</v>
      </c>
    </row>
    <row r="19" spans="1:10" x14ac:dyDescent="0.25">
      <c r="A19" t="s">
        <v>2242</v>
      </c>
      <c r="C19" s="241">
        <f>'ACC PAYABLES'!E18</f>
        <v>0</v>
      </c>
      <c r="D19" s="26">
        <f t="shared" ref="D19:J19" si="4">C22</f>
        <v>0</v>
      </c>
      <c r="E19" s="26">
        <f t="shared" si="4"/>
        <v>0</v>
      </c>
      <c r="F19" s="26">
        <f t="shared" si="4"/>
        <v>0</v>
      </c>
      <c r="G19" s="26">
        <f t="shared" si="4"/>
        <v>0</v>
      </c>
      <c r="H19" s="26">
        <f t="shared" si="4"/>
        <v>0</v>
      </c>
      <c r="I19" s="26">
        <f t="shared" si="4"/>
        <v>0</v>
      </c>
      <c r="J19" s="26">
        <f t="shared" si="4"/>
        <v>0</v>
      </c>
    </row>
    <row r="20" spans="2:10" x14ac:dyDescent="0.25">
      <c r="B20" t="s">
        <v>2259</v>
      </c>
      <c r="C20" s="241">
        <f>'ACC PAYABLES'!E19</f>
        <v>0</v>
      </c>
      <c r="D20" s="26">
        <v>0</v>
      </c>
      <c r="E20" s="26">
        <v>0</v>
      </c>
      <c r="F20" s="26">
        <v>0</v>
      </c>
      <c r="G20" s="26">
        <v>0</v>
      </c>
      <c r="H20" s="26">
        <v>0</v>
      </c>
      <c r="I20" s="26">
        <v>0</v>
      </c>
      <c r="J20" s="26">
        <v>0</v>
      </c>
    </row>
    <row r="21" spans="1:10" x14ac:dyDescent="0.25">
      <c r="A21" s="34"/>
      <c r="B21" s="34" t="s">
        <v>2554</v>
      </c>
      <c r="C21" s="246">
        <f>'ACC PAYABLES'!E20</f>
        <v>0</v>
      </c>
      <c r="D21" s="87">
        <v>0</v>
      </c>
      <c r="E21" s="87">
        <v>0</v>
      </c>
      <c r="F21" s="87">
        <v>0</v>
      </c>
      <c r="G21" s="87">
        <v>0</v>
      </c>
      <c r="H21" s="87">
        <v>0</v>
      </c>
      <c r="I21" s="87">
        <v>0</v>
      </c>
      <c r="J21" s="87">
        <v>0</v>
      </c>
    </row>
    <row r="22" spans="1:10" x14ac:dyDescent="0.25">
      <c r="A22" s="4" t="s">
        <v>2363</v>
      </c>
      <c r="C22" s="274">
        <f t="shared" ref="C22:J22" si="5">SUM(C19:C21)</f>
        <v>0</v>
      </c>
      <c r="D22" s="37">
        <f t="shared" si="5"/>
        <v>0</v>
      </c>
      <c r="E22" s="37">
        <f t="shared" si="5"/>
        <v>0</v>
      </c>
      <c r="F22" s="37">
        <f t="shared" si="5"/>
        <v>0</v>
      </c>
      <c r="G22" s="37">
        <f t="shared" si="5"/>
        <v>0</v>
      </c>
      <c r="H22" s="37">
        <f t="shared" si="5"/>
        <v>0</v>
      </c>
      <c r="I22" s="37">
        <f t="shared" si="5"/>
        <v>0</v>
      </c>
      <c r="J22" s="37">
        <f t="shared" si="5"/>
        <v>0</v>
      </c>
    </row>
    <row r="23" spans="2:7" x14ac:dyDescent="0.25">
      <c r="B23" s="31"/>
      <c r="C23" s="241"/>
      <c r="D23" s="26"/>
      <c r="E23" s="26"/>
      <c r="F23" s="26"/>
      <c r="G23" s="26"/>
    </row>
    <row r="24" spans="1:10" x14ac:dyDescent="0.25">
      <c r="A24" s="33" t="s">
        <v>2555</v>
      </c>
      <c r="B24" s="34"/>
      <c r="C24" s="273">
        <f>'ACC PAYABLES'!E23</f>
        <v>0</v>
      </c>
      <c r="D24" s="291">
        <v>0</v>
      </c>
      <c r="E24" s="291">
        <v>0</v>
      </c>
      <c r="F24" s="291">
        <v>0</v>
      </c>
      <c r="G24" s="291">
        <v>0</v>
      </c>
      <c r="H24" s="291">
        <v>0</v>
      </c>
      <c r="I24" s="291">
        <v>0</v>
      </c>
      <c r="J24" s="291">
        <v>0</v>
      </c>
    </row>
    <row r="25" spans="3:10" x14ac:dyDescent="0.25">
      <c r="C25" s="26"/>
      <c r="D25" s="31"/>
      <c r="E25" s="31"/>
      <c r="F25" s="31"/>
      <c r="G25" s="31"/>
      <c r="H25" s="31"/>
      <c r="I25" s="31"/>
      <c r="J25" s="31"/>
    </row>
    <row r="26" spans="3:7" x14ac:dyDescent="0.25">
      <c r="C26" s="26"/>
      <c r="D26" s="26"/>
      <c r="E26" s="26"/>
      <c r="F26" s="26"/>
      <c r="G26" s="26"/>
    </row>
    <row r="27" spans="3:7" x14ac:dyDescent="0.25">
      <c r="C27" s="26"/>
      <c r="D27" s="26"/>
      <c r="E27" s="26"/>
      <c r="F27" s="26"/>
      <c r="G27" s="26"/>
    </row>
  </sheetData>
  <mergeCells count="1">
    <mergeCell ref="A1:J1"/>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19"/>
  <sheetViews>
    <sheetView workbookViewId="0" showGridLines="0" zoomScale="100" zoomScaleNormal="100">
      <selection activeCell="A18" sqref="A18"/>
    </sheetView>
  </sheetViews>
  <sheetFormatPr defaultRowHeight="15" outlineLevelRow="0" outlineLevelCol="0" x14ac:dyDescent="0.2" defaultColWidth="8.83203125"/>
  <cols>
    <col min="1" max="1" width="21.83203125" customWidth="1"/>
    <col min="2" max="2" width="25" customWidth="1"/>
    <col min="3" max="6" width="16.33203125" customWidth="1"/>
    <col min="7" max="7" width="15.33203125" customWidth="1"/>
    <col min="8" max="10" width="8.5" customWidth="1"/>
  </cols>
  <sheetData>
    <row r="1" spans="1:1" x14ac:dyDescent="0.25">
      <c r="A1" t="str">
        <f>HOME!B4</f>
        <v>PT RAJA VOLTAMA ELEKTRIK</v>
      </c>
    </row>
    <row r="2" spans="1:1" x14ac:dyDescent="0.25">
      <c r="A2" t="s">
        <v>2426</v>
      </c>
    </row>
    <row r="3" spans="1:1" x14ac:dyDescent="0.25">
      <c r="A3" t="str">
        <f>'BALANCE SHEET'!A3</f>
        <v>(IDR)</v>
      </c>
    </row>
    <row r="5" spans="1:10" x14ac:dyDescent="0.25">
      <c r="A5" s="83"/>
      <c r="B5" s="83"/>
      <c r="C5" s="78">
        <f>'ACC PAYABLES'!E5</f>
        <v>2021</v>
      </c>
      <c r="D5" s="78">
        <f>C5</f>
        <v>2021</v>
      </c>
      <c r="E5" s="78">
        <f>D5+1</f>
        <v>2022</v>
      </c>
      <c r="F5" s="78">
        <f>E5+1</f>
        <v>2023</v>
      </c>
      <c r="G5" s="78"/>
      <c r="H5" s="78"/>
      <c r="I5" s="78"/>
      <c r="J5" s="78"/>
    </row>
    <row r="7" spans="1:10" x14ac:dyDescent="0.25">
      <c r="A7" t="s">
        <v>2301</v>
      </c>
      <c r="C7" s="26">
        <f>'INCOME STATEMENT'!F32</f>
        <v>7419191015</v>
      </c>
      <c r="D7" s="26">
        <f>'PROY LR'!D36</f>
        <v>8503261011.731084</v>
      </c>
      <c r="E7" s="26">
        <f>'PROY LR'!E36</f>
        <v>10128828711.344084</v>
      </c>
      <c r="F7" s="26">
        <f>'PROY LR'!F36</f>
        <v>11416490990.431725</v>
      </c>
      <c r="G7" s="26"/>
      <c r="H7" s="26"/>
      <c r="I7" s="26"/>
      <c r="J7" s="26"/>
    </row>
    <row r="8" spans="1:10" x14ac:dyDescent="0.25">
      <c r="A8" t="s">
        <v>2434</v>
      </c>
      <c r="C8" s="26">
        <f>'INCOME STATEMENT'!F27*-1</f>
        <v>19483450</v>
      </c>
      <c r="D8" s="26">
        <f>'PROY LR'!D31*-1</f>
        <v>19478161.527636457</v>
      </c>
      <c r="E8" s="26">
        <f>'PROY LR'!E31*-1</f>
        <v>19472874.490744554</v>
      </c>
      <c r="F8" s="26">
        <f>'PROY LR'!F31*-1</f>
        <v>19467588.888934657</v>
      </c>
      <c r="G8" s="26"/>
      <c r="H8" s="26"/>
      <c r="I8" s="26"/>
      <c r="J8" s="26"/>
    </row>
    <row r="9" spans="1:10" x14ac:dyDescent="0.25">
      <c r="A9" t="s">
        <v>2435</v>
      </c>
      <c r="C9" s="26">
        <f>'INCOME STATEMENT'!F26*-1</f>
        <v>-105200220</v>
      </c>
      <c r="D9" s="26">
        <f>'PROY LR'!D29*-1</f>
        <v>-105347465.88305867</v>
      </c>
      <c r="E9" s="26">
        <f>'PROY LR'!E29*-1</f>
        <v>-105494917.86216997</v>
      </c>
      <c r="F9" s="26">
        <f>'PROY LR'!F29*-1</f>
        <v>-105642576.22580093</v>
      </c>
      <c r="G9" s="26"/>
      <c r="H9" s="26"/>
      <c r="I9" s="26"/>
      <c r="J9" s="26"/>
    </row>
    <row r="10" spans="1:10" x14ac:dyDescent="0.25">
      <c r="A10" s="34" t="s">
        <v>2300</v>
      </c>
      <c r="B10" s="34"/>
      <c r="C10" s="35">
        <f>'INCOME STATEMENT'!F30*-1</f>
        <v>0</v>
      </c>
      <c r="D10" s="35">
        <f>'PROY LR'!D34*-1</f>
        <v>0</v>
      </c>
      <c r="E10" s="35">
        <f>'PROY LR'!E34*-1</f>
        <v>0</v>
      </c>
      <c r="F10" s="35">
        <f>'PROY LR'!F34*-1</f>
        <v>0</v>
      </c>
      <c r="G10" s="35"/>
      <c r="H10" s="35"/>
      <c r="I10" s="35"/>
      <c r="J10" s="35"/>
    </row>
    <row r="11" spans="1:10" x14ac:dyDescent="0.25">
      <c r="A11" s="4" t="s">
        <v>2294</v>
      </c>
      <c r="C11" s="37">
        <f>SUM(C7:C10)</f>
        <v>7333474245</v>
      </c>
      <c r="D11" s="37">
        <f>SUM(D7:D10)</f>
        <v>8417391707.375662</v>
      </c>
      <c r="E11" s="37">
        <f>SUM(E7:E10)</f>
        <v>10042806667.972658</v>
      </c>
      <c r="F11" s="37">
        <f>SUM(F7:F10)</f>
        <v>11330316003.094858</v>
      </c>
      <c r="G11" s="37"/>
      <c r="H11" s="37"/>
      <c r="I11" s="37"/>
      <c r="J11" s="37"/>
    </row>
    <row r="12" spans="3:3" x14ac:dyDescent="0.25">
      <c r="C12" s="26"/>
    </row>
    <row r="13" spans="1:10" x14ac:dyDescent="0.25">
      <c r="A13" t="s">
        <v>2436</v>
      </c>
      <c r="C13" s="26">
        <f>'INCOME STATEMENT'!F33*-1</f>
        <v>1613364280</v>
      </c>
      <c r="D13" s="26">
        <f>'PROY LR'!D37*-1</f>
        <v>1870717422.5808384</v>
      </c>
      <c r="E13" s="26">
        <f>'PROY LR'!E37*-1</f>
        <v>2228342316.4956985</v>
      </c>
      <c r="F13" s="26">
        <f>'PROY LR'!F37*-1</f>
        <v>2511628017.8949795</v>
      </c>
      <c r="G13" s="26"/>
      <c r="H13" s="26"/>
      <c r="I13" s="26"/>
      <c r="J13" s="26"/>
    </row>
    <row r="14" spans="1:10" x14ac:dyDescent="0.25">
      <c r="A14" t="s">
        <v>2437</v>
      </c>
      <c r="C14" s="26">
        <f>'INCOME STATEMENT'!$B$33*'INCOME STATEMENT'!F27*-1</f>
        <v>0</v>
      </c>
      <c r="D14" s="26">
        <f>'PROY LR'!$B$37*'PROY LR'!D31*-1</f>
        <v>4285195.5360800205</v>
      </c>
      <c r="E14" s="26">
        <f>'PROY LR'!$B$37*'PROY LR'!E31*-1</f>
        <v>4284032.387963802</v>
      </c>
      <c r="F14" s="26">
        <f>'PROY LR'!$B$37*'PROY LR'!F31*-1</f>
        <v>4282869.5555656245</v>
      </c>
      <c r="G14" s="26"/>
      <c r="H14" s="26"/>
      <c r="I14" s="26"/>
      <c r="J14" s="26"/>
    </row>
    <row r="15" spans="1:10" x14ac:dyDescent="0.25">
      <c r="A15" t="s">
        <v>2438</v>
      </c>
      <c r="C15" s="26">
        <f>'INCOME STATEMENT'!$B$33*'INCOME STATEMENT'!F26*-1</f>
        <v>0</v>
      </c>
      <c r="D15" s="26">
        <f>'PROY LR'!$B$37*'PROY LR'!D29*-1</f>
        <v>-23176442.494272906</v>
      </c>
      <c r="E15" s="26">
        <f>'PROY LR'!$B$37*'PROY LR'!E29*-1</f>
        <v>-23208881.929677393</v>
      </c>
      <c r="F15" s="26">
        <f>'PROY LR'!$B$37*'PROY LR'!F29*-1</f>
        <v>-23241366.769676205</v>
      </c>
      <c r="G15" s="26"/>
      <c r="H15" s="26"/>
      <c r="I15" s="26"/>
      <c r="J15" s="26"/>
    </row>
    <row r="16" spans="1:10" x14ac:dyDescent="0.25">
      <c r="A16" s="34" t="s">
        <v>2439</v>
      </c>
      <c r="B16" s="34"/>
      <c r="C16" s="35">
        <f>'INCOME STATEMENT'!$B$33*'INCOME STATEMENT'!F30*-1</f>
        <v>0</v>
      </c>
      <c r="D16" s="35">
        <f>'PROY LR'!$B$37*'PROY LR'!D34*-1</f>
        <v>0</v>
      </c>
      <c r="E16" s="35">
        <f>'PROY LR'!$B$37*'PROY LR'!E34*-1</f>
        <v>0</v>
      </c>
      <c r="F16" s="35">
        <f>'PROY LR'!$B$37*'PROY LR'!F34*-1</f>
        <v>0</v>
      </c>
      <c r="G16" s="35"/>
      <c r="H16" s="35"/>
      <c r="I16" s="35"/>
      <c r="J16" s="35"/>
    </row>
    <row r="17" spans="1:10" x14ac:dyDescent="0.25">
      <c r="A17" s="4" t="s">
        <v>2440</v>
      </c>
      <c r="C17" s="37">
        <f>SUM(C13:C16)</f>
        <v>1613364280</v>
      </c>
      <c r="D17" s="37">
        <f>SUM(D13:D16)</f>
        <v>1851826175.6226456</v>
      </c>
      <c r="E17" s="37">
        <f>SUM(E13:E16)</f>
        <v>2209417466.9539847</v>
      </c>
      <c r="F17" s="37">
        <f>SUM(F13:F16)</f>
        <v>2492669520.680869</v>
      </c>
      <c r="G17" s="37"/>
      <c r="H17" s="37"/>
      <c r="I17" s="37"/>
      <c r="J17" s="37"/>
    </row>
    <row r="18" spans="3:3" x14ac:dyDescent="0.25">
      <c r="C18" s="26"/>
    </row>
    <row r="19" ht="16" customHeight="1" spans="1:13" x14ac:dyDescent="0.25">
      <c r="A19" s="47" t="s">
        <v>2426</v>
      </c>
      <c r="B19" s="48"/>
      <c r="C19" s="49">
        <f>C11-C17</f>
        <v>5720109965</v>
      </c>
      <c r="D19" s="292">
        <f>D11-D17</f>
        <v>6565565531.753016</v>
      </c>
      <c r="E19" s="292">
        <f>E11-E17</f>
        <v>7833389201.018673</v>
      </c>
      <c r="F19" s="292">
        <f>F11-F17</f>
        <v>8837646482.41399</v>
      </c>
      <c r="G19" s="292"/>
      <c r="H19" s="292"/>
      <c r="I19" s="292"/>
      <c r="J19" s="292"/>
      <c r="L19" s="293"/>
      <c r="M19" s="22" t="s">
        <v>2704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J47"/>
  <sheetViews>
    <sheetView workbookViewId="0" showRowColHeaders="0" showGridLines="0" zoomScale="125" zoomScaleNormal="100">
      <selection activeCell="A45" sqref="A45"/>
    </sheetView>
  </sheetViews>
  <sheetFormatPr defaultRowHeight="15" outlineLevelRow="0" outlineLevelCol="0" x14ac:dyDescent="0.2" defaultColWidth="8.83203125"/>
  <cols>
    <col min="1" max="1" width="51.5" customWidth="1"/>
    <col min="2" max="2" width="9.1640625" customWidth="1"/>
    <col min="3" max="3" width="18.83203125" customWidth="1"/>
    <col min="4" max="4" width="26.5" customWidth="1"/>
    <col min="5" max="5" width="17.1640625" customWidth="1"/>
    <col min="6" max="6" width="18.5" customWidth="1"/>
    <col min="7" max="10" width="16.33203125" customWidth="1"/>
  </cols>
  <sheetData>
    <row r="1" spans="1:1" x14ac:dyDescent="0.25">
      <c r="A1" t="str">
        <f>HOME!B4</f>
        <v>PT RAJA VOLTAMA ELEKTRIK</v>
      </c>
    </row>
    <row r="2" spans="1:1" x14ac:dyDescent="0.25">
      <c r="A2" t="s">
        <v>2927</v>
      </c>
    </row>
    <row r="3" spans="1:1" x14ac:dyDescent="0.25">
      <c r="A3" t="str">
        <f>'BALANCE SHEET'!A3</f>
        <v>(IDR)</v>
      </c>
    </row>
    <row r="4" spans="1:1" x14ac:dyDescent="0.25">
      <c r="A4" t="s">
        <v>2856</v>
      </c>
    </row>
    <row r="5" spans="1:6" x14ac:dyDescent="0.25">
      <c r="A5" s="83"/>
      <c r="B5" s="83"/>
      <c r="C5" s="24">
        <f>NOPLAT!E5</f>
        <v>2021</v>
      </c>
      <c r="D5" s="24">
        <f>YEAR(D6)</f>
        <v>2022</v>
      </c>
      <c r="E5" s="24">
        <f>D5+1</f>
        <v>2023</v>
      </c>
      <c r="F5" s="24">
        <f>E5+1</f>
        <v>2024</v>
      </c>
    </row>
    <row r="6" spans="3:4" x14ac:dyDescent="0.25">
      <c r="C6" s="442">
        <f>HOME!B10</f>
        <v>44561</v>
      </c>
      <c r="D6" s="442">
        <f>HOME!B11</f>
        <v>44926</v>
      </c>
    </row>
    <row r="7" spans="1:6" x14ac:dyDescent="0.25">
      <c r="A7" s="443" t="s">
        <v>2426</v>
      </c>
      <c r="C7" s="37">
        <f>NOPLAT!E19</f>
        <v>5720109965</v>
      </c>
      <c r="D7" s="570">
        <f>'PROY NOPLAT'!D19</f>
        <v>6565565531.753016</v>
      </c>
      <c r="E7" s="570">
        <f>'PROY NOPLAT'!E19</f>
        <v>7833389201.018673</v>
      </c>
      <c r="F7" s="570">
        <f>'PROY NOPLAT'!F19</f>
        <v>8837646482.41399</v>
      </c>
    </row>
    <row r="8" spans="1:6" x14ac:dyDescent="0.25">
      <c r="A8" s="444" t="s">
        <v>2427</v>
      </c>
      <c r="B8" s="34"/>
      <c r="C8" s="35">
        <f>'FIXED ASSET'!E51</f>
        <v>159972488</v>
      </c>
      <c r="D8" s="571">
        <f>'PROY FIXED ASSETS'!D51</f>
        <v>267708942.36900568</v>
      </c>
      <c r="E8" s="571">
        <f>'PROY FIXED ASSETS'!E51</f>
        <v>643810255.1516942</v>
      </c>
      <c r="F8" s="571">
        <f>'PROY FIXED ASSETS'!F51</f>
        <v>1819074645.0107172</v>
      </c>
    </row>
    <row r="9" spans="1:6" x14ac:dyDescent="0.25">
      <c r="A9" s="4" t="s">
        <v>2428</v>
      </c>
      <c r="C9" s="37">
        <f>+C7+C8</f>
        <v>5880082453</v>
      </c>
      <c r="D9" s="37">
        <f>+D7+D8</f>
        <v>6833274474.122023</v>
      </c>
      <c r="E9" s="37">
        <f>+E7+E8</f>
        <v>8477199456.170367</v>
      </c>
      <c r="F9" s="37">
        <f>+F7+F8</f>
        <v>10656721127.424707</v>
      </c>
    </row>
    <row r="10" spans="3:3" x14ac:dyDescent="0.25">
      <c r="C10" s="26"/>
    </row>
    <row r="11" spans="1:3" x14ac:dyDescent="0.25">
      <c r="A11" s="4" t="s">
        <v>2333</v>
      </c>
      <c r="C11" s="26"/>
    </row>
    <row r="12" spans="1:6" x14ac:dyDescent="0.25">
      <c r="A12" t="s">
        <v>2429</v>
      </c>
      <c r="C12" s="26">
        <f>'CASH FLOW STATEMENT'!E8</f>
        <v>1913225999</v>
      </c>
      <c r="D12" s="26">
        <f>'PROY CASH FLOW STATEMENT'!D8</f>
        <v>-41220345927.22062</v>
      </c>
      <c r="E12" s="26">
        <f>'PROY CASH FLOW STATEMENT'!E8</f>
        <v>-637016612558.0105</v>
      </c>
      <c r="F12" s="26">
        <f>'PROY CASH FLOW STATEMENT'!F8</f>
        <v>-9834491109505.791</v>
      </c>
    </row>
    <row r="13" spans="1:6" x14ac:dyDescent="0.25">
      <c r="A13" s="34" t="s">
        <v>2430</v>
      </c>
      <c r="B13" s="34"/>
      <c r="C13" s="35">
        <f>'CASH FLOW STATEMENT'!E9</f>
        <v>-2039568042</v>
      </c>
      <c r="D13" s="35">
        <f>'PROY CASH FLOW STATEMENT'!D9</f>
        <v>-717762194.2992687</v>
      </c>
      <c r="E13" s="35">
        <f>'PROY CASH FLOW STATEMENT'!E9</f>
        <v>-498795868.0355153</v>
      </c>
      <c r="F13" s="35">
        <f>'PROY CASH FLOW STATEMENT'!F9</f>
        <v>-327776528.3118696</v>
      </c>
    </row>
    <row r="14" spans="1:6" x14ac:dyDescent="0.25">
      <c r="A14" s="445" t="s">
        <v>2431</v>
      </c>
      <c r="C14" s="37">
        <f>'CASH FLOW STATEMENT'!E10</f>
        <v>-126342043</v>
      </c>
      <c r="D14" s="572">
        <f>SUM(D12:D13)</f>
        <v>-41938108121.51989</v>
      </c>
      <c r="E14" s="572">
        <f>SUM(E12:E13)</f>
        <v>-637515408426.046</v>
      </c>
      <c r="F14" s="572">
        <f>SUM(F12:F13)</f>
        <v>-9834818886034.104</v>
      </c>
    </row>
    <row r="15" spans="3:3" x14ac:dyDescent="0.25">
      <c r="C15" s="26"/>
    </row>
    <row r="16" spans="1:6" x14ac:dyDescent="0.25">
      <c r="A16" s="22" t="s">
        <v>2432</v>
      </c>
      <c r="C16" s="26">
        <f>'FIXED ASSET'!E23*-1</f>
        <v>-412288044</v>
      </c>
      <c r="D16" s="285">
        <f>'PROY FIXED ASSETS'!D23*-1</f>
        <v>-1423817993.311922</v>
      </c>
      <c r="E16" s="285">
        <f>'PROY FIXED ASSETS'!E23*-1</f>
        <v>-5422876576.922622</v>
      </c>
      <c r="F16" s="285">
        <f>'PROY FIXED ASSETS'!F23*-1</f>
        <v>-21233055569.6742</v>
      </c>
    </row>
    <row r="17" spans="1:6" x14ac:dyDescent="0.25">
      <c r="A17" s="34"/>
      <c r="B17" s="34"/>
      <c r="C17" s="34"/>
      <c r="D17" s="34"/>
      <c r="E17" s="34"/>
      <c r="F17" s="34"/>
    </row>
    <row r="18" spans="1:6" x14ac:dyDescent="0.25">
      <c r="A18" s="4" t="s">
        <v>2433</v>
      </c>
      <c r="B18" s="4"/>
      <c r="C18" s="37">
        <f>+C14+C16</f>
        <v>-538630087</v>
      </c>
      <c r="D18" s="37">
        <f>+D14+D16</f>
        <v>-43361926114.83181</v>
      </c>
      <c r="E18" s="37">
        <f>+E14+E16</f>
        <v>-642938285002.9686</v>
      </c>
      <c r="F18" s="37">
        <f>+F14+F16</f>
        <v>-9856051941603.777</v>
      </c>
    </row>
    <row r="19" spans="3:3" x14ac:dyDescent="0.25">
      <c r="C19" s="26"/>
    </row>
    <row r="20" ht="16" customHeight="1" spans="1:6" x14ac:dyDescent="0.25">
      <c r="A20" s="47" t="s">
        <v>2425</v>
      </c>
      <c r="B20" s="47"/>
      <c r="C20" s="49">
        <f>+C9+C18</f>
        <v>5341452366</v>
      </c>
      <c r="D20" s="49">
        <f>+D9+D18</f>
        <v>-36528651640.709785</v>
      </c>
      <c r="E20" s="49">
        <f>+E9+E18</f>
        <v>-634461085546.7982</v>
      </c>
      <c r="F20" s="49">
        <f>+F9+F18</f>
        <v>-9845395220476.354</v>
      </c>
    </row>
    <row r="21" spans="3:3" x14ac:dyDescent="0.25">
      <c r="C21" s="26"/>
    </row>
    <row r="22" spans="1:6" x14ac:dyDescent="0.25">
      <c r="A22" s="55" t="s">
        <v>2928</v>
      </c>
      <c r="C22" s="26"/>
      <c r="D22" s="573">
        <f>YEARFRAC($C$6,$D$6)</f>
        <v>1</v>
      </c>
      <c r="E22" s="574">
        <f>D22+1</f>
        <v>2</v>
      </c>
      <c r="F22" s="574">
        <f>E22+1</f>
        <v>3</v>
      </c>
    </row>
    <row r="23" spans="1:6" x14ac:dyDescent="0.25">
      <c r="A23" s="55" t="s">
        <v>2929</v>
      </c>
      <c r="B23" s="575">
        <f>'DISCOUNT RATE'!H10</f>
        <v>0.11463062037189403</v>
      </c>
      <c r="C23" s="26"/>
      <c r="D23" s="576">
        <f>1/((1+$B$23)^D22)</f>
        <v>0.8971581990689904</v>
      </c>
      <c r="E23" s="576">
        <f>1/((1+$B$23)^E22)</f>
        <v>0.8048928341567142</v>
      </c>
      <c r="F23" s="576">
        <f>1/((1+$B$23)^F22)</f>
        <v>0.7221162055355733</v>
      </c>
    </row>
    <row r="24" spans="1:6" x14ac:dyDescent="0.25">
      <c r="A24" s="55" t="s">
        <v>2930</v>
      </c>
      <c r="C24" s="26"/>
      <c r="D24" s="449">
        <f>D20*D23</f>
        <v>-32771979320.397713</v>
      </c>
      <c r="E24" s="449">
        <f>E20*E23</f>
        <v>-510673181307.9079</v>
      </c>
      <c r="F24" s="449">
        <f>F20*F23</f>
        <v>-7109519438608.454</v>
      </c>
    </row>
    <row r="25" spans="1:3" x14ac:dyDescent="0.25">
      <c r="A25" s="277" t="s">
        <v>2931</v>
      </c>
      <c r="C25" s="577">
        <f>SUM(D24:F24)</f>
        <v>-7652964599236.76</v>
      </c>
    </row>
    <row r="26" spans="1:10" x14ac:dyDescent="0.25">
      <c r="A26" s="55" t="s">
        <v>2932</v>
      </c>
      <c r="B26" s="575">
        <f>'GROWTH RATE'!C14</f>
        <v>0.1375273675434634</v>
      </c>
      <c r="C26" s="26"/>
      <c r="J26" s="26"/>
    </row>
    <row r="27" spans="1:3" x14ac:dyDescent="0.25">
      <c r="A27" s="55" t="s">
        <v>2933</v>
      </c>
      <c r="C27" s="449">
        <f>F20*((1+B26)/(B23-B26))</f>
        <v>489126530666314.06</v>
      </c>
    </row>
    <row r="28" ht="16" customHeight="1" spans="1:3" x14ac:dyDescent="0.25">
      <c r="A28" s="277" t="s">
        <v>2934</v>
      </c>
      <c r="C28" s="577">
        <f>C27*F23</f>
        <v>353206194351537.94</v>
      </c>
    </row>
    <row r="29" ht="16" customHeight="1" spans="1:3" x14ac:dyDescent="0.25">
      <c r="A29" s="446" t="s">
        <v>2868</v>
      </c>
      <c r="B29" s="447"/>
      <c r="C29" s="451">
        <f>C25+C28</f>
        <v>345553229752301.2</v>
      </c>
    </row>
    <row r="30" spans="1:4" x14ac:dyDescent="0.25">
      <c r="A30" s="55" t="s">
        <v>2800</v>
      </c>
      <c r="C30" s="449">
        <f>('BALANCE SHEET'!F31+'BALANCE SHEET'!F38)*-1</f>
        <v>-1000000000</v>
      </c>
      <c r="D30" s="55" t="s">
        <v>2935</v>
      </c>
    </row>
    <row r="31" spans="1:3" x14ac:dyDescent="0.25">
      <c r="A31" s="55" t="s">
        <v>2936</v>
      </c>
      <c r="C31" s="449">
        <f>ROIC!D10*-1</f>
        <v>6635142218</v>
      </c>
    </row>
    <row r="32" ht="16" customHeight="1" spans="1:3" x14ac:dyDescent="0.25">
      <c r="A32" s="55" t="s">
        <v>2937</v>
      </c>
      <c r="C32" s="449">
        <f>ROIC!D9*-1</f>
        <v>0</v>
      </c>
    </row>
    <row r="33" ht="16" customHeight="1" spans="1:3" x14ac:dyDescent="0.25">
      <c r="A33" s="446" t="s">
        <v>2870</v>
      </c>
      <c r="B33" s="447"/>
      <c r="C33" s="451">
        <f>SUM(C29:C32)</f>
        <v>345558864894519.2</v>
      </c>
    </row>
    <row r="34" spans="1:3" x14ac:dyDescent="0.25">
      <c r="A34" s="55" t="s">
        <v>2771</v>
      </c>
      <c r="B34" s="31">
        <f>EEM!C35</f>
        <v>-0.4</v>
      </c>
      <c r="C34" s="26">
        <f>C33*B34</f>
        <v>-138223545957807.69</v>
      </c>
    </row>
    <row r="35" spans="1:3" x14ac:dyDescent="0.25">
      <c r="A35" s="55" t="s">
        <v>2803</v>
      </c>
      <c r="C35" s="26">
        <f>C33+C34</f>
        <v>207335318936711.5</v>
      </c>
    </row>
    <row r="36" ht="16" customHeight="1" spans="1:3" x14ac:dyDescent="0.25">
      <c r="A36" s="55" t="str">
        <f>HOME!A16</f>
        <v>DISCOUNT LACK OF CONTROL/PREMIUM FOR CONTROL</v>
      </c>
      <c r="B36" s="409">
        <v>0</v>
      </c>
      <c r="C36" s="26">
        <f>C35*B36</f>
        <v>0</v>
      </c>
    </row>
    <row r="37" ht="16" customHeight="1" spans="1:3" x14ac:dyDescent="0.25">
      <c r="A37" s="446" t="s">
        <v>2804</v>
      </c>
      <c r="B37" s="447"/>
      <c r="C37" s="451">
        <f>C35+C36</f>
        <v>207335318936711.5</v>
      </c>
    </row>
    <row r="38" spans="1:3" x14ac:dyDescent="0.25">
      <c r="A38" s="452" t="s">
        <v>2805</v>
      </c>
      <c r="B38" s="453">
        <f>HOME!B8</f>
        <v>0.3</v>
      </c>
      <c r="C38" s="389"/>
    </row>
    <row r="39" ht="16" customHeight="1" spans="1:3" x14ac:dyDescent="0.25">
      <c r="A39" s="47" t="str">
        <f>"Market Value of "&amp;TEXT(B38,"0,0%")&amp;" Equity"</f>
        <v>Market Value of 30% Equity</v>
      </c>
      <c r="B39" s="454"/>
      <c r="C39" s="49">
        <f>C37*B38</f>
        <v>62200595681013.445</v>
      </c>
    </row>
    <row r="40" spans="1:3" x14ac:dyDescent="0.25">
      <c r="A40" s="4" t="s">
        <v>2874</v>
      </c>
      <c r="B40" s="4"/>
      <c r="C40" s="37">
        <f>ROUNDUP(C39,-3)</f>
        <v>62200595682000</v>
      </c>
    </row>
    <row r="41" spans="1:3" x14ac:dyDescent="0.25">
      <c r="A41" t="s">
        <v>2754</v>
      </c>
      <c r="C41" s="26">
        <f>EEM!D44</f>
        <v>600000000</v>
      </c>
    </row>
    <row r="42" spans="3:3" x14ac:dyDescent="0.25">
      <c r="C42" s="26">
        <f>C39/C41</f>
        <v>103667.65946835575</v>
      </c>
    </row>
    <row r="43" spans="3:3" x14ac:dyDescent="0.25">
      <c r="C43" s="26"/>
    </row>
    <row r="44" spans="3:3" x14ac:dyDescent="0.25">
      <c r="C44" s="26"/>
    </row>
    <row r="45" spans="3:3" x14ac:dyDescent="0.25">
      <c r="C45" s="26"/>
    </row>
    <row r="46" spans="3:3" x14ac:dyDescent="0.25">
      <c r="C46" s="26"/>
    </row>
    <row r="47" spans="2:3" x14ac:dyDescent="0.25">
      <c r="B47" s="31"/>
      <c r="C47" s="26"/>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N61"/>
  <sheetViews>
    <sheetView workbookViewId="0" showRowColHeaders="0" showGridLines="0" zoomScale="80" zoomScaleNormal="80">
      <selection activeCell="L42" sqref="L42"/>
    </sheetView>
  </sheetViews>
  <sheetFormatPr defaultRowHeight="15" outlineLevelRow="0" outlineLevelCol="0" x14ac:dyDescent="0.2" defaultColWidth="9.1640625"/>
  <cols>
    <col min="1" max="2" width="9.1640625" style="3" customWidth="1"/>
    <col min="3" max="3" width="25.5" style="3" customWidth="1"/>
    <col min="4" max="4" width="55.5" style="3" customWidth="1"/>
    <col min="5" max="5" width="20.5" style="3" customWidth="1"/>
    <col min="6" max="6" width="15.6640625" style="3" customWidth="1"/>
    <col min="7" max="7" width="10.6640625" style="3" customWidth="1"/>
    <col min="8" max="16384" width="9.1640625" style="3" customWidth="1"/>
  </cols>
  <sheetData>
    <row r="1" spans="6:7" x14ac:dyDescent="0.25">
      <c r="F1" s="94"/>
      <c r="G1" s="94"/>
    </row>
    <row r="2" ht="19" customHeight="1" spans="2:7" x14ac:dyDescent="0.25">
      <c r="B2" s="95" t="s">
        <v>2493</v>
      </c>
      <c r="C2" s="95"/>
      <c r="D2" s="95"/>
      <c r="E2" s="95"/>
      <c r="F2" s="95"/>
      <c r="G2" s="95"/>
    </row>
    <row r="3" spans="6:7" x14ac:dyDescent="0.25">
      <c r="F3" s="94"/>
      <c r="G3" s="94"/>
    </row>
    <row r="4" spans="2:7" x14ac:dyDescent="0.25">
      <c r="B4" s="96" t="s">
        <v>2454</v>
      </c>
      <c r="C4" s="96" t="s">
        <v>2455</v>
      </c>
      <c r="D4" s="96" t="s">
        <v>2494</v>
      </c>
      <c r="E4" s="97" t="s">
        <v>2457</v>
      </c>
      <c r="F4" s="96" t="s">
        <v>2495</v>
      </c>
      <c r="G4" s="96"/>
    </row>
    <row r="5" spans="2:7" x14ac:dyDescent="0.25">
      <c r="B5" s="96"/>
      <c r="C5" s="96"/>
      <c r="D5" s="96"/>
      <c r="E5" s="98"/>
      <c r="F5" s="96"/>
      <c r="G5" s="96"/>
    </row>
    <row r="6" spans="2:7" x14ac:dyDescent="0.25">
      <c r="B6" s="96"/>
      <c r="C6" s="96"/>
      <c r="D6" s="96"/>
      <c r="E6" s="99"/>
      <c r="F6" s="96"/>
      <c r="G6" s="96"/>
    </row>
    <row r="7" ht="30" customHeight="1" spans="2:14" x14ac:dyDescent="0.25">
      <c r="B7" s="96">
        <v>1</v>
      </c>
      <c r="C7" s="107" t="s">
        <v>2496</v>
      </c>
      <c r="D7" s="101" t="s">
        <v>2497</v>
      </c>
      <c r="E7" s="102"/>
      <c r="F7" s="103" t="s">
        <v>2464</v>
      </c>
      <c r="G7" s="96">
        <f>IF(F7="Ada",0,IF(F7="Terbatas",0.5,1))</f>
        <v>1</v>
      </c>
      <c r="I7" s="121" t="s">
        <v>2461</v>
      </c>
      <c r="J7" s="121" t="s">
        <v>2498</v>
      </c>
      <c r="K7" s="121" t="s">
        <v>2475</v>
      </c>
      <c r="L7" s="121" t="s">
        <v>2499</v>
      </c>
      <c r="M7" s="121" t="s">
        <v>2500</v>
      </c>
      <c r="N7" s="104"/>
    </row>
    <row r="8" ht="30" customHeight="1" spans="2:14" x14ac:dyDescent="0.25">
      <c r="B8" s="96"/>
      <c r="C8" s="107"/>
      <c r="D8" s="101"/>
      <c r="E8" s="105"/>
      <c r="F8" s="106"/>
      <c r="G8" s="96"/>
      <c r="I8" s="121" t="s">
        <v>2501</v>
      </c>
      <c r="J8" s="121" t="s">
        <v>2502</v>
      </c>
      <c r="K8" s="121" t="s">
        <v>2503</v>
      </c>
      <c r="L8" s="121" t="s">
        <v>2504</v>
      </c>
      <c r="M8" s="121" t="s">
        <v>2505</v>
      </c>
      <c r="N8" s="104"/>
    </row>
    <row r="9" ht="30" customHeight="1" spans="2:14" x14ac:dyDescent="0.25">
      <c r="B9" s="96">
        <v>2</v>
      </c>
      <c r="C9" s="100" t="s">
        <v>2506</v>
      </c>
      <c r="D9" s="101" t="s">
        <v>2507</v>
      </c>
      <c r="E9" s="102"/>
      <c r="F9" s="103" t="s">
        <v>2508</v>
      </c>
      <c r="G9" s="96">
        <f>IF(F9="Tidak Terbatas",0,IF(F9="Segmen Tertentu",0.5,1))</f>
        <v>1</v>
      </c>
      <c r="I9" s="121" t="s">
        <v>2464</v>
      </c>
      <c r="J9" s="121" t="s">
        <v>2508</v>
      </c>
      <c r="K9" s="121" t="s">
        <v>2464</v>
      </c>
      <c r="L9" s="121" t="s">
        <v>2509</v>
      </c>
      <c r="M9" s="121" t="s">
        <v>2510</v>
      </c>
      <c r="N9" s="104"/>
    </row>
    <row r="10" ht="30" customHeight="1" spans="2:14" x14ac:dyDescent="0.25">
      <c r="B10" s="96"/>
      <c r="C10" s="100"/>
      <c r="D10" s="101"/>
      <c r="E10" s="105"/>
      <c r="F10" s="106"/>
      <c r="G10" s="96"/>
      <c r="I10" s="104"/>
      <c r="J10" s="104"/>
      <c r="K10" s="104"/>
      <c r="L10" s="104"/>
      <c r="M10" s="104"/>
      <c r="N10" s="104"/>
    </row>
    <row r="11" ht="30" customHeight="1" spans="2:14" x14ac:dyDescent="0.25">
      <c r="B11" s="96">
        <v>3</v>
      </c>
      <c r="C11" s="107" t="s">
        <v>2511</v>
      </c>
      <c r="D11" s="101" t="s">
        <v>2512</v>
      </c>
      <c r="E11" s="102"/>
      <c r="F11" s="103" t="s">
        <v>2503</v>
      </c>
      <c r="G11" s="96">
        <f>IF(F11="Ya",0,IF(F11="Kadang-kadang",0.5,1))</f>
        <v>1</v>
      </c>
      <c r="I11" s="121" t="s">
        <v>2509</v>
      </c>
      <c r="J11" s="121" t="s">
        <v>2499</v>
      </c>
      <c r="K11" s="121" t="s">
        <v>2513</v>
      </c>
      <c r="L11" s="121" t="s">
        <v>2514</v>
      </c>
      <c r="M11" s="121" t="s">
        <v>2475</v>
      </c>
      <c r="N11" s="104"/>
    </row>
    <row r="12" ht="30" customHeight="1" spans="2:14" x14ac:dyDescent="0.25">
      <c r="B12" s="96"/>
      <c r="C12" s="107"/>
      <c r="D12" s="101"/>
      <c r="E12" s="105"/>
      <c r="F12" s="106"/>
      <c r="G12" s="96"/>
      <c r="I12" s="121" t="s">
        <v>2504</v>
      </c>
      <c r="J12" s="121" t="s">
        <v>2504</v>
      </c>
      <c r="K12" s="121" t="s">
        <v>2504</v>
      </c>
      <c r="L12" s="121" t="s">
        <v>2515</v>
      </c>
      <c r="M12" s="121" t="s">
        <v>2515</v>
      </c>
      <c r="N12" s="104"/>
    </row>
    <row r="13" ht="30" customHeight="1" spans="2:14" x14ac:dyDescent="0.25">
      <c r="B13" s="96">
        <v>4</v>
      </c>
      <c r="C13" s="107" t="s">
        <v>2516</v>
      </c>
      <c r="D13" s="100" t="s">
        <v>2517</v>
      </c>
      <c r="E13" s="108"/>
      <c r="F13" s="103" t="s">
        <v>2504</v>
      </c>
      <c r="G13" s="96">
        <f>IF(F13="Diatas",0,IF(F13="Rata-rata",0.5,1))</f>
        <v>1</v>
      </c>
      <c r="I13" s="121" t="s">
        <v>2499</v>
      </c>
      <c r="J13" s="121" t="s">
        <v>2509</v>
      </c>
      <c r="K13" s="121" t="s">
        <v>2518</v>
      </c>
      <c r="L13" s="121" t="s">
        <v>2519</v>
      </c>
      <c r="M13" s="121" t="s">
        <v>2465</v>
      </c>
      <c r="N13" s="104"/>
    </row>
    <row r="14" ht="30" customHeight="1" spans="2:7" x14ac:dyDescent="0.25">
      <c r="B14" s="96"/>
      <c r="C14" s="107"/>
      <c r="D14" s="100"/>
      <c r="E14" s="109"/>
      <c r="F14" s="106"/>
      <c r="G14" s="96"/>
    </row>
    <row r="15" ht="30" customHeight="1" spans="2:7" x14ac:dyDescent="0.25">
      <c r="B15" s="96">
        <v>5</v>
      </c>
      <c r="C15" s="107" t="s">
        <v>2520</v>
      </c>
      <c r="D15" s="100" t="s">
        <v>2521</v>
      </c>
      <c r="E15" s="108"/>
      <c r="F15" s="103" t="s">
        <v>2500</v>
      </c>
      <c r="G15" s="96">
        <f>IF(F15="Tidak, Meningkat",0,IF(F15="Sedang, Stabil",0.5,1))</f>
        <v>1</v>
      </c>
    </row>
    <row r="16" ht="30" customHeight="1" spans="2:7" x14ac:dyDescent="0.25">
      <c r="B16" s="96"/>
      <c r="C16" s="107"/>
      <c r="D16" s="100"/>
      <c r="E16" s="109"/>
      <c r="F16" s="106"/>
      <c r="G16" s="96"/>
    </row>
    <row r="17" ht="30" customHeight="1" spans="2:7" x14ac:dyDescent="0.25">
      <c r="B17" s="96">
        <v>6</v>
      </c>
      <c r="C17" s="107" t="s">
        <v>2522</v>
      </c>
      <c r="D17" s="100" t="s">
        <v>2523</v>
      </c>
      <c r="E17" s="108"/>
      <c r="F17" s="103" t="s">
        <v>2504</v>
      </c>
      <c r="G17" s="96">
        <f>IF(F17="Dibawah",0,IF(F17="Rata-rata",0.5,1))</f>
        <v>1</v>
      </c>
    </row>
    <row r="18" ht="30" customHeight="1" spans="2:7" x14ac:dyDescent="0.25">
      <c r="B18" s="96"/>
      <c r="C18" s="107"/>
      <c r="D18" s="100"/>
      <c r="E18" s="109"/>
      <c r="F18" s="106"/>
      <c r="G18" s="96"/>
    </row>
    <row r="19" ht="30" customHeight="1" spans="2:7" x14ac:dyDescent="0.25">
      <c r="B19" s="96">
        <v>7</v>
      </c>
      <c r="C19" s="107" t="s">
        <v>2524</v>
      </c>
      <c r="D19" s="100" t="s">
        <v>2525</v>
      </c>
      <c r="E19" s="108"/>
      <c r="F19" s="103" t="s">
        <v>2504</v>
      </c>
      <c r="G19" s="96">
        <f>IF(F19="Diatas",0,IF(F19="Rata-rata",0.5,1))</f>
        <v>1</v>
      </c>
    </row>
    <row r="20" ht="30" customHeight="1" spans="2:7" x14ac:dyDescent="0.25">
      <c r="B20" s="96"/>
      <c r="C20" s="107"/>
      <c r="D20" s="100"/>
      <c r="E20" s="109"/>
      <c r="F20" s="106"/>
      <c r="G20" s="96"/>
    </row>
    <row r="21" ht="30" customHeight="1" spans="2:7" x14ac:dyDescent="0.25">
      <c r="B21" s="96">
        <v>8</v>
      </c>
      <c r="C21" s="100" t="s">
        <v>2526</v>
      </c>
      <c r="D21" s="100" t="s">
        <v>2527</v>
      </c>
      <c r="E21" s="108"/>
      <c r="F21" s="103" t="s">
        <v>2504</v>
      </c>
      <c r="G21" s="96">
        <f>IF(F21="Lebih Besar",0,IF(F21="Rata-rata",0.5,1))</f>
        <v>1</v>
      </c>
    </row>
    <row r="22" ht="30" customHeight="1" spans="2:7" x14ac:dyDescent="0.25">
      <c r="B22" s="96"/>
      <c r="C22" s="100"/>
      <c r="D22" s="100"/>
      <c r="E22" s="109"/>
      <c r="F22" s="106"/>
      <c r="G22" s="96"/>
    </row>
    <row r="23" ht="30" customHeight="1" spans="2:7" x14ac:dyDescent="0.25">
      <c r="B23" s="96">
        <v>9</v>
      </c>
      <c r="C23" s="100" t="s">
        <v>2528</v>
      </c>
      <c r="D23" s="100" t="s">
        <v>2529</v>
      </c>
      <c r="E23" s="108"/>
      <c r="F23" s="103" t="s">
        <v>2514</v>
      </c>
      <c r="G23" s="96">
        <f>IF(F23="Meningkat",0,IF(F23="Seperti Saat Ini",0.5,1))</f>
        <v>1</v>
      </c>
    </row>
    <row r="24" ht="30" customHeight="1" spans="2:7" x14ac:dyDescent="0.25">
      <c r="B24" s="96"/>
      <c r="C24" s="100"/>
      <c r="D24" s="100"/>
      <c r="E24" s="109"/>
      <c r="F24" s="106"/>
      <c r="G24" s="96"/>
    </row>
    <row r="25" ht="30" customHeight="1" spans="2:7" x14ac:dyDescent="0.25">
      <c r="B25" s="96">
        <v>10</v>
      </c>
      <c r="C25" s="107" t="s">
        <v>2530</v>
      </c>
      <c r="D25" s="122" t="s">
        <v>2531</v>
      </c>
      <c r="E25" s="123"/>
      <c r="F25" s="103" t="s">
        <v>2475</v>
      </c>
      <c r="G25" s="96">
        <f>IF(F25="Ya",0,IF(F25="Seperti Saat Ini",0.5,1))</f>
        <v>1</v>
      </c>
    </row>
    <row r="26" ht="30" customHeight="1" spans="2:7" x14ac:dyDescent="0.25">
      <c r="B26" s="96"/>
      <c r="C26" s="107"/>
      <c r="D26" s="122"/>
      <c r="E26" s="124"/>
      <c r="F26" s="106"/>
      <c r="G26" s="96"/>
    </row>
    <row r="27" spans="2:7" x14ac:dyDescent="0.25">
      <c r="B27" s="112" t="s">
        <v>2485</v>
      </c>
      <c r="C27" s="112"/>
      <c r="D27" s="112"/>
      <c r="E27" s="112"/>
      <c r="F27" s="112"/>
      <c r="G27" s="112">
        <f>SUM(G7:G26)</f>
        <v>10</v>
      </c>
    </row>
    <row r="28" hidden="1" spans="3:7" x14ac:dyDescent="0.25">
      <c r="C28" s="125"/>
      <c r="F28" s="94"/>
      <c r="G28" s="94"/>
    </row>
    <row r="29" hidden="1" spans="3:7" x14ac:dyDescent="0.25">
      <c r="C29" s="125"/>
      <c r="F29" s="94"/>
      <c r="G29" s="94"/>
    </row>
    <row r="30" spans="2:7" x14ac:dyDescent="0.25">
      <c r="B30" s="104">
        <f>IF(C30="DLOM Perusahaan tertutup ",1,2)</f>
        <v>1</v>
      </c>
      <c r="C30" s="104" t="s">
        <v>2532</v>
      </c>
      <c r="D30" s="3" t="s">
        <v>2533</v>
      </c>
      <c r="F30" s="94"/>
      <c r="G30" s="94"/>
    </row>
    <row r="31" spans="2:7" x14ac:dyDescent="0.25">
      <c r="B31" s="104">
        <f>IF(C31="Minoritas",5,7)</f>
        <v>7</v>
      </c>
      <c r="C31" s="104" t="s">
        <v>2486</v>
      </c>
      <c r="D31" s="3" t="s">
        <v>2487</v>
      </c>
      <c r="F31" s="94">
        <v>10</v>
      </c>
      <c r="G31" s="94"/>
    </row>
    <row r="32" spans="2:7" x14ac:dyDescent="0.25">
      <c r="B32" s="104"/>
      <c r="C32" s="104" t="str">
        <f>IF(B30+B31=6,"30% - 50%",IF(B30+B31=8,"20% - 40%",IF(B30+B31=7,"10% - 30%",IF(B30+B31=9,"0% - 20%","-"))))</f>
        <v>20% - 40%</v>
      </c>
      <c r="D32" s="3" t="str">
        <f>C30&amp;C32</f>
        <v>DLOM Perusahaan tertutup 20% - 40%</v>
      </c>
      <c r="F32" s="126">
        <f>RIGHT(C32,3)-LEFT(C32,3)</f>
        <v>0.2</v>
      </c>
      <c r="G32" s="94"/>
    </row>
    <row r="33" spans="3:7" x14ac:dyDescent="0.25">
      <c r="C33" s="104"/>
      <c r="D33" s="3" t="s">
        <v>2489</v>
      </c>
      <c r="F33" s="94">
        <f>G27</f>
        <v>10</v>
      </c>
      <c r="G33" s="94"/>
    </row>
    <row r="34" spans="3:7" x14ac:dyDescent="0.25">
      <c r="C34" s="125"/>
      <c r="D34" s="4" t="s">
        <v>2534</v>
      </c>
      <c r="E34" s="4"/>
      <c r="F34" s="127">
        <f>LEFT(C32,3)+(F33/F31*F32)</f>
        <v>0.4</v>
      </c>
      <c r="G34" s="94"/>
    </row>
    <row r="37" spans="2:9" x14ac:dyDescent="0.25">
      <c r="B37" s="104"/>
      <c r="C37" s="104"/>
      <c r="D37" s="104"/>
      <c r="E37" s="104"/>
      <c r="F37" s="104" t="s">
        <v>2535</v>
      </c>
      <c r="G37" s="104"/>
      <c r="H37" s="104"/>
      <c r="I37" s="104"/>
    </row>
    <row r="38" spans="2:9" x14ac:dyDescent="0.25">
      <c r="B38" s="104"/>
      <c r="C38" s="104" t="s">
        <v>2491</v>
      </c>
      <c r="D38" s="128">
        <v>0.2</v>
      </c>
      <c r="E38" s="104"/>
      <c r="F38" s="104">
        <v>-1.94</v>
      </c>
      <c r="G38" s="104"/>
      <c r="H38" s="104"/>
      <c r="I38" s="104"/>
    </row>
    <row r="39" spans="2:9" x14ac:dyDescent="0.25">
      <c r="B39" s="104"/>
      <c r="C39" s="104" t="s">
        <v>2467</v>
      </c>
      <c r="D39" s="128">
        <v>0.3</v>
      </c>
      <c r="E39" s="104"/>
      <c r="F39" s="104">
        <v>1.35</v>
      </c>
      <c r="G39" s="104"/>
      <c r="H39" s="104"/>
      <c r="I39" s="104"/>
    </row>
    <row r="40" spans="2:9" x14ac:dyDescent="0.25">
      <c r="B40" s="104"/>
      <c r="C40" s="104" t="s">
        <v>2492</v>
      </c>
      <c r="D40" s="128">
        <v>0.4</v>
      </c>
      <c r="E40" s="104"/>
      <c r="F40" s="104">
        <v>-11.4</v>
      </c>
      <c r="G40" s="104"/>
      <c r="H40" s="104"/>
      <c r="I40" s="104"/>
    </row>
    <row r="41" spans="2:9" x14ac:dyDescent="0.25">
      <c r="B41" s="104"/>
      <c r="C41" s="104"/>
      <c r="D41" s="104"/>
      <c r="E41" s="104"/>
      <c r="F41" s="104">
        <v>-11.4</v>
      </c>
      <c r="G41" s="104"/>
      <c r="H41" s="104"/>
      <c r="I41" s="104"/>
    </row>
    <row r="42" spans="2:9" x14ac:dyDescent="0.25">
      <c r="B42" s="104"/>
      <c r="C42" s="104"/>
      <c r="D42" s="104"/>
      <c r="E42" s="104" t="s">
        <v>2536</v>
      </c>
      <c r="F42" s="129">
        <v>2.68</v>
      </c>
      <c r="G42" s="104"/>
      <c r="H42" s="104"/>
      <c r="I42" s="104"/>
    </row>
    <row r="43" spans="2:9" x14ac:dyDescent="0.25">
      <c r="B43" s="104"/>
      <c r="C43" s="104"/>
      <c r="D43" s="104"/>
      <c r="E43" s="104"/>
      <c r="F43" s="104">
        <v>3.27</v>
      </c>
      <c r="G43" s="104"/>
      <c r="H43" s="104"/>
      <c r="I43" s="104"/>
    </row>
    <row r="44" spans="2:9" x14ac:dyDescent="0.25">
      <c r="B44" s="104"/>
      <c r="C44" s="104"/>
      <c r="D44" s="104"/>
      <c r="E44" s="104"/>
      <c r="F44" s="104">
        <v>8.12</v>
      </c>
      <c r="G44" s="104"/>
      <c r="H44" s="104"/>
      <c r="I44" s="104"/>
    </row>
    <row r="45" spans="2:9" x14ac:dyDescent="0.25">
      <c r="B45" s="104"/>
      <c r="C45" s="104"/>
      <c r="D45" s="104"/>
      <c r="E45" s="104"/>
      <c r="F45" s="104">
        <v>1.02</v>
      </c>
      <c r="G45" s="104"/>
      <c r="H45" s="104"/>
      <c r="I45" s="104"/>
    </row>
    <row r="46" spans="2:9" x14ac:dyDescent="0.25">
      <c r="B46" s="104"/>
      <c r="C46" s="104"/>
      <c r="D46" s="104"/>
      <c r="E46" s="104"/>
      <c r="F46" s="104">
        <v>11.7</v>
      </c>
      <c r="G46" s="104"/>
      <c r="H46" s="104"/>
      <c r="I46" s="104"/>
    </row>
    <row r="47" spans="2:9" x14ac:dyDescent="0.25">
      <c r="B47" s="104"/>
      <c r="C47" s="104"/>
      <c r="D47" s="104"/>
      <c r="E47" s="104"/>
      <c r="F47" s="104">
        <v>1.37</v>
      </c>
      <c r="G47" s="104"/>
      <c r="H47" s="104"/>
      <c r="I47" s="104"/>
    </row>
    <row r="48" spans="2:9" x14ac:dyDescent="0.25">
      <c r="B48" s="104"/>
      <c r="C48" s="104"/>
      <c r="D48" s="104"/>
      <c r="E48" s="104"/>
      <c r="F48" s="104">
        <v>1.05</v>
      </c>
      <c r="G48" s="104"/>
      <c r="H48" s="104"/>
      <c r="I48" s="104"/>
    </row>
    <row r="49" spans="2:9" x14ac:dyDescent="0.25">
      <c r="B49" s="104"/>
      <c r="C49" s="104"/>
      <c r="D49" s="104"/>
      <c r="E49" s="104"/>
      <c r="F49" s="104">
        <v>-1.24</v>
      </c>
      <c r="G49" s="104"/>
      <c r="H49" s="104"/>
      <c r="I49" s="104"/>
    </row>
    <row r="50" spans="2:9" x14ac:dyDescent="0.25">
      <c r="B50" s="104"/>
      <c r="C50" s="104"/>
      <c r="D50" s="104"/>
      <c r="E50" s="104"/>
      <c r="F50" s="104">
        <v>3.03</v>
      </c>
      <c r="G50" s="104"/>
      <c r="H50" s="104"/>
      <c r="I50" s="104"/>
    </row>
    <row r="51" spans="2:9" x14ac:dyDescent="0.25">
      <c r="B51" s="104"/>
      <c r="C51" s="104"/>
      <c r="D51" s="104"/>
      <c r="E51" s="104"/>
      <c r="F51" s="104">
        <v>2.02</v>
      </c>
      <c r="G51" s="104"/>
      <c r="H51" s="104"/>
      <c r="I51" s="104"/>
    </row>
    <row r="52" spans="2:9" x14ac:dyDescent="0.25">
      <c r="B52" s="104"/>
      <c r="C52" s="104"/>
      <c r="D52" s="104"/>
      <c r="E52" s="104"/>
      <c r="F52" s="104">
        <v>1.6</v>
      </c>
      <c r="G52" s="104"/>
      <c r="H52" s="104"/>
      <c r="I52" s="104"/>
    </row>
    <row r="53" spans="2:9" x14ac:dyDescent="0.25">
      <c r="B53" s="104"/>
      <c r="C53" s="104"/>
      <c r="D53" s="104"/>
      <c r="E53" s="104"/>
      <c r="F53" s="104">
        <v>1.24</v>
      </c>
      <c r="G53" s="104"/>
      <c r="H53" s="104"/>
      <c r="I53" s="104"/>
    </row>
    <row r="54" spans="2:9" x14ac:dyDescent="0.25">
      <c r="B54" s="104"/>
      <c r="C54" s="104"/>
      <c r="D54" s="104"/>
      <c r="E54" s="104"/>
      <c r="F54" s="104">
        <v>0.18</v>
      </c>
      <c r="G54" s="104"/>
      <c r="H54" s="104"/>
      <c r="I54" s="104"/>
    </row>
    <row r="55" spans="2:9" x14ac:dyDescent="0.25">
      <c r="B55" s="104"/>
      <c r="C55" s="104"/>
      <c r="D55" s="104"/>
      <c r="E55" s="104"/>
      <c r="F55" s="104">
        <v>0.04</v>
      </c>
      <c r="G55" s="104"/>
      <c r="H55" s="104"/>
      <c r="I55" s="104"/>
    </row>
    <row r="56" spans="2:9" x14ac:dyDescent="0.25">
      <c r="B56" s="104"/>
      <c r="C56" s="104"/>
      <c r="D56" s="104"/>
      <c r="E56" s="104"/>
      <c r="F56" s="104">
        <v>0.87</v>
      </c>
      <c r="G56" s="104"/>
      <c r="H56" s="104"/>
      <c r="I56" s="104"/>
    </row>
    <row r="57" spans="2:9" x14ac:dyDescent="0.25">
      <c r="B57" s="104"/>
      <c r="C57" s="104"/>
      <c r="D57" s="104"/>
      <c r="E57" s="104"/>
      <c r="F57" s="104">
        <v>0.9</v>
      </c>
      <c r="G57" s="104"/>
      <c r="H57" s="104"/>
      <c r="I57" s="104"/>
    </row>
    <row r="58" spans="2:9" x14ac:dyDescent="0.25">
      <c r="B58" s="104"/>
      <c r="C58" s="104"/>
      <c r="D58" s="104"/>
      <c r="E58" s="104"/>
      <c r="F58" s="104">
        <v>0.47</v>
      </c>
      <c r="G58" s="104"/>
      <c r="H58" s="104"/>
      <c r="I58" s="104"/>
    </row>
    <row r="59" spans="2:9" x14ac:dyDescent="0.25">
      <c r="B59" s="104"/>
      <c r="C59" s="104"/>
      <c r="D59" s="104"/>
      <c r="E59" s="104"/>
      <c r="F59" s="104">
        <v>1.19</v>
      </c>
      <c r="G59" s="104"/>
      <c r="H59" s="104"/>
      <c r="I59" s="104"/>
    </row>
    <row r="60" spans="2:9" x14ac:dyDescent="0.25">
      <c r="B60" s="104"/>
      <c r="C60" s="104"/>
      <c r="D60" s="104"/>
      <c r="E60" s="104"/>
      <c r="F60" s="104">
        <f>AVERAGE(F38:F59)</f>
        <v>0.7327272727272724</v>
      </c>
      <c r="G60" s="104"/>
      <c r="H60" s="104"/>
      <c r="I60" s="104"/>
    </row>
    <row r="61" spans="2:9" x14ac:dyDescent="0.25">
      <c r="B61" s="104"/>
      <c r="C61" s="104"/>
      <c r="D61" s="104"/>
      <c r="E61" s="104"/>
      <c r="F61" s="104"/>
      <c r="G61" s="104"/>
      <c r="H61" s="104"/>
      <c r="I61" s="104"/>
    </row>
  </sheetData>
  <sheetProtection selectLockedCells="1"/>
  <mergeCells count="57">
    <mergeCell ref="B2:G2"/>
    <mergeCell ref="F4:G6"/>
    <mergeCell ref="B4:B6"/>
    <mergeCell ref="C4:C6"/>
    <mergeCell ref="D4:D6"/>
    <mergeCell ref="E4:E6"/>
    <mergeCell ref="B7:B8"/>
    <mergeCell ref="C7:C8"/>
    <mergeCell ref="D7:D8"/>
    <mergeCell ref="F7:F8"/>
    <mergeCell ref="G7:G8"/>
    <mergeCell ref="B9:B10"/>
    <mergeCell ref="C9:C10"/>
    <mergeCell ref="D9:D10"/>
    <mergeCell ref="F9:F10"/>
    <mergeCell ref="G9:G10"/>
    <mergeCell ref="B11:B12"/>
    <mergeCell ref="C11:C12"/>
    <mergeCell ref="D11:D12"/>
    <mergeCell ref="F11:F12"/>
    <mergeCell ref="G11:G12"/>
    <mergeCell ref="B13:B14"/>
    <mergeCell ref="C13:C14"/>
    <mergeCell ref="D13:D14"/>
    <mergeCell ref="F13:F14"/>
    <mergeCell ref="G13:G14"/>
    <mergeCell ref="B15:B16"/>
    <mergeCell ref="C15:C16"/>
    <mergeCell ref="D15:D16"/>
    <mergeCell ref="F15:F16"/>
    <mergeCell ref="G15:G16"/>
    <mergeCell ref="B17:B18"/>
    <mergeCell ref="C17:C18"/>
    <mergeCell ref="D17:D18"/>
    <mergeCell ref="F17:F18"/>
    <mergeCell ref="G17:G18"/>
    <mergeCell ref="B19:B20"/>
    <mergeCell ref="C19:C20"/>
    <mergeCell ref="D19:D20"/>
    <mergeCell ref="F19:F20"/>
    <mergeCell ref="G19:G20"/>
    <mergeCell ref="B21:B22"/>
    <mergeCell ref="C21:C22"/>
    <mergeCell ref="D21:D22"/>
    <mergeCell ref="F21:F22"/>
    <mergeCell ref="G21:G22"/>
    <mergeCell ref="B23:B24"/>
    <mergeCell ref="C23:C24"/>
    <mergeCell ref="D23:D24"/>
    <mergeCell ref="F23:F24"/>
    <mergeCell ref="G23:G24"/>
    <mergeCell ref="B25:B26"/>
    <mergeCell ref="C25:C26"/>
    <mergeCell ref="D25:D26"/>
    <mergeCell ref="F25:F26"/>
    <mergeCell ref="G25:G26"/>
    <mergeCell ref="B27:F27"/>
  </mergeCells>
  <dataValidations count="11">
    <dataValidation type="list" allowBlank="1" showInputMessage="1" showErrorMessage="1" sqref="F10">
      <formula1>$J$7:$J$9</formula1>
    </dataValidation>
    <dataValidation type="list" allowBlank="1" showInputMessage="1" showErrorMessage="1" sqref="F11:F12">
      <formula1>$K$7:$K$9</formula1>
    </dataValidation>
    <dataValidation type="list" allowBlank="1" showInputMessage="1" showErrorMessage="1" sqref="F13:F14">
      <formula1>$L$7:$L$9</formula1>
    </dataValidation>
    <dataValidation type="list" allowBlank="1" showInputMessage="1" showErrorMessage="1" sqref="F15:F16">
      <formula1>$M$7:$M$9</formula1>
    </dataValidation>
    <dataValidation type="list" allowBlank="1" showInputMessage="1" showErrorMessage="1" sqref="F17:F18">
      <formula1>$I$11:$I$13</formula1>
    </dataValidation>
    <dataValidation type="list" allowBlank="1" showInputMessage="1" showErrorMessage="1" sqref="F19:F20">
      <formula1>$J$11:$J$13</formula1>
    </dataValidation>
    <dataValidation type="list" allowBlank="1" showInputMessage="1" showErrorMessage="1" sqref="F21:F22">
      <formula1>$K$11:$K$13</formula1>
    </dataValidation>
    <dataValidation type="list" allowBlank="1" showInputMessage="1" showErrorMessage="1" sqref="F23:F24">
      <formula1>$L$11:$L$13</formula1>
    </dataValidation>
    <dataValidation type="list" allowBlank="1" showInputMessage="1" showErrorMessage="1" sqref="F25:F26">
      <formula1>$M$11:$M$13</formula1>
    </dataValidation>
    <dataValidation type="list" allowBlank="1" showInputMessage="1" showErrorMessage="1" sqref="F7:F8">
      <formula1>$I$7:$I$9</formula1>
    </dataValidation>
    <dataValidation type="list" allowBlank="1" showInputMessage="1" showErrorMessage="1" sqref="F9:F10">
      <formula1>$J$7:$J$9</formula1>
    </dataValidation>
  </dataValidations>
  <pageMargins left="0.7" right="0.7" top="0.75" bottom="0.75" header="0.3" footer="0.3"/>
  <pageSetup orientation="portrait" horizontalDpi="4294967295" verticalDpi="4294967295" scale="75"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L31"/>
  <sheetViews>
    <sheetView workbookViewId="0" zoomScale="100" zoomScaleNormal="100">
      <selection activeCell="G18" sqref="G18"/>
    </sheetView>
  </sheetViews>
  <sheetFormatPr defaultRowHeight="15" outlineLevelRow="0" outlineLevelCol="0" x14ac:dyDescent="0.2" defaultColWidth="9.1640625"/>
  <cols>
    <col min="1" max="1" width="9.1640625" style="3" customWidth="1"/>
    <col min="2" max="2" width="24.5" style="3" customWidth="1"/>
    <col min="3" max="3" width="48.5" style="3" customWidth="1"/>
    <col min="4" max="4" width="22.83203125" style="3" customWidth="1"/>
    <col min="5" max="6" width="11.5" style="3" customWidth="1"/>
    <col min="7" max="7" width="41.33203125" style="3" customWidth="1"/>
    <col min="8" max="16384" width="9.1640625" style="3" customWidth="1"/>
  </cols>
  <sheetData>
    <row r="1" spans="5:6" x14ac:dyDescent="0.25">
      <c r="E1" s="94"/>
      <c r="F1" s="94"/>
    </row>
    <row r="2" ht="19" customHeight="1" spans="1:6" x14ac:dyDescent="0.25">
      <c r="A2" s="95" t="s">
        <v>2453</v>
      </c>
      <c r="B2" s="95"/>
      <c r="C2" s="95"/>
      <c r="D2" s="95"/>
      <c r="E2" s="95"/>
      <c r="F2" s="95"/>
    </row>
    <row r="3" spans="5:6" x14ac:dyDescent="0.25">
      <c r="E3" s="94"/>
      <c r="F3" s="94"/>
    </row>
    <row r="4" spans="1:6" x14ac:dyDescent="0.25">
      <c r="A4" s="96" t="s">
        <v>2454</v>
      </c>
      <c r="B4" s="96" t="s">
        <v>2455</v>
      </c>
      <c r="C4" s="96" t="s">
        <v>2456</v>
      </c>
      <c r="D4" s="97" t="s">
        <v>2457</v>
      </c>
      <c r="E4" s="96" t="s">
        <v>2458</v>
      </c>
      <c r="F4" s="96"/>
    </row>
    <row r="5" spans="1:6" x14ac:dyDescent="0.25">
      <c r="A5" s="96"/>
      <c r="B5" s="96"/>
      <c r="C5" s="96"/>
      <c r="D5" s="98"/>
      <c r="E5" s="96"/>
      <c r="F5" s="96"/>
    </row>
    <row r="6" spans="1:6" x14ac:dyDescent="0.25">
      <c r="A6" s="96"/>
      <c r="B6" s="96"/>
      <c r="C6" s="96"/>
      <c r="D6" s="99"/>
      <c r="E6" s="96"/>
      <c r="F6" s="96"/>
    </row>
    <row r="7" ht="30" customHeight="1" spans="1:12" x14ac:dyDescent="0.25">
      <c r="A7" s="96">
        <v>1</v>
      </c>
      <c r="B7" s="100" t="s">
        <v>2459</v>
      </c>
      <c r="C7" s="101" t="s">
        <v>2460</v>
      </c>
      <c r="D7" s="102"/>
      <c r="E7" s="103" t="s">
        <v>2461</v>
      </c>
      <c r="F7" s="97">
        <f>IF(E7="Ada",0,1)</f>
        <v>1</v>
      </c>
      <c r="G7" s="104" t="s">
        <v>2462</v>
      </c>
      <c r="H7" s="104" t="s">
        <v>2461</v>
      </c>
      <c r="I7" s="104" t="s">
        <v>2463</v>
      </c>
      <c r="J7" s="104" t="s">
        <v>2463</v>
      </c>
      <c r="K7" s="104" t="s">
        <v>2464</v>
      </c>
      <c r="L7" s="104" t="s">
        <v>2465</v>
      </c>
    </row>
    <row r="8" ht="46" customHeight="1" spans="1:12" x14ac:dyDescent="0.25">
      <c r="A8" s="96"/>
      <c r="B8" s="100"/>
      <c r="C8" s="101"/>
      <c r="D8" s="105"/>
      <c r="E8" s="106"/>
      <c r="F8" s="99"/>
      <c r="G8" s="104"/>
      <c r="H8" s="104" t="s">
        <v>2464</v>
      </c>
      <c r="I8" s="104" t="s">
        <v>2466</v>
      </c>
      <c r="J8" s="104" t="s">
        <v>2467</v>
      </c>
      <c r="K8" s="104" t="s">
        <v>2468</v>
      </c>
      <c r="L8" s="104" t="s">
        <v>2468</v>
      </c>
    </row>
    <row r="9" ht="30" customHeight="1" spans="1:12" x14ac:dyDescent="0.25">
      <c r="A9" s="96">
        <v>2</v>
      </c>
      <c r="B9" s="100" t="s">
        <v>2469</v>
      </c>
      <c r="C9" s="101" t="s">
        <v>2470</v>
      </c>
      <c r="D9" s="102"/>
      <c r="E9" s="103" t="s">
        <v>2463</v>
      </c>
      <c r="F9" s="97">
        <f>IF(E9="Rendah",0,IF(E9="Sedang",0.5,1))</f>
        <v>0.5</v>
      </c>
      <c r="G9" s="104" t="s">
        <v>2471</v>
      </c>
      <c r="H9" s="104"/>
      <c r="I9" s="104" t="s">
        <v>2472</v>
      </c>
      <c r="J9" s="104" t="s">
        <v>2473</v>
      </c>
      <c r="K9" s="104" t="s">
        <v>2474</v>
      </c>
      <c r="L9" s="104" t="s">
        <v>2475</v>
      </c>
    </row>
    <row r="10" ht="30" customHeight="1" spans="1:7" x14ac:dyDescent="0.25">
      <c r="A10" s="96"/>
      <c r="B10" s="100"/>
      <c r="C10" s="101"/>
      <c r="D10" s="105"/>
      <c r="E10" s="106"/>
      <c r="F10" s="99"/>
      <c r="G10" s="104"/>
    </row>
    <row r="11" ht="30" customHeight="1" spans="1:7" x14ac:dyDescent="0.25">
      <c r="A11" s="96">
        <v>3</v>
      </c>
      <c r="B11" s="100" t="s">
        <v>2476</v>
      </c>
      <c r="C11" s="101" t="s">
        <v>2477</v>
      </c>
      <c r="D11" s="102"/>
      <c r="E11" s="103" t="s">
        <v>2467</v>
      </c>
      <c r="F11" s="97">
        <f>IF(E11="Rendah",0,IF(E11="Moderat",0.5,1))</f>
        <v>0.5</v>
      </c>
      <c r="G11" s="104" t="s">
        <v>2478</v>
      </c>
    </row>
    <row r="12" ht="30" customHeight="1" spans="1:7" x14ac:dyDescent="0.25">
      <c r="A12" s="96"/>
      <c r="B12" s="100"/>
      <c r="C12" s="101"/>
      <c r="D12" s="105"/>
      <c r="E12" s="106"/>
      <c r="F12" s="99"/>
      <c r="G12" s="104"/>
    </row>
    <row r="13" ht="30" customHeight="1" spans="1:7" x14ac:dyDescent="0.25">
      <c r="A13" s="96">
        <v>4</v>
      </c>
      <c r="B13" s="107" t="s">
        <v>2479</v>
      </c>
      <c r="C13" s="100" t="s">
        <v>2480</v>
      </c>
      <c r="D13" s="108"/>
      <c r="E13" s="103" t="s">
        <v>2468</v>
      </c>
      <c r="F13" s="97">
        <f>IF(E13="Tidak Ada",0,IF(E13="Sebagian",0.5,1))</f>
        <v>0.5</v>
      </c>
      <c r="G13" s="104" t="s">
        <v>2481</v>
      </c>
    </row>
    <row r="14" ht="30" customHeight="1" spans="1:7" x14ac:dyDescent="0.25">
      <c r="A14" s="96"/>
      <c r="B14" s="107"/>
      <c r="C14" s="100"/>
      <c r="D14" s="109"/>
      <c r="E14" s="106"/>
      <c r="F14" s="99"/>
      <c r="G14" s="104"/>
    </row>
    <row r="15" ht="30" customHeight="1" spans="1:7" x14ac:dyDescent="0.25">
      <c r="A15" s="96">
        <v>5</v>
      </c>
      <c r="B15" s="100" t="s">
        <v>2482</v>
      </c>
      <c r="C15" s="100" t="s">
        <v>2483</v>
      </c>
      <c r="D15" s="108"/>
      <c r="E15" s="103" t="s">
        <v>2465</v>
      </c>
      <c r="F15" s="97">
        <f>IF(E15="Tidak",0,IF(E15="Sebagian",0.5,1))</f>
        <v>0.5</v>
      </c>
      <c r="G15" s="104" t="s">
        <v>2484</v>
      </c>
    </row>
    <row r="16" ht="30" customHeight="1" spans="1:6" x14ac:dyDescent="0.25">
      <c r="A16" s="96"/>
      <c r="B16" s="100"/>
      <c r="C16" s="100"/>
      <c r="D16" s="109"/>
      <c r="E16" s="106"/>
      <c r="F16" s="99"/>
    </row>
    <row r="17" spans="1:6" x14ac:dyDescent="0.25">
      <c r="A17" s="110" t="s">
        <v>2485</v>
      </c>
      <c r="B17" s="111"/>
      <c r="C17" s="111"/>
      <c r="D17" s="111"/>
      <c r="E17" s="111"/>
      <c r="F17" s="112">
        <f>SUM(F7:F16)</f>
        <v>3</v>
      </c>
    </row>
    <row r="18" spans="1:6" x14ac:dyDescent="0.25">
      <c r="A18" s="113"/>
      <c r="B18" s="113"/>
      <c r="C18" s="113"/>
      <c r="D18" s="113"/>
      <c r="E18" s="114"/>
      <c r="F18" s="114"/>
    </row>
    <row r="19" spans="1:6" x14ac:dyDescent="0.25">
      <c r="A19" s="113"/>
      <c r="B19" s="113"/>
      <c r="C19" s="113"/>
      <c r="D19" s="113"/>
      <c r="E19" s="114"/>
      <c r="F19" s="114"/>
    </row>
    <row r="20" spans="1:6" x14ac:dyDescent="0.25">
      <c r="A20" s="115">
        <f>IF(B20="DLOC Perusahaan tertutup ",1,2)</f>
        <v>1</v>
      </c>
      <c r="B20" s="115" t="str">
        <f>IF(HOME!B5="tertutup","DLOC Perusahaan tertutup ","DLOC Perusahaan terbuka ")</f>
        <v>DLOC Perusahaan tertutup </v>
      </c>
      <c r="C20" s="115" t="str">
        <f>"Perhitungan "&amp;RIGHT(A2,6)</f>
        <v>Perhitungan  (PFC)</v>
      </c>
      <c r="D20" s="115"/>
      <c r="E20" s="116"/>
      <c r="F20" s="114"/>
    </row>
    <row r="21" spans="1:6" x14ac:dyDescent="0.25">
      <c r="A21" s="115">
        <f>IF(B31="Minoritas",5,7)</f>
        <v>7</v>
      </c>
      <c r="B21" s="115" t="s">
        <v>2486</v>
      </c>
      <c r="C21" s="115" t="s">
        <v>2487</v>
      </c>
      <c r="D21" s="115"/>
      <c r="E21" s="116">
        <v>5</v>
      </c>
      <c r="F21" s="114"/>
    </row>
    <row r="22" spans="1:6" x14ac:dyDescent="0.25">
      <c r="A22" s="115"/>
      <c r="B22" s="115" t="str">
        <f>IF(A20=1," 30% - 70%"," 20% - 35%")</f>
        <v> 30% - 70%</v>
      </c>
      <c r="C22" s="115" t="s">
        <v>2488</v>
      </c>
      <c r="D22" s="115"/>
      <c r="E22" s="117">
        <f>RIGHT(B22,3)-LEFT(B22,4)</f>
        <v>0.39999999999999997</v>
      </c>
      <c r="F22" s="114"/>
    </row>
    <row r="23" spans="1:6" x14ac:dyDescent="0.25">
      <c r="A23" s="115"/>
      <c r="B23" s="115"/>
      <c r="C23" s="115" t="s">
        <v>2489</v>
      </c>
      <c r="D23" s="115"/>
      <c r="E23" s="116">
        <f>F17</f>
        <v>3</v>
      </c>
      <c r="F23" s="114"/>
    </row>
    <row r="24" spans="1:6" x14ac:dyDescent="0.25">
      <c r="A24" s="115"/>
      <c r="B24" s="115"/>
      <c r="C24" s="118" t="s">
        <v>2490</v>
      </c>
      <c r="D24" s="118"/>
      <c r="E24" s="119">
        <f>LEFT(B22,4)+(E23/E21*E22)</f>
        <v>0.5399999999999999</v>
      </c>
      <c r="F24" s="114"/>
    </row>
    <row r="25" spans="1:6" x14ac:dyDescent="0.25">
      <c r="A25" s="115"/>
      <c r="B25" s="115"/>
      <c r="C25" s="115"/>
      <c r="D25" s="115"/>
      <c r="E25" s="115"/>
      <c r="F25" s="113"/>
    </row>
    <row r="26" spans="1:6" x14ac:dyDescent="0.25">
      <c r="A26" s="115"/>
      <c r="B26" s="115"/>
      <c r="C26" s="115"/>
      <c r="D26" s="77" t="s">
        <v>2491</v>
      </c>
      <c r="E26" s="120">
        <v>0.7</v>
      </c>
      <c r="F26" s="113"/>
    </row>
    <row r="27" spans="1:6" x14ac:dyDescent="0.25">
      <c r="A27" s="115"/>
      <c r="B27" s="115"/>
      <c r="C27" s="115"/>
      <c r="D27" s="77" t="s">
        <v>2467</v>
      </c>
      <c r="E27" s="120">
        <v>0.5</v>
      </c>
      <c r="F27" s="113"/>
    </row>
    <row r="28" spans="1:6" x14ac:dyDescent="0.25">
      <c r="A28" s="115"/>
      <c r="B28" s="115"/>
      <c r="C28" s="115"/>
      <c r="D28" s="77" t="s">
        <v>2492</v>
      </c>
      <c r="E28" s="120">
        <v>0.3</v>
      </c>
      <c r="F28" s="113"/>
    </row>
    <row r="29" spans="1:6" x14ac:dyDescent="0.25">
      <c r="A29" s="113"/>
      <c r="B29" s="113"/>
      <c r="C29" s="113"/>
      <c r="D29" s="113"/>
      <c r="E29" s="113"/>
      <c r="F29" s="113"/>
    </row>
    <row r="30" spans="1:6" x14ac:dyDescent="0.25">
      <c r="A30" s="113"/>
      <c r="B30" s="113"/>
      <c r="C30" s="113"/>
      <c r="D30" s="113"/>
      <c r="E30" s="113"/>
      <c r="F30" s="113"/>
    </row>
    <row r="31" spans="1:6" x14ac:dyDescent="0.25">
      <c r="A31" s="113"/>
      <c r="B31" s="113"/>
      <c r="C31" s="113"/>
      <c r="D31" s="113"/>
      <c r="E31" s="113"/>
      <c r="F31" s="113"/>
    </row>
  </sheetData>
  <sheetProtection selectLockedCells="1"/>
  <mergeCells count="32">
    <mergeCell ref="A2:F2"/>
    <mergeCell ref="E4:F6"/>
    <mergeCell ref="A4:A6"/>
    <mergeCell ref="B4:B6"/>
    <mergeCell ref="C4:C6"/>
    <mergeCell ref="D4:D6"/>
    <mergeCell ref="A7:A8"/>
    <mergeCell ref="B7:B8"/>
    <mergeCell ref="C7:C8"/>
    <mergeCell ref="E7:E8"/>
    <mergeCell ref="F7:F8"/>
    <mergeCell ref="A9:A10"/>
    <mergeCell ref="B9:B10"/>
    <mergeCell ref="C9:C10"/>
    <mergeCell ref="E9:E10"/>
    <mergeCell ref="F9:F10"/>
    <mergeCell ref="A11:A12"/>
    <mergeCell ref="B11:B12"/>
    <mergeCell ref="C11:C12"/>
    <mergeCell ref="E11:E12"/>
    <mergeCell ref="F11:F12"/>
    <mergeCell ref="A13:A14"/>
    <mergeCell ref="B13:B14"/>
    <mergeCell ref="C13:C14"/>
    <mergeCell ref="E13:E14"/>
    <mergeCell ref="F13:F14"/>
    <mergeCell ref="A15:A16"/>
    <mergeCell ref="B15:B16"/>
    <mergeCell ref="C15:C16"/>
    <mergeCell ref="E15:E16"/>
    <mergeCell ref="F15:F16"/>
    <mergeCell ref="A17:E17"/>
  </mergeCells>
  <dataValidations count="6">
    <dataValidation type="list" allowBlank="1" showInputMessage="1" showErrorMessage="1" sqref="E10">
      <formula1>$I$7:$I$9</formula1>
    </dataValidation>
    <dataValidation type="list" allowBlank="1" showInputMessage="1" showErrorMessage="1" sqref="E11:E12">
      <formula1>$J$7:$J$9</formula1>
    </dataValidation>
    <dataValidation type="list" allowBlank="1" showInputMessage="1" showErrorMessage="1" sqref="E13:E14">
      <formula1>$K$7:$K$9</formula1>
    </dataValidation>
    <dataValidation type="list" allowBlank="1" showInputMessage="1" showErrorMessage="1" sqref="E15:E16">
      <formula1>$L$7:$L$9</formula1>
    </dataValidation>
    <dataValidation type="list" allowBlank="1" showInputMessage="1" showErrorMessage="1" sqref="E7:E8">
      <formula1>$H$7:$H$8</formula1>
    </dataValidation>
    <dataValidation type="list" allowBlank="1" showInputMessage="1" showErrorMessage="1" sqref="E9:E10">
      <formula1>$I$7:$I$9</formula1>
    </dataValidation>
  </dataValidations>
  <pageMargins left="0.7" right="0.7" top="0.75" bottom="0.75" header="0.3" footer="0.3"/>
  <pageSetup orientation="portrait" horizontalDpi="4294967295" verticalDpi="4294967295" scale="80" fitToWidth="1" fitToHeight="1" firstPageNumber="1" useFirstPageNumber="1" copies="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B147"/>
  <sheetViews>
    <sheetView workbookViewId="0" zoomScale="100" zoomScaleNormal="100" view="pageBreakPreview">
      <selection activeCell="D10" sqref="D10"/>
    </sheetView>
  </sheetViews>
  <sheetFormatPr defaultRowHeight="14" outlineLevelRow="0" outlineLevelCol="0" x14ac:dyDescent="0.15" defaultColWidth="9.1640625" customHeight="1"/>
  <cols>
    <col min="1" max="1" width="7.5" style="211" customWidth="1"/>
    <col min="2" max="2" width="101" style="212" customWidth="1"/>
    <col min="3" max="3" width="9.33203125" style="212" customWidth="1"/>
    <col min="4" max="16384" width="9.1640625" style="212" customWidth="1"/>
  </cols>
  <sheetData>
    <row r="1" spans="1:2" x14ac:dyDescent="0.25">
      <c r="A1" s="213" t="s">
        <v>2571</v>
      </c>
      <c r="B1" s="213"/>
    </row>
    <row r="2" spans="1:2" x14ac:dyDescent="0.25">
      <c r="A2" s="214" t="str">
        <f>"Asumsi kondisi "&amp;HOME!B4&amp;" pada saat tanggal Penilaian ("&amp;TEXT(HOME!B10,"dd/mm/yyyy")&amp;")"</f>
        <v>Asumsi kondisi PT RAJA VOLTAMA ELEKTRIK pada saat tanggal Penilaian (31/12/2021)</v>
      </c>
      <c r="B2" s="214"/>
    </row>
    <row r="5" spans="1:2" x14ac:dyDescent="0.25">
      <c r="A5" s="215" t="s">
        <v>2565</v>
      </c>
      <c r="B5" s="215" t="s">
        <v>2572</v>
      </c>
    </row>
    <row r="6" ht="30" customHeight="1" spans="1:2" x14ac:dyDescent="0.25">
      <c r="A6" s="216">
        <v>1</v>
      </c>
      <c r="B6" s="217" t="s">
        <v>2573</v>
      </c>
    </row>
    <row r="7" spans="1:2" x14ac:dyDescent="0.25">
      <c r="A7" s="218"/>
      <c r="B7" s="219" t="s">
        <v>2574</v>
      </c>
    </row>
    <row r="8" spans="1:2" x14ac:dyDescent="0.25">
      <c r="A8" s="218"/>
      <c r="B8" s="220" t="s">
        <v>2575</v>
      </c>
    </row>
    <row r="9" spans="1:2" x14ac:dyDescent="0.25">
      <c r="A9" s="218"/>
      <c r="B9" s="220" t="s">
        <v>2576</v>
      </c>
    </row>
    <row r="10" spans="1:2" x14ac:dyDescent="0.25">
      <c r="A10" s="221"/>
      <c r="B10" s="222"/>
    </row>
    <row r="11" ht="30" customHeight="1" spans="1:2" x14ac:dyDescent="0.25">
      <c r="A11" s="216">
        <v>2</v>
      </c>
      <c r="B11" s="217" t="s">
        <v>2577</v>
      </c>
    </row>
    <row r="12" spans="1:2" x14ac:dyDescent="0.25">
      <c r="A12" s="218"/>
      <c r="B12" s="219" t="s">
        <v>2574</v>
      </c>
    </row>
    <row r="13" spans="1:2" x14ac:dyDescent="0.25">
      <c r="A13" s="218"/>
      <c r="B13" s="220" t="s">
        <v>2578</v>
      </c>
    </row>
    <row r="14" spans="1:2" x14ac:dyDescent="0.25">
      <c r="A14" s="218"/>
      <c r="B14" s="220" t="s">
        <v>2579</v>
      </c>
    </row>
    <row r="15" spans="1:2" x14ac:dyDescent="0.25">
      <c r="A15" s="218"/>
      <c r="B15" s="220" t="s">
        <v>2580</v>
      </c>
    </row>
    <row r="16" spans="1:2" x14ac:dyDescent="0.25">
      <c r="A16" s="221"/>
      <c r="B16" s="222"/>
    </row>
    <row r="17" ht="30" customHeight="1" spans="1:2" x14ac:dyDescent="0.25">
      <c r="A17" s="216">
        <v>3</v>
      </c>
      <c r="B17" s="217" t="s">
        <v>2581</v>
      </c>
    </row>
    <row r="18" spans="1:2" x14ac:dyDescent="0.25">
      <c r="A18" s="218"/>
      <c r="B18" s="219" t="s">
        <v>2574</v>
      </c>
    </row>
    <row r="19" spans="1:2" x14ac:dyDescent="0.25">
      <c r="A19" s="218"/>
      <c r="B19" s="220" t="s">
        <v>2578</v>
      </c>
    </row>
    <row r="20" spans="1:2" x14ac:dyDescent="0.25">
      <c r="A20" s="218"/>
      <c r="B20" s="220" t="s">
        <v>2582</v>
      </c>
    </row>
    <row r="21" spans="1:2" x14ac:dyDescent="0.25">
      <c r="A21" s="218"/>
      <c r="B21" s="220" t="s">
        <v>2583</v>
      </c>
    </row>
    <row r="22" spans="1:2" x14ac:dyDescent="0.25">
      <c r="A22" s="221"/>
      <c r="B22" s="222"/>
    </row>
    <row r="23" ht="15" customHeight="1" spans="1:2" x14ac:dyDescent="0.25">
      <c r="A23" s="216">
        <v>4</v>
      </c>
      <c r="B23" s="217" t="s">
        <v>2584</v>
      </c>
    </row>
    <row r="24" spans="1:2" x14ac:dyDescent="0.25">
      <c r="A24" s="218"/>
      <c r="B24" s="219" t="s">
        <v>2574</v>
      </c>
    </row>
    <row r="25" spans="1:2" x14ac:dyDescent="0.25">
      <c r="A25" s="218"/>
      <c r="B25" s="220" t="s">
        <v>2585</v>
      </c>
    </row>
    <row r="26" spans="1:2" x14ac:dyDescent="0.25">
      <c r="A26" s="218"/>
      <c r="B26" s="220" t="s">
        <v>2586</v>
      </c>
    </row>
    <row r="27" spans="1:2" x14ac:dyDescent="0.25">
      <c r="A27" s="218"/>
      <c r="B27" s="220" t="s">
        <v>2587</v>
      </c>
    </row>
    <row r="28" spans="1:2" x14ac:dyDescent="0.25">
      <c r="A28" s="221"/>
      <c r="B28" s="222"/>
    </row>
    <row r="29" ht="15" customHeight="1" spans="1:2" x14ac:dyDescent="0.25">
      <c r="A29" s="216">
        <v>5</v>
      </c>
      <c r="B29" s="217" t="s">
        <v>2588</v>
      </c>
    </row>
    <row r="30" spans="1:2" x14ac:dyDescent="0.25">
      <c r="A30" s="218"/>
      <c r="B30" s="219" t="s">
        <v>2574</v>
      </c>
    </row>
    <row r="31" spans="1:2" x14ac:dyDescent="0.25">
      <c r="A31" s="218"/>
      <c r="B31" s="220" t="s">
        <v>2589</v>
      </c>
    </row>
    <row r="32" spans="1:2" x14ac:dyDescent="0.25">
      <c r="A32" s="218"/>
      <c r="B32" s="220" t="s">
        <v>2586</v>
      </c>
    </row>
    <row r="33" spans="1:2" x14ac:dyDescent="0.25">
      <c r="A33" s="218"/>
      <c r="B33" s="220" t="s">
        <v>2590</v>
      </c>
    </row>
    <row r="34" spans="1:2" x14ac:dyDescent="0.25">
      <c r="A34" s="221"/>
      <c r="B34" s="222"/>
    </row>
    <row r="35" ht="30" customHeight="1" spans="1:2" x14ac:dyDescent="0.25">
      <c r="A35" s="216">
        <v>6</v>
      </c>
      <c r="B35" s="217" t="s">
        <v>2591</v>
      </c>
    </row>
    <row r="36" spans="1:2" x14ac:dyDescent="0.25">
      <c r="A36" s="218"/>
      <c r="B36" s="219" t="s">
        <v>2574</v>
      </c>
    </row>
    <row r="37" spans="1:2" x14ac:dyDescent="0.25">
      <c r="A37" s="218"/>
      <c r="B37" s="220" t="s">
        <v>2575</v>
      </c>
    </row>
    <row r="38" spans="1:2" x14ac:dyDescent="0.25">
      <c r="A38" s="218"/>
      <c r="B38" s="220" t="s">
        <v>2592</v>
      </c>
    </row>
    <row r="39" spans="1:2" x14ac:dyDescent="0.25">
      <c r="A39" s="218"/>
      <c r="B39" s="220" t="s">
        <v>2593</v>
      </c>
    </row>
    <row r="40" spans="1:2" x14ac:dyDescent="0.25">
      <c r="A40" s="221"/>
      <c r="B40" s="222"/>
    </row>
    <row r="41" ht="30" customHeight="1" spans="1:2" x14ac:dyDescent="0.25">
      <c r="A41" s="216">
        <v>7</v>
      </c>
      <c r="B41" s="217" t="s">
        <v>2594</v>
      </c>
    </row>
    <row r="42" spans="1:2" x14ac:dyDescent="0.25">
      <c r="A42" s="218"/>
      <c r="B42" s="219" t="s">
        <v>2574</v>
      </c>
    </row>
    <row r="43" spans="1:2" x14ac:dyDescent="0.25">
      <c r="A43" s="218"/>
      <c r="B43" s="220" t="s">
        <v>2595</v>
      </c>
    </row>
    <row r="44" spans="1:2" x14ac:dyDescent="0.25">
      <c r="A44" s="218"/>
      <c r="B44" s="220" t="s">
        <v>2596</v>
      </c>
    </row>
    <row r="45" spans="1:2" x14ac:dyDescent="0.25">
      <c r="A45" s="218"/>
      <c r="B45" s="220" t="s">
        <v>2597</v>
      </c>
    </row>
    <row r="46" spans="1:2" x14ac:dyDescent="0.25">
      <c r="A46" s="221"/>
      <c r="B46" s="222"/>
    </row>
    <row r="47" ht="30" customHeight="1" spans="1:2" x14ac:dyDescent="0.25">
      <c r="A47" s="216">
        <v>8</v>
      </c>
      <c r="B47" s="217" t="s">
        <v>2598</v>
      </c>
    </row>
    <row r="48" spans="1:2" x14ac:dyDescent="0.25">
      <c r="A48" s="218"/>
      <c r="B48" s="219" t="s">
        <v>2574</v>
      </c>
    </row>
    <row r="49" spans="1:2" x14ac:dyDescent="0.25">
      <c r="A49" s="218"/>
      <c r="B49" s="220" t="s">
        <v>2599</v>
      </c>
    </row>
    <row r="50" spans="1:2" x14ac:dyDescent="0.25">
      <c r="A50" s="218"/>
      <c r="B50" s="220" t="s">
        <v>2600</v>
      </c>
    </row>
    <row r="51" spans="1:2" x14ac:dyDescent="0.25">
      <c r="A51" s="218"/>
      <c r="B51" s="220" t="s">
        <v>2593</v>
      </c>
    </row>
    <row r="52" spans="1:2" x14ac:dyDescent="0.25">
      <c r="A52" s="221"/>
      <c r="B52" s="222"/>
    </row>
    <row r="53" ht="15" customHeight="1" spans="1:2" x14ac:dyDescent="0.25">
      <c r="A53" s="216">
        <v>9</v>
      </c>
      <c r="B53" s="217" t="s">
        <v>2601</v>
      </c>
    </row>
    <row r="54" spans="1:2" x14ac:dyDescent="0.25">
      <c r="A54" s="218"/>
      <c r="B54" s="219" t="s">
        <v>2574</v>
      </c>
    </row>
    <row r="55" spans="1:2" x14ac:dyDescent="0.25">
      <c r="A55" s="218"/>
      <c r="B55" s="220" t="s">
        <v>2602</v>
      </c>
    </row>
    <row r="56" spans="1:2" x14ac:dyDescent="0.25">
      <c r="A56" s="218"/>
      <c r="B56" s="220" t="s">
        <v>2603</v>
      </c>
    </row>
    <row r="57" spans="1:2" x14ac:dyDescent="0.25">
      <c r="A57" s="218"/>
      <c r="B57" s="220" t="s">
        <v>2604</v>
      </c>
    </row>
    <row r="58" spans="1:2" x14ac:dyDescent="0.25">
      <c r="A58" s="221"/>
      <c r="B58" s="222"/>
    </row>
    <row r="59" ht="15" customHeight="1" spans="1:2" x14ac:dyDescent="0.25">
      <c r="A59" s="216">
        <v>10</v>
      </c>
      <c r="B59" s="217" t="s">
        <v>2605</v>
      </c>
    </row>
    <row r="60" spans="1:2" x14ac:dyDescent="0.25">
      <c r="A60" s="218"/>
      <c r="B60" s="219" t="s">
        <v>2574</v>
      </c>
    </row>
    <row r="61" spans="1:2" x14ac:dyDescent="0.25">
      <c r="A61" s="218"/>
      <c r="B61" s="220" t="s">
        <v>2606</v>
      </c>
    </row>
    <row r="62" spans="1:2" x14ac:dyDescent="0.25">
      <c r="A62" s="218"/>
      <c r="B62" s="220" t="s">
        <v>2607</v>
      </c>
    </row>
    <row r="63" spans="1:2" x14ac:dyDescent="0.25">
      <c r="A63" s="218"/>
      <c r="B63" s="220" t="s">
        <v>2608</v>
      </c>
    </row>
    <row r="64" spans="1:2" x14ac:dyDescent="0.25">
      <c r="A64" s="221"/>
      <c r="B64" s="222"/>
    </row>
    <row r="65" ht="15" customHeight="1" spans="1:2" x14ac:dyDescent="0.25">
      <c r="A65" s="216">
        <v>11</v>
      </c>
      <c r="B65" s="217" t="s">
        <v>2609</v>
      </c>
    </row>
    <row r="66" spans="1:2" x14ac:dyDescent="0.25">
      <c r="A66" s="218"/>
      <c r="B66" s="219" t="s">
        <v>2574</v>
      </c>
    </row>
    <row r="67" spans="1:2" x14ac:dyDescent="0.25">
      <c r="A67" s="218"/>
      <c r="B67" s="220" t="s">
        <v>2602</v>
      </c>
    </row>
    <row r="68" spans="1:2" x14ac:dyDescent="0.25">
      <c r="A68" s="218"/>
      <c r="B68" s="220" t="s">
        <v>2603</v>
      </c>
    </row>
    <row r="69" spans="1:2" x14ac:dyDescent="0.25">
      <c r="A69" s="218"/>
      <c r="B69" s="220" t="s">
        <v>2604</v>
      </c>
    </row>
    <row r="70" spans="1:2" x14ac:dyDescent="0.25">
      <c r="A70" s="221"/>
      <c r="B70" s="222"/>
    </row>
    <row r="71" ht="15" customHeight="1" spans="1:2" x14ac:dyDescent="0.25">
      <c r="A71" s="216">
        <v>12</v>
      </c>
      <c r="B71" s="217" t="s">
        <v>2610</v>
      </c>
    </row>
    <row r="72" spans="1:2" x14ac:dyDescent="0.25">
      <c r="A72" s="218"/>
      <c r="B72" s="219" t="s">
        <v>2574</v>
      </c>
    </row>
    <row r="73" spans="1:2" x14ac:dyDescent="0.25">
      <c r="A73" s="218"/>
      <c r="B73" s="220" t="s">
        <v>2602</v>
      </c>
    </row>
    <row r="74" spans="1:2" x14ac:dyDescent="0.25">
      <c r="A74" s="218"/>
      <c r="B74" s="220" t="s">
        <v>2603</v>
      </c>
    </row>
    <row r="75" spans="1:2" x14ac:dyDescent="0.25">
      <c r="A75" s="218"/>
      <c r="B75" s="220" t="s">
        <v>2604</v>
      </c>
    </row>
    <row r="76" spans="1:2" x14ac:dyDescent="0.25">
      <c r="A76" s="221"/>
      <c r="B76" s="222"/>
    </row>
    <row r="77" ht="15" customHeight="1" spans="1:2" x14ac:dyDescent="0.25">
      <c r="A77" s="216">
        <v>13</v>
      </c>
      <c r="B77" s="217" t="s">
        <v>2611</v>
      </c>
    </row>
    <row r="78" spans="1:2" x14ac:dyDescent="0.25">
      <c r="A78" s="218"/>
      <c r="B78" s="219" t="s">
        <v>2574</v>
      </c>
    </row>
    <row r="79" spans="1:2" x14ac:dyDescent="0.25">
      <c r="A79" s="218"/>
      <c r="B79" s="220" t="s">
        <v>2612</v>
      </c>
    </row>
    <row r="80" spans="1:2" x14ac:dyDescent="0.25">
      <c r="A80" s="218"/>
      <c r="B80" s="220" t="s">
        <v>2603</v>
      </c>
    </row>
    <row r="81" spans="1:2" x14ac:dyDescent="0.25">
      <c r="A81" s="218"/>
      <c r="B81" s="220" t="s">
        <v>2613</v>
      </c>
    </row>
    <row r="82" spans="1:2" x14ac:dyDescent="0.25">
      <c r="A82" s="221"/>
      <c r="B82" s="222"/>
    </row>
    <row r="83" ht="15" customHeight="1" spans="1:2" x14ac:dyDescent="0.25">
      <c r="A83" s="216">
        <v>14</v>
      </c>
      <c r="B83" s="217" t="s">
        <v>2614</v>
      </c>
    </row>
    <row r="84" spans="1:2" x14ac:dyDescent="0.25">
      <c r="A84" s="218"/>
      <c r="B84" s="219" t="s">
        <v>2574</v>
      </c>
    </row>
    <row r="85" spans="1:2" x14ac:dyDescent="0.25">
      <c r="A85" s="218"/>
      <c r="B85" s="220" t="s">
        <v>2615</v>
      </c>
    </row>
    <row r="86" spans="1:2" x14ac:dyDescent="0.25">
      <c r="A86" s="218"/>
      <c r="B86" s="220" t="s">
        <v>2616</v>
      </c>
    </row>
    <row r="87" spans="1:2" x14ac:dyDescent="0.25">
      <c r="A87" s="218"/>
      <c r="B87" s="220" t="s">
        <v>2617</v>
      </c>
    </row>
    <row r="88" spans="1:2" x14ac:dyDescent="0.25">
      <c r="A88" s="221"/>
      <c r="B88" s="222"/>
    </row>
    <row r="89" ht="30" customHeight="1" spans="1:2" x14ac:dyDescent="0.25">
      <c r="A89" s="216">
        <v>15</v>
      </c>
      <c r="B89" s="217" t="s">
        <v>2618</v>
      </c>
    </row>
    <row r="90" spans="1:2" x14ac:dyDescent="0.25">
      <c r="A90" s="218"/>
      <c r="B90" s="220" t="s">
        <v>2574</v>
      </c>
    </row>
    <row r="91" spans="1:2" x14ac:dyDescent="0.25">
      <c r="A91" s="218"/>
      <c r="B91" s="219" t="s">
        <v>2599</v>
      </c>
    </row>
    <row r="92" spans="1:2" x14ac:dyDescent="0.25">
      <c r="A92" s="218"/>
      <c r="B92" s="220" t="s">
        <v>2616</v>
      </c>
    </row>
    <row r="93" spans="1:2" x14ac:dyDescent="0.25">
      <c r="A93" s="218"/>
      <c r="B93" s="220" t="s">
        <v>2619</v>
      </c>
    </row>
    <row r="94" spans="1:2" x14ac:dyDescent="0.25">
      <c r="A94" s="221"/>
      <c r="B94" s="222"/>
    </row>
    <row r="95" spans="1:2" x14ac:dyDescent="0.25">
      <c r="A95" s="216">
        <v>16</v>
      </c>
      <c r="B95" s="223" t="s">
        <v>2620</v>
      </c>
    </row>
    <row r="96" spans="1:2" x14ac:dyDescent="0.25">
      <c r="A96" s="218"/>
      <c r="B96" s="219" t="s">
        <v>2574</v>
      </c>
    </row>
    <row r="97" spans="1:2" x14ac:dyDescent="0.25">
      <c r="A97" s="218"/>
      <c r="B97" s="220" t="s">
        <v>2621</v>
      </c>
    </row>
    <row r="98" spans="1:2" x14ac:dyDescent="0.25">
      <c r="A98" s="218"/>
      <c r="B98" s="220" t="s">
        <v>2622</v>
      </c>
    </row>
    <row r="99" spans="1:2" x14ac:dyDescent="0.25">
      <c r="A99" s="221"/>
      <c r="B99" s="222"/>
    </row>
    <row r="100" ht="15" customHeight="1" spans="1:2" x14ac:dyDescent="0.25">
      <c r="A100" s="216">
        <v>17</v>
      </c>
      <c r="B100" s="217" t="s">
        <v>2623</v>
      </c>
    </row>
    <row r="101" spans="1:2" x14ac:dyDescent="0.25">
      <c r="A101" s="218"/>
      <c r="B101" s="219" t="s">
        <v>2574</v>
      </c>
    </row>
    <row r="102" spans="1:2" x14ac:dyDescent="0.25">
      <c r="A102" s="218"/>
      <c r="B102" s="220" t="s">
        <v>2585</v>
      </c>
    </row>
    <row r="103" spans="1:2" x14ac:dyDescent="0.25">
      <c r="A103" s="218"/>
      <c r="B103" s="220" t="s">
        <v>2624</v>
      </c>
    </row>
    <row r="104" spans="1:2" x14ac:dyDescent="0.25">
      <c r="A104" s="221"/>
      <c r="B104" s="222"/>
    </row>
    <row r="105" ht="15" customHeight="1" spans="1:2" x14ac:dyDescent="0.25">
      <c r="A105" s="216">
        <v>18</v>
      </c>
      <c r="B105" s="217" t="s">
        <v>2625</v>
      </c>
    </row>
    <row r="106" spans="1:2" x14ac:dyDescent="0.25">
      <c r="A106" s="218"/>
      <c r="B106" s="219" t="s">
        <v>2574</v>
      </c>
    </row>
    <row r="107" spans="1:2" x14ac:dyDescent="0.25">
      <c r="A107" s="218"/>
      <c r="B107" s="220" t="s">
        <v>2626</v>
      </c>
    </row>
    <row r="108" spans="1:2" x14ac:dyDescent="0.25">
      <c r="A108" s="218"/>
      <c r="B108" s="220" t="s">
        <v>2627</v>
      </c>
    </row>
    <row r="109" spans="1:2" x14ac:dyDescent="0.25">
      <c r="A109" s="221"/>
      <c r="B109" s="222"/>
    </row>
    <row r="110" ht="15" customHeight="1" spans="1:2" x14ac:dyDescent="0.25">
      <c r="A110" s="216">
        <v>19</v>
      </c>
      <c r="B110" s="217" t="s">
        <v>2628</v>
      </c>
    </row>
    <row r="111" spans="1:2" x14ac:dyDescent="0.25">
      <c r="A111" s="218"/>
      <c r="B111" s="219" t="s">
        <v>2574</v>
      </c>
    </row>
    <row r="112" spans="1:2" x14ac:dyDescent="0.25">
      <c r="A112" s="218"/>
      <c r="B112" s="220" t="s">
        <v>2626</v>
      </c>
    </row>
    <row r="113" spans="1:2" x14ac:dyDescent="0.25">
      <c r="A113" s="218"/>
      <c r="B113" s="220" t="s">
        <v>2627</v>
      </c>
    </row>
    <row r="114" spans="1:2" x14ac:dyDescent="0.25">
      <c r="A114" s="221"/>
      <c r="B114" s="222"/>
    </row>
    <row r="115" ht="15" customHeight="1" spans="1:2" x14ac:dyDescent="0.25">
      <c r="A115" s="216">
        <v>20</v>
      </c>
      <c r="B115" s="217" t="s">
        <v>2629</v>
      </c>
    </row>
    <row r="116" spans="1:2" x14ac:dyDescent="0.25">
      <c r="A116" s="218"/>
      <c r="B116" s="219" t="s">
        <v>2574</v>
      </c>
    </row>
    <row r="117" spans="1:2" x14ac:dyDescent="0.25">
      <c r="A117" s="218"/>
      <c r="B117" s="220" t="s">
        <v>2599</v>
      </c>
    </row>
    <row r="118" spans="1:2" x14ac:dyDescent="0.25">
      <c r="A118" s="218"/>
      <c r="B118" s="220" t="s">
        <v>2630</v>
      </c>
    </row>
    <row r="119" spans="1:2" x14ac:dyDescent="0.25">
      <c r="A119" s="221"/>
      <c r="B119" s="222"/>
    </row>
    <row r="120" ht="15" customHeight="1" spans="1:2" x14ac:dyDescent="0.25">
      <c r="A120" s="216">
        <v>21</v>
      </c>
      <c r="B120" s="217" t="s">
        <v>2631</v>
      </c>
    </row>
    <row r="121" spans="1:2" x14ac:dyDescent="0.25">
      <c r="A121" s="218"/>
      <c r="B121" s="219" t="s">
        <v>2574</v>
      </c>
    </row>
    <row r="122" spans="1:2" x14ac:dyDescent="0.25">
      <c r="A122" s="218"/>
      <c r="B122" s="220" t="s">
        <v>2599</v>
      </c>
    </row>
    <row r="123" spans="1:2" x14ac:dyDescent="0.25">
      <c r="A123" s="218"/>
      <c r="B123" s="220" t="s">
        <v>2630</v>
      </c>
    </row>
    <row r="124" spans="1:2" x14ac:dyDescent="0.25">
      <c r="A124" s="221"/>
      <c r="B124" s="222"/>
    </row>
    <row r="125" ht="30" customHeight="1" spans="1:2" x14ac:dyDescent="0.25">
      <c r="A125" s="216">
        <v>22</v>
      </c>
      <c r="B125" s="217" t="s">
        <v>2632</v>
      </c>
    </row>
    <row r="126" spans="1:2" x14ac:dyDescent="0.25">
      <c r="A126" s="218"/>
      <c r="B126" s="219" t="s">
        <v>2574</v>
      </c>
    </row>
    <row r="127" spans="1:2" x14ac:dyDescent="0.25">
      <c r="A127" s="218"/>
      <c r="B127" s="220">
        <v>0</v>
      </c>
    </row>
    <row r="128" spans="1:2" x14ac:dyDescent="0.25">
      <c r="A128" s="218"/>
      <c r="B128" s="220"/>
    </row>
    <row r="129" spans="1:2" x14ac:dyDescent="0.25">
      <c r="A129" s="221"/>
      <c r="B129" s="222"/>
    </row>
    <row r="130" ht="15" customHeight="1" spans="1:2" x14ac:dyDescent="0.25">
      <c r="A130" s="216">
        <v>23</v>
      </c>
      <c r="B130" s="217" t="s">
        <v>2633</v>
      </c>
    </row>
    <row r="131" spans="1:2" x14ac:dyDescent="0.25">
      <c r="A131" s="218"/>
      <c r="B131" s="219" t="s">
        <v>2574</v>
      </c>
    </row>
    <row r="132" spans="1:2" x14ac:dyDescent="0.25">
      <c r="A132" s="218"/>
      <c r="B132" s="220"/>
    </row>
    <row r="133" spans="1:2" x14ac:dyDescent="0.25">
      <c r="A133" s="221"/>
      <c r="B133" s="222"/>
    </row>
    <row r="134" ht="15" customHeight="1" spans="1:2" x14ac:dyDescent="0.25">
      <c r="A134" s="224">
        <v>23</v>
      </c>
      <c r="B134" s="225" t="s">
        <v>2634</v>
      </c>
    </row>
    <row r="135" spans="1:2" x14ac:dyDescent="0.25">
      <c r="A135" s="218"/>
      <c r="B135" s="219" t="s">
        <v>2574</v>
      </c>
    </row>
    <row r="136" spans="1:2" x14ac:dyDescent="0.25">
      <c r="A136" s="218"/>
      <c r="B136" s="220"/>
    </row>
    <row r="137" spans="1:2" x14ac:dyDescent="0.25">
      <c r="A137" s="218"/>
      <c r="B137" s="220"/>
    </row>
    <row r="138" spans="1:2" x14ac:dyDescent="0.25">
      <c r="A138" s="221"/>
      <c r="B138" s="222"/>
    </row>
    <row r="141" spans="2:2" x14ac:dyDescent="0.25">
      <c r="B141" s="212" t="s">
        <v>2635</v>
      </c>
    </row>
    <row r="146" spans="2:2" x14ac:dyDescent="0.25">
      <c r="B146" s="212" t="s">
        <v>2636</v>
      </c>
    </row>
    <row r="147" spans="2:2" x14ac:dyDescent="0.25">
      <c r="B147" s="212" t="s">
        <v>2637</v>
      </c>
    </row>
  </sheetData>
  <mergeCells count="2">
    <mergeCell ref="A1:B1"/>
    <mergeCell ref="A2:B2"/>
  </mergeCells>
  <pageMargins left="0.7" right="0.7" top="0.75" bottom="0.75" header="0.3" footer="0.3"/>
  <pageSetup paperSize="9" orientation="portrait" horizontalDpi="4294967295" verticalDpi="4294967295" scale="70" fitToWidth="1" fitToHeight="0"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pageSetUpPr fitToPage="1"/>
  </sheetPr>
  <dimension ref="B1:P53"/>
  <sheetViews>
    <sheetView workbookViewId="0" showGridLines="0" zoomScale="100" zoomScaleNormal="100">
      <selection activeCell="E16" sqref="E16"/>
    </sheetView>
  </sheetViews>
  <sheetFormatPr defaultRowHeight="15" outlineLevelRow="0" outlineLevelCol="0" x14ac:dyDescent="0.2" defaultColWidth="8.83203125"/>
  <cols>
    <col min="3" max="3" width="11.83203125" customWidth="1"/>
    <col min="4" max="4" width="34.5" customWidth="1"/>
    <col min="5" max="5" width="22.83203125" customWidth="1"/>
    <col min="6" max="6" width="10.33203125" customWidth="1"/>
    <col min="7" max="7" width="24.83203125" customWidth="1"/>
    <col min="8" max="8" width="9.83203125" customWidth="1"/>
    <col min="9" max="9" width="10.33203125" customWidth="1"/>
    <col min="10" max="10" width="12.1640625" customWidth="1"/>
    <col min="11" max="11" width="17.5" customWidth="1"/>
    <col min="12" max="12" width="12.1640625" customWidth="1"/>
    <col min="13" max="13" width="12.33203125" customWidth="1"/>
    <col min="14" max="14" width="16.1640625" customWidth="1"/>
    <col min="15" max="15" width="21.1640625" customWidth="1"/>
  </cols>
  <sheetData>
    <row r="1" ht="16" customHeight="1" spans="2:2" x14ac:dyDescent="0.25">
      <c r="B1" s="4" t="s">
        <v>2875</v>
      </c>
    </row>
    <row r="2" ht="25.5" customHeight="1" spans="2:16" x14ac:dyDescent="0.25">
      <c r="B2" s="455" t="s">
        <v>2876</v>
      </c>
      <c r="C2" s="456" t="s">
        <v>2877</v>
      </c>
      <c r="D2" s="456" t="s">
        <v>2878</v>
      </c>
      <c r="E2" s="457" t="s">
        <v>2542</v>
      </c>
      <c r="F2" s="457" t="s">
        <v>2784</v>
      </c>
      <c r="G2" s="457" t="s">
        <v>2785</v>
      </c>
      <c r="H2" s="457" t="s">
        <v>2543</v>
      </c>
      <c r="I2" s="458" t="s">
        <v>2879</v>
      </c>
      <c r="J2" s="458" t="s">
        <v>2880</v>
      </c>
      <c r="K2" s="458" t="s">
        <v>2881</v>
      </c>
      <c r="L2" s="458" t="s">
        <v>2882</v>
      </c>
      <c r="M2" s="458" t="s">
        <v>2883</v>
      </c>
      <c r="N2" s="458" t="s">
        <v>2884</v>
      </c>
      <c r="O2" s="458" t="s">
        <v>2885</v>
      </c>
      <c r="P2" s="459" t="s">
        <v>2886</v>
      </c>
    </row>
    <row r="3" ht="16" customHeight="1" spans="2:16" x14ac:dyDescent="0.25">
      <c r="B3" s="460"/>
      <c r="C3" s="202"/>
      <c r="D3" s="202"/>
      <c r="E3" s="112"/>
      <c r="F3" s="112"/>
      <c r="G3" s="112"/>
      <c r="H3" s="112"/>
      <c r="I3" s="461" t="s">
        <v>2887</v>
      </c>
      <c r="J3" s="461"/>
      <c r="K3" s="461"/>
      <c r="L3" s="461"/>
      <c r="M3" s="461"/>
      <c r="N3" s="461"/>
      <c r="O3" s="461"/>
      <c r="P3" s="462"/>
    </row>
    <row r="4" spans="2:16" x14ac:dyDescent="0.25">
      <c r="B4" s="460"/>
      <c r="C4" s="202" t="s">
        <v>2888</v>
      </c>
      <c r="D4" s="202" t="s">
        <v>2889</v>
      </c>
      <c r="E4" s="463">
        <f>'FINANCIAL RATIO'!F20</f>
        <v>0.1453914874904027</v>
      </c>
      <c r="F4" s="464">
        <f>'FINANCIAL RATIO'!F10</f>
        <v>0.172606916424753</v>
      </c>
      <c r="G4" s="464">
        <f>'FINANCIAL RATIO'!F11</f>
        <v>0.19770249274900178</v>
      </c>
      <c r="H4" s="464">
        <f>'FINANCIAL RATIO'!F9</f>
        <v>0.09511572071956491</v>
      </c>
      <c r="I4" s="465"/>
      <c r="J4" s="466"/>
      <c r="K4" s="466"/>
      <c r="L4" s="466"/>
      <c r="M4" s="466"/>
      <c r="N4" s="110"/>
      <c r="O4" s="110"/>
      <c r="P4" s="335"/>
    </row>
    <row r="5" spans="2:16" x14ac:dyDescent="0.25">
      <c r="B5" s="332">
        <v>1</v>
      </c>
      <c r="C5" s="203" t="s">
        <v>86</v>
      </c>
      <c r="D5" s="203" t="str">
        <f t="shared" ref="D5:D24" si="0">IFERROR(VLOOKUP(C5,EMITEN,2,FALSE),"")</f>
        <v>Alkindo Naratama Tbk</v>
      </c>
      <c r="E5" s="467">
        <v>1.15</v>
      </c>
      <c r="F5" s="464">
        <v>0.0086</v>
      </c>
      <c r="G5" s="464">
        <v>0.0184</v>
      </c>
      <c r="H5" s="464">
        <v>0.0125</v>
      </c>
      <c r="I5" s="468"/>
      <c r="J5" s="469">
        <f t="shared" ref="J5:M6" si="1">IF(AND(E5&gt;=E$33*-1,E5&lt;=E$34),1,0)</f>
        <v>0</v>
      </c>
      <c r="K5" s="469">
        <f t="shared" si="1"/>
        <v>1</v>
      </c>
      <c r="L5" s="469">
        <f t="shared" si="1"/>
        <v>1</v>
      </c>
      <c r="M5" s="469">
        <f t="shared" si="1"/>
        <v>1</v>
      </c>
      <c r="N5" s="470"/>
      <c r="O5" s="470">
        <f>SUM(J5:M5)</f>
        <v>3</v>
      </c>
      <c r="P5" s="471">
        <f>IF(O5=$E$35,C5,"")</f>
      </c>
    </row>
    <row r="6" spans="2:16" x14ac:dyDescent="0.25">
      <c r="B6" s="332">
        <f>+B5+1</f>
        <v>2</v>
      </c>
      <c r="C6" s="203" t="s">
        <v>90</v>
      </c>
      <c r="D6" s="203" t="str">
        <f t="shared" si="0"/>
        <v>Alakasa Industrindo Tbk</v>
      </c>
      <c r="E6" s="467">
        <v>1.89</v>
      </c>
      <c r="F6" s="464">
        <v>0.0854</v>
      </c>
      <c r="G6" s="464">
        <v>0.25</v>
      </c>
      <c r="H6" s="464">
        <v>0.0279</v>
      </c>
      <c r="I6" s="468"/>
      <c r="J6" s="469">
        <f t="shared" si="1"/>
        <v>0</v>
      </c>
      <c r="K6" s="469">
        <f t="shared" si="1"/>
        <v>0</v>
      </c>
      <c r="L6" s="469">
        <f t="shared" si="1"/>
        <v>0</v>
      </c>
      <c r="M6" s="469">
        <f t="shared" si="1"/>
        <v>1</v>
      </c>
      <c r="N6" s="470"/>
      <c r="O6" s="470">
        <f>SUM(J6:M6)</f>
        <v>1</v>
      </c>
      <c r="P6" s="471">
        <f>IF(O6=$E$35,C6,"")</f>
      </c>
    </row>
    <row r="7" spans="2:16" x14ac:dyDescent="0.25">
      <c r="B7" s="332">
        <f t="shared" ref="B7:B24" si="2">+B6+1</f>
        <v>3</v>
      </c>
      <c r="C7" s="203" t="s">
        <v>108</v>
      </c>
      <c r="D7" s="203" t="str">
        <f t="shared" si="0"/>
        <v>PT Amman Mineral Internasional Tbk.</v>
      </c>
      <c r="E7" s="467">
        <v>0.44</v>
      </c>
      <c r="F7" s="464">
        <v>0.0526</v>
      </c>
      <c r="G7" s="464">
        <v>0.0985</v>
      </c>
      <c r="H7" s="464">
        <v>0.38</v>
      </c>
      <c r="I7" s="468"/>
      <c r="J7" s="469">
        <f t="shared" ref="J7:J24" si="3">IF(AND(E7&gt;=E$33*-1,E7&lt;=E$34),1,0)</f>
        <v>1</v>
      </c>
      <c r="K7" s="469">
        <f t="shared" ref="K7:K24" si="4">IF(AND(F7&gt;=F$33*-1,F7&lt;=F$34),1,0)</f>
        <v>1</v>
      </c>
      <c r="L7" s="469">
        <f t="shared" ref="L7:L24" si="5">IF(AND(G7&gt;=G$33*-1,G7&lt;=G$34),1,0)</f>
        <v>1</v>
      </c>
      <c r="M7" s="469">
        <f t="shared" ref="M7:M24" si="6">IF(AND(H7&gt;=H$33*-1,H7&lt;=H$34),1,0)</f>
        <v>0</v>
      </c>
      <c r="N7" s="470"/>
      <c r="O7" s="470">
        <f t="shared" ref="O7:O24" si="7">SUM(J7:M7)</f>
        <v>3</v>
      </c>
      <c r="P7" s="471">
        <f t="shared" ref="P7:P24" si="8">IF(O7=$E$35,C7,"")</f>
      </c>
    </row>
    <row r="8" spans="2:16" x14ac:dyDescent="0.25">
      <c r="B8" s="332">
        <f t="shared" si="2"/>
        <v>4</v>
      </c>
      <c r="C8" s="203" t="s">
        <v>123</v>
      </c>
      <c r="D8" s="203" t="str">
        <f t="shared" si="0"/>
        <v>Aneka Tambang Tbk.</v>
      </c>
      <c r="E8" s="467">
        <v>0.44</v>
      </c>
      <c r="F8" s="464">
        <v>0.11</v>
      </c>
      <c r="G8" s="464">
        <v>0.16</v>
      </c>
      <c r="H8" s="464">
        <v>0.13</v>
      </c>
      <c r="I8" s="468"/>
      <c r="J8" s="469">
        <f t="shared" si="3"/>
        <v>1</v>
      </c>
      <c r="K8" s="469">
        <f t="shared" si="4"/>
        <v>0</v>
      </c>
      <c r="L8" s="469">
        <f t="shared" si="5"/>
        <v>0</v>
      </c>
      <c r="M8" s="469">
        <f t="shared" si="6"/>
        <v>1</v>
      </c>
      <c r="N8" s="470"/>
      <c r="O8" s="470">
        <f t="shared" si="7"/>
        <v>2</v>
      </c>
      <c r="P8" s="471">
        <f t="shared" si="8"/>
      </c>
    </row>
    <row r="9" spans="2:16" x14ac:dyDescent="0.25">
      <c r="B9" s="332">
        <f t="shared" si="2"/>
        <v>5</v>
      </c>
      <c r="C9" s="203" t="s">
        <v>133</v>
      </c>
      <c r="D9" s="203" t="str">
        <f t="shared" si="0"/>
        <v>Asiaplast Industries Tbk</v>
      </c>
      <c r="E9" s="467">
        <v>0.51</v>
      </c>
      <c r="F9" s="464">
        <v>0.12</v>
      </c>
      <c r="G9" s="464">
        <v>0.18</v>
      </c>
      <c r="H9" s="464">
        <v>0.16</v>
      </c>
      <c r="I9" s="468"/>
      <c r="J9" s="469">
        <f t="shared" si="3"/>
        <v>1</v>
      </c>
      <c r="K9" s="469">
        <f t="shared" si="4"/>
        <v>0</v>
      </c>
      <c r="L9" s="469">
        <f t="shared" si="5"/>
        <v>0</v>
      </c>
      <c r="M9" s="469">
        <f t="shared" si="6"/>
        <v>0</v>
      </c>
      <c r="N9" s="470"/>
      <c r="O9" s="470">
        <f t="shared" si="7"/>
        <v>1</v>
      </c>
      <c r="P9" s="471">
        <f t="shared" si="8"/>
      </c>
    </row>
    <row r="10" spans="2:16" x14ac:dyDescent="0.25">
      <c r="B10" s="332">
        <f t="shared" si="2"/>
        <v>6</v>
      </c>
      <c r="C10" s="203" t="s">
        <v>138</v>
      </c>
      <c r="D10" s="203" t="str">
        <f t="shared" si="0"/>
        <v>PT Archi Indonesia Tbk</v>
      </c>
      <c r="E10" s="467">
        <v>2.06</v>
      </c>
      <c r="F10" s="464">
        <v>0.0134</v>
      </c>
      <c r="G10" s="464">
        <v>0.0409</v>
      </c>
      <c r="H10" s="464">
        <v>0.061</v>
      </c>
      <c r="I10" s="468"/>
      <c r="J10" s="469">
        <f t="shared" si="3"/>
        <v>0</v>
      </c>
      <c r="K10" s="469">
        <f t="shared" si="4"/>
        <v>1</v>
      </c>
      <c r="L10" s="469">
        <f t="shared" si="5"/>
        <v>1</v>
      </c>
      <c r="M10" s="469">
        <f t="shared" si="6"/>
        <v>1</v>
      </c>
      <c r="N10" s="470"/>
      <c r="O10" s="470">
        <f t="shared" si="7"/>
        <v>3</v>
      </c>
      <c r="P10" s="471">
        <f t="shared" si="8"/>
      </c>
    </row>
    <row r="11" spans="2:16" x14ac:dyDescent="0.25">
      <c r="B11" s="332">
        <f t="shared" si="2"/>
        <v>7</v>
      </c>
      <c r="C11" s="203" t="s">
        <v>2203</v>
      </c>
      <c r="D11" s="203" t="str">
        <f t="shared" si="0"/>
        <v>Yanaprima Hastapersada Tbk</v>
      </c>
      <c r="E11" s="467">
        <v>1.04</v>
      </c>
      <c r="F11" s="464">
        <v>0.0435</v>
      </c>
      <c r="G11" s="464">
        <v>0.0887</v>
      </c>
      <c r="H11" s="464">
        <v>0.0428</v>
      </c>
      <c r="I11" s="468"/>
      <c r="J11" s="469">
        <f t="shared" si="3"/>
        <v>0</v>
      </c>
      <c r="K11" s="469">
        <f t="shared" si="4"/>
        <v>1</v>
      </c>
      <c r="L11" s="469">
        <f t="shared" si="5"/>
        <v>1</v>
      </c>
      <c r="M11" s="469">
        <f t="shared" si="6"/>
        <v>1</v>
      </c>
      <c r="N11" s="470"/>
      <c r="O11" s="470">
        <f t="shared" si="7"/>
        <v>3</v>
      </c>
      <c r="P11" s="471">
        <f t="shared" si="8"/>
      </c>
    </row>
    <row r="12" spans="2:16" x14ac:dyDescent="0.25">
      <c r="B12" s="332">
        <f t="shared" si="2"/>
        <v>8</v>
      </c>
      <c r="C12" s="203" t="s">
        <v>508</v>
      </c>
      <c r="D12" s="203" t="str">
        <f t="shared" si="0"/>
        <v>PT Chemstar Indonesia Tbk</v>
      </c>
      <c r="E12" s="467">
        <v>0.28</v>
      </c>
      <c r="F12" s="464">
        <v>0.0205</v>
      </c>
      <c r="G12" s="464">
        <v>0.0261</v>
      </c>
      <c r="H12" s="464">
        <v>0.0343</v>
      </c>
      <c r="I12" s="472"/>
      <c r="J12" s="469">
        <f t="shared" si="3"/>
        <v>1</v>
      </c>
      <c r="K12" s="469">
        <f t="shared" si="4"/>
        <v>1</v>
      </c>
      <c r="L12" s="469">
        <f t="shared" si="5"/>
        <v>1</v>
      </c>
      <c r="M12" s="469">
        <f t="shared" si="6"/>
        <v>1</v>
      </c>
      <c r="N12" s="470"/>
      <c r="O12" s="470">
        <f t="shared" si="7"/>
        <v>4</v>
      </c>
      <c r="P12" s="471" t="str">
        <f t="shared" si="8"/>
        <v>CHEM</v>
      </c>
    </row>
    <row r="13" spans="2:16" x14ac:dyDescent="0.25">
      <c r="B13" s="332">
        <f t="shared" si="2"/>
        <v>9</v>
      </c>
      <c r="C13" s="203" t="s">
        <v>514</v>
      </c>
      <c r="D13" s="203" t="str">
        <f t="shared" si="0"/>
        <v>Cita Mineral Investindo Tbk</v>
      </c>
      <c r="E13" s="467">
        <v>0.19</v>
      </c>
      <c r="F13" s="464">
        <v>0.082</v>
      </c>
      <c r="G13" s="464">
        <v>0.098</v>
      </c>
      <c r="H13" s="464">
        <v>0.17</v>
      </c>
      <c r="I13" s="468"/>
      <c r="J13" s="469">
        <f t="shared" si="3"/>
        <v>1</v>
      </c>
      <c r="K13" s="469">
        <f t="shared" si="4"/>
        <v>0</v>
      </c>
      <c r="L13" s="469">
        <f t="shared" si="5"/>
        <v>1</v>
      </c>
      <c r="M13" s="469">
        <f t="shared" si="6"/>
        <v>0</v>
      </c>
      <c r="N13" s="470"/>
      <c r="O13" s="470">
        <f t="shared" si="7"/>
        <v>2</v>
      </c>
      <c r="P13" s="471">
        <f t="shared" si="8"/>
      </c>
    </row>
    <row r="14" spans="2:16" x14ac:dyDescent="0.25">
      <c r="B14" s="332">
        <f t="shared" si="2"/>
        <v>10</v>
      </c>
      <c r="C14" s="203" t="s">
        <v>523</v>
      </c>
      <c r="D14" s="203" t="str">
        <f t="shared" si="0"/>
        <v>Colorpak Indonesia Tbk</v>
      </c>
      <c r="E14" s="467">
        <v>0.38</v>
      </c>
      <c r="F14" s="464">
        <v>0.0563</v>
      </c>
      <c r="G14" s="464">
        <v>0.0777</v>
      </c>
      <c r="H14" s="464">
        <v>0.0706</v>
      </c>
      <c r="I14" s="472"/>
      <c r="J14" s="469">
        <f t="shared" si="3"/>
        <v>1</v>
      </c>
      <c r="K14" s="469">
        <f t="shared" si="4"/>
        <v>1</v>
      </c>
      <c r="L14" s="469">
        <f t="shared" si="5"/>
        <v>1</v>
      </c>
      <c r="M14" s="469">
        <f t="shared" si="6"/>
        <v>1</v>
      </c>
      <c r="N14" s="470"/>
      <c r="O14" s="470">
        <f t="shared" si="7"/>
        <v>4</v>
      </c>
      <c r="P14" s="471" t="str">
        <f t="shared" si="8"/>
        <v>CLPI</v>
      </c>
    </row>
    <row r="15" spans="2:16" x14ac:dyDescent="0.25">
      <c r="B15" s="332">
        <f t="shared" si="2"/>
        <v>11</v>
      </c>
      <c r="C15" s="203" t="s">
        <v>527</v>
      </c>
      <c r="D15" s="203" t="str">
        <f t="shared" si="0"/>
        <v>PT Cemindo Gemilang Tbk</v>
      </c>
      <c r="E15" s="467">
        <v>3.45</v>
      </c>
      <c r="F15" s="464">
        <v>0.0064</v>
      </c>
      <c r="G15" s="464">
        <v>0.0284</v>
      </c>
      <c r="H15" s="464">
        <v>0.0167</v>
      </c>
      <c r="I15" s="468"/>
      <c r="J15" s="469">
        <f t="shared" si="3"/>
        <v>0</v>
      </c>
      <c r="K15" s="469">
        <f t="shared" si="4"/>
        <v>1</v>
      </c>
      <c r="L15" s="469">
        <f t="shared" si="5"/>
        <v>1</v>
      </c>
      <c r="M15" s="469">
        <f t="shared" si="6"/>
        <v>1</v>
      </c>
      <c r="N15" s="470"/>
      <c r="O15" s="470">
        <f t="shared" si="7"/>
        <v>3</v>
      </c>
      <c r="P15" s="471">
        <f t="shared" si="8"/>
      </c>
    </row>
    <row r="16" spans="2:16" x14ac:dyDescent="0.25">
      <c r="B16" s="332">
        <f t="shared" si="2"/>
        <v>12</v>
      </c>
      <c r="C16" s="203" t="s">
        <v>573</v>
      </c>
      <c r="D16" s="203" t="str">
        <f t="shared" si="0"/>
        <v>Citra Tubindo Tbk</v>
      </c>
      <c r="E16" s="467">
        <v>0.7</v>
      </c>
      <c r="F16" s="464">
        <v>0.048</v>
      </c>
      <c r="G16" s="464">
        <v>0.0819</v>
      </c>
      <c r="H16" s="464">
        <v>0.0519</v>
      </c>
      <c r="I16" s="472"/>
      <c r="J16" s="469">
        <f t="shared" si="3"/>
        <v>1</v>
      </c>
      <c r="K16" s="469">
        <f t="shared" si="4"/>
        <v>1</v>
      </c>
      <c r="L16" s="469">
        <f t="shared" si="5"/>
        <v>1</v>
      </c>
      <c r="M16" s="469">
        <f t="shared" si="6"/>
        <v>1</v>
      </c>
      <c r="N16" s="470"/>
      <c r="O16" s="470">
        <f t="shared" si="7"/>
        <v>4</v>
      </c>
      <c r="P16" s="471" t="str">
        <f t="shared" si="8"/>
        <v>CTBN</v>
      </c>
    </row>
    <row r="17" spans="2:16" x14ac:dyDescent="0.25">
      <c r="B17" s="332">
        <f t="shared" si="2"/>
        <v>13</v>
      </c>
      <c r="C17" s="203" t="s">
        <v>650</v>
      </c>
      <c r="D17" s="203" t="str">
        <f t="shared" si="0"/>
        <v>Duta Pertiwi Nusantara Tbk</v>
      </c>
      <c r="E17" s="467">
        <v>0.18</v>
      </c>
      <c r="F17" s="464">
        <v>0.0414</v>
      </c>
      <c r="G17" s="464">
        <v>0.0487</v>
      </c>
      <c r="H17" s="464">
        <v>0.19</v>
      </c>
      <c r="I17" s="468"/>
      <c r="J17" s="469">
        <f t="shared" si="3"/>
        <v>1</v>
      </c>
      <c r="K17" s="469">
        <f t="shared" si="4"/>
        <v>1</v>
      </c>
      <c r="L17" s="469">
        <f t="shared" si="5"/>
        <v>1</v>
      </c>
      <c r="M17" s="469">
        <f t="shared" si="6"/>
        <v>0</v>
      </c>
      <c r="N17" s="470"/>
      <c r="O17" s="470">
        <f t="shared" si="7"/>
        <v>3</v>
      </c>
      <c r="P17" s="471">
        <f t="shared" si="8"/>
      </c>
    </row>
    <row r="18" spans="2:16" x14ac:dyDescent="0.25">
      <c r="B18" s="332">
        <f t="shared" si="2"/>
        <v>14</v>
      </c>
      <c r="C18" s="203" t="s">
        <v>724</v>
      </c>
      <c r="D18" s="203" t="str">
        <f t="shared" si="0"/>
        <v>ESSA Industries Indonesia Tbk</v>
      </c>
      <c r="E18" s="467">
        <v>0.4</v>
      </c>
      <c r="F18" s="464">
        <v>0.0613</v>
      </c>
      <c r="G18" s="464">
        <v>0.0858</v>
      </c>
      <c r="H18" s="464">
        <v>0.2</v>
      </c>
      <c r="I18" s="468"/>
      <c r="J18" s="469">
        <f t="shared" si="3"/>
        <v>1</v>
      </c>
      <c r="K18" s="469">
        <f t="shared" si="4"/>
        <v>1</v>
      </c>
      <c r="L18" s="469">
        <f t="shared" si="5"/>
        <v>1</v>
      </c>
      <c r="M18" s="469">
        <f t="shared" si="6"/>
        <v>0</v>
      </c>
      <c r="N18" s="470"/>
      <c r="O18" s="470">
        <f t="shared" si="7"/>
        <v>3</v>
      </c>
      <c r="P18" s="471">
        <f t="shared" si="8"/>
      </c>
    </row>
    <row r="19" spans="2:16" x14ac:dyDescent="0.25">
      <c r="B19" s="332">
        <f t="shared" si="2"/>
        <v>15</v>
      </c>
      <c r="C19" s="203" t="s">
        <v>772</v>
      </c>
      <c r="D19" s="203" t="str">
        <f t="shared" si="0"/>
        <v>PT Lotte Chemical Titan Tbk.</v>
      </c>
      <c r="E19" s="467">
        <v>0.38</v>
      </c>
      <c r="F19" s="464">
        <v>0.0226</v>
      </c>
      <c r="G19" s="464">
        <v>0.0313</v>
      </c>
      <c r="H19" s="464">
        <v>0.0119</v>
      </c>
      <c r="I19" s="468"/>
      <c r="J19" s="469">
        <f t="shared" si="3"/>
        <v>1</v>
      </c>
      <c r="K19" s="469">
        <f t="shared" si="4"/>
        <v>1</v>
      </c>
      <c r="L19" s="469">
        <f t="shared" si="5"/>
        <v>1</v>
      </c>
      <c r="M19" s="469">
        <f t="shared" si="6"/>
        <v>1</v>
      </c>
      <c r="N19" s="470"/>
      <c r="O19" s="470">
        <f t="shared" si="7"/>
        <v>4</v>
      </c>
      <c r="P19" s="471" t="str">
        <f t="shared" si="8"/>
        <v>FPNI</v>
      </c>
    </row>
    <row r="20" spans="2:16" x14ac:dyDescent="0.25">
      <c r="B20" s="332">
        <f t="shared" si="2"/>
        <v>16</v>
      </c>
      <c r="C20" s="203" t="s">
        <v>782</v>
      </c>
      <c r="D20" s="203" t="str">
        <f t="shared" si="0"/>
        <v>Gunawan Dianjaya Steel Tbk</v>
      </c>
      <c r="E20" s="467">
        <v>0.77</v>
      </c>
      <c r="F20" s="464">
        <v>0.11</v>
      </c>
      <c r="G20" s="464">
        <v>0.19</v>
      </c>
      <c r="H20" s="464">
        <v>0.13</v>
      </c>
      <c r="I20" s="468"/>
      <c r="J20" s="469">
        <f t="shared" si="3"/>
        <v>0</v>
      </c>
      <c r="K20" s="469">
        <f t="shared" si="4"/>
        <v>0</v>
      </c>
      <c r="L20" s="469">
        <f t="shared" si="5"/>
        <v>0</v>
      </c>
      <c r="M20" s="469">
        <f t="shared" si="6"/>
        <v>1</v>
      </c>
      <c r="N20" s="470"/>
      <c r="O20" s="470">
        <f t="shared" si="7"/>
        <v>1</v>
      </c>
      <c r="P20" s="471">
        <f t="shared" si="8"/>
      </c>
    </row>
    <row r="21" spans="2:16" x14ac:dyDescent="0.25">
      <c r="B21" s="332">
        <f t="shared" si="2"/>
        <v>17</v>
      </c>
      <c r="C21" s="203" t="s">
        <v>1012</v>
      </c>
      <c r="D21" s="203" t="str">
        <f t="shared" si="0"/>
        <v>Indocement Tunggal Prakarsa Tbk</v>
      </c>
      <c r="E21" s="467">
        <v>0.27</v>
      </c>
      <c r="F21" s="464">
        <v>0.0839</v>
      </c>
      <c r="G21" s="464">
        <v>0.11</v>
      </c>
      <c r="H21" s="464">
        <v>0.17</v>
      </c>
      <c r="I21" s="468"/>
      <c r="J21" s="469">
        <f t="shared" si="3"/>
        <v>1</v>
      </c>
      <c r="K21" s="469">
        <f t="shared" si="4"/>
        <v>0</v>
      </c>
      <c r="L21" s="469">
        <f t="shared" si="5"/>
        <v>1</v>
      </c>
      <c r="M21" s="469">
        <f t="shared" si="6"/>
        <v>0</v>
      </c>
      <c r="N21" s="470"/>
      <c r="O21" s="470">
        <f t="shared" si="7"/>
        <v>2</v>
      </c>
      <c r="P21" s="471">
        <f t="shared" si="8"/>
      </c>
    </row>
    <row r="22" spans="2:16" x14ac:dyDescent="0.25">
      <c r="B22" s="332">
        <f t="shared" si="2"/>
        <v>18</v>
      </c>
      <c r="C22" s="203" t="s">
        <v>1519</v>
      </c>
      <c r="D22" s="203" t="str">
        <f t="shared" si="0"/>
        <v>PT OBM Drilchem Tbk</v>
      </c>
      <c r="E22" s="467">
        <v>0.19</v>
      </c>
      <c r="F22" s="464">
        <v>0.17</v>
      </c>
      <c r="G22" s="464">
        <v>0.21</v>
      </c>
      <c r="H22" s="464">
        <v>0.25</v>
      </c>
      <c r="I22" s="468"/>
      <c r="J22" s="469">
        <f t="shared" si="3"/>
        <v>1</v>
      </c>
      <c r="K22" s="469">
        <f t="shared" si="4"/>
        <v>0</v>
      </c>
      <c r="L22" s="469">
        <f t="shared" si="5"/>
        <v>0</v>
      </c>
      <c r="M22" s="469">
        <f t="shared" si="6"/>
        <v>0</v>
      </c>
      <c r="N22" s="470"/>
      <c r="O22" s="470">
        <f t="shared" si="7"/>
        <v>1</v>
      </c>
      <c r="P22" s="471">
        <f t="shared" si="8"/>
      </c>
    </row>
    <row r="23" spans="2:16" x14ac:dyDescent="0.25">
      <c r="B23" s="332">
        <f t="shared" si="2"/>
        <v>19</v>
      </c>
      <c r="C23" s="203" t="s">
        <v>1558</v>
      </c>
      <c r="D23" s="203" t="str">
        <f t="shared" si="0"/>
        <v>PT Panca Budi Idaman Tbk</v>
      </c>
      <c r="E23" s="467">
        <v>0.17</v>
      </c>
      <c r="F23" s="464">
        <v>0.11</v>
      </c>
      <c r="G23" s="464">
        <v>0.13</v>
      </c>
      <c r="H23" s="464">
        <v>0.0968</v>
      </c>
      <c r="I23" s="468"/>
      <c r="J23" s="469">
        <f t="shared" si="3"/>
        <v>1</v>
      </c>
      <c r="K23" s="469">
        <f t="shared" si="4"/>
        <v>0</v>
      </c>
      <c r="L23" s="469">
        <f t="shared" si="5"/>
        <v>1</v>
      </c>
      <c r="M23" s="469">
        <f t="shared" si="6"/>
        <v>1</v>
      </c>
      <c r="N23" s="470"/>
      <c r="O23" s="470">
        <f t="shared" si="7"/>
        <v>3</v>
      </c>
      <c r="P23" s="471">
        <f t="shared" si="8"/>
      </c>
    </row>
    <row r="24" spans="2:16" x14ac:dyDescent="0.25">
      <c r="B24" s="332">
        <f t="shared" si="2"/>
        <v>20</v>
      </c>
      <c r="C24" s="203" t="s">
        <v>1570</v>
      </c>
      <c r="D24" s="203" t="str">
        <f t="shared" si="0"/>
        <v>PT Primadaya Plastisindo Tbk</v>
      </c>
      <c r="E24" s="467">
        <v>0.34</v>
      </c>
      <c r="F24" s="337">
        <v>0.05</v>
      </c>
      <c r="G24" s="464">
        <v>0.0688</v>
      </c>
      <c r="H24" s="464">
        <v>0.12</v>
      </c>
      <c r="I24" s="468"/>
      <c r="J24" s="469">
        <f t="shared" si="3"/>
        <v>1</v>
      </c>
      <c r="K24" s="469">
        <f t="shared" si="4"/>
        <v>1</v>
      </c>
      <c r="L24" s="469">
        <f t="shared" si="5"/>
        <v>1</v>
      </c>
      <c r="M24" s="469">
        <f t="shared" si="6"/>
        <v>1</v>
      </c>
      <c r="N24" s="470"/>
      <c r="O24" s="470">
        <f t="shared" si="7"/>
        <v>4</v>
      </c>
      <c r="P24" s="471" t="str">
        <f t="shared" si="8"/>
        <v>PDPP</v>
      </c>
    </row>
    <row r="25" spans="2:16" x14ac:dyDescent="0.25">
      <c r="B25" s="332"/>
      <c r="C25" s="203"/>
      <c r="D25" s="203"/>
      <c r="E25" s="467"/>
      <c r="F25" s="337"/>
      <c r="G25" s="337"/>
      <c r="H25" s="337"/>
      <c r="I25" s="468"/>
      <c r="J25" s="469">
        <f t="shared" ref="J25:M29" si="9">IF(AND(E25&gt;=E$33*-1,E25&lt;=E$34),1,0)</f>
        <v>0</v>
      </c>
      <c r="K25" s="469">
        <f t="shared" si="9"/>
        <v>1</v>
      </c>
      <c r="L25" s="469">
        <f t="shared" si="9"/>
        <v>1</v>
      </c>
      <c r="M25" s="469">
        <f t="shared" si="9"/>
        <v>1</v>
      </c>
      <c r="N25" s="470"/>
      <c r="O25" s="470">
        <f>SUM(J25:M25)</f>
        <v>3</v>
      </c>
      <c r="P25" s="471">
        <f>IF(O25=$E$35,C25,"")</f>
      </c>
    </row>
    <row r="26" spans="2:16" x14ac:dyDescent="0.25">
      <c r="B26" s="332"/>
      <c r="C26" s="203"/>
      <c r="D26" s="203"/>
      <c r="E26" s="467"/>
      <c r="F26" s="337"/>
      <c r="G26" s="337"/>
      <c r="H26" s="337"/>
      <c r="I26" s="468"/>
      <c r="J26" s="469">
        <f t="shared" si="9"/>
        <v>0</v>
      </c>
      <c r="K26" s="469">
        <f t="shared" si="9"/>
        <v>1</v>
      </c>
      <c r="L26" s="469">
        <f t="shared" si="9"/>
        <v>1</v>
      </c>
      <c r="M26" s="469">
        <f t="shared" si="9"/>
        <v>1</v>
      </c>
      <c r="N26" s="470"/>
      <c r="O26" s="470">
        <f>SUM(J26:M26)</f>
        <v>3</v>
      </c>
      <c r="P26" s="471">
        <f>IF(O26=$E$35,C26,"")</f>
      </c>
    </row>
    <row r="27" spans="2:16" x14ac:dyDescent="0.25">
      <c r="B27" s="332"/>
      <c r="C27" s="203"/>
      <c r="D27" s="203"/>
      <c r="E27" s="467"/>
      <c r="F27" s="337"/>
      <c r="G27" s="337"/>
      <c r="H27" s="337"/>
      <c r="I27" s="468"/>
      <c r="J27" s="469">
        <f t="shared" si="9"/>
        <v>0</v>
      </c>
      <c r="K27" s="469">
        <f t="shared" si="9"/>
        <v>1</v>
      </c>
      <c r="L27" s="469">
        <f t="shared" si="9"/>
        <v>1</v>
      </c>
      <c r="M27" s="469">
        <f t="shared" si="9"/>
        <v>1</v>
      </c>
      <c r="N27" s="470"/>
      <c r="O27" s="470">
        <f>SUM(J27:M27)</f>
        <v>3</v>
      </c>
      <c r="P27" s="471">
        <f>IF(O27=$E$35,C27,"")</f>
      </c>
    </row>
    <row r="28" spans="2:16" x14ac:dyDescent="0.25">
      <c r="B28" s="332"/>
      <c r="C28" s="203"/>
      <c r="D28" s="203"/>
      <c r="E28" s="467"/>
      <c r="F28" s="337"/>
      <c r="G28" s="337"/>
      <c r="H28" s="337"/>
      <c r="I28" s="468"/>
      <c r="J28" s="469">
        <f t="shared" si="9"/>
        <v>0</v>
      </c>
      <c r="K28" s="469">
        <f t="shared" si="9"/>
        <v>1</v>
      </c>
      <c r="L28" s="469">
        <f t="shared" si="9"/>
        <v>1</v>
      </c>
      <c r="M28" s="469">
        <f t="shared" si="9"/>
        <v>1</v>
      </c>
      <c r="N28" s="470"/>
      <c r="O28" s="470">
        <f>SUM(J28:M28)</f>
        <v>3</v>
      </c>
      <c r="P28" s="473">
        <f>IF(O28=$E$35,C28,"")</f>
      </c>
    </row>
    <row r="29" spans="2:16" x14ac:dyDescent="0.25">
      <c r="B29" s="332"/>
      <c r="C29" s="203"/>
      <c r="D29" s="203"/>
      <c r="E29" s="467"/>
      <c r="F29" s="337"/>
      <c r="G29" s="337"/>
      <c r="H29" s="337"/>
      <c r="I29" s="468"/>
      <c r="J29" s="469">
        <f t="shared" si="9"/>
        <v>0</v>
      </c>
      <c r="K29" s="469">
        <f t="shared" si="9"/>
        <v>1</v>
      </c>
      <c r="L29" s="469">
        <f t="shared" si="9"/>
        <v>1</v>
      </c>
      <c r="M29" s="469">
        <f t="shared" si="9"/>
        <v>1</v>
      </c>
      <c r="N29" s="470"/>
      <c r="O29" s="470">
        <f>SUM(J29:M29)</f>
        <v>3</v>
      </c>
      <c r="P29" s="473">
        <f>IF(O29=$E$35,C29,"")</f>
      </c>
    </row>
    <row r="30" spans="2:16" x14ac:dyDescent="0.25">
      <c r="B30" s="332"/>
      <c r="C30" s="203"/>
      <c r="D30" s="203"/>
      <c r="E30" s="474"/>
      <c r="F30" s="474"/>
      <c r="G30" s="474"/>
      <c r="H30" s="474"/>
      <c r="I30" s="475"/>
      <c r="J30" s="476"/>
      <c r="K30" s="476"/>
      <c r="L30" s="476"/>
      <c r="M30" s="476"/>
      <c r="N30" s="477"/>
      <c r="O30" s="477"/>
      <c r="P30" s="478"/>
    </row>
    <row r="31" spans="2:16" x14ac:dyDescent="0.25">
      <c r="B31" s="479"/>
      <c r="C31" s="480"/>
      <c r="D31" s="480" t="s">
        <v>2890</v>
      </c>
      <c r="E31" s="481">
        <f>AVERAGE(E5:E29)</f>
        <v>0.7615000000000001</v>
      </c>
      <c r="F31" s="481">
        <f>AVERAGE(F5:F29)</f>
        <v>0.064795</v>
      </c>
      <c r="G31" s="481">
        <f>AVERAGE(G5:G29)</f>
        <v>0.10116000000000003</v>
      </c>
      <c r="H31" s="481">
        <f>AVERAGE(H5:H29)</f>
        <v>0.11632</v>
      </c>
      <c r="I31" s="482"/>
      <c r="J31" s="483"/>
      <c r="K31" s="483"/>
      <c r="L31" s="483"/>
      <c r="M31" s="483"/>
      <c r="N31" s="484"/>
      <c r="O31" s="483"/>
      <c r="P31" s="485"/>
    </row>
    <row r="32" ht="16" customHeight="1" spans="2:16" x14ac:dyDescent="0.25">
      <c r="B32" s="342"/>
      <c r="C32" s="486"/>
      <c r="D32" s="487" t="s">
        <v>2891</v>
      </c>
      <c r="E32" s="488">
        <f>_xlfn.STDEV.S(E4:E29)</f>
        <v>0.8205354653890811</v>
      </c>
      <c r="F32" s="488">
        <f>_xlfn.STDEV.S(F4:F29)</f>
        <v>0.048522305768131956</v>
      </c>
      <c r="G32" s="488">
        <f>_xlfn.STDEV.S(G4:G29)</f>
        <v>0.06810805745850486</v>
      </c>
      <c r="H32" s="488">
        <f>_xlfn.STDEV.S(H4:H29)</f>
        <v>0.09207444349929514</v>
      </c>
      <c r="I32" s="489"/>
      <c r="J32" s="490"/>
      <c r="K32" s="490"/>
      <c r="L32" s="490"/>
      <c r="M32" s="490"/>
      <c r="N32" s="491"/>
      <c r="O32" s="490"/>
      <c r="P32" s="492"/>
    </row>
    <row r="33" spans="3:14" x14ac:dyDescent="0.25">
      <c r="C33" s="493"/>
      <c r="D33" s="4" t="s">
        <v>2892</v>
      </c>
      <c r="E33" s="64">
        <f>E31-E32</f>
        <v>-0.059035465389081</v>
      </c>
      <c r="F33" s="64">
        <f>F31-F32</f>
        <v>0.01627269423186805</v>
      </c>
      <c r="G33" s="64">
        <f>G31-G32</f>
        <v>0.03305194254149517</v>
      </c>
      <c r="H33" s="64">
        <f>H31-H32</f>
        <v>0.024245556500704868</v>
      </c>
      <c r="I33" s="484"/>
      <c r="J33" s="484"/>
      <c r="K33" s="484"/>
      <c r="L33" s="415"/>
      <c r="N33" s="212"/>
    </row>
    <row r="34" spans="4:8" x14ac:dyDescent="0.25">
      <c r="D34" s="4" t="s">
        <v>2893</v>
      </c>
      <c r="E34" s="64">
        <f>E31+E33</f>
        <v>0.7024645346109191</v>
      </c>
      <c r="F34" s="64">
        <f>F31+F33</f>
        <v>0.08106769423186805</v>
      </c>
      <c r="G34" s="64">
        <f>G31+G33</f>
        <v>0.1342119425414952</v>
      </c>
      <c r="H34" s="64">
        <f>H31+H33</f>
        <v>0.14056555650070487</v>
      </c>
    </row>
    <row r="35" spans="4:8" x14ac:dyDescent="0.25">
      <c r="D35" s="4" t="s">
        <v>2894</v>
      </c>
      <c r="E35" s="26">
        <f>MAX(O5:O29)</f>
        <v>4</v>
      </c>
      <c r="F35" s="64"/>
      <c r="G35" s="64"/>
      <c r="H35" s="64"/>
    </row>
    <row r="36" spans="4:7" x14ac:dyDescent="0.25">
      <c r="D36" s="4" t="s">
        <v>2895</v>
      </c>
      <c r="E36" s="26"/>
      <c r="F36" s="26"/>
      <c r="G36" s="26"/>
    </row>
    <row r="37" ht="16" customHeight="1" spans="2:2" x14ac:dyDescent="0.25">
      <c r="B37" s="4" t="s">
        <v>2760</v>
      </c>
    </row>
    <row r="38" ht="18" customHeight="1" spans="2:15" x14ac:dyDescent="0.25">
      <c r="B38" s="494" t="s">
        <v>2876</v>
      </c>
      <c r="C38" s="495" t="s">
        <v>2760</v>
      </c>
      <c r="D38" s="495" t="s">
        <v>2896</v>
      </c>
      <c r="E38" s="495"/>
      <c r="F38" s="495"/>
      <c r="G38" s="495"/>
      <c r="H38" s="495"/>
      <c r="I38" s="495" t="s">
        <v>2897</v>
      </c>
      <c r="J38" s="495"/>
      <c r="K38" s="495" t="s">
        <v>2762</v>
      </c>
      <c r="L38" s="456" t="s">
        <v>2761</v>
      </c>
      <c r="M38" s="456"/>
      <c r="N38" s="456"/>
      <c r="O38" s="496" t="s">
        <v>2898</v>
      </c>
    </row>
    <row r="39" ht="18" customHeight="1" spans="2:15" x14ac:dyDescent="0.25">
      <c r="B39" s="497"/>
      <c r="C39" s="498"/>
      <c r="D39" s="498"/>
      <c r="E39" s="498"/>
      <c r="F39" s="498"/>
      <c r="G39" s="498"/>
      <c r="H39" s="498"/>
      <c r="I39" s="498"/>
      <c r="J39" s="498"/>
      <c r="K39" s="498"/>
      <c r="L39" s="498" t="s">
        <v>508</v>
      </c>
      <c r="M39" s="498" t="s">
        <v>523</v>
      </c>
      <c r="N39" s="498" t="s">
        <v>573</v>
      </c>
      <c r="O39" s="499"/>
    </row>
    <row r="40" ht="59.25" customHeight="1" spans="2:15" x14ac:dyDescent="0.25">
      <c r="B40" s="500">
        <v>1</v>
      </c>
      <c r="C40" s="501" t="s">
        <v>2766</v>
      </c>
      <c r="D40" s="502" t="s">
        <v>2899</v>
      </c>
      <c r="E40" s="502"/>
      <c r="F40" s="502"/>
      <c r="G40" s="502"/>
      <c r="H40" s="502"/>
      <c r="I40" s="501" t="s">
        <v>2900</v>
      </c>
      <c r="J40" s="501"/>
      <c r="K40" s="503">
        <f>'INCOME STATEMENT'!F6</f>
        <v>61039612496</v>
      </c>
      <c r="L40" s="504">
        <f>'PASAR PEMBANDING'!D22/'PASAR PEMBANDING'!D5</f>
        <v>1.7049226209931485</v>
      </c>
      <c r="M40" s="504">
        <f>'PASAR PEMBANDING'!E22/'PASAR PEMBANDING'!E5</f>
        <v>0.37422902026518473</v>
      </c>
      <c r="N40" s="504">
        <f>'PASAR PEMBANDING'!F22/'PASAR PEMBANDING'!F5</f>
        <v>0.35850278235329225</v>
      </c>
      <c r="O40" s="505"/>
    </row>
    <row r="41" ht="59.25" customHeight="1" spans="2:15" x14ac:dyDescent="0.25">
      <c r="B41" s="506">
        <v>2</v>
      </c>
      <c r="C41" s="507" t="s">
        <v>2767</v>
      </c>
      <c r="D41" s="508" t="s">
        <v>2901</v>
      </c>
      <c r="E41" s="508"/>
      <c r="F41" s="508"/>
      <c r="G41" s="508"/>
      <c r="H41" s="508"/>
      <c r="I41" s="507" t="s">
        <v>2900</v>
      </c>
      <c r="J41" s="507"/>
      <c r="K41" s="509">
        <f>'BALANCE SHEET'!F49</f>
        <v>29366482204</v>
      </c>
      <c r="L41" s="510">
        <f>'PASAR PEMBANDING'!D22/'PASAR PEMBANDING'!D16</f>
        <v>1.834710796752597</v>
      </c>
      <c r="M41" s="510">
        <f>'PASAR PEMBANDING'!E22/'PASAR PEMBANDING'!E16</f>
        <v>0.5429706194877362</v>
      </c>
      <c r="N41" s="510">
        <f>'PASAR PEMBANDING'!F22/'PASAR PEMBANDING'!F16</f>
        <v>0.7288145461743241</v>
      </c>
      <c r="O41" s="511"/>
    </row>
    <row r="42" ht="59.25" customHeight="1" spans="2:15" x14ac:dyDescent="0.25">
      <c r="B42" s="512">
        <f>+B41+1</f>
        <v>3</v>
      </c>
      <c r="C42" s="513" t="s">
        <v>2902</v>
      </c>
      <c r="D42" s="514" t="s">
        <v>2903</v>
      </c>
      <c r="E42" s="514"/>
      <c r="F42" s="514"/>
      <c r="G42" s="514"/>
      <c r="H42" s="514"/>
      <c r="I42" s="513" t="s">
        <v>2904</v>
      </c>
      <c r="J42" s="513"/>
      <c r="K42" s="515">
        <f>'INCOME STATEMENT'!F22</f>
        <v>7333474245</v>
      </c>
      <c r="L42" s="516">
        <f>('PASAR PEMBANDING'!D15+'PASAR PEMBANDING'!D16)/'PASAR PEMBANDING'!D8</f>
        <v>131.17687870685208</v>
      </c>
      <c r="M42" s="516">
        <f>('PASAR PEMBANDING'!E15+'PASAR PEMBANDING'!E16)/'PASAR PEMBANDING'!E8</f>
        <v>11.894599281411551</v>
      </c>
      <c r="N42" s="516">
        <f>('PASAR PEMBANDING'!F15+'PASAR PEMBANDING'!F16)/'PASAR PEMBANDING'!F8</f>
        <v>8.034295842376107</v>
      </c>
      <c r="O42" s="517" t="s">
        <v>2905</v>
      </c>
    </row>
    <row r="43" ht="59.25" customHeight="1" spans="2:15" x14ac:dyDescent="0.25">
      <c r="B43" s="500">
        <f>+B42+1</f>
        <v>4</v>
      </c>
      <c r="C43" s="501" t="s">
        <v>2906</v>
      </c>
      <c r="D43" s="502" t="s">
        <v>2907</v>
      </c>
      <c r="E43" s="502"/>
      <c r="F43" s="502"/>
      <c r="G43" s="502"/>
      <c r="H43" s="502"/>
      <c r="I43" s="501" t="s">
        <v>2904</v>
      </c>
      <c r="J43" s="501"/>
      <c r="K43" s="503">
        <f>'INCOME STATEMENT'!F18</f>
        <v>7493446732</v>
      </c>
      <c r="L43" s="518">
        <f>('PASAR PEMBANDING'!D15+'PASAR PEMBANDING'!D16)/'PASAR PEMBANDING'!D7</f>
        <v>131.17687870685208</v>
      </c>
      <c r="M43" s="518">
        <f>('PASAR PEMBANDING'!E15+'PASAR PEMBANDING'!E16)/'PASAR PEMBANDING'!E7</f>
        <v>13.207747229521795</v>
      </c>
      <c r="N43" s="518">
        <f>('PASAR PEMBANDING'!F15+'PASAR PEMBANDING'!F16)/'PASAR PEMBANDING'!F7</f>
        <v>7.821726409206121</v>
      </c>
      <c r="O43" s="505"/>
    </row>
    <row r="44" ht="59.25" customHeight="1" spans="2:15" x14ac:dyDescent="0.25">
      <c r="B44" s="506">
        <f>+B43+1</f>
        <v>5</v>
      </c>
      <c r="C44" s="507" t="s">
        <v>2908</v>
      </c>
      <c r="D44" s="508" t="s">
        <v>2909</v>
      </c>
      <c r="E44" s="508"/>
      <c r="F44" s="508"/>
      <c r="G44" s="508"/>
      <c r="H44" s="508"/>
      <c r="I44" s="507" t="s">
        <v>2904</v>
      </c>
      <c r="J44" s="507"/>
      <c r="K44" s="509">
        <f>K40</f>
        <v>61039612496</v>
      </c>
      <c r="L44" s="519">
        <f>('PASAR PEMBANDING'!D15+'PASAR PEMBANDING'!D16)/'PASAR PEMBANDING'!D5</f>
        <v>1.2399655579249285</v>
      </c>
      <c r="M44" s="519">
        <f>('PASAR PEMBANDING'!E15+'PASAR PEMBANDING'!E16)/'PASAR PEMBANDING'!E5</f>
        <v>0.9630356746568007</v>
      </c>
      <c r="N44" s="519">
        <f>('PASAR PEMBANDING'!F15+'PASAR PEMBANDING'!F16)/'PASAR PEMBANDING'!F5</f>
        <v>0.8218713409123094</v>
      </c>
      <c r="O44" s="511"/>
    </row>
    <row r="45" spans="2:9" x14ac:dyDescent="0.25">
      <c r="B45" s="520"/>
      <c r="C45" s="520"/>
      <c r="D45" s="521"/>
      <c r="E45" s="521"/>
      <c r="F45" s="521"/>
      <c r="G45" s="521"/>
      <c r="H45" s="521"/>
      <c r="I45" s="522"/>
    </row>
    <row r="46" spans="2:9" x14ac:dyDescent="0.25">
      <c r="B46" s="520"/>
      <c r="C46" s="520"/>
      <c r="D46" s="521"/>
      <c r="E46" s="521"/>
      <c r="F46" s="521"/>
      <c r="G46" s="521"/>
      <c r="H46" s="521"/>
      <c r="I46" s="522"/>
    </row>
    <row r="47" spans="2:9" x14ac:dyDescent="0.25">
      <c r="B47" s="520"/>
      <c r="C47" s="520"/>
      <c r="D47" s="521"/>
      <c r="E47" s="521"/>
      <c r="F47" s="521"/>
      <c r="G47" s="521"/>
      <c r="H47" s="521"/>
      <c r="I47" s="522"/>
    </row>
    <row r="48" spans="2:9" x14ac:dyDescent="0.25">
      <c r="B48" s="520"/>
      <c r="C48" s="520"/>
      <c r="D48" s="521"/>
      <c r="E48" s="521"/>
      <c r="F48" s="521"/>
      <c r="G48" s="521"/>
      <c r="H48" s="521"/>
      <c r="I48" s="522"/>
    </row>
    <row r="49" spans="2:9" x14ac:dyDescent="0.25">
      <c r="B49" s="520"/>
      <c r="C49" s="520"/>
      <c r="D49" s="521"/>
      <c r="E49" s="521"/>
      <c r="F49" s="521"/>
      <c r="G49" s="521"/>
      <c r="H49" s="521"/>
      <c r="I49" s="522"/>
    </row>
    <row r="50" spans="2:9" x14ac:dyDescent="0.25">
      <c r="B50" s="520"/>
      <c r="C50" s="520"/>
      <c r="D50" s="521"/>
      <c r="E50" s="521"/>
      <c r="F50" s="521"/>
      <c r="G50" s="521"/>
      <c r="H50" s="521"/>
      <c r="I50" s="522"/>
    </row>
    <row r="51" spans="2:9" x14ac:dyDescent="0.25">
      <c r="B51" s="520"/>
      <c r="C51" s="520"/>
      <c r="D51" s="521"/>
      <c r="E51" s="521"/>
      <c r="F51" s="521"/>
      <c r="G51" s="521"/>
      <c r="H51" s="521"/>
      <c r="I51" s="522"/>
    </row>
    <row r="52" spans="2:9" x14ac:dyDescent="0.25">
      <c r="B52" s="520"/>
      <c r="C52" s="520"/>
      <c r="D52" s="521"/>
      <c r="E52" s="521"/>
      <c r="F52" s="521"/>
      <c r="G52" s="521"/>
      <c r="H52" s="521"/>
      <c r="I52" s="522"/>
    </row>
    <row r="53" spans="2:9" x14ac:dyDescent="0.25">
      <c r="B53" s="520"/>
      <c r="C53" s="520"/>
      <c r="D53" s="521"/>
      <c r="E53" s="521"/>
      <c r="F53" s="521"/>
      <c r="G53" s="521"/>
      <c r="H53" s="521"/>
      <c r="I53" s="522"/>
    </row>
  </sheetData>
  <mergeCells count="38">
    <mergeCell ref="B2:B3"/>
    <mergeCell ref="C2:C3"/>
    <mergeCell ref="D2:D3"/>
    <mergeCell ref="E2:E3"/>
    <mergeCell ref="F2:F3"/>
    <mergeCell ref="G2:G3"/>
    <mergeCell ref="H2:H3"/>
    <mergeCell ref="N2:N3"/>
    <mergeCell ref="O2:O3"/>
    <mergeCell ref="P2:P3"/>
    <mergeCell ref="D38:H39"/>
    <mergeCell ref="I38:J39"/>
    <mergeCell ref="L38:N38"/>
    <mergeCell ref="B38:B39"/>
    <mergeCell ref="C38:C39"/>
    <mergeCell ref="K38:K39"/>
    <mergeCell ref="O38:O39"/>
    <mergeCell ref="D40:H40"/>
    <mergeCell ref="I40:J40"/>
    <mergeCell ref="D41:H41"/>
    <mergeCell ref="I41:J41"/>
    <mergeCell ref="O40:O41"/>
    <mergeCell ref="D42:H42"/>
    <mergeCell ref="I42:J42"/>
    <mergeCell ref="D43:H43"/>
    <mergeCell ref="I43:J43"/>
    <mergeCell ref="O42:O44"/>
    <mergeCell ref="D44:H44"/>
    <mergeCell ref="I44:J44"/>
    <mergeCell ref="D45:H45"/>
    <mergeCell ref="D46:H46"/>
    <mergeCell ref="D47:H47"/>
    <mergeCell ref="D48:H48"/>
    <mergeCell ref="D49:H49"/>
    <mergeCell ref="D50:H50"/>
    <mergeCell ref="D51:H51"/>
    <mergeCell ref="D52:H52"/>
    <mergeCell ref="D53:H53"/>
  </mergeCells>
  <conditionalFormatting sqref="N5:O6 N25:O29 N7:N24">
    <cfRule type="colorScale" priority="2">
      <colorScale>
        <cfvo type="min"/>
        <cfvo type="percentile" val="50"/>
        <cfvo type="max"/>
        <color rgb="FFF8696B"/>
        <color rgb="FFFFEB84"/>
        <color rgb="FF63BE7B"/>
      </colorScale>
    </cfRule>
  </conditionalFormatting>
  <conditionalFormatting sqref="O7:O2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landscape" horizontalDpi="4294967295" verticalDpi="4294967295" scale="6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N41"/>
  <sheetViews>
    <sheetView workbookViewId="0" showGridLines="0" zoomScale="100" zoomScaleNormal="100">
      <selection activeCell="B4" sqref="B4"/>
    </sheetView>
  </sheetViews>
  <sheetFormatPr defaultRowHeight="15" outlineLevelRow="0" outlineLevelCol="0" x14ac:dyDescent="0.2" defaultColWidth="8.83203125"/>
  <cols>
    <col min="2" max="2" width="32.83203125" customWidth="1"/>
    <col min="3" max="3" width="21" customWidth="1"/>
    <col min="4" max="4" width="17.5" customWidth="1"/>
    <col min="5" max="5" width="19.1640625" customWidth="1"/>
    <col min="6" max="6" width="20.6640625" customWidth="1"/>
    <col min="7" max="7" width="18.33203125" customWidth="1"/>
    <col min="8" max="8" width="16.83203125" customWidth="1"/>
    <col min="9" max="9" width="18" customWidth="1"/>
    <col min="10" max="10" width="17" customWidth="1"/>
    <col min="11" max="14" width="11.33203125" customWidth="1"/>
  </cols>
  <sheetData>
    <row r="1" ht="16" customHeight="1" spans="2:2" x14ac:dyDescent="0.25">
      <c r="B1" s="277" t="s">
        <v>2738</v>
      </c>
    </row>
    <row r="2" spans="2:13" x14ac:dyDescent="0.25">
      <c r="B2" s="324" t="s">
        <v>2739</v>
      </c>
      <c r="C2" s="325" t="s">
        <v>2740</v>
      </c>
      <c r="D2" s="325"/>
      <c r="E2" s="325"/>
      <c r="F2" s="326"/>
      <c r="G2" s="327" t="s">
        <v>2741</v>
      </c>
      <c r="H2" s="325"/>
      <c r="I2" s="325"/>
      <c r="J2" s="326"/>
      <c r="K2" s="327" t="s">
        <v>2742</v>
      </c>
      <c r="L2" s="325"/>
      <c r="M2" s="326"/>
    </row>
    <row r="3" spans="2:13" x14ac:dyDescent="0.25">
      <c r="B3" s="328"/>
      <c r="C3" s="329"/>
      <c r="D3" s="329"/>
      <c r="E3" s="329"/>
      <c r="F3" s="330" t="s">
        <v>2743</v>
      </c>
      <c r="G3" s="331" t="e">
        <f>C3</f>
        <v>#REF!</v>
      </c>
      <c r="H3" s="329" t="e">
        <f>D3</f>
        <v>#REF!</v>
      </c>
      <c r="I3" s="329" t="e">
        <f>E3</f>
        <v>#REF!</v>
      </c>
      <c r="J3" s="330" t="s">
        <v>2743</v>
      </c>
      <c r="K3" s="331" t="e">
        <f>G3</f>
        <v>#REF!</v>
      </c>
      <c r="L3" s="329" t="e">
        <f>H3</f>
        <v>#REF!</v>
      </c>
      <c r="M3" s="330" t="e">
        <f>I3</f>
        <v>#REF!</v>
      </c>
    </row>
    <row r="4" spans="2:13" x14ac:dyDescent="0.25">
      <c r="B4" s="332" t="s">
        <v>2744</v>
      </c>
      <c r="C4" s="205">
        <v>430754674</v>
      </c>
      <c r="D4" s="205">
        <v>25247152</v>
      </c>
      <c r="E4" s="205">
        <v>53564289.147679724</v>
      </c>
      <c r="F4" s="333">
        <f>'INCOME STATEMENT'!F6</f>
        <v>61039612496</v>
      </c>
      <c r="G4" s="334"/>
      <c r="H4" s="203"/>
      <c r="I4" s="203"/>
      <c r="J4" s="335"/>
      <c r="K4" s="332"/>
      <c r="L4" s="203"/>
      <c r="M4" s="335"/>
    </row>
    <row r="5" spans="2:13" x14ac:dyDescent="0.25">
      <c r="B5" s="332" t="s">
        <v>2745</v>
      </c>
      <c r="C5" s="205">
        <v>64890712</v>
      </c>
      <c r="D5" s="205">
        <v>2946925</v>
      </c>
      <c r="E5" s="205">
        <v>16382725.829656396</v>
      </c>
      <c r="F5" s="333">
        <f>'INCOME STATEMENT'!F8</f>
        <v>35031201811</v>
      </c>
      <c r="G5" s="336">
        <f t="shared" ref="G5:J7" si="0">C5/C$4</f>
        <v>0.15064424350274142</v>
      </c>
      <c r="H5" s="337">
        <f t="shared" si="0"/>
        <v>0.11672306642745289</v>
      </c>
      <c r="I5" s="337">
        <f t="shared" si="0"/>
        <v>0.3058516427705838</v>
      </c>
      <c r="J5" s="338">
        <f t="shared" si="0"/>
        <v>0.5739093087017162</v>
      </c>
      <c r="K5" s="332"/>
      <c r="L5" s="203"/>
      <c r="M5" s="335"/>
    </row>
    <row r="6" spans="2:13" x14ac:dyDescent="0.25">
      <c r="B6" s="332" t="s">
        <v>2746</v>
      </c>
      <c r="C6" s="205">
        <v>17145071</v>
      </c>
      <c r="D6" s="205">
        <v>-8691889</v>
      </c>
      <c r="E6" s="205">
        <v>9922149.248510206</v>
      </c>
      <c r="F6" s="333">
        <f>'INCOME STATEMENT'!F18</f>
        <v>7493446732</v>
      </c>
      <c r="G6" s="336">
        <f t="shared" si="0"/>
        <v>0.039802402701264714</v>
      </c>
      <c r="H6" s="337">
        <f t="shared" si="0"/>
        <v>-0.344272058884107</v>
      </c>
      <c r="I6" s="337">
        <f t="shared" si="0"/>
        <v>0.18523813918549892</v>
      </c>
      <c r="J6" s="338">
        <f t="shared" si="0"/>
        <v>0.12276366814240595</v>
      </c>
      <c r="K6" s="339">
        <v>1</v>
      </c>
      <c r="L6" s="340">
        <v>0</v>
      </c>
      <c r="M6" s="341">
        <v>0</v>
      </c>
    </row>
    <row r="7" spans="2:13" x14ac:dyDescent="0.25">
      <c r="B7" s="332" t="s">
        <v>2722</v>
      </c>
      <c r="C7" s="205">
        <v>11537048</v>
      </c>
      <c r="D7" s="205">
        <v>-10798748</v>
      </c>
      <c r="E7" s="205">
        <v>3274641.641720553</v>
      </c>
      <c r="F7" s="333">
        <f>'INCOME STATEMENT'!F35</f>
        <v>5805826735</v>
      </c>
      <c r="G7" s="336">
        <f t="shared" si="0"/>
        <v>0.02678333793308996</v>
      </c>
      <c r="H7" s="337">
        <f t="shared" si="0"/>
        <v>-0.4277214317084161</v>
      </c>
      <c r="I7" s="337">
        <f t="shared" si="0"/>
        <v>0.06113479136616905</v>
      </c>
      <c r="J7" s="338">
        <f t="shared" si="0"/>
        <v>0.09511572071956491</v>
      </c>
      <c r="K7" s="339">
        <v>0</v>
      </c>
      <c r="L7" s="340">
        <v>0</v>
      </c>
      <c r="M7" s="341">
        <v>1</v>
      </c>
    </row>
    <row r="8" spans="2:13" x14ac:dyDescent="0.25">
      <c r="B8" s="332"/>
      <c r="C8" s="205"/>
      <c r="D8" s="205"/>
      <c r="E8" s="205">
        <v>0</v>
      </c>
      <c r="F8" s="333"/>
      <c r="G8" s="334"/>
      <c r="H8" s="203"/>
      <c r="I8" s="203"/>
      <c r="J8" s="335"/>
      <c r="K8" s="339"/>
      <c r="L8" s="340"/>
      <c r="M8" s="341"/>
    </row>
    <row r="9" spans="2:13" x14ac:dyDescent="0.25">
      <c r="B9" s="332" t="s">
        <v>2747</v>
      </c>
      <c r="C9" s="205">
        <v>213098529</v>
      </c>
      <c r="D9" s="205">
        <v>10349688</v>
      </c>
      <c r="E9" s="205">
        <v>10893780.266799796</v>
      </c>
      <c r="F9" s="333">
        <f>'BALANCE SHEET'!F16</f>
        <v>27371778788</v>
      </c>
      <c r="G9" s="336">
        <f>C9/C$11</f>
        <v>0.36192764558532614</v>
      </c>
      <c r="H9" s="337">
        <f t="shared" ref="H9:J10" si="1">D9/D$11</f>
        <v>0.13084109975575592</v>
      </c>
      <c r="I9" s="337">
        <f t="shared" si="1"/>
        <v>0.1039116224390607</v>
      </c>
      <c r="J9" s="338">
        <f t="shared" si="1"/>
        <v>261.0889767597345</v>
      </c>
      <c r="K9" s="339">
        <v>0</v>
      </c>
      <c r="L9" s="340">
        <v>1</v>
      </c>
      <c r="M9" s="341">
        <v>0</v>
      </c>
    </row>
    <row r="10" spans="2:13" x14ac:dyDescent="0.25">
      <c r="B10" s="332" t="s">
        <v>2748</v>
      </c>
      <c r="C10" s="205">
        <v>375689124</v>
      </c>
      <c r="D10" s="205">
        <v>68751512</v>
      </c>
      <c r="E10" s="205">
        <v>93943195.72391276</v>
      </c>
      <c r="F10" s="333">
        <f>'BALANCE SHEET'!F25</f>
        <v>6264339945</v>
      </c>
      <c r="G10" s="336">
        <f>C10/C$11</f>
        <v>0.6380723544146738</v>
      </c>
      <c r="H10" s="337">
        <f t="shared" si="1"/>
        <v>0.8691589002442441</v>
      </c>
      <c r="I10" s="337">
        <f t="shared" si="1"/>
        <v>0.8960883775609392</v>
      </c>
      <c r="J10" s="338">
        <f t="shared" si="1"/>
        <v>59.753153749445744</v>
      </c>
      <c r="K10" s="339">
        <v>1</v>
      </c>
      <c r="L10" s="340">
        <v>0</v>
      </c>
      <c r="M10" s="341">
        <v>0</v>
      </c>
    </row>
    <row r="11" spans="2:13" x14ac:dyDescent="0.25">
      <c r="B11" s="332" t="s">
        <v>2749</v>
      </c>
      <c r="C11" s="205">
        <f>+C9+C10</f>
        <v>588787653</v>
      </c>
      <c r="D11" s="205">
        <f>+D9+D10</f>
        <v>79101200</v>
      </c>
      <c r="E11" s="205">
        <v>104836975.99071257</v>
      </c>
      <c r="F11" s="333">
        <v>104836975.99071257</v>
      </c>
      <c r="G11" s="336"/>
      <c r="H11" s="203"/>
      <c r="I11" s="203"/>
      <c r="J11" s="335"/>
      <c r="K11" s="339"/>
      <c r="L11" s="340"/>
      <c r="M11" s="341"/>
    </row>
    <row r="12" spans="2:13" x14ac:dyDescent="0.25">
      <c r="B12" s="332" t="s">
        <v>2750</v>
      </c>
      <c r="C12" s="205">
        <v>188729175</v>
      </c>
      <c r="D12" s="205">
        <v>14443414</v>
      </c>
      <c r="E12" s="205">
        <v>25434442.33352352</v>
      </c>
      <c r="F12" s="333">
        <f>'BALANCE SHEET'!F35</f>
        <v>4269636530</v>
      </c>
      <c r="G12" s="336">
        <f t="shared" ref="G12:J13" si="2">C12/C$14</f>
        <v>0.6673483847801853</v>
      </c>
      <c r="H12" s="337">
        <f t="shared" si="2"/>
        <v>0.29152605894365635</v>
      </c>
      <c r="I12" s="337">
        <f t="shared" si="2"/>
        <v>0.3456280977466851</v>
      </c>
      <c r="J12" s="338">
        <f t="shared" si="2"/>
        <v>58.020000304414886</v>
      </c>
      <c r="K12" s="339">
        <v>0</v>
      </c>
      <c r="L12" s="340">
        <v>1</v>
      </c>
      <c r="M12" s="341">
        <v>0</v>
      </c>
    </row>
    <row r="13" spans="2:13" x14ac:dyDescent="0.25">
      <c r="B13" s="332" t="s">
        <v>2751</v>
      </c>
      <c r="C13" s="205">
        <v>94075398</v>
      </c>
      <c r="D13" s="205">
        <v>35100747</v>
      </c>
      <c r="E13" s="205">
        <v>48154604.677824266</v>
      </c>
      <c r="F13" s="333">
        <f>'BALANCE SHEET'!F40</f>
        <v>0</v>
      </c>
      <c r="G13" s="336">
        <f t="shared" si="2"/>
        <v>0.33265161521981473</v>
      </c>
      <c r="H13" s="337">
        <f t="shared" si="2"/>
        <v>0.7084739410563436</v>
      </c>
      <c r="I13" s="337">
        <f t="shared" si="2"/>
        <v>0.6543719022533149</v>
      </c>
      <c r="J13" s="338">
        <f t="shared" si="2"/>
        <v>0</v>
      </c>
      <c r="K13" s="339">
        <v>1</v>
      </c>
      <c r="L13" s="340">
        <v>0</v>
      </c>
      <c r="M13" s="341">
        <v>0</v>
      </c>
    </row>
    <row r="14" spans="2:13" x14ac:dyDescent="0.25">
      <c r="B14" s="332" t="s">
        <v>2752</v>
      </c>
      <c r="C14" s="205">
        <f>+C12+C13</f>
        <v>282804573</v>
      </c>
      <c r="D14" s="205">
        <f>+D12+D13</f>
        <v>49544161</v>
      </c>
      <c r="E14" s="205">
        <v>73589047.01134779</v>
      </c>
      <c r="F14" s="333">
        <v>73589047.01134779</v>
      </c>
      <c r="G14" s="334"/>
      <c r="H14" s="203"/>
      <c r="I14" s="203"/>
      <c r="J14" s="335"/>
      <c r="K14" s="339"/>
      <c r="L14" s="340"/>
      <c r="M14" s="341"/>
    </row>
    <row r="15" spans="2:13" x14ac:dyDescent="0.25">
      <c r="B15" s="332" t="s">
        <v>2541</v>
      </c>
      <c r="C15" s="205">
        <v>305983080</v>
      </c>
      <c r="D15" s="205">
        <v>29557039</v>
      </c>
      <c r="E15" s="205">
        <v>31247928.97936478</v>
      </c>
      <c r="F15" s="333">
        <f>'BALANCE SHEET'!F49</f>
        <v>29366482204</v>
      </c>
      <c r="G15" s="336">
        <f>C15/C$11</f>
        <v>0.5196832481811571</v>
      </c>
      <c r="H15" s="337">
        <f>D15/D$11</f>
        <v>0.3736610696171487</v>
      </c>
      <c r="I15" s="337">
        <f>E15/E$11</f>
        <v>0.29806209769092357</v>
      </c>
      <c r="J15" s="338">
        <f>F15/F$11</f>
        <v>280.1156932130659</v>
      </c>
      <c r="K15" s="339">
        <v>0</v>
      </c>
      <c r="L15" s="340">
        <v>0</v>
      </c>
      <c r="M15" s="341">
        <v>1</v>
      </c>
    </row>
    <row r="16" spans="2:13" x14ac:dyDescent="0.25">
      <c r="B16" s="332" t="s">
        <v>2753</v>
      </c>
      <c r="C16" s="205">
        <v>78</v>
      </c>
      <c r="D16" s="205">
        <v>196</v>
      </c>
      <c r="E16" s="205">
        <v>357</v>
      </c>
      <c r="F16" s="335"/>
      <c r="G16" s="332"/>
      <c r="H16" s="203"/>
      <c r="I16" s="203"/>
      <c r="J16" s="335"/>
      <c r="K16" s="339"/>
      <c r="L16" s="340"/>
      <c r="M16" s="341"/>
    </row>
    <row r="17" spans="2:13" x14ac:dyDescent="0.25">
      <c r="B17" s="332" t="s">
        <v>2754</v>
      </c>
      <c r="C17" s="205">
        <v>3275120000</v>
      </c>
      <c r="D17" s="205">
        <v>23483317538</v>
      </c>
      <c r="E17" s="205">
        <v>3397500000</v>
      </c>
      <c r="F17" s="335"/>
      <c r="G17" s="332"/>
      <c r="H17" s="203"/>
      <c r="I17" s="203"/>
      <c r="J17" s="335"/>
      <c r="K17" s="339"/>
      <c r="L17" s="340"/>
      <c r="M17" s="341"/>
    </row>
    <row r="18" spans="2:13" x14ac:dyDescent="0.25">
      <c r="B18" s="332" t="s">
        <v>2755</v>
      </c>
      <c r="C18" s="205">
        <f>+C16*C17</f>
        <v>255459360000</v>
      </c>
      <c r="D18" s="205">
        <f>+D16*D17</f>
        <v>4602730237448</v>
      </c>
      <c r="E18" s="205">
        <f>+E16*E17</f>
        <v>1212907500000</v>
      </c>
      <c r="F18" s="335"/>
      <c r="G18" s="332"/>
      <c r="H18" s="203"/>
      <c r="I18" s="203"/>
      <c r="J18" s="335"/>
      <c r="K18" s="339"/>
      <c r="L18" s="340"/>
      <c r="M18" s="341"/>
    </row>
    <row r="19" spans="2:13" x14ac:dyDescent="0.25">
      <c r="B19" s="332" t="s">
        <v>2756</v>
      </c>
      <c r="C19" s="205">
        <f>DCF!C41</f>
        <v>600000000</v>
      </c>
      <c r="D19" s="205">
        <f>C19</f>
        <v>600000000</v>
      </c>
      <c r="E19" s="205">
        <f>D19</f>
        <v>600000000</v>
      </c>
      <c r="F19" s="335"/>
      <c r="G19" s="332"/>
      <c r="H19" s="203"/>
      <c r="I19" s="203"/>
      <c r="J19" s="335"/>
      <c r="K19" s="339"/>
      <c r="L19" s="340"/>
      <c r="M19" s="341"/>
    </row>
    <row r="20" ht="16" customHeight="1" spans="2:13" x14ac:dyDescent="0.25">
      <c r="B20" s="342" t="s">
        <v>2757</v>
      </c>
      <c r="C20" s="343">
        <f>C18/C19</f>
        <v>425.7656</v>
      </c>
      <c r="D20" s="343">
        <f>D18/D19</f>
        <v>7671.217062413333</v>
      </c>
      <c r="E20" s="343">
        <f>E18/E19</f>
        <v>2021.5125</v>
      </c>
      <c r="F20" s="344"/>
      <c r="G20" s="342"/>
      <c r="H20" s="345"/>
      <c r="I20" s="345"/>
      <c r="J20" s="344"/>
      <c r="K20" s="346"/>
      <c r="L20" s="347"/>
      <c r="M20" s="348"/>
    </row>
    <row r="21" spans="2:13" x14ac:dyDescent="0.25">
      <c r="B21" s="349" t="s">
        <v>2758</v>
      </c>
      <c r="K21" s="350">
        <f>SUM(K6:K15)</f>
        <v>3</v>
      </c>
      <c r="L21" s="351">
        <f>SUM(L6:L15)</f>
        <v>2</v>
      </c>
      <c r="M21" s="352">
        <f>SUM(M6:M15)</f>
        <v>2</v>
      </c>
    </row>
    <row r="22" ht="16" customHeight="1" spans="11:13" x14ac:dyDescent="0.25">
      <c r="K22" s="353">
        <f>K21/SUM($K$21:$M$21)</f>
        <v>0.42857142857142855</v>
      </c>
      <c r="L22" s="354">
        <f>L21/SUM($K$21:$M$21)</f>
        <v>0.2857142857142857</v>
      </c>
      <c r="M22" s="355">
        <f>M21/SUM($K$21:$M$21)</f>
        <v>0.2857142857142857</v>
      </c>
    </row>
    <row r="23" ht="16" customHeight="1" spans="2:14" x14ac:dyDescent="0.25">
      <c r="B23" s="277" t="s">
        <v>2759</v>
      </c>
      <c r="N23" s="31"/>
    </row>
    <row r="24" spans="2:9" x14ac:dyDescent="0.25">
      <c r="B24" s="356" t="s">
        <v>2760</v>
      </c>
      <c r="C24" s="356" t="s">
        <v>2761</v>
      </c>
      <c r="D24" s="357"/>
      <c r="E24" s="358"/>
      <c r="F24" s="356" t="s">
        <v>2762</v>
      </c>
      <c r="G24" s="358"/>
      <c r="H24" s="359" t="s">
        <v>2763</v>
      </c>
      <c r="I24" s="358" t="s">
        <v>2764</v>
      </c>
    </row>
    <row r="25" spans="2:9" x14ac:dyDescent="0.25">
      <c r="B25" s="360" t="s">
        <v>2765</v>
      </c>
      <c r="C25" s="336">
        <f>K22</f>
        <v>0.42857142857142855</v>
      </c>
      <c r="D25" s="337">
        <f>L22</f>
        <v>0.2857142857142857</v>
      </c>
      <c r="E25" s="338">
        <f>M22</f>
        <v>0.2857142857142857</v>
      </c>
      <c r="F25" s="361"/>
      <c r="G25" s="362"/>
      <c r="H25" s="363"/>
      <c r="I25" s="362"/>
    </row>
    <row r="26" spans="2:9" x14ac:dyDescent="0.25">
      <c r="B26" s="364" t="s">
        <v>2766</v>
      </c>
      <c r="C26" s="332">
        <f>'PASAR KESEBANDINGAN'!L40</f>
        <v>1.7049226209931485</v>
      </c>
      <c r="D26" s="203">
        <f>'PASAR KESEBANDINGAN'!M40</f>
        <v>0.37422902026518473</v>
      </c>
      <c r="E26" s="335">
        <f>'PASAR KESEBANDINGAN'!N40</f>
        <v>0.35850278235329225</v>
      </c>
      <c r="F26" s="334">
        <f>F4</f>
        <v>61039612496</v>
      </c>
      <c r="G26" s="365">
        <f>($C$25*C26*F26)+($D$25*D26*F26)+($E$25*E26*F26)</f>
        <v>57379254136.27345</v>
      </c>
      <c r="H26" s="366">
        <v>0</v>
      </c>
      <c r="I26" s="367">
        <f>G26*H26</f>
        <v>0</v>
      </c>
    </row>
    <row r="27" spans="2:9" x14ac:dyDescent="0.25">
      <c r="B27" s="364" t="s">
        <v>2767</v>
      </c>
      <c r="C27" s="332">
        <f>'PASAR KESEBANDINGAN'!L41</f>
        <v>1.834710796752597</v>
      </c>
      <c r="D27" s="203">
        <f>'PASAR KESEBANDINGAN'!M41</f>
        <v>0.5429706194877362</v>
      </c>
      <c r="E27" s="335">
        <f>'PASAR KESEBANDINGAN'!N41</f>
        <v>0.7288145461743241</v>
      </c>
      <c r="F27" s="334">
        <f>F15</f>
        <v>29366482204</v>
      </c>
      <c r="G27" s="368">
        <f>($C$25*C27*F27)+($D$25*D27*F27)+($E$25*E27*F27)</f>
        <v>33761816965.202507</v>
      </c>
      <c r="H27" s="366">
        <f>1-H26</f>
        <v>1</v>
      </c>
      <c r="I27" s="367">
        <f>G27*H27</f>
        <v>33761816965.202507</v>
      </c>
    </row>
    <row r="28" ht="16" customHeight="1" spans="2:9" x14ac:dyDescent="0.25">
      <c r="B28" s="369"/>
      <c r="C28" s="342"/>
      <c r="D28" s="345"/>
      <c r="E28" s="344"/>
      <c r="F28" s="369" t="s">
        <v>2768</v>
      </c>
      <c r="G28" s="370"/>
      <c r="H28" s="371"/>
      <c r="I28" s="372">
        <f>+I26+I27</f>
        <v>33761816965.202507</v>
      </c>
    </row>
    <row r="29" spans="6:9" x14ac:dyDescent="0.25">
      <c r="F29" s="373" t="s">
        <v>2769</v>
      </c>
      <c r="G29" s="374"/>
      <c r="H29" s="375">
        <f>'DLOC(PFC)'!E24</f>
        <v>0.5399999999999999</v>
      </c>
      <c r="I29" s="376">
        <f>I28*H29</f>
        <v>18231381161.20935</v>
      </c>
    </row>
    <row r="30" spans="6:9" x14ac:dyDescent="0.25">
      <c r="F30" s="377" t="s">
        <v>2770</v>
      </c>
      <c r="G30" s="378"/>
      <c r="H30" s="17"/>
      <c r="I30" s="379">
        <f>+I28+I29</f>
        <v>51993198126.41186</v>
      </c>
    </row>
    <row r="31" spans="6:9" x14ac:dyDescent="0.25">
      <c r="F31" s="377" t="s">
        <v>2771</v>
      </c>
      <c r="G31" s="378"/>
      <c r="H31" s="380">
        <f>DCF!B34</f>
        <v>-0.4</v>
      </c>
      <c r="I31" s="379">
        <f>I30*H31</f>
        <v>-20797279250.564743</v>
      </c>
    </row>
    <row r="32" spans="6:9" x14ac:dyDescent="0.25">
      <c r="F32" s="381" t="s">
        <v>2772</v>
      </c>
      <c r="G32" s="382"/>
      <c r="H32" s="383"/>
      <c r="I32" s="384">
        <f>+I30+I31</f>
        <v>31195918875.847115</v>
      </c>
    </row>
    <row r="33" spans="6:9" x14ac:dyDescent="0.25">
      <c r="F33" s="377" t="s">
        <v>2773</v>
      </c>
      <c r="G33" s="378"/>
      <c r="H33" s="380">
        <v>0.95</v>
      </c>
      <c r="I33" s="379"/>
    </row>
    <row r="34" ht="16" customHeight="1" spans="6:9" x14ac:dyDescent="0.25">
      <c r="F34" s="385" t="str">
        <f>"MARKET VALUE OF "&amp;TEXT(H33,"0,0%")&amp;" EQUITY"</f>
        <v>MARKET VALUE OF 95% EQUITY</v>
      </c>
      <c r="G34" s="386"/>
      <c r="H34" s="387"/>
      <c r="I34" s="388">
        <f>I32*H33</f>
        <v>29636122932.054756</v>
      </c>
    </row>
    <row r="35" spans="6:9" x14ac:dyDescent="0.25">
      <c r="F35" s="389" t="s">
        <v>2756</v>
      </c>
      <c r="I35" s="26">
        <f>DCF!C41</f>
        <v>600000000</v>
      </c>
    </row>
    <row r="36" spans="6:9" x14ac:dyDescent="0.25">
      <c r="F36" t="s">
        <v>2774</v>
      </c>
      <c r="I36" s="26">
        <f>I34*I35</f>
        <v>17781673759232854000</v>
      </c>
    </row>
    <row r="37" spans="6:9" x14ac:dyDescent="0.25">
      <c r="F37" t="s">
        <v>2775</v>
      </c>
      <c r="I37" s="26">
        <f>DCF!C44</f>
        <v>0</v>
      </c>
    </row>
    <row r="38" spans="6:10" x14ac:dyDescent="0.25">
      <c r="F38" t="s">
        <v>2776</v>
      </c>
      <c r="I38" s="26">
        <f>I36-I37</f>
        <v>17781673759232854000</v>
      </c>
      <c r="J38" s="31" t="e">
        <f>(I38-I37)/I37</f>
        <v>#DIV/0!</v>
      </c>
    </row>
    <row r="39" spans="6:9" x14ac:dyDescent="0.25">
      <c r="F39" t="s">
        <v>2777</v>
      </c>
      <c r="H39" s="31">
        <f>DCF!B47</f>
        <v>0</v>
      </c>
      <c r="I39" s="26">
        <f>I38*H39</f>
        <v>0</v>
      </c>
    </row>
    <row r="40" spans="9:9" x14ac:dyDescent="0.25">
      <c r="I40" s="26"/>
    </row>
    <row r="41" spans="9:9" x14ac:dyDescent="0.25">
      <c r="I41" s="26"/>
    </row>
  </sheetData>
  <mergeCells count="6">
    <mergeCell ref="C2:F2"/>
    <mergeCell ref="G2:J2"/>
    <mergeCell ref="K2:M2"/>
    <mergeCell ref="B2:B3"/>
    <mergeCell ref="C24:E24"/>
    <mergeCell ref="F24:G2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F12"/>
  <sheetViews>
    <sheetView workbookViewId="0" showGridLines="0" zoomScale="145" zoomScaleNormal="145">
      <selection activeCell="D11" sqref="D11"/>
    </sheetView>
  </sheetViews>
  <sheetFormatPr defaultRowHeight="15" outlineLevelRow="0" outlineLevelCol="0" x14ac:dyDescent="0.2" defaultColWidth="8.83203125"/>
  <cols>
    <col min="3" max="3" width="51.33203125" customWidth="1"/>
    <col min="4" max="4" width="18" customWidth="1"/>
  </cols>
  <sheetData>
    <row r="2" spans="2:4" x14ac:dyDescent="0.25">
      <c r="B2" s="91" t="s">
        <v>2938</v>
      </c>
      <c r="C2" s="91"/>
      <c r="D2" s="91"/>
    </row>
    <row r="3" ht="16" customHeight="1" spans="2:4" x14ac:dyDescent="0.25">
      <c r="B3" s="578" t="s">
        <v>2876</v>
      </c>
      <c r="C3" s="578" t="s">
        <v>2939</v>
      </c>
      <c r="D3" s="578" t="s">
        <v>2940</v>
      </c>
    </row>
    <row r="4" ht="16" customHeight="1" spans="2:5" x14ac:dyDescent="0.25">
      <c r="B4" s="579">
        <v>1</v>
      </c>
      <c r="C4" s="580" t="s">
        <v>2941</v>
      </c>
      <c r="D4" s="581">
        <f>DCF!C39</f>
        <v>62200595681013.445</v>
      </c>
      <c r="E4" s="269"/>
    </row>
    <row r="5" ht="16" customHeight="1" spans="2:4" x14ac:dyDescent="0.25">
      <c r="B5" s="579">
        <v>2</v>
      </c>
      <c r="C5" s="580" t="s">
        <v>2942</v>
      </c>
      <c r="D5" s="581">
        <f>'PASAR PEMBANDING'!J38</f>
        <v>10330777044.52114</v>
      </c>
    </row>
    <row r="6" ht="16" customHeight="1" spans="2:4" x14ac:dyDescent="0.25">
      <c r="B6" s="579">
        <v>3</v>
      </c>
      <c r="C6" s="580" t="s">
        <v>2943</v>
      </c>
      <c r="D6" s="581">
        <f>EEM!D42</f>
        <v>9102540956.414536</v>
      </c>
    </row>
    <row r="8" spans="2:4" x14ac:dyDescent="0.25">
      <c r="B8" s="582" t="s">
        <v>2944</v>
      </c>
      <c r="C8" s="582"/>
      <c r="D8" s="582"/>
    </row>
    <row r="9" ht="16" customHeight="1" spans="2:4" x14ac:dyDescent="0.25">
      <c r="B9" s="578" t="s">
        <v>2817</v>
      </c>
      <c r="C9" s="578" t="s">
        <v>2945</v>
      </c>
      <c r="D9" s="578" t="s">
        <v>2946</v>
      </c>
    </row>
    <row r="10" ht="32" customHeight="1" spans="2:6" x14ac:dyDescent="0.25">
      <c r="B10" s="579">
        <v>1</v>
      </c>
      <c r="C10" s="580" t="s">
        <v>2947</v>
      </c>
      <c r="D10" s="583">
        <f>D4/D5</f>
        <v>6020.901952772384</v>
      </c>
      <c r="F10" s="46"/>
    </row>
    <row r="11" ht="29.25" customHeight="1" spans="2:6" x14ac:dyDescent="0.25">
      <c r="B11" s="579">
        <v>2</v>
      </c>
      <c r="C11" s="580" t="s">
        <v>2948</v>
      </c>
      <c r="D11" s="583">
        <f>D4/D6</f>
        <v>6833.32225351657</v>
      </c>
      <c r="F11" s="46"/>
    </row>
    <row r="12" ht="32.25" customHeight="1" spans="2:6" x14ac:dyDescent="0.25">
      <c r="B12" s="579">
        <v>3</v>
      </c>
      <c r="C12" s="580" t="s">
        <v>2949</v>
      </c>
      <c r="D12" s="416">
        <f>D6/D5</f>
        <v>0.881109031507171</v>
      </c>
      <c r="F12" s="46"/>
    </row>
  </sheetData>
  <mergeCells count="2">
    <mergeCell ref="B2:D2"/>
    <mergeCell ref="B8:D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L15"/>
  <sheetViews>
    <sheetView workbookViewId="0" showGridLines="0" zoomScale="85" zoomScaleNormal="85">
      <selection activeCell="C2" sqref="C2"/>
    </sheetView>
  </sheetViews>
  <sheetFormatPr defaultRowHeight="15" outlineLevelRow="0" outlineLevelCol="0" x14ac:dyDescent="0.2" defaultColWidth="9.33203125"/>
  <cols>
    <col min="1" max="1" width="30.33203125" customWidth="1"/>
    <col min="3" max="3" width="9.5" customWidth="1"/>
    <col min="5" max="5" width="40.5" customWidth="1"/>
    <col min="6" max="6" width="16.5" customWidth="1"/>
    <col min="7" max="7" width="14.6640625" customWidth="1"/>
    <col min="8" max="8" width="11.5" customWidth="1"/>
    <col min="11" max="11" width="17.1640625" customWidth="1"/>
  </cols>
  <sheetData>
    <row r="1" spans="1:8" x14ac:dyDescent="0.25">
      <c r="A1" s="419" t="s">
        <v>2832</v>
      </c>
      <c r="B1" s="420"/>
      <c r="C1" s="420"/>
      <c r="D1" s="421"/>
      <c r="E1" s="422" t="s">
        <v>2833</v>
      </c>
      <c r="F1" s="423"/>
      <c r="G1" s="421" t="s">
        <v>2834</v>
      </c>
      <c r="H1" s="424">
        <f>C4/(1+((1-C2)*C8))</f>
        <v>0.9332095903124283</v>
      </c>
    </row>
    <row r="2" spans="1:8" x14ac:dyDescent="0.25">
      <c r="A2" s="425" t="s">
        <v>2835</v>
      </c>
      <c r="B2" s="426"/>
      <c r="C2" s="427"/>
      <c r="D2" s="421"/>
      <c r="E2" s="422" t="s">
        <v>2836</v>
      </c>
      <c r="F2" s="423"/>
      <c r="G2" s="421" t="s">
        <v>2834</v>
      </c>
      <c r="H2" s="424">
        <f>H1*(1+((1-C2)*C8))</f>
        <v>1.09</v>
      </c>
    </row>
    <row r="3" spans="1:8" x14ac:dyDescent="0.25">
      <c r="A3" s="421" t="s">
        <v>2837</v>
      </c>
      <c r="B3" s="421"/>
      <c r="C3" s="428"/>
      <c r="D3" s="421"/>
      <c r="E3" s="422" t="s">
        <v>2838</v>
      </c>
      <c r="F3" s="423"/>
      <c r="G3" s="421" t="s">
        <v>2834</v>
      </c>
      <c r="H3" s="46">
        <f>C3+(H2*C5)-C6</f>
        <v>0.12453700000000001</v>
      </c>
    </row>
    <row r="4" spans="1:8" x14ac:dyDescent="0.25">
      <c r="A4" s="421" t="s">
        <v>2839</v>
      </c>
      <c r="B4" s="421"/>
      <c r="C4" s="429"/>
      <c r="D4" s="421"/>
      <c r="E4" s="430" t="s">
        <v>2840</v>
      </c>
      <c r="F4" s="423"/>
      <c r="G4" s="421" t="s">
        <v>2834</v>
      </c>
      <c r="H4" s="46">
        <f>C7*(1-C2)</f>
        <v>0.06863999999999999</v>
      </c>
    </row>
    <row r="5" spans="1:12" x14ac:dyDescent="0.25">
      <c r="A5" s="421" t="s">
        <v>2841</v>
      </c>
      <c r="B5" s="421"/>
      <c r="C5" s="428"/>
      <c r="D5" s="421"/>
      <c r="E5" s="431" t="s">
        <v>2842</v>
      </c>
      <c r="F5" s="431" t="s">
        <v>2843</v>
      </c>
      <c r="G5" s="431" t="s">
        <v>2844</v>
      </c>
      <c r="H5" s="431" t="s">
        <v>2845</v>
      </c>
      <c r="K5" s="432" t="s">
        <v>2846</v>
      </c>
      <c r="L5" s="432"/>
    </row>
    <row r="6" spans="1:12" x14ac:dyDescent="0.25">
      <c r="A6" s="421" t="s">
        <v>2847</v>
      </c>
      <c r="B6" s="421"/>
      <c r="C6" s="428"/>
      <c r="D6" s="421"/>
      <c r="E6" s="433"/>
      <c r="F6" s="433"/>
      <c r="G6" s="433"/>
      <c r="H6" s="433"/>
      <c r="K6" s="203"/>
      <c r="L6" s="203"/>
    </row>
    <row r="7" spans="1:12" x14ac:dyDescent="0.25">
      <c r="A7" s="421" t="s">
        <v>2848</v>
      </c>
      <c r="B7" s="421"/>
      <c r="C7" s="428">
        <f>ROUND(L11/100,3)</f>
        <v>0.088</v>
      </c>
      <c r="D7" s="421"/>
      <c r="E7" s="206" t="s">
        <v>2849</v>
      </c>
      <c r="F7" s="434">
        <f>C8/(1+C8)</f>
        <v>0.17722560473918053</v>
      </c>
      <c r="G7" s="434">
        <f>H4</f>
        <v>0.06863999999999999</v>
      </c>
      <c r="H7" s="434">
        <f>F7*G7</f>
        <v>0.01216476550929735</v>
      </c>
      <c r="K7" s="203"/>
      <c r="L7" s="203"/>
    </row>
    <row r="8" spans="1:12" x14ac:dyDescent="0.25">
      <c r="A8" s="421" t="s">
        <v>2850</v>
      </c>
      <c r="B8" s="421"/>
      <c r="C8" s="428"/>
      <c r="D8" s="46"/>
      <c r="E8" s="206" t="s">
        <v>2851</v>
      </c>
      <c r="F8" s="435">
        <f>1-F7</f>
        <v>0.8227743952608195</v>
      </c>
      <c r="G8" s="435">
        <f>H3</f>
        <v>0.12453700000000001</v>
      </c>
      <c r="H8" s="434">
        <f>F8*G8</f>
        <v>0.10246585486259668</v>
      </c>
      <c r="K8" s="203"/>
      <c r="L8" s="203"/>
    </row>
    <row r="9" spans="1:12" x14ac:dyDescent="0.25">
      <c r="A9" s="421" t="s">
        <v>2852</v>
      </c>
      <c r="B9" s="421"/>
      <c r="C9" s="436">
        <f>H3</f>
        <v>0.12453700000000001</v>
      </c>
      <c r="D9" s="437"/>
      <c r="E9" s="206"/>
      <c r="F9" s="206"/>
      <c r="G9" s="206"/>
      <c r="H9" s="206"/>
      <c r="K9" s="203"/>
      <c r="L9" s="203"/>
    </row>
    <row r="10" spans="1:12" x14ac:dyDescent="0.25">
      <c r="A10" s="421" t="s">
        <v>2853</v>
      </c>
      <c r="B10" s="421"/>
      <c r="C10" s="436">
        <f>H4</f>
        <v>0.06863999999999999</v>
      </c>
      <c r="D10" s="424"/>
      <c r="E10" s="438" t="s">
        <v>2717</v>
      </c>
      <c r="F10" s="438"/>
      <c r="G10" s="438"/>
      <c r="H10" s="439">
        <f>+H7+H8</f>
        <v>0.11463062037189403</v>
      </c>
      <c r="K10" s="203"/>
      <c r="L10" s="203"/>
    </row>
    <row r="11" spans="1:12" x14ac:dyDescent="0.25">
      <c r="A11" s="421" t="s">
        <v>2716</v>
      </c>
      <c r="B11" s="421"/>
      <c r="C11" s="436">
        <f>H10</f>
        <v>0.11463062037189403</v>
      </c>
      <c r="D11" s="421"/>
      <c r="E11" s="421"/>
      <c r="F11" s="423"/>
      <c r="G11" s="421"/>
      <c r="H11" s="421"/>
      <c r="K11" s="203"/>
      <c r="L11" s="203"/>
    </row>
    <row r="12" spans="1:12" x14ac:dyDescent="0.25">
      <c r="A12" s="440" t="s">
        <v>2230</v>
      </c>
      <c r="C12" s="46">
        <f>'GROWTH RATE'!B15</f>
        <v>0.18654692078374596</v>
      </c>
    </row>
    <row r="13" spans="11:12" x14ac:dyDescent="0.25"/>
    <row r="14" spans="11:12" x14ac:dyDescent="0.25"/>
    <row r="15" spans="11:12" x14ac:dyDescent="0.25"/>
  </sheetData>
  <mergeCells count="1">
    <mergeCell ref="K5:L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1"/>
  <sheetViews>
    <sheetView workbookViewId="0" zoomScale="100" zoomScaleNormal="100">
      <selection activeCell="A96" sqref="A96"/>
    </sheetView>
  </sheetViews>
  <sheetFormatPr defaultRowHeight="15" outlineLevelRow="0" outlineLevelCol="0" x14ac:dyDescent="0.2" defaultColWidth="8.83203125"/>
  <cols>
    <col min="1" max="1" width="13.5" customWidth="1"/>
    <col min="2" max="2" width="26.33203125" customWidth="1"/>
    <col min="3" max="3" width="20.33203125" customWidth="1"/>
    <col min="4" max="4" width="17.1640625" customWidth="1"/>
    <col min="5" max="5" width="22.33203125" customWidth="1"/>
    <col min="6" max="6" width="22.5" customWidth="1"/>
    <col min="7" max="7" width="16.6640625" customWidth="1"/>
  </cols>
  <sheetData>
    <row r="1" spans="1:7" x14ac:dyDescent="0.25">
      <c r="A1" s="373" t="s">
        <v>2778</v>
      </c>
      <c r="B1" s="389"/>
      <c r="C1" s="389"/>
      <c r="D1" s="389"/>
      <c r="E1" s="389"/>
      <c r="F1" s="389"/>
      <c r="G1" s="374"/>
    </row>
    <row r="2" spans="1:7" x14ac:dyDescent="0.25">
      <c r="A2" s="377" t="str">
        <f>"PENILAIAN SAHAM  "&amp;HOME!B4</f>
        <v>PENILAIAN SAHAM  PT RAJA VOLTAMA ELEKTRIK</v>
      </c>
      <c r="G2" s="378"/>
    </row>
    <row r="3" spans="1:7" x14ac:dyDescent="0.25">
      <c r="A3" s="377" t="s">
        <v>2779</v>
      </c>
      <c r="B3" s="390">
        <f>HOME!B10</f>
        <v>44561</v>
      </c>
      <c r="G3" s="378"/>
    </row>
    <row r="4" spans="1:7" x14ac:dyDescent="0.25">
      <c r="A4" s="377"/>
      <c r="G4" s="378"/>
    </row>
    <row r="5" ht="16" customHeight="1" spans="1:7" x14ac:dyDescent="0.25">
      <c r="A5" s="377"/>
      <c r="G5" s="378"/>
    </row>
    <row r="6" ht="15.75" customHeight="1" spans="1:13" x14ac:dyDescent="0.25">
      <c r="A6" s="391" t="s">
        <v>2454</v>
      </c>
      <c r="B6" s="392" t="s">
        <v>2780</v>
      </c>
      <c r="C6" s="392"/>
      <c r="D6" s="392"/>
      <c r="E6" s="392"/>
      <c r="F6" s="391" t="s">
        <v>2743</v>
      </c>
      <c r="G6" s="391" t="s">
        <v>2742</v>
      </c>
      <c r="J6" s="20"/>
      <c r="K6" s="20"/>
      <c r="L6" s="20"/>
      <c r="M6" s="20"/>
    </row>
    <row r="7" ht="17" customHeight="1" spans="1:7" x14ac:dyDescent="0.25">
      <c r="A7" s="393"/>
      <c r="B7" s="393" t="s">
        <v>2781</v>
      </c>
      <c r="C7" s="393" t="s">
        <v>2782</v>
      </c>
      <c r="D7" s="393" t="s">
        <v>2783</v>
      </c>
      <c r="E7" s="393" t="s">
        <v>2741</v>
      </c>
      <c r="F7" s="393"/>
      <c r="G7" s="393"/>
    </row>
    <row r="8" spans="1:7" x14ac:dyDescent="0.25">
      <c r="A8" s="394">
        <v>1</v>
      </c>
      <c r="B8" s="395" t="s">
        <v>1870</v>
      </c>
      <c r="C8" s="396">
        <f>YEAR($B$3)-2</f>
        <v>2019</v>
      </c>
      <c r="D8" s="396" t="s">
        <v>2542</v>
      </c>
      <c r="E8" s="396"/>
      <c r="F8" s="396"/>
      <c r="G8" s="397"/>
    </row>
    <row r="9" spans="1:7" x14ac:dyDescent="0.25">
      <c r="A9" s="398"/>
      <c r="B9" s="206"/>
      <c r="C9" s="206"/>
      <c r="D9" s="206" t="s">
        <v>2784</v>
      </c>
      <c r="E9" s="206"/>
      <c r="F9" s="206"/>
      <c r="G9" s="399"/>
    </row>
    <row r="10" spans="1:7" x14ac:dyDescent="0.25">
      <c r="A10" s="398"/>
      <c r="B10" s="206"/>
      <c r="C10" s="206"/>
      <c r="D10" s="206" t="s">
        <v>2785</v>
      </c>
      <c r="E10" s="206"/>
      <c r="F10" s="206"/>
      <c r="G10" s="399"/>
    </row>
    <row r="11" spans="1:7" x14ac:dyDescent="0.25">
      <c r="A11" s="398"/>
      <c r="B11" s="206"/>
      <c r="C11" s="206"/>
      <c r="D11" s="206" t="s">
        <v>2543</v>
      </c>
      <c r="E11" s="206"/>
      <c r="F11" s="206"/>
      <c r="G11" s="399"/>
    </row>
    <row r="12" spans="1:7" x14ac:dyDescent="0.25">
      <c r="A12" s="398"/>
      <c r="B12" s="206"/>
      <c r="C12" s="206"/>
      <c r="D12" s="206"/>
      <c r="E12" s="206"/>
      <c r="F12" s="206"/>
      <c r="G12" s="399"/>
    </row>
    <row r="13" spans="1:7" x14ac:dyDescent="0.25">
      <c r="A13" s="398"/>
      <c r="B13" s="206"/>
      <c r="C13" s="206"/>
      <c r="D13" s="206"/>
      <c r="E13" s="206"/>
      <c r="F13" s="206"/>
      <c r="G13" s="399"/>
    </row>
    <row r="14" spans="1:7" x14ac:dyDescent="0.25">
      <c r="A14" s="398"/>
      <c r="B14" s="206"/>
      <c r="C14" s="206"/>
      <c r="D14" s="206"/>
      <c r="E14" s="206"/>
      <c r="F14" s="206"/>
      <c r="G14" s="399"/>
    </row>
    <row r="15" spans="1:7" x14ac:dyDescent="0.25">
      <c r="A15" s="398"/>
      <c r="B15" s="206"/>
      <c r="C15" s="206">
        <f>YEAR($B$3)-1</f>
        <v>2020</v>
      </c>
      <c r="D15" s="206" t="s">
        <v>2542</v>
      </c>
      <c r="E15" s="206"/>
      <c r="F15" s="206"/>
      <c r="G15" s="399"/>
    </row>
    <row r="16" spans="1:7" x14ac:dyDescent="0.25">
      <c r="A16" s="398"/>
      <c r="B16" s="206"/>
      <c r="C16" s="206"/>
      <c r="D16" s="206" t="s">
        <v>2784</v>
      </c>
      <c r="E16" s="206"/>
      <c r="F16" s="206"/>
      <c r="G16" s="399"/>
    </row>
    <row r="17" spans="1:7" x14ac:dyDescent="0.25">
      <c r="A17" s="398"/>
      <c r="B17" s="206"/>
      <c r="C17" s="206"/>
      <c r="D17" s="206" t="s">
        <v>2785</v>
      </c>
      <c r="E17" s="206"/>
      <c r="F17" s="206"/>
      <c r="G17" s="399"/>
    </row>
    <row r="18" spans="1:7" x14ac:dyDescent="0.25">
      <c r="A18" s="398"/>
      <c r="B18" s="206"/>
      <c r="C18" s="206"/>
      <c r="D18" s="206" t="s">
        <v>2543</v>
      </c>
      <c r="E18" s="206"/>
      <c r="F18" s="206"/>
      <c r="G18" s="399"/>
    </row>
    <row r="19" spans="1:7" x14ac:dyDescent="0.25">
      <c r="A19" s="398"/>
      <c r="B19" s="206"/>
      <c r="C19" s="206"/>
      <c r="D19" s="206"/>
      <c r="E19" s="206"/>
      <c r="F19" s="206"/>
      <c r="G19" s="399"/>
    </row>
    <row r="20" spans="1:7" x14ac:dyDescent="0.25">
      <c r="A20" s="398"/>
      <c r="B20" s="206"/>
      <c r="C20" s="206"/>
      <c r="D20" s="206"/>
      <c r="E20" s="206"/>
      <c r="F20" s="206"/>
      <c r="G20" s="399"/>
    </row>
    <row r="21" spans="1:7" x14ac:dyDescent="0.25">
      <c r="A21" s="398"/>
      <c r="B21" s="206"/>
      <c r="C21" s="206"/>
      <c r="D21" s="206"/>
      <c r="E21" s="206"/>
      <c r="F21" s="206"/>
      <c r="G21" s="399"/>
    </row>
    <row r="22" spans="1:7" x14ac:dyDescent="0.25">
      <c r="A22" s="398"/>
      <c r="B22" s="206"/>
      <c r="C22" s="206">
        <f>YEAR($B$3)</f>
        <v>2021</v>
      </c>
      <c r="D22" s="206" t="s">
        <v>2542</v>
      </c>
      <c r="E22" s="206"/>
      <c r="F22" s="206"/>
      <c r="G22" s="399"/>
    </row>
    <row r="23" spans="1:7" x14ac:dyDescent="0.25">
      <c r="A23" s="398"/>
      <c r="B23" s="206"/>
      <c r="C23" s="206"/>
      <c r="D23" s="206" t="s">
        <v>2784</v>
      </c>
      <c r="E23" s="206"/>
      <c r="F23" s="206"/>
      <c r="G23" s="399"/>
    </row>
    <row r="24" spans="1:7" x14ac:dyDescent="0.25">
      <c r="A24" s="398"/>
      <c r="B24" s="206"/>
      <c r="C24" s="206"/>
      <c r="D24" s="206" t="s">
        <v>2785</v>
      </c>
      <c r="E24" s="206"/>
      <c r="F24" s="206"/>
      <c r="G24" s="399"/>
    </row>
    <row r="25" spans="1:7" x14ac:dyDescent="0.25">
      <c r="A25" s="398"/>
      <c r="B25" s="206"/>
      <c r="C25" s="206"/>
      <c r="D25" s="206" t="s">
        <v>2543</v>
      </c>
      <c r="E25" s="206"/>
      <c r="F25" s="206"/>
      <c r="G25" s="399"/>
    </row>
    <row r="26" ht="16" customHeight="1" spans="1:7" x14ac:dyDescent="0.25">
      <c r="A26" s="400"/>
      <c r="B26" s="401"/>
      <c r="C26" s="401"/>
      <c r="D26" s="401"/>
      <c r="E26" s="401"/>
      <c r="F26" s="401"/>
      <c r="G26" s="402"/>
    </row>
    <row r="27" spans="1:7" x14ac:dyDescent="0.25">
      <c r="A27" s="394"/>
      <c r="B27" s="396"/>
      <c r="C27" s="396" t="s">
        <v>2786</v>
      </c>
      <c r="D27" s="396" t="s">
        <v>2542</v>
      </c>
      <c r="E27" s="396">
        <f>IFERROR(AVERAGE(E8,E15,E22),0)</f>
        <v>0</v>
      </c>
      <c r="F27" s="396">
        <f>IFERROR(AVERAGE(F8,F15,F22),0)</f>
        <v>0</v>
      </c>
      <c r="G27" s="397"/>
    </row>
    <row r="28" spans="1:7" x14ac:dyDescent="0.25">
      <c r="A28" s="398"/>
      <c r="B28" s="206"/>
      <c r="C28" s="206"/>
      <c r="D28" s="206" t="s">
        <v>2784</v>
      </c>
      <c r="E28" s="206">
        <f t="shared" ref="E28:F30" si="0">IFERROR(AVERAGE(E9,E16,E23),0)</f>
        <v>0</v>
      </c>
      <c r="F28" s="206">
        <f t="shared" si="0"/>
        <v>0</v>
      </c>
      <c r="G28" s="399"/>
    </row>
    <row r="29" spans="1:7" x14ac:dyDescent="0.25">
      <c r="A29" s="398"/>
      <c r="B29" s="206"/>
      <c r="C29" s="206"/>
      <c r="D29" s="206" t="s">
        <v>2785</v>
      </c>
      <c r="E29" s="206">
        <f t="shared" si="0"/>
        <v>0</v>
      </c>
      <c r="F29" s="206">
        <f t="shared" si="0"/>
        <v>0</v>
      </c>
      <c r="G29" s="399"/>
    </row>
    <row r="30" ht="16" customHeight="1" spans="1:7" x14ac:dyDescent="0.25">
      <c r="A30" s="400"/>
      <c r="B30" s="401"/>
      <c r="C30" s="401"/>
      <c r="D30" s="401" t="s">
        <v>2543</v>
      </c>
      <c r="E30" s="401">
        <f t="shared" si="0"/>
        <v>0</v>
      </c>
      <c r="F30" s="401">
        <f t="shared" si="0"/>
        <v>0</v>
      </c>
      <c r="G30" s="402"/>
    </row>
    <row r="31" ht="16" customHeight="1" spans="1:7" x14ac:dyDescent="0.25">
      <c r="A31" s="398"/>
      <c r="B31" s="206"/>
      <c r="C31" s="403" t="s">
        <v>2485</v>
      </c>
      <c r="D31" s="404"/>
      <c r="E31" s="404"/>
      <c r="F31" s="405"/>
      <c r="G31" s="399">
        <f>SUM(G27:G30)</f>
        <v>0</v>
      </c>
    </row>
    <row r="32" spans="1:7" x14ac:dyDescent="0.25">
      <c r="A32" s="394"/>
      <c r="B32" s="396"/>
      <c r="C32" s="396" t="s">
        <v>2787</v>
      </c>
      <c r="D32" s="396" t="s">
        <v>2542</v>
      </c>
      <c r="E32" s="396">
        <f t="shared" ref="E32:F35" si="1">IFERROR(AVERAGE(E12,E19,E26),0)</f>
        <v>0</v>
      </c>
      <c r="F32" s="396">
        <f t="shared" si="1"/>
        <v>0</v>
      </c>
      <c r="G32" s="397"/>
    </row>
    <row r="33" spans="1:7" x14ac:dyDescent="0.25">
      <c r="A33" s="398"/>
      <c r="B33" s="206"/>
      <c r="C33" s="206"/>
      <c r="D33" s="206" t="s">
        <v>2784</v>
      </c>
      <c r="E33" s="206">
        <f t="shared" si="1"/>
        <v>0</v>
      </c>
      <c r="F33" s="206">
        <f t="shared" si="1"/>
        <v>0</v>
      </c>
      <c r="G33" s="399"/>
    </row>
    <row r="34" spans="1:7" x14ac:dyDescent="0.25">
      <c r="A34" s="398"/>
      <c r="B34" s="206"/>
      <c r="C34" s="206"/>
      <c r="D34" s="206" t="s">
        <v>2785</v>
      </c>
      <c r="E34" s="206">
        <f t="shared" si="1"/>
        <v>0</v>
      </c>
      <c r="F34" s="206">
        <f t="shared" si="1"/>
        <v>0</v>
      </c>
      <c r="G34" s="399"/>
    </row>
    <row r="35" ht="16" customHeight="1" spans="1:7" x14ac:dyDescent="0.25">
      <c r="A35" s="400"/>
      <c r="B35" s="401"/>
      <c r="C35" s="401"/>
      <c r="D35" s="401" t="s">
        <v>2543</v>
      </c>
      <c r="E35" s="401">
        <f t="shared" si="1"/>
        <v>0</v>
      </c>
      <c r="F35" s="401">
        <f t="shared" si="1"/>
        <v>0</v>
      </c>
      <c r="G35" s="402"/>
    </row>
    <row r="36" ht="16" customHeight="1" spans="1:7" x14ac:dyDescent="0.25">
      <c r="A36" s="398"/>
      <c r="B36" s="206"/>
      <c r="C36" s="403" t="s">
        <v>2485</v>
      </c>
      <c r="D36" s="404"/>
      <c r="E36" s="404"/>
      <c r="F36" s="405"/>
      <c r="G36" s="399">
        <f>SUM(G32:G35)</f>
        <v>0</v>
      </c>
    </row>
    <row r="37" spans="1:7" x14ac:dyDescent="0.25">
      <c r="A37" s="394">
        <v>2</v>
      </c>
      <c r="B37" s="395" t="s">
        <v>343</v>
      </c>
      <c r="C37" s="396">
        <f>YEAR($B$3)-2</f>
        <v>2019</v>
      </c>
      <c r="D37" s="396" t="s">
        <v>2542</v>
      </c>
      <c r="E37" s="396"/>
      <c r="F37" s="396"/>
      <c r="G37" s="397"/>
    </row>
    <row r="38" spans="1:7" x14ac:dyDescent="0.25">
      <c r="A38" s="398"/>
      <c r="B38" s="206"/>
      <c r="C38" s="206"/>
      <c r="D38" s="206" t="s">
        <v>2784</v>
      </c>
      <c r="E38" s="206"/>
      <c r="F38" s="206"/>
      <c r="G38" s="399"/>
    </row>
    <row r="39" spans="1:7" x14ac:dyDescent="0.25">
      <c r="A39" s="398"/>
      <c r="B39" s="206"/>
      <c r="C39" s="206"/>
      <c r="D39" s="206" t="s">
        <v>2785</v>
      </c>
      <c r="E39" s="206"/>
      <c r="F39" s="206"/>
      <c r="G39" s="399"/>
    </row>
    <row r="40" spans="1:7" x14ac:dyDescent="0.25">
      <c r="A40" s="398"/>
      <c r="B40" s="206"/>
      <c r="C40" s="206"/>
      <c r="D40" s="206" t="s">
        <v>2543</v>
      </c>
      <c r="E40" s="206"/>
      <c r="F40" s="206"/>
      <c r="G40" s="399"/>
    </row>
    <row r="41" spans="1:7" x14ac:dyDescent="0.25">
      <c r="A41" s="398"/>
      <c r="B41" s="206"/>
      <c r="C41" s="206"/>
      <c r="D41" s="206"/>
      <c r="E41" s="206"/>
      <c r="F41" s="206"/>
      <c r="G41" s="399"/>
    </row>
    <row r="42" spans="1:7" x14ac:dyDescent="0.25">
      <c r="A42" s="398"/>
      <c r="B42" s="206"/>
      <c r="C42" s="206"/>
      <c r="D42" s="206"/>
      <c r="E42" s="206"/>
      <c r="F42" s="206"/>
      <c r="G42" s="399"/>
    </row>
    <row r="43" spans="1:7" x14ac:dyDescent="0.25">
      <c r="A43" s="398"/>
      <c r="B43" s="206"/>
      <c r="C43" s="206"/>
      <c r="D43" s="206"/>
      <c r="E43" s="206"/>
      <c r="F43" s="206"/>
      <c r="G43" s="399"/>
    </row>
    <row r="44" spans="1:7" x14ac:dyDescent="0.25">
      <c r="A44" s="398"/>
      <c r="B44" s="206"/>
      <c r="C44" s="206">
        <f>YEAR($B$3)-1</f>
        <v>2020</v>
      </c>
      <c r="D44" s="206" t="s">
        <v>2542</v>
      </c>
      <c r="E44" s="206"/>
      <c r="F44" s="206"/>
      <c r="G44" s="399"/>
    </row>
    <row r="45" spans="1:7" x14ac:dyDescent="0.25">
      <c r="A45" s="398"/>
      <c r="B45" s="206"/>
      <c r="C45" s="206"/>
      <c r="D45" s="206" t="s">
        <v>2784</v>
      </c>
      <c r="E45" s="206"/>
      <c r="F45" s="206"/>
      <c r="G45" s="399"/>
    </row>
    <row r="46" spans="1:7" x14ac:dyDescent="0.25">
      <c r="A46" s="398"/>
      <c r="B46" s="206"/>
      <c r="C46" s="206"/>
      <c r="D46" s="206" t="s">
        <v>2785</v>
      </c>
      <c r="E46" s="206"/>
      <c r="F46" s="206"/>
      <c r="G46" s="399"/>
    </row>
    <row r="47" spans="1:7" x14ac:dyDescent="0.25">
      <c r="A47" s="398"/>
      <c r="B47" s="206"/>
      <c r="C47" s="206"/>
      <c r="D47" s="206" t="s">
        <v>2543</v>
      </c>
      <c r="E47" s="206"/>
      <c r="F47" s="206"/>
      <c r="G47" s="399"/>
    </row>
    <row r="48" spans="1:7" x14ac:dyDescent="0.25">
      <c r="A48" s="398"/>
      <c r="B48" s="206"/>
      <c r="C48" s="206"/>
      <c r="D48" s="206"/>
      <c r="E48" s="206"/>
      <c r="F48" s="206"/>
      <c r="G48" s="399"/>
    </row>
    <row r="49" spans="1:7" x14ac:dyDescent="0.25">
      <c r="A49" s="398"/>
      <c r="B49" s="206"/>
      <c r="C49" s="206"/>
      <c r="D49" s="206"/>
      <c r="E49" s="206"/>
      <c r="F49" s="206"/>
      <c r="G49" s="399"/>
    </row>
    <row r="50" spans="1:7" x14ac:dyDescent="0.25">
      <c r="A50" s="398"/>
      <c r="B50" s="206"/>
      <c r="C50" s="206"/>
      <c r="D50" s="206"/>
      <c r="E50" s="206"/>
      <c r="F50" s="206"/>
      <c r="G50" s="399"/>
    </row>
    <row r="51" spans="1:7" x14ac:dyDescent="0.25">
      <c r="A51" s="398"/>
      <c r="B51" s="206"/>
      <c r="C51" s="206">
        <f>YEAR($B$3)</f>
        <v>2021</v>
      </c>
      <c r="D51" s="206" t="s">
        <v>2542</v>
      </c>
      <c r="E51" s="206"/>
      <c r="F51" s="206"/>
      <c r="G51" s="399"/>
    </row>
    <row r="52" spans="1:7" x14ac:dyDescent="0.25">
      <c r="A52" s="398"/>
      <c r="B52" s="206"/>
      <c r="C52" s="206"/>
      <c r="D52" s="206" t="s">
        <v>2784</v>
      </c>
      <c r="E52" s="206"/>
      <c r="F52" s="206"/>
      <c r="G52" s="399"/>
    </row>
    <row r="53" spans="1:7" x14ac:dyDescent="0.25">
      <c r="A53" s="398"/>
      <c r="B53" s="206"/>
      <c r="C53" s="206"/>
      <c r="D53" s="206" t="s">
        <v>2785</v>
      </c>
      <c r="E53" s="206"/>
      <c r="F53" s="206"/>
      <c r="G53" s="399"/>
    </row>
    <row r="54" spans="1:7" x14ac:dyDescent="0.25">
      <c r="A54" s="398"/>
      <c r="B54" s="206"/>
      <c r="C54" s="206"/>
      <c r="D54" s="206" t="s">
        <v>2543</v>
      </c>
      <c r="E54" s="206"/>
      <c r="F54" s="206"/>
      <c r="G54" s="399"/>
    </row>
    <row r="55" ht="16" customHeight="1" spans="1:7" x14ac:dyDescent="0.25">
      <c r="A55" s="400"/>
      <c r="B55" s="401"/>
      <c r="C55" s="401"/>
      <c r="D55" s="401"/>
      <c r="E55" s="401"/>
      <c r="F55" s="401"/>
      <c r="G55" s="402"/>
    </row>
    <row r="56" spans="1:7" x14ac:dyDescent="0.25">
      <c r="A56" s="394"/>
      <c r="B56" s="396"/>
      <c r="C56" s="396" t="s">
        <v>2786</v>
      </c>
      <c r="D56" s="396" t="s">
        <v>2542</v>
      </c>
      <c r="E56" s="396">
        <f t="shared" ref="E56:F59" si="2">IFERROR(AVERAGE(E37,E44,E51),0)</f>
        <v>0</v>
      </c>
      <c r="F56" s="396">
        <f t="shared" si="2"/>
        <v>0</v>
      </c>
      <c r="G56" s="397"/>
    </row>
    <row r="57" spans="1:7" x14ac:dyDescent="0.25">
      <c r="A57" s="398"/>
      <c r="B57" s="206"/>
      <c r="C57" s="206"/>
      <c r="D57" s="206" t="s">
        <v>2784</v>
      </c>
      <c r="E57" s="206">
        <f t="shared" si="2"/>
        <v>0</v>
      </c>
      <c r="F57" s="206">
        <f t="shared" si="2"/>
        <v>0</v>
      </c>
      <c r="G57" s="399"/>
    </row>
    <row r="58" spans="1:7" x14ac:dyDescent="0.25">
      <c r="A58" s="398"/>
      <c r="B58" s="206"/>
      <c r="C58" s="206"/>
      <c r="D58" s="206" t="s">
        <v>2785</v>
      </c>
      <c r="E58" s="206">
        <f t="shared" si="2"/>
        <v>0</v>
      </c>
      <c r="F58" s="206">
        <f t="shared" si="2"/>
        <v>0</v>
      </c>
      <c r="G58" s="399"/>
    </row>
    <row r="59" ht="16" customHeight="1" spans="1:7" x14ac:dyDescent="0.25">
      <c r="A59" s="400"/>
      <c r="B59" s="401"/>
      <c r="C59" s="401"/>
      <c r="D59" s="401" t="s">
        <v>2543</v>
      </c>
      <c r="E59" s="401">
        <f t="shared" si="2"/>
        <v>0</v>
      </c>
      <c r="F59" s="401">
        <f t="shared" si="2"/>
        <v>0</v>
      </c>
      <c r="G59" s="402"/>
    </row>
    <row r="60" ht="16" customHeight="1" spans="1:7" x14ac:dyDescent="0.25">
      <c r="A60" s="398"/>
      <c r="B60" s="206"/>
      <c r="C60" s="403" t="s">
        <v>2485</v>
      </c>
      <c r="D60" s="404"/>
      <c r="E60" s="404"/>
      <c r="F60" s="405"/>
      <c r="G60" s="399">
        <f>SUM(G56:G59)</f>
        <v>0</v>
      </c>
    </row>
    <row r="61" spans="1:7" x14ac:dyDescent="0.25">
      <c r="A61" s="394"/>
      <c r="B61" s="396"/>
      <c r="C61" s="396" t="s">
        <v>2787</v>
      </c>
      <c r="D61" s="396" t="s">
        <v>2542</v>
      </c>
      <c r="E61" s="396">
        <f t="shared" ref="E61:F64" si="3">IFERROR(AVERAGE(E41,E48,E55),0)</f>
        <v>0</v>
      </c>
      <c r="F61" s="396">
        <f t="shared" si="3"/>
        <v>0</v>
      </c>
      <c r="G61" s="397"/>
    </row>
    <row r="62" spans="1:7" x14ac:dyDescent="0.25">
      <c r="A62" s="398"/>
      <c r="B62" s="206"/>
      <c r="C62" s="206"/>
      <c r="D62" s="206" t="s">
        <v>2784</v>
      </c>
      <c r="E62" s="206">
        <f t="shared" si="3"/>
        <v>0</v>
      </c>
      <c r="F62" s="206">
        <f t="shared" si="3"/>
        <v>0</v>
      </c>
      <c r="G62" s="399"/>
    </row>
    <row r="63" spans="1:7" x14ac:dyDescent="0.25">
      <c r="A63" s="398"/>
      <c r="B63" s="206"/>
      <c r="C63" s="206"/>
      <c r="D63" s="206" t="s">
        <v>2785</v>
      </c>
      <c r="E63" s="206">
        <f t="shared" si="3"/>
        <v>0</v>
      </c>
      <c r="F63" s="206">
        <f t="shared" si="3"/>
        <v>0</v>
      </c>
      <c r="G63" s="399"/>
    </row>
    <row r="64" ht="16" customHeight="1" spans="1:7" x14ac:dyDescent="0.25">
      <c r="A64" s="400"/>
      <c r="B64" s="401"/>
      <c r="C64" s="401"/>
      <c r="D64" s="401" t="s">
        <v>2543</v>
      </c>
      <c r="E64" s="401">
        <f t="shared" si="3"/>
        <v>0</v>
      </c>
      <c r="F64" s="401">
        <f t="shared" si="3"/>
        <v>0</v>
      </c>
      <c r="G64" s="402"/>
    </row>
    <row r="65" ht="16" customHeight="1" spans="1:7" x14ac:dyDescent="0.25">
      <c r="A65" s="398"/>
      <c r="B65" s="206"/>
      <c r="C65" s="403" t="s">
        <v>2485</v>
      </c>
      <c r="D65" s="404"/>
      <c r="E65" s="404"/>
      <c r="F65" s="405"/>
      <c r="G65" s="399">
        <f>SUM(G61:G64)</f>
        <v>0</v>
      </c>
    </row>
    <row r="66" spans="1:7" x14ac:dyDescent="0.25">
      <c r="A66" s="394">
        <v>3</v>
      </c>
      <c r="B66" s="395" t="s">
        <v>1640</v>
      </c>
      <c r="C66" s="396">
        <f>YEAR($B$3)-2</f>
        <v>2019</v>
      </c>
      <c r="D66" s="396" t="s">
        <v>2542</v>
      </c>
      <c r="E66" s="396"/>
      <c r="F66" s="396"/>
      <c r="G66" s="397"/>
    </row>
    <row r="67" spans="1:7" x14ac:dyDescent="0.25">
      <c r="A67" s="398"/>
      <c r="B67" s="206"/>
      <c r="C67" s="206"/>
      <c r="D67" s="206" t="s">
        <v>2784</v>
      </c>
      <c r="E67" s="206"/>
      <c r="F67" s="206"/>
      <c r="G67" s="399"/>
    </row>
    <row r="68" spans="1:7" x14ac:dyDescent="0.25">
      <c r="A68" s="398"/>
      <c r="B68" s="206"/>
      <c r="C68" s="206"/>
      <c r="D68" s="206" t="s">
        <v>2785</v>
      </c>
      <c r="E68" s="206"/>
      <c r="F68" s="206"/>
      <c r="G68" s="399"/>
    </row>
    <row r="69" spans="1:7" x14ac:dyDescent="0.25">
      <c r="A69" s="398"/>
      <c r="B69" s="206"/>
      <c r="C69" s="206"/>
      <c r="D69" s="206" t="s">
        <v>2543</v>
      </c>
      <c r="E69" s="206"/>
      <c r="F69" s="206"/>
      <c r="G69" s="399"/>
    </row>
    <row r="70" spans="1:7" x14ac:dyDescent="0.25">
      <c r="A70" s="398"/>
      <c r="B70" s="206"/>
      <c r="C70" s="206"/>
      <c r="D70" s="206"/>
      <c r="E70" s="206"/>
      <c r="F70" s="206"/>
      <c r="G70" s="399"/>
    </row>
    <row r="71" spans="1:7" x14ac:dyDescent="0.25">
      <c r="A71" s="398"/>
      <c r="B71" s="206"/>
      <c r="C71" s="206"/>
      <c r="D71" s="206"/>
      <c r="E71" s="206"/>
      <c r="F71" s="206"/>
      <c r="G71" s="399"/>
    </row>
    <row r="72" spans="1:7" x14ac:dyDescent="0.25">
      <c r="A72" s="398"/>
      <c r="B72" s="206"/>
      <c r="C72" s="206"/>
      <c r="D72" s="206"/>
      <c r="E72" s="206"/>
      <c r="F72" s="206"/>
      <c r="G72" s="399"/>
    </row>
    <row r="73" spans="1:7" x14ac:dyDescent="0.25">
      <c r="A73" s="398"/>
      <c r="B73" s="206"/>
      <c r="C73" s="206">
        <f>YEAR($B$3)-1</f>
        <v>2020</v>
      </c>
      <c r="D73" s="206" t="s">
        <v>2542</v>
      </c>
      <c r="E73" s="206"/>
      <c r="F73" s="206"/>
      <c r="G73" s="399"/>
    </row>
    <row r="74" spans="1:7" x14ac:dyDescent="0.25">
      <c r="A74" s="398"/>
      <c r="B74" s="206"/>
      <c r="C74" s="206"/>
      <c r="D74" s="206" t="s">
        <v>2784</v>
      </c>
      <c r="E74" s="206"/>
      <c r="F74" s="206"/>
      <c r="G74" s="399"/>
    </row>
    <row r="75" spans="1:7" x14ac:dyDescent="0.25">
      <c r="A75" s="398"/>
      <c r="B75" s="206"/>
      <c r="C75" s="206"/>
      <c r="D75" s="206" t="s">
        <v>2785</v>
      </c>
      <c r="E75" s="206"/>
      <c r="F75" s="206"/>
      <c r="G75" s="399"/>
    </row>
    <row r="76" spans="1:7" x14ac:dyDescent="0.25">
      <c r="A76" s="398"/>
      <c r="B76" s="206"/>
      <c r="C76" s="206"/>
      <c r="D76" s="206" t="s">
        <v>2543</v>
      </c>
      <c r="E76" s="206"/>
      <c r="F76" s="206"/>
      <c r="G76" s="399"/>
    </row>
    <row r="77" spans="1:7" x14ac:dyDescent="0.25">
      <c r="A77" s="398"/>
      <c r="B77" s="206"/>
      <c r="C77" s="206"/>
      <c r="D77" s="206"/>
      <c r="E77" s="206"/>
      <c r="F77" s="206"/>
      <c r="G77" s="399"/>
    </row>
    <row r="78" spans="1:7" x14ac:dyDescent="0.25">
      <c r="A78" s="398"/>
      <c r="B78" s="206"/>
      <c r="C78" s="206"/>
      <c r="D78" s="206"/>
      <c r="E78" s="206"/>
      <c r="F78" s="206"/>
      <c r="G78" s="399"/>
    </row>
    <row r="79" spans="1:7" x14ac:dyDescent="0.25">
      <c r="A79" s="398"/>
      <c r="B79" s="206"/>
      <c r="C79" s="206"/>
      <c r="D79" s="206"/>
      <c r="E79" s="206"/>
      <c r="F79" s="206"/>
      <c r="G79" s="399"/>
    </row>
    <row r="80" spans="1:7" x14ac:dyDescent="0.25">
      <c r="A80" s="398"/>
      <c r="B80" s="206"/>
      <c r="C80" s="206">
        <f>YEAR($B$3)</f>
        <v>2021</v>
      </c>
      <c r="D80" s="206" t="s">
        <v>2542</v>
      </c>
      <c r="E80" s="206"/>
      <c r="F80" s="206"/>
      <c r="G80" s="399"/>
    </row>
    <row r="81" spans="1:7" x14ac:dyDescent="0.25">
      <c r="A81" s="398"/>
      <c r="B81" s="206"/>
      <c r="C81" s="206"/>
      <c r="D81" s="206" t="s">
        <v>2784</v>
      </c>
      <c r="E81" s="206"/>
      <c r="F81" s="206"/>
      <c r="G81" s="399"/>
    </row>
    <row r="82" spans="1:7" x14ac:dyDescent="0.25">
      <c r="A82" s="398"/>
      <c r="B82" s="206"/>
      <c r="C82" s="206"/>
      <c r="D82" s="206" t="s">
        <v>2785</v>
      </c>
      <c r="E82" s="206"/>
      <c r="F82" s="206"/>
      <c r="G82" s="399"/>
    </row>
    <row r="83" spans="1:7" x14ac:dyDescent="0.25">
      <c r="A83" s="398"/>
      <c r="B83" s="206"/>
      <c r="C83" s="206"/>
      <c r="D83" s="206" t="s">
        <v>2543</v>
      </c>
      <c r="E83" s="206"/>
      <c r="F83" s="206"/>
      <c r="G83" s="399"/>
    </row>
    <row r="84" ht="16" customHeight="1" spans="1:7" x14ac:dyDescent="0.25">
      <c r="A84" s="400"/>
      <c r="B84" s="401"/>
      <c r="C84" s="401"/>
      <c r="D84" s="401"/>
      <c r="E84" s="401"/>
      <c r="F84" s="401"/>
      <c r="G84" s="402"/>
    </row>
    <row r="85" spans="1:7" x14ac:dyDescent="0.25">
      <c r="A85" s="394"/>
      <c r="B85" s="396"/>
      <c r="C85" s="396" t="s">
        <v>2786</v>
      </c>
      <c r="D85" s="396" t="s">
        <v>2542</v>
      </c>
      <c r="E85" s="396">
        <f t="shared" ref="E85:F88" si="4">IFERROR(AVERAGE(E66,E73,E80),0)</f>
        <v>0</v>
      </c>
      <c r="F85" s="396">
        <f t="shared" si="4"/>
        <v>0</v>
      </c>
      <c r="G85" s="397"/>
    </row>
    <row r="86" spans="1:7" x14ac:dyDescent="0.25">
      <c r="A86" s="398"/>
      <c r="B86" s="206"/>
      <c r="C86" s="206"/>
      <c r="D86" s="206" t="s">
        <v>2784</v>
      </c>
      <c r="E86" s="206">
        <f t="shared" si="4"/>
        <v>0</v>
      </c>
      <c r="F86" s="206">
        <f t="shared" si="4"/>
        <v>0</v>
      </c>
      <c r="G86" s="399"/>
    </row>
    <row r="87" spans="1:7" x14ac:dyDescent="0.25">
      <c r="A87" s="398"/>
      <c r="B87" s="206"/>
      <c r="C87" s="206"/>
      <c r="D87" s="206" t="s">
        <v>2785</v>
      </c>
      <c r="E87" s="206">
        <f t="shared" si="4"/>
        <v>0</v>
      </c>
      <c r="F87" s="206">
        <f t="shared" si="4"/>
        <v>0</v>
      </c>
      <c r="G87" s="399"/>
    </row>
    <row r="88" ht="16" customHeight="1" spans="1:7" x14ac:dyDescent="0.25">
      <c r="A88" s="400"/>
      <c r="B88" s="401"/>
      <c r="C88" s="401"/>
      <c r="D88" s="401" t="s">
        <v>2543</v>
      </c>
      <c r="E88" s="401">
        <f t="shared" si="4"/>
        <v>0</v>
      </c>
      <c r="F88" s="401">
        <f t="shared" si="4"/>
        <v>0</v>
      </c>
      <c r="G88" s="402"/>
    </row>
    <row r="89" ht="16" customHeight="1" spans="1:7" x14ac:dyDescent="0.25">
      <c r="A89" s="398"/>
      <c r="B89" s="206"/>
      <c r="C89" s="403" t="s">
        <v>2485</v>
      </c>
      <c r="D89" s="404"/>
      <c r="E89" s="404"/>
      <c r="F89" s="405"/>
      <c r="G89" s="399">
        <f>SUM(G85:G88)</f>
        <v>0</v>
      </c>
    </row>
    <row r="90" spans="1:7" x14ac:dyDescent="0.25">
      <c r="A90" s="394"/>
      <c r="B90" s="396"/>
      <c r="C90" s="396" t="s">
        <v>2787</v>
      </c>
      <c r="D90" s="396" t="s">
        <v>2542</v>
      </c>
      <c r="E90" s="396">
        <f t="shared" ref="E90:F93" si="5">IFERROR(AVERAGE(E70,E77,E84),0)</f>
        <v>0</v>
      </c>
      <c r="F90" s="396">
        <f t="shared" si="5"/>
        <v>0</v>
      </c>
      <c r="G90" s="397"/>
    </row>
    <row r="91" spans="1:7" x14ac:dyDescent="0.25">
      <c r="A91" s="398"/>
      <c r="B91" s="206"/>
      <c r="C91" s="206"/>
      <c r="D91" s="206" t="s">
        <v>2784</v>
      </c>
      <c r="E91" s="206">
        <f t="shared" si="5"/>
        <v>0</v>
      </c>
      <c r="F91" s="206">
        <f t="shared" si="5"/>
        <v>0</v>
      </c>
      <c r="G91" s="399"/>
    </row>
    <row r="92" spans="1:7" x14ac:dyDescent="0.25">
      <c r="A92" s="398"/>
      <c r="B92" s="206"/>
      <c r="C92" s="206"/>
      <c r="D92" s="206" t="s">
        <v>2785</v>
      </c>
      <c r="E92" s="206">
        <f t="shared" si="5"/>
        <v>0</v>
      </c>
      <c r="F92" s="206">
        <f t="shared" si="5"/>
        <v>0</v>
      </c>
      <c r="G92" s="399"/>
    </row>
    <row r="93" ht="16" customHeight="1" spans="1:7" x14ac:dyDescent="0.25">
      <c r="A93" s="400"/>
      <c r="B93" s="401"/>
      <c r="C93" s="401"/>
      <c r="D93" s="401" t="s">
        <v>2543</v>
      </c>
      <c r="E93" s="401">
        <f t="shared" si="5"/>
        <v>0</v>
      </c>
      <c r="F93" s="401">
        <f t="shared" si="5"/>
        <v>0</v>
      </c>
      <c r="G93" s="402"/>
    </row>
    <row r="94" ht="16" customHeight="1" spans="1:7" x14ac:dyDescent="0.25">
      <c r="A94" s="406"/>
      <c r="B94" s="407"/>
      <c r="C94" s="403" t="s">
        <v>2485</v>
      </c>
      <c r="D94" s="404"/>
      <c r="E94" s="404"/>
      <c r="F94" s="405"/>
      <c r="G94" s="402">
        <f>SUM(G90:G93)</f>
        <v>0</v>
      </c>
    </row>
    <row r="96" spans="1:1" x14ac:dyDescent="0.25">
      <c r="A96" s="4" t="s">
        <v>2788</v>
      </c>
    </row>
    <row r="98" spans="1:6" x14ac:dyDescent="0.25">
      <c r="A98" t="s">
        <v>2454</v>
      </c>
      <c r="B98" t="s">
        <v>2781</v>
      </c>
      <c r="C98" t="s">
        <v>2789</v>
      </c>
      <c r="D98" t="s">
        <v>2790</v>
      </c>
      <c r="E98" t="s">
        <v>2791</v>
      </c>
      <c r="F98" t="s">
        <v>2792</v>
      </c>
    </row>
    <row r="99" spans="2:6" x14ac:dyDescent="0.25">
      <c r="B99" t="str">
        <f>B8</f>
        <v>SMDR</v>
      </c>
      <c r="C99">
        <f>G31</f>
        <v>0</v>
      </c>
      <c r="D99">
        <f>G36</f>
        <v>0</v>
      </c>
      <c r="E99">
        <f>IFERROR(C99/SUM($C$99:$C$101),0)</f>
        <v>0</v>
      </c>
      <c r="F99">
        <f>IFERROR(D99/SUM($D$99:$D$101),0)</f>
        <v>0</v>
      </c>
    </row>
    <row r="100" spans="2:6" x14ac:dyDescent="0.25">
      <c r="B100" t="str">
        <f>B37</f>
        <v>BLTA</v>
      </c>
      <c r="C100">
        <f>G60</f>
        <v>0</v>
      </c>
      <c r="D100">
        <f>G65</f>
        <v>0</v>
      </c>
      <c r="E100">
        <f>IFERROR(C100/SUM($C$99:$C$101),0)</f>
        <v>0</v>
      </c>
      <c r="F100">
        <f>IFERROR(D100/SUM($D$99:$D$101),0)</f>
        <v>0</v>
      </c>
    </row>
    <row r="101" spans="2:6" x14ac:dyDescent="0.25">
      <c r="B101" t="str">
        <f>B66</f>
        <v>PORT</v>
      </c>
      <c r="C101">
        <f>G89</f>
        <v>0</v>
      </c>
      <c r="D101">
        <f>G94</f>
        <v>0</v>
      </c>
      <c r="E101">
        <f>IFERROR(C101/SUM($C$99:$C$101),0)</f>
        <v>0</v>
      </c>
      <c r="F101">
        <f>IFERROR(D101/SUM($D$99:$D$101),0)</f>
        <v>0</v>
      </c>
    </row>
  </sheetData>
  <mergeCells count="11">
    <mergeCell ref="B6:E6"/>
    <mergeCell ref="J6:M6"/>
    <mergeCell ref="A6:A7"/>
    <mergeCell ref="F6:F7"/>
    <mergeCell ref="G6:G7"/>
    <mergeCell ref="C31:F31"/>
    <mergeCell ref="C36:F36"/>
    <mergeCell ref="C60:F60"/>
    <mergeCell ref="C65:F65"/>
    <mergeCell ref="C89:F89"/>
    <mergeCell ref="C94:F94"/>
  </mergeCells>
  <printOptions horizontalCentered="1"/>
  <pageMargins left="0.25" right="0.25" top="0.75" bottom="0.75" header="0.3" footer="0.3"/>
  <pageSetup paperSize="9" orientation="portrait" horizontalDpi="4294967295" verticalDpi="4294967295" scale="71" fitToWidth="1" fitToHeight="0"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pageSetUpPr fitToPage="1"/>
  </sheetPr>
  <dimension ref="B2:O45"/>
  <sheetViews>
    <sheetView workbookViewId="0" showGridLines="0" zoomScale="100" zoomScaleNormal="100">
      <selection activeCell="G42" sqref="G42"/>
    </sheetView>
  </sheetViews>
  <sheetFormatPr defaultRowHeight="15" outlineLevelRow="0" outlineLevelCol="0" x14ac:dyDescent="0.2" defaultColWidth="8.83203125"/>
  <cols>
    <col min="3" max="3" width="32.83203125" customWidth="1"/>
    <col min="4" max="4" width="21" customWidth="1"/>
    <col min="5" max="5" width="20.5" customWidth="1"/>
    <col min="6" max="7" width="20.6640625" customWidth="1"/>
    <col min="8" max="8" width="24" customWidth="1"/>
    <col min="9" max="9" width="16.83203125" customWidth="1"/>
    <col min="10" max="10" width="25.83203125" customWidth="1"/>
    <col min="11" max="11" width="17" customWidth="1"/>
    <col min="12" max="15" width="11.33203125" customWidth="1"/>
  </cols>
  <sheetData>
    <row r="2" ht="16" customHeight="1" spans="2:3" x14ac:dyDescent="0.25">
      <c r="B2" s="4" t="s">
        <v>2738</v>
      </c>
      <c r="C2" s="277"/>
    </row>
    <row r="3" spans="2:14" x14ac:dyDescent="0.25">
      <c r="B3" s="324" t="s">
        <v>2910</v>
      </c>
      <c r="C3" s="324" t="s">
        <v>2739</v>
      </c>
      <c r="D3" s="325" t="s">
        <v>2911</v>
      </c>
      <c r="E3" s="325"/>
      <c r="F3" s="325"/>
      <c r="G3" s="326"/>
      <c r="H3" s="327" t="s">
        <v>2741</v>
      </c>
      <c r="I3" s="325"/>
      <c r="J3" s="325"/>
      <c r="K3" s="326"/>
      <c r="L3" s="327" t="s">
        <v>2742</v>
      </c>
      <c r="M3" s="325"/>
      <c r="N3" s="326"/>
    </row>
    <row r="4" spans="2:14" x14ac:dyDescent="0.25">
      <c r="B4" s="328"/>
      <c r="C4" s="328"/>
      <c r="D4" s="329" t="str">
        <f>'PASAR KESEBANDINGAN'!L39</f>
        <v>CHEM</v>
      </c>
      <c r="E4" s="329" t="str">
        <f>'PASAR KESEBANDINGAN'!M39</f>
        <v>CLPI</v>
      </c>
      <c r="F4" s="329" t="str">
        <f>'PASAR KESEBANDINGAN'!N39</f>
        <v>CTBN</v>
      </c>
      <c r="G4" s="330" t="s">
        <v>2743</v>
      </c>
      <c r="H4" s="331" t="str">
        <f>D4</f>
        <v>CHEM</v>
      </c>
      <c r="I4" s="329" t="str">
        <f>E4</f>
        <v>CLPI</v>
      </c>
      <c r="J4" s="329" t="str">
        <f>F4</f>
        <v>CTBN</v>
      </c>
      <c r="K4" s="330" t="s">
        <v>2743</v>
      </c>
      <c r="L4" s="331" t="str">
        <f>H4</f>
        <v>CHEM</v>
      </c>
      <c r="M4" s="329" t="str">
        <f>I4</f>
        <v>CLPI</v>
      </c>
      <c r="N4" s="330" t="str">
        <f>J4</f>
        <v>CTBN</v>
      </c>
    </row>
    <row r="5" spans="2:14" x14ac:dyDescent="0.25">
      <c r="B5" s="523" t="s">
        <v>2280</v>
      </c>
      <c r="C5" s="332" t="s">
        <v>2282</v>
      </c>
      <c r="D5" s="205">
        <v>119655832334</v>
      </c>
      <c r="E5" s="205">
        <v>806306849977</v>
      </c>
      <c r="F5" s="205">
        <v>3203693692307.693</v>
      </c>
      <c r="G5" s="333">
        <f>'INCOME STATEMENT'!F6</f>
        <v>61039612496</v>
      </c>
      <c r="H5" s="334"/>
      <c r="I5" s="203"/>
      <c r="J5" s="203"/>
      <c r="K5" s="335"/>
      <c r="L5" s="332"/>
      <c r="M5" s="203"/>
      <c r="N5" s="335"/>
    </row>
    <row r="6" spans="2:14" x14ac:dyDescent="0.25">
      <c r="B6" s="524"/>
      <c r="C6" s="332" t="s">
        <v>2558</v>
      </c>
      <c r="D6" s="205">
        <v>-82688848989</v>
      </c>
      <c r="E6" s="205">
        <v>-698190914143</v>
      </c>
      <c r="F6" s="205">
        <v>-2544989169230.7695</v>
      </c>
      <c r="G6" s="333">
        <f>'INCOME STATEMENT'!F7</f>
        <v>-26008410685</v>
      </c>
      <c r="H6" s="336">
        <f>D6/D$5</f>
        <v>-0.6910557335658105</v>
      </c>
      <c r="I6" s="337">
        <f t="shared" ref="I6:K8" si="0">E6/E$5</f>
        <v>-0.8659121699920024</v>
      </c>
      <c r="J6" s="337">
        <f t="shared" si="0"/>
        <v>-0.7943921653126446</v>
      </c>
      <c r="K6" s="338">
        <f t="shared" si="0"/>
        <v>-0.42609069129828375</v>
      </c>
      <c r="L6" s="339"/>
      <c r="M6" s="340"/>
      <c r="N6" s="341">
        <v>1</v>
      </c>
    </row>
    <row r="7" spans="2:14" x14ac:dyDescent="0.25">
      <c r="B7" s="524"/>
      <c r="C7" s="332" t="s">
        <v>2291</v>
      </c>
      <c r="D7" s="205">
        <v>1131061452</v>
      </c>
      <c r="E7" s="205">
        <v>58791423530</v>
      </c>
      <c r="F7" s="205">
        <v>336629523076.9231</v>
      </c>
      <c r="G7" s="333">
        <f>'INCOME STATEMENT'!F18</f>
        <v>7493446732</v>
      </c>
      <c r="H7" s="336">
        <f>D7/D$5</f>
        <v>0.009452622826130398</v>
      </c>
      <c r="I7" s="337">
        <f t="shared" si="0"/>
        <v>0.07291445376121639</v>
      </c>
      <c r="J7" s="337">
        <f t="shared" si="0"/>
        <v>0.10507543960435282</v>
      </c>
      <c r="K7" s="338">
        <f>G7/G$5</f>
        <v>0.12276366814240595</v>
      </c>
      <c r="L7" s="339"/>
      <c r="M7" s="340"/>
      <c r="N7" s="341">
        <v>1</v>
      </c>
    </row>
    <row r="8" spans="2:14" x14ac:dyDescent="0.25">
      <c r="B8" s="524"/>
      <c r="C8" s="332" t="s">
        <v>2294</v>
      </c>
      <c r="D8" s="205">
        <v>1131061452</v>
      </c>
      <c r="E8" s="205">
        <v>65281918531</v>
      </c>
      <c r="F8" s="205">
        <v>327723061538.4616</v>
      </c>
      <c r="G8" s="333">
        <f>'INCOME STATEMENT'!F22</f>
        <v>7333474245</v>
      </c>
      <c r="H8" s="336">
        <f>D8/D$5</f>
        <v>0.009452622826130398</v>
      </c>
      <c r="I8" s="337">
        <f t="shared" si="0"/>
        <v>0.08096411252473196</v>
      </c>
      <c r="J8" s="337">
        <f t="shared" si="0"/>
        <v>0.10229537933833971</v>
      </c>
      <c r="K8" s="338">
        <f t="shared" si="0"/>
        <v>0.12014287026282434</v>
      </c>
      <c r="L8" s="339"/>
      <c r="M8" s="340"/>
      <c r="N8" s="341">
        <v>1</v>
      </c>
    </row>
    <row r="9" spans="2:14" x14ac:dyDescent="0.25">
      <c r="B9" s="525"/>
      <c r="C9" s="332"/>
      <c r="D9" s="205"/>
      <c r="E9" s="205"/>
      <c r="F9" s="205"/>
      <c r="G9" s="333"/>
      <c r="H9" s="334"/>
      <c r="I9" s="203"/>
      <c r="J9" s="203"/>
      <c r="K9" s="338"/>
      <c r="L9" s="339"/>
      <c r="M9" s="340"/>
      <c r="N9" s="341"/>
    </row>
    <row r="10" spans="2:14" x14ac:dyDescent="0.25">
      <c r="B10" s="523" t="s">
        <v>2224</v>
      </c>
      <c r="C10" s="332" t="s">
        <v>2747</v>
      </c>
      <c r="D10" s="205">
        <v>116692606752</v>
      </c>
      <c r="E10" s="205">
        <v>657741165545</v>
      </c>
      <c r="F10" s="205">
        <v>1970205584615.3848</v>
      </c>
      <c r="G10" s="333">
        <f>'BALANCE SHEET'!F16</f>
        <v>27371778788</v>
      </c>
      <c r="H10" s="336">
        <f>D10/D$12</f>
        <v>0.7865020289259312</v>
      </c>
      <c r="I10" s="337">
        <f t="shared" ref="I10:K11" si="1">E10/E$12</f>
        <v>0.8470563427437722</v>
      </c>
      <c r="J10" s="337">
        <f t="shared" si="1"/>
        <v>0.748267224906335</v>
      </c>
      <c r="K10" s="338">
        <f>G10/G$12</f>
        <v>0.8137615105141686</v>
      </c>
      <c r="L10" s="339"/>
      <c r="M10" s="340"/>
      <c r="N10" s="341">
        <v>1</v>
      </c>
    </row>
    <row r="11" spans="2:14" x14ac:dyDescent="0.25">
      <c r="B11" s="524"/>
      <c r="C11" s="332" t="s">
        <v>2748</v>
      </c>
      <c r="D11" s="205">
        <v>31676504147</v>
      </c>
      <c r="E11" s="205">
        <v>118761095703</v>
      </c>
      <c r="F11" s="205">
        <v>662818446153.8462</v>
      </c>
      <c r="G11" s="333">
        <f>'BALANCE SHEET'!F25</f>
        <v>6264339945</v>
      </c>
      <c r="H11" s="336">
        <f>D11/D$12</f>
        <v>0.21349797107406876</v>
      </c>
      <c r="I11" s="337">
        <f t="shared" si="1"/>
        <v>0.15294365725622783</v>
      </c>
      <c r="J11" s="337">
        <f t="shared" si="1"/>
        <v>0.25173277509366504</v>
      </c>
      <c r="K11" s="338">
        <f t="shared" si="1"/>
        <v>0.1862384894858315</v>
      </c>
      <c r="L11" s="339"/>
      <c r="M11" s="340"/>
      <c r="N11" s="341">
        <v>1</v>
      </c>
    </row>
    <row r="12" spans="2:14" x14ac:dyDescent="0.25">
      <c r="B12" s="524"/>
      <c r="C12" s="332" t="s">
        <v>2749</v>
      </c>
      <c r="D12" s="205">
        <f>+D10+D11</f>
        <v>148369110899</v>
      </c>
      <c r="E12" s="205">
        <f>+E10+E11</f>
        <v>776502261248</v>
      </c>
      <c r="F12" s="205">
        <f>+F10+F11</f>
        <v>2633024030769.231</v>
      </c>
      <c r="G12" s="205">
        <f>+G10+G11</f>
        <v>33636118733</v>
      </c>
      <c r="H12" s="336"/>
      <c r="I12" s="203"/>
      <c r="J12" s="203"/>
      <c r="K12" s="338"/>
      <c r="L12" s="339"/>
      <c r="M12" s="340"/>
      <c r="N12" s="341"/>
    </row>
    <row r="13" spans="2:14" x14ac:dyDescent="0.25">
      <c r="B13" s="524"/>
      <c r="C13" s="332" t="s">
        <v>2912</v>
      </c>
      <c r="D13" s="205">
        <v>31350314230</v>
      </c>
      <c r="E13" s="205">
        <v>207256474579</v>
      </c>
      <c r="F13" s="205">
        <v>941432292307.6924</v>
      </c>
      <c r="G13" s="333">
        <f>'BALANCE SHEET'!F35</f>
        <v>4269636530</v>
      </c>
      <c r="H13" s="336">
        <f>D13/D$15</f>
        <v>0.8432540678382207</v>
      </c>
      <c r="I13" s="337">
        <f t="shared" ref="I13:K14" si="2">E13/E$15</f>
        <v>0.9387666646388977</v>
      </c>
      <c r="J13" s="337">
        <f t="shared" si="2"/>
        <v>0.8905532842753894</v>
      </c>
      <c r="K13" s="338">
        <f>G13/G$15</f>
        <v>1</v>
      </c>
      <c r="L13" s="339"/>
      <c r="M13" s="340"/>
      <c r="N13" s="341"/>
    </row>
    <row r="14" spans="2:14" x14ac:dyDescent="0.25">
      <c r="B14" s="524"/>
      <c r="C14" s="332" t="s">
        <v>2913</v>
      </c>
      <c r="D14" s="205">
        <v>5827465784</v>
      </c>
      <c r="E14" s="205">
        <v>13518806847</v>
      </c>
      <c r="F14" s="205">
        <v>115699615384.6154</v>
      </c>
      <c r="G14" s="333">
        <f>'BALANCE SHEET'!F40</f>
        <v>0</v>
      </c>
      <c r="H14" s="336">
        <f>D14/D$15</f>
        <v>0.15674593216177934</v>
      </c>
      <c r="I14" s="337">
        <f t="shared" si="2"/>
        <v>0.06123333536110231</v>
      </c>
      <c r="J14" s="337">
        <f t="shared" si="2"/>
        <v>0.1094467157246107</v>
      </c>
      <c r="K14" s="338">
        <f t="shared" si="2"/>
        <v>0</v>
      </c>
      <c r="L14" s="339"/>
      <c r="M14" s="340">
        <v>1</v>
      </c>
      <c r="N14" s="341"/>
    </row>
    <row r="15" spans="2:14" x14ac:dyDescent="0.25">
      <c r="B15" s="524"/>
      <c r="C15" s="332" t="s">
        <v>2752</v>
      </c>
      <c r="D15" s="205">
        <f>+D13+D14</f>
        <v>37177780014</v>
      </c>
      <c r="E15" s="205">
        <f>+E13+E14</f>
        <v>220775281426</v>
      </c>
      <c r="F15" s="205">
        <f>+F13+F14</f>
        <v>1057131907692.3077</v>
      </c>
      <c r="G15" s="205">
        <f>+G13+G14</f>
        <v>4269636530</v>
      </c>
      <c r="H15" s="334"/>
      <c r="I15" s="203"/>
      <c r="J15" s="203"/>
      <c r="K15" s="338"/>
      <c r="L15" s="339"/>
      <c r="M15" s="340"/>
      <c r="N15" s="341"/>
    </row>
    <row r="16" ht="16" customHeight="1" spans="2:14" x14ac:dyDescent="0.25">
      <c r="B16" s="524"/>
      <c r="C16" s="332" t="s">
        <v>2541</v>
      </c>
      <c r="D16" s="205">
        <v>111191330885</v>
      </c>
      <c r="E16" s="205">
        <v>555726979822</v>
      </c>
      <c r="F16" s="205">
        <v>1575892123076.9233</v>
      </c>
      <c r="G16" s="333">
        <f>'BALANCE SHEET'!F49</f>
        <v>29366482204</v>
      </c>
      <c r="H16" s="336">
        <f>D16/D$12</f>
        <v>0.7494237190697449</v>
      </c>
      <c r="I16" s="337">
        <f>E16/E$12</f>
        <v>0.7156797958692762</v>
      </c>
      <c r="J16" s="337">
        <f>F16/F$12</f>
        <v>0.5985103457701944</v>
      </c>
      <c r="K16" s="338">
        <f>G16/G$12</f>
        <v>0.8730639357384861</v>
      </c>
      <c r="L16" s="339">
        <v>1</v>
      </c>
      <c r="M16" s="340"/>
      <c r="N16" s="341"/>
    </row>
    <row r="17" spans="2:14" x14ac:dyDescent="0.25">
      <c r="B17" s="524"/>
      <c r="C17" s="332" t="s">
        <v>2914</v>
      </c>
      <c r="D17" s="205">
        <v>120</v>
      </c>
      <c r="E17" s="205">
        <v>985</v>
      </c>
      <c r="F17" s="205">
        <v>1435</v>
      </c>
      <c r="G17" s="526"/>
      <c r="H17" s="527" t="s">
        <v>2915</v>
      </c>
      <c r="I17" s="527"/>
      <c r="J17" s="527"/>
      <c r="K17" s="528"/>
      <c r="L17" s="350">
        <f>SUM(L6:L16)</f>
        <v>1</v>
      </c>
      <c r="M17" s="351">
        <f>SUM(M6:M16)</f>
        <v>1</v>
      </c>
      <c r="N17" s="352">
        <f>SUM(N6:N16)</f>
        <v>5</v>
      </c>
    </row>
    <row r="18" spans="2:14" x14ac:dyDescent="0.25">
      <c r="B18" s="524"/>
      <c r="C18" s="332" t="s">
        <v>2916</v>
      </c>
      <c r="D18" s="467">
        <v>0.36</v>
      </c>
      <c r="E18" s="467">
        <v>172</v>
      </c>
      <c r="F18" s="467">
        <v>0.023</v>
      </c>
      <c r="G18" s="333">
        <v>353277</v>
      </c>
      <c r="H18" s="529"/>
      <c r="I18" s="529"/>
      <c r="J18" s="529"/>
      <c r="K18" s="530"/>
      <c r="L18" s="531"/>
      <c r="M18" s="532"/>
      <c r="N18" s="533"/>
    </row>
    <row r="19" ht="16" customHeight="1" spans="2:14" x14ac:dyDescent="0.25">
      <c r="B19" s="524"/>
      <c r="C19" s="332" t="s">
        <v>2754</v>
      </c>
      <c r="D19" s="205">
        <v>1700032794</v>
      </c>
      <c r="E19" s="205">
        <v>306338500</v>
      </c>
      <c r="F19" s="205">
        <v>800371500</v>
      </c>
      <c r="G19" s="534"/>
      <c r="H19" s="535" t="s">
        <v>2917</v>
      </c>
      <c r="I19" s="535"/>
      <c r="J19" s="535"/>
      <c r="K19" s="536"/>
      <c r="L19" s="353">
        <f>L17/SUM($L$17:$N$17)</f>
        <v>0.14285714285714285</v>
      </c>
      <c r="M19" s="354">
        <f>M17/SUM($L$17:$N$17)</f>
        <v>0.14285714285714285</v>
      </c>
      <c r="N19" s="355">
        <f>N17/SUM($L$17:$N$17)</f>
        <v>0.7142857142857143</v>
      </c>
    </row>
    <row r="20" spans="2:14" x14ac:dyDescent="0.25">
      <c r="B20" s="524"/>
      <c r="C20" s="332" t="s">
        <v>2755</v>
      </c>
      <c r="D20" s="205">
        <f>+D17*D19</f>
        <v>204003935280</v>
      </c>
      <c r="E20" s="205">
        <f>+E17*E19</f>
        <v>301743422500</v>
      </c>
      <c r="F20" s="205">
        <f>+F17*F19</f>
        <v>1148533102500</v>
      </c>
      <c r="G20" s="534"/>
      <c r="L20" s="277"/>
      <c r="M20" s="277"/>
      <c r="N20" s="277"/>
    </row>
    <row r="21" spans="2:14" x14ac:dyDescent="0.25">
      <c r="B21" s="524"/>
      <c r="C21" s="332" t="s">
        <v>2756</v>
      </c>
      <c r="D21" s="205">
        <v>1</v>
      </c>
      <c r="E21" s="205">
        <f>D21</f>
        <v>1</v>
      </c>
      <c r="F21" s="205">
        <v>1</v>
      </c>
      <c r="G21" s="534"/>
      <c r="L21" s="277"/>
      <c r="M21" s="277"/>
      <c r="N21" s="277"/>
    </row>
    <row r="22" ht="16" customHeight="1" spans="2:14" x14ac:dyDescent="0.25">
      <c r="B22" s="537"/>
      <c r="C22" s="342" t="s">
        <v>2918</v>
      </c>
      <c r="D22" s="205">
        <f>D20/D21</f>
        <v>204003935280</v>
      </c>
      <c r="E22" s="205">
        <f>E20/E21</f>
        <v>301743422500</v>
      </c>
      <c r="F22" s="205">
        <f>F20/F21</f>
        <v>1148533102500</v>
      </c>
      <c r="G22" s="538"/>
      <c r="L22" s="277"/>
      <c r="M22" s="277"/>
      <c r="N22" s="277"/>
    </row>
    <row r="25" ht="16" customHeight="1" spans="2:15" x14ac:dyDescent="0.25">
      <c r="B25" s="4" t="s">
        <v>2759</v>
      </c>
      <c r="C25" s="277"/>
      <c r="O25" s="31"/>
    </row>
    <row r="26" spans="2:10" x14ac:dyDescent="0.25">
      <c r="B26" s="359" t="s">
        <v>2454</v>
      </c>
      <c r="C26" s="357" t="s">
        <v>2760</v>
      </c>
      <c r="D26" s="356" t="s">
        <v>2761</v>
      </c>
      <c r="E26" s="357"/>
      <c r="F26" s="358"/>
      <c r="G26" s="356" t="s">
        <v>2762</v>
      </c>
      <c r="H26" s="358"/>
      <c r="I26" s="359" t="s">
        <v>2763</v>
      </c>
      <c r="J26" s="358" t="s">
        <v>2764</v>
      </c>
    </row>
    <row r="27" spans="2:10" x14ac:dyDescent="0.25">
      <c r="B27" s="539"/>
      <c r="C27" s="540" t="s">
        <v>2765</v>
      </c>
      <c r="D27" s="541">
        <f>L19</f>
        <v>0.14285714285714285</v>
      </c>
      <c r="E27" s="542">
        <f>M19</f>
        <v>0.14285714285714285</v>
      </c>
      <c r="F27" s="543">
        <f>N19</f>
        <v>0.7142857142857143</v>
      </c>
      <c r="G27" s="361"/>
      <c r="H27" s="362"/>
      <c r="I27" s="363"/>
      <c r="J27" s="362"/>
    </row>
    <row r="28" spans="2:10" x14ac:dyDescent="0.25">
      <c r="B28" s="544">
        <v>1</v>
      </c>
      <c r="C28" s="545" t="s">
        <v>2766</v>
      </c>
      <c r="D28" s="546">
        <f>IFERROR(VLOOKUP(C28,MULTIPLES,10,FALSE),"")</f>
        <v>1.7049226209931485</v>
      </c>
      <c r="E28" s="547">
        <f>IFERROR(VLOOKUP(C28,MULTIPLES,11,FALSE),"")</f>
        <v>0.37422902026518473</v>
      </c>
      <c r="F28" s="548">
        <f>IFERROR(VLOOKUP(C28,MULTIPLES,12,FALSE),"")</f>
        <v>0.35850278235329225</v>
      </c>
      <c r="G28" s="334">
        <f>IFERROR(VLOOKUP(C28,MULTIPLES,9,FALSE),0)</f>
        <v>61039612496</v>
      </c>
      <c r="H28" s="368">
        <f>($D$27*D28*G28)+($E$27*E28*G28)+($F$27*F28*G28)</f>
        <v>33760709295.820717</v>
      </c>
      <c r="I28" s="366">
        <v>1</v>
      </c>
      <c r="J28" s="367">
        <f>H28*I28</f>
        <v>33760709295.820717</v>
      </c>
    </row>
    <row r="29" spans="2:10" x14ac:dyDescent="0.25">
      <c r="B29" s="544">
        <f>IF(C29="","",2)</f>
      </c>
      <c r="C29" s="545"/>
      <c r="D29" s="546">
        <f>IFERROR(VLOOKUP(C29,MULTIPLES,10,FALSE),"")</f>
      </c>
      <c r="E29" s="547">
        <f>IFERROR(VLOOKUP(C29,MULTIPLES,11,FALSE),"")</f>
      </c>
      <c r="F29" s="548">
        <f>IFERROR(VLOOKUP(C29,MULTIPLES,12,FALSE),"")</f>
      </c>
      <c r="G29" s="334">
        <f>IFERROR(VLOOKUP(C29,MULTIPLES,9,FALSE),"")</f>
      </c>
      <c r="H29" s="368">
        <f>IFERROR(($D$27*D29*G29)+($E$27*E29*G29)+($F$27*F29*G29),"")</f>
      </c>
      <c r="I29" s="366">
        <f>1-I28</f>
        <v>0</v>
      </c>
      <c r="J29" s="367">
        <f>IFERROR(H29*I29,0)</f>
        <v>0</v>
      </c>
    </row>
    <row r="30" ht="16" customHeight="1" spans="2:10" x14ac:dyDescent="0.25">
      <c r="B30" s="549"/>
      <c r="C30" s="550"/>
      <c r="D30" s="342"/>
      <c r="E30" s="345"/>
      <c r="F30" s="344"/>
      <c r="G30" s="551" t="str">
        <f>IF(LEFT(C28,1)="p","INDICATED VALUE OF EQUITY","ENTERPRISE VALUE")</f>
        <v>INDICATED VALUE OF EQUITY</v>
      </c>
      <c r="H30" s="370"/>
      <c r="I30" s="371"/>
      <c r="J30" s="552">
        <f>+J28+J29</f>
        <v>33760709295.820717</v>
      </c>
    </row>
    <row r="31" spans="7:10" x14ac:dyDescent="0.25">
      <c r="G31" s="553">
        <f>IF(G30="ENTERPRISE VALUE","DEBT",0)</f>
        <v>0</v>
      </c>
      <c r="H31" s="554"/>
      <c r="I31" s="555"/>
      <c r="J31" s="556">
        <f>IF(G31="DEBT",('BALANCE SHEET'!F31+'BALANCE SHEET'!F38)*-1,0)</f>
        <v>0</v>
      </c>
    </row>
    <row r="32" ht="16" customHeight="1" spans="7:10" x14ac:dyDescent="0.25">
      <c r="G32" s="557">
        <f>IF(G31="DEBT","INDICATED VALUE OF EQUITY",0)</f>
        <v>0</v>
      </c>
      <c r="H32" s="558"/>
      <c r="I32" s="559"/>
      <c r="J32" s="560">
        <f>IF(G31="DEBT",J30+J31,0)</f>
        <v>0</v>
      </c>
    </row>
    <row r="33" spans="7:10" x14ac:dyDescent="0.25">
      <c r="G33" s="373" t="s">
        <v>2769</v>
      </c>
      <c r="H33" s="374"/>
      <c r="I33" s="561">
        <v>0.7</v>
      </c>
      <c r="J33" s="376">
        <f>IF(G31="DEBT",J32*I33,J30*I33)</f>
        <v>23632496507.0745</v>
      </c>
    </row>
    <row r="34" spans="7:10" x14ac:dyDescent="0.25">
      <c r="G34" s="377" t="s">
        <v>2770</v>
      </c>
      <c r="H34" s="378"/>
      <c r="I34" s="17"/>
      <c r="J34" s="379">
        <f>+J30+J33</f>
        <v>57393205802.89522</v>
      </c>
    </row>
    <row r="35" spans="7:10" x14ac:dyDescent="0.25">
      <c r="G35" s="377" t="s">
        <v>2771</v>
      </c>
      <c r="H35" s="378"/>
      <c r="I35" s="380">
        <f>EEM!C35</f>
        <v>-0.4</v>
      </c>
      <c r="J35" s="379">
        <f>J34*I35</f>
        <v>-22957282321.15809</v>
      </c>
    </row>
    <row r="36" spans="3:10" x14ac:dyDescent="0.25">
      <c r="C36" s="562"/>
      <c r="G36" s="381" t="s">
        <v>2772</v>
      </c>
      <c r="H36" s="382"/>
      <c r="I36" s="383"/>
      <c r="J36" s="384">
        <f>+J34+J35</f>
        <v>34435923481.73713</v>
      </c>
    </row>
    <row r="37" spans="7:10" x14ac:dyDescent="0.25">
      <c r="G37" s="377" t="s">
        <v>2773</v>
      </c>
      <c r="H37" s="378"/>
      <c r="I37" s="380">
        <f>EEM!C39</f>
        <v>0.3</v>
      </c>
      <c r="J37" s="379">
        <v>135000</v>
      </c>
    </row>
    <row r="38" ht="16" customHeight="1" spans="7:10" x14ac:dyDescent="0.25">
      <c r="G38" s="385" t="str">
        <f>"MARKET VALUE OF "&amp;TEXT(I37,"0,0%")&amp;" EQUITY"</f>
        <v>MARKET VALUE OF 30% EQUITY</v>
      </c>
      <c r="H38" s="386"/>
      <c r="I38" s="387"/>
      <c r="J38" s="388">
        <f>J36*I37</f>
        <v>10330777044.52114</v>
      </c>
    </row>
    <row r="39" ht="16" customHeight="1" spans="7:10" x14ac:dyDescent="0.25">
      <c r="G39" s="563" t="s">
        <v>2874</v>
      </c>
      <c r="H39" s="564"/>
      <c r="I39" s="564"/>
      <c r="J39" s="565">
        <f>ROUNDUP(J38,-3)</f>
        <v>10330778000</v>
      </c>
    </row>
    <row r="41" spans="7:10" x14ac:dyDescent="0.25">
      <c r="G41" t="s">
        <v>2754</v>
      </c>
      <c r="J41" s="26">
        <f>DCF!C41</f>
        <v>600000000</v>
      </c>
    </row>
    <row r="42" spans="10:10" x14ac:dyDescent="0.25">
      <c r="J42" s="566">
        <f>J38/J41</f>
        <v>17.217961740868564</v>
      </c>
    </row>
    <row r="43" spans="10:11" x14ac:dyDescent="0.25">
      <c r="J43" s="26"/>
      <c r="K43" s="31"/>
    </row>
    <row r="44" spans="9:10" x14ac:dyDescent="0.25">
      <c r="I44" s="31"/>
      <c r="J44" s="26"/>
    </row>
    <row r="45" spans="10:10" x14ac:dyDescent="0.25">
      <c r="J45" s="26"/>
    </row>
  </sheetData>
  <mergeCells count="13">
    <mergeCell ref="D3:G3"/>
    <mergeCell ref="H3:K3"/>
    <mergeCell ref="L3:N3"/>
    <mergeCell ref="B3:B4"/>
    <mergeCell ref="C3:C4"/>
    <mergeCell ref="B5:B9"/>
    <mergeCell ref="B10:B22"/>
    <mergeCell ref="H17:K17"/>
    <mergeCell ref="H19:K19"/>
    <mergeCell ref="D26:F26"/>
    <mergeCell ref="G26:H26"/>
    <mergeCell ref="G31:I31"/>
    <mergeCell ref="G32:I32"/>
  </mergeCells>
  <conditionalFormatting sqref="G31:G32">
    <cfRule type="cellIs" dxfId="6" priority="1" operator="equal">
      <formula>0</formula>
    </cfRule>
  </conditionalFormatting>
  <conditionalFormatting sqref="J31:J32">
    <cfRule type="cellIs" dxfId="7" priority="2" operator="equal">
      <formula>0</formula>
    </cfRule>
  </conditionalFormatting>
  <dataValidations count="1">
    <dataValidation type="list" allowBlank="1" showInputMessage="1" showErrorMessage="1" sqref="C28:C29">
      <formula1>MULTIPLE</formula1>
    </dataValidation>
  </dataValidations>
  <pageMargins left="0.45" right="0.45" top="0.75" bottom="0.75" header="0.3" footer="0.3"/>
  <pageSetup paperSize="9" orientation="landscape" horizontalDpi="4294967295" verticalDpi="4294967295" scale="61" fitToWidth="1" fitToHeight="1" firstPageNumber="1" useFirstPageNumber="1" copies="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1:G47"/>
  <sheetViews>
    <sheetView workbookViewId="0" showGridLines="0" zoomScale="100" zoomScaleNormal="100">
      <selection activeCell="D42" sqref="D42"/>
    </sheetView>
  </sheetViews>
  <sheetFormatPr defaultRowHeight="15" outlineLevelRow="0" outlineLevelCol="0" x14ac:dyDescent="0.2" defaultColWidth="9.1640625"/>
  <cols>
    <col min="1" max="1" width="8.5" customWidth="1"/>
    <col min="2" max="2" width="19" customWidth="1"/>
    <col min="3" max="3" width="28.5" customWidth="1"/>
    <col min="4" max="4" width="18" customWidth="1"/>
    <col min="5" max="5" width="22.1640625" customWidth="1"/>
    <col min="6" max="6" width="25.5" customWidth="1"/>
  </cols>
  <sheetData>
    <row r="1" spans="2:2" x14ac:dyDescent="0.25">
      <c r="B1" s="4" t="s">
        <v>2815</v>
      </c>
    </row>
    <row r="3" spans="2:2" x14ac:dyDescent="0.25">
      <c r="B3" s="4" t="s">
        <v>2816</v>
      </c>
    </row>
    <row r="4" spans="2:6" x14ac:dyDescent="0.25">
      <c r="B4" s="202" t="s">
        <v>2817</v>
      </c>
      <c r="C4" s="202" t="s">
        <v>2818</v>
      </c>
      <c r="D4" s="202" t="s">
        <v>2570</v>
      </c>
      <c r="E4" s="202" t="s">
        <v>2819</v>
      </c>
      <c r="F4" s="202" t="s">
        <v>2820</v>
      </c>
    </row>
    <row r="5" spans="2:7" x14ac:dyDescent="0.25">
      <c r="B5" s="203">
        <v>1</v>
      </c>
      <c r="C5" s="203" t="s">
        <v>2821</v>
      </c>
      <c r="D5" s="205"/>
      <c r="E5" s="416">
        <f>F5/D5</f>
        <v>0.013134769853210125</v>
      </c>
      <c r="F5" s="205">
        <f>'BALANCE SHEET'!F10+'BALANCE SHEET'!F11</f>
        <v>4382100694</v>
      </c>
      <c r="G5" t="s">
        <v>2822</v>
      </c>
    </row>
    <row r="6" spans="2:7" x14ac:dyDescent="0.25">
      <c r="B6" s="203">
        <v>2</v>
      </c>
      <c r="C6" s="203" t="s">
        <v>2823</v>
      </c>
      <c r="D6" s="205"/>
      <c r="E6" s="416">
        <f>F6/D6</f>
        <v>0.003345633235492465</v>
      </c>
      <c r="F6" s="205">
        <f>'BALANCE SHEET'!F12</f>
        <v>1423637783</v>
      </c>
      <c r="G6" t="s">
        <v>2824</v>
      </c>
    </row>
    <row r="7" spans="2:6" x14ac:dyDescent="0.25">
      <c r="B7" s="203">
        <v>3</v>
      </c>
      <c r="C7" s="203" t="s">
        <v>2825</v>
      </c>
      <c r="D7" s="205">
        <f>'BALANCE SHEET'!F22</f>
        <v>6264339945</v>
      </c>
      <c r="E7" s="416">
        <v>0.7</v>
      </c>
      <c r="F7" s="205">
        <f>D7*E7</f>
        <v>4385037961.5</v>
      </c>
    </row>
    <row r="8" spans="2:6" x14ac:dyDescent="0.25">
      <c r="B8" s="203"/>
      <c r="C8" s="417" t="s">
        <v>2570</v>
      </c>
      <c r="D8" s="418">
        <f>SUM(D5:D7)</f>
        <v>765411511686</v>
      </c>
      <c r="E8" s="418"/>
      <c r="F8" s="418">
        <f>SUM(F5:F7)</f>
        <v>10190776438.5</v>
      </c>
    </row>
    <row r="9" spans="5:5" x14ac:dyDescent="0.25">
      <c r="E9" s="26"/>
    </row>
    <row r="10" spans="2:5" x14ac:dyDescent="0.25">
      <c r="B10" s="4" t="s">
        <v>2826</v>
      </c>
      <c r="E10" s="26"/>
    </row>
    <row r="11" spans="2:6" x14ac:dyDescent="0.25">
      <c r="B11" s="202" t="s">
        <v>2817</v>
      </c>
      <c r="C11" s="202" t="s">
        <v>2827</v>
      </c>
      <c r="D11" s="202" t="s">
        <v>2828</v>
      </c>
      <c r="E11" s="202" t="s">
        <v>2829</v>
      </c>
      <c r="F11" s="202" t="s">
        <v>2830</v>
      </c>
    </row>
    <row r="12" spans="2:6" x14ac:dyDescent="0.25">
      <c r="B12" s="203">
        <v>1</v>
      </c>
      <c r="C12" s="203" t="s">
        <v>2831</v>
      </c>
      <c r="D12" s="416">
        <f>'DISCOUNT RATE'!G7</f>
        <v>0.06863999999999999</v>
      </c>
      <c r="E12" s="337">
        <f>F8/D8</f>
        <v>0.01331411441154367</v>
      </c>
      <c r="F12" s="416">
        <f>E12*D12</f>
        <v>0.0009138808132083575</v>
      </c>
    </row>
    <row r="13" spans="2:6" x14ac:dyDescent="0.25">
      <c r="B13" s="203">
        <v>2</v>
      </c>
      <c r="C13" s="203" t="s">
        <v>2541</v>
      </c>
      <c r="D13" s="416">
        <f>'DISCOUNT RATE'!G8</f>
        <v>0.12453700000000001</v>
      </c>
      <c r="E13" s="337">
        <f>1-E12</f>
        <v>0.9866858855884564</v>
      </c>
      <c r="F13" s="416">
        <f>E13*D13</f>
        <v>0.1228789001335296</v>
      </c>
    </row>
    <row r="14" spans="2:6" x14ac:dyDescent="0.25">
      <c r="B14" s="203"/>
      <c r="C14" s="203"/>
      <c r="D14" s="203"/>
      <c r="E14" s="205"/>
      <c r="F14" s="416">
        <f>+F12+F13</f>
        <v>0.12379278094673796</v>
      </c>
    </row>
    <row r="15" spans="2:4" x14ac:dyDescent="0.25">
      <c r="B15" s="4"/>
      <c r="D15" s="26"/>
    </row>
    <row r="16" spans="4:6" x14ac:dyDescent="0.25">
      <c r="D16" s="26"/>
      <c r="F16" s="26">
        <f>EEM!D43</f>
        <v>9102541000</v>
      </c>
    </row>
    <row r="17" spans="2:4" x14ac:dyDescent="0.25">
      <c r="B17" s="4"/>
      <c r="D17" s="26"/>
    </row>
    <row r="18" spans="4:4" x14ac:dyDescent="0.25">
      <c r="D18" s="26"/>
    </row>
    <row r="19" spans="4:4" x14ac:dyDescent="0.25">
      <c r="D19" s="26"/>
    </row>
    <row r="20" spans="4:4" x14ac:dyDescent="0.25">
      <c r="D20" s="26"/>
    </row>
    <row r="21" spans="4:4" x14ac:dyDescent="0.25">
      <c r="D21" s="26"/>
    </row>
    <row r="22" spans="4:4" x14ac:dyDescent="0.25">
      <c r="D22" s="26"/>
    </row>
    <row r="23" spans="4:4" x14ac:dyDescent="0.25">
      <c r="D23" s="26"/>
    </row>
    <row r="24" spans="2:4" x14ac:dyDescent="0.25">
      <c r="B24" s="4"/>
      <c r="D24" s="26"/>
    </row>
    <row r="25" spans="4:4" x14ac:dyDescent="0.25">
      <c r="D25" s="26"/>
    </row>
    <row r="26" spans="2:4" x14ac:dyDescent="0.25">
      <c r="B26" s="4"/>
      <c r="D26" s="26"/>
    </row>
    <row r="27" spans="2:4" x14ac:dyDescent="0.25">
      <c r="B27" s="4"/>
      <c r="D27" s="26"/>
    </row>
    <row r="28" spans="4:4" x14ac:dyDescent="0.25">
      <c r="D28" s="26"/>
    </row>
    <row r="29" spans="4:4" x14ac:dyDescent="0.25">
      <c r="D29" s="26"/>
    </row>
    <row r="30" spans="4:4" x14ac:dyDescent="0.25">
      <c r="D30" s="26"/>
    </row>
    <row r="31" spans="4:4" x14ac:dyDescent="0.25">
      <c r="D31" s="26"/>
    </row>
    <row r="32" spans="2:4" x14ac:dyDescent="0.25">
      <c r="B32" s="4"/>
      <c r="D32" s="26"/>
    </row>
    <row r="33" spans="4:4" x14ac:dyDescent="0.25">
      <c r="D33" s="26"/>
    </row>
    <row r="34" spans="2:4" x14ac:dyDescent="0.25">
      <c r="B34" s="4"/>
      <c r="D34" s="26"/>
    </row>
    <row r="35" spans="4:4" x14ac:dyDescent="0.25">
      <c r="D35" s="26"/>
    </row>
    <row r="36" spans="4:4" x14ac:dyDescent="0.25">
      <c r="D36" s="26"/>
    </row>
    <row r="37" spans="2:4" x14ac:dyDescent="0.25">
      <c r="B37" s="4"/>
      <c r="D37" s="26"/>
    </row>
    <row r="38" spans="2:4" x14ac:dyDescent="0.25">
      <c r="B38" s="4"/>
      <c r="D38" s="26"/>
    </row>
    <row r="39" spans="2:4" x14ac:dyDescent="0.25">
      <c r="B39" s="4"/>
      <c r="D39" s="26"/>
    </row>
    <row r="40" spans="4:4" x14ac:dyDescent="0.25">
      <c r="D40" s="26"/>
    </row>
    <row r="41" spans="4:4" x14ac:dyDescent="0.25">
      <c r="D41" s="26"/>
    </row>
    <row r="42" spans="4:4" x14ac:dyDescent="0.25">
      <c r="D42" s="26"/>
    </row>
    <row r="43" spans="4:4" x14ac:dyDescent="0.25">
      <c r="D43" s="26"/>
    </row>
    <row r="44" spans="4:4" x14ac:dyDescent="0.25">
      <c r="D44" s="26"/>
    </row>
    <row r="45" spans="2:4" x14ac:dyDescent="0.25">
      <c r="B45" s="4"/>
      <c r="D45" s="26"/>
    </row>
    <row r="46" spans="2:4" x14ac:dyDescent="0.25">
      <c r="B46" s="4"/>
      <c r="D46" s="37"/>
    </row>
    <row r="47" spans="2:4" x14ac:dyDescent="0.25">
      <c r="B47" s="4"/>
      <c r="D47" s="26"/>
    </row>
  </sheetData>
  <pageMargins left="0.7" right="0.7" top="0.75" bottom="0.75" header="0.3" footer="0.3"/>
  <pageSetup orientation="portrait" horizontalDpi="4294967295" verticalDpi="4294967295" scale="100" fitToWidth="1" fitToHeight="1" firstPageNumber="1" useFirstPageNumber="1" copies="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2:F52"/>
  <sheetViews>
    <sheetView workbookViewId="0" showGridLines="0" zoomScale="100" zoomScaleNormal="100">
      <selection activeCell="F7" sqref="F7"/>
    </sheetView>
  </sheetViews>
  <sheetFormatPr defaultRowHeight="15" outlineLevelRow="0" outlineLevelCol="0" x14ac:dyDescent="0.2" defaultColWidth="8.83203125"/>
  <cols>
    <col min="2" max="2" width="43.33203125" customWidth="1"/>
    <col min="3" max="3" width="12.1640625" customWidth="1"/>
    <col min="4" max="4" width="25.33203125" customWidth="1"/>
    <col min="5" max="5" width="22" customWidth="1"/>
    <col min="6" max="11" width="16.33203125" customWidth="1"/>
  </cols>
  <sheetData>
    <row r="2" spans="2:2" x14ac:dyDescent="0.25">
      <c r="B2" t="str">
        <f>HOME!B4</f>
        <v>PT RAJA VOLTAMA ELEKTRIK</v>
      </c>
    </row>
    <row r="3" spans="2:2" x14ac:dyDescent="0.25">
      <c r="B3" t="s">
        <v>2854</v>
      </c>
    </row>
    <row r="4" spans="2:3" x14ac:dyDescent="0.25">
      <c r="B4" t="str">
        <f>'BALANCE SHEET'!A3</f>
        <v>(IDR)</v>
      </c>
      <c r="C4" t="s">
        <v>2855</v>
      </c>
    </row>
    <row r="5" spans="2:2" x14ac:dyDescent="0.25">
      <c r="B5" t="s">
        <v>2856</v>
      </c>
    </row>
    <row r="7" spans="2:6" x14ac:dyDescent="0.25">
      <c r="B7" t="s">
        <v>2857</v>
      </c>
      <c r="D7" s="26">
        <f>AAM!E16+AAM!E22-(AAM!E29+AAM!E30+AAM!E31+AAM!E36)-AAM!E9</f>
        <v>20800698885</v>
      </c>
      <c r="F7" s="77" t="s">
        <v>2858</v>
      </c>
    </row>
    <row r="8" spans="2:6" x14ac:dyDescent="0.25">
      <c r="B8" t="s">
        <v>2859</v>
      </c>
      <c r="C8" s="441">
        <f>'BORROWING CAP'!F14</f>
        <v>0.12379278094673796</v>
      </c>
      <c r="D8" s="26"/>
      <c r="F8" s="77"/>
    </row>
    <row r="9" spans="2:6" x14ac:dyDescent="0.25">
      <c r="B9" t="s">
        <v>2860</v>
      </c>
      <c r="D9" s="26">
        <f>+D7*C8</f>
        <v>2574976360.6098614</v>
      </c>
      <c r="F9" s="77" t="s">
        <v>2861</v>
      </c>
    </row>
    <row r="11" spans="4:4" x14ac:dyDescent="0.25">
      <c r="D11" s="442"/>
    </row>
    <row r="12" spans="2:4" x14ac:dyDescent="0.25">
      <c r="B12" s="443" t="s">
        <v>2426</v>
      </c>
      <c r="D12" s="26">
        <f>NOPLAT!E19</f>
        <v>5720109965</v>
      </c>
    </row>
    <row r="13" spans="2:4" x14ac:dyDescent="0.25">
      <c r="B13" s="444" t="s">
        <v>2427</v>
      </c>
      <c r="C13" s="34"/>
      <c r="D13" s="35">
        <f>'FIXED ASSET'!E51</f>
        <v>159972488</v>
      </c>
    </row>
    <row r="14" spans="2:4" x14ac:dyDescent="0.25">
      <c r="B14" s="4" t="s">
        <v>2428</v>
      </c>
      <c r="D14" s="26">
        <f>+D12+D13</f>
        <v>5880082453</v>
      </c>
    </row>
    <row r="15" spans="4:4" x14ac:dyDescent="0.25">
      <c r="D15" s="26"/>
    </row>
    <row r="16" spans="2:4" x14ac:dyDescent="0.25">
      <c r="B16" s="4" t="s">
        <v>2333</v>
      </c>
      <c r="D16" s="26"/>
    </row>
    <row r="17" spans="2:4" x14ac:dyDescent="0.25">
      <c r="B17" t="s">
        <v>2429</v>
      </c>
      <c r="D17" s="26">
        <f>'CASH FLOW STATEMENT'!E8</f>
        <v>1913225999</v>
      </c>
    </row>
    <row r="18" spans="2:4" x14ac:dyDescent="0.25">
      <c r="B18" s="34" t="s">
        <v>2430</v>
      </c>
      <c r="C18" s="34"/>
      <c r="D18" s="35">
        <f>'CASH FLOW STATEMENT'!E9</f>
        <v>-2039568042</v>
      </c>
    </row>
    <row r="19" spans="2:4" x14ac:dyDescent="0.25">
      <c r="B19" s="445" t="s">
        <v>2431</v>
      </c>
      <c r="D19" s="26">
        <f>'CASH FLOW STATEMENT'!E10</f>
        <v>-126342043</v>
      </c>
    </row>
    <row r="20" spans="4:4" x14ac:dyDescent="0.25">
      <c r="D20" s="26"/>
    </row>
    <row r="21" spans="2:4" x14ac:dyDescent="0.25">
      <c r="B21" s="443" t="s">
        <v>2432</v>
      </c>
      <c r="D21" s="26">
        <f>'FIXED ASSET'!E23*-1</f>
        <v>-412288044</v>
      </c>
    </row>
    <row r="22" spans="2:4" x14ac:dyDescent="0.25">
      <c r="B22" s="34"/>
      <c r="C22" s="34"/>
      <c r="D22" s="34"/>
    </row>
    <row r="23" spans="2:4" x14ac:dyDescent="0.25">
      <c r="B23" s="4" t="s">
        <v>2433</v>
      </c>
      <c r="C23" s="4"/>
      <c r="D23" s="26">
        <f>+D19+D21</f>
        <v>-538630087</v>
      </c>
    </row>
    <row r="24" spans="4:4" x14ac:dyDescent="0.25">
      <c r="D24" s="26"/>
    </row>
    <row r="25" ht="16" customHeight="1" spans="2:6" x14ac:dyDescent="0.25">
      <c r="B25" s="47" t="s">
        <v>2425</v>
      </c>
      <c r="C25" s="47"/>
      <c r="D25" s="70">
        <f>+D14+D23</f>
        <v>5341452366</v>
      </c>
      <c r="F25" s="77" t="s">
        <v>2862</v>
      </c>
    </row>
    <row r="26" spans="4:6" x14ac:dyDescent="0.25">
      <c r="D26" s="26"/>
      <c r="F26" s="77"/>
    </row>
    <row r="27" spans="2:6" x14ac:dyDescent="0.25">
      <c r="B27" t="s">
        <v>2863</v>
      </c>
      <c r="D27" s="26">
        <f>D25-D9</f>
        <v>2766476005.3901386</v>
      </c>
      <c r="F27" s="77" t="s">
        <v>2864</v>
      </c>
    </row>
    <row r="28" spans="2:6" x14ac:dyDescent="0.25">
      <c r="B28" t="s">
        <v>2865</v>
      </c>
      <c r="C28" s="441">
        <f>'DISCOUNT RATE'!H10</f>
        <v>0.11463062037189403</v>
      </c>
      <c r="D28" s="26"/>
      <c r="F28" s="77"/>
    </row>
    <row r="29" spans="2:6" x14ac:dyDescent="0.25">
      <c r="B29" t="s">
        <v>2866</v>
      </c>
      <c r="D29" s="37">
        <f>D27/C28</f>
        <v>24133830877.080757</v>
      </c>
      <c r="F29" s="275" t="s">
        <v>2867</v>
      </c>
    </row>
    <row r="30" ht="16" customHeight="1" spans="4:4" x14ac:dyDescent="0.25">
      <c r="D30" s="26"/>
    </row>
    <row r="31" ht="16" customHeight="1" spans="2:4" x14ac:dyDescent="0.25">
      <c r="B31" s="446" t="s">
        <v>2868</v>
      </c>
      <c r="C31" s="447"/>
      <c r="D31" s="448">
        <f>+D7+D29</f>
        <v>44934529762.08076</v>
      </c>
    </row>
    <row r="32" spans="2:4" x14ac:dyDescent="0.25">
      <c r="B32" s="55" t="s">
        <v>2800</v>
      </c>
      <c r="D32" s="449">
        <f>('BALANCE SHEET'!F31+'BALANCE SHEET'!F38)*-1</f>
        <v>-1000000000</v>
      </c>
    </row>
    <row r="33" ht="16" customHeight="1" spans="2:4" x14ac:dyDescent="0.25">
      <c r="B33" s="277" t="s">
        <v>2869</v>
      </c>
      <c r="D33" s="449">
        <f>'BALANCE SHEET'!F8</f>
        <v>6635142218</v>
      </c>
    </row>
    <row r="34" ht="16" customHeight="1" spans="2:4" x14ac:dyDescent="0.25">
      <c r="B34" s="446" t="s">
        <v>2870</v>
      </c>
      <c r="C34" s="447"/>
      <c r="D34" s="448">
        <f>+D31+D32+D33</f>
        <v>50569671980.08076</v>
      </c>
    </row>
    <row r="35" spans="2:4" x14ac:dyDescent="0.25">
      <c r="B35" s="55" t="s">
        <v>2771</v>
      </c>
      <c r="C35" s="31">
        <f>HOME!B15*-1</f>
        <v>-0.4</v>
      </c>
      <c r="D35" s="26">
        <f>D34*C35</f>
        <v>-20227868792.032303</v>
      </c>
    </row>
    <row r="36" spans="2:4" x14ac:dyDescent="0.25">
      <c r="B36" s="55" t="s">
        <v>2803</v>
      </c>
      <c r="D36" s="26">
        <f>D34+D35</f>
        <v>30341803188.048454</v>
      </c>
    </row>
    <row r="37" ht="17" customHeight="1" spans="2:4" x14ac:dyDescent="0.25">
      <c r="B37" s="450" t="str">
        <f>HOME!A16</f>
        <v>DISCOUNT LACK OF CONTROL/PREMIUM FOR CONTROL</v>
      </c>
      <c r="C37" s="409">
        <v>0</v>
      </c>
      <c r="D37" s="26">
        <f>D36*C37</f>
        <v>0</v>
      </c>
    </row>
    <row r="38" ht="16" customHeight="1" spans="2:4" x14ac:dyDescent="0.25">
      <c r="B38" s="446" t="s">
        <v>2804</v>
      </c>
      <c r="C38" s="447"/>
      <c r="D38" s="451">
        <f>D36+D37</f>
        <v>30341803188.048454</v>
      </c>
    </row>
    <row r="39" spans="2:4" x14ac:dyDescent="0.25">
      <c r="B39" s="452" t="s">
        <v>2805</v>
      </c>
      <c r="C39" s="453">
        <f>HOME!B8</f>
        <v>0.3</v>
      </c>
      <c r="D39" s="389"/>
    </row>
    <row r="40" ht="16" customHeight="1" spans="2:4" x14ac:dyDescent="0.25">
      <c r="B40" s="47" t="str">
        <f>"Market Value of "&amp;TEXT(C39,"0.00%")&amp;" Equity"</f>
        <v>Market Value of 30.00% Equity</v>
      </c>
      <c r="C40" s="454"/>
      <c r="D40" s="49">
        <f>D38*C39</f>
        <v>9102540956.414536</v>
      </c>
    </row>
    <row r="41" hidden="1" spans="2:5" x14ac:dyDescent="0.25">
      <c r="B41" s="4">
        <f>AAM!B62</f>
        <v>0</v>
      </c>
      <c r="D41" s="37">
        <v>1</v>
      </c>
      <c r="E41" s="4" t="s">
        <v>2871</v>
      </c>
    </row>
    <row r="42" spans="2:5" x14ac:dyDescent="0.25">
      <c r="B42" s="4" t="s">
        <v>2872</v>
      </c>
      <c r="C42" s="4"/>
      <c r="D42" s="37">
        <f>D40*D41</f>
        <v>9102540956.414536</v>
      </c>
      <c r="E42" s="275" t="s">
        <v>2873</v>
      </c>
    </row>
    <row r="43" spans="2:5" x14ac:dyDescent="0.25">
      <c r="B43" s="4" t="s">
        <v>2874</v>
      </c>
      <c r="C43" s="4"/>
      <c r="D43" s="37">
        <f>ROUNDUP(D42,-3)</f>
        <v>9102541000</v>
      </c>
      <c r="E43" s="275" t="s">
        <v>2873</v>
      </c>
    </row>
    <row r="44" spans="2:5" x14ac:dyDescent="0.25">
      <c r="B44" s="4" t="s">
        <v>2754</v>
      </c>
      <c r="C44" s="4"/>
      <c r="D44" s="37">
        <f>HOME!B7</f>
        <v>600000000</v>
      </c>
      <c r="E44" s="4"/>
    </row>
    <row r="45" spans="2:5" x14ac:dyDescent="0.25">
      <c r="B45" s="4"/>
      <c r="C45" s="4"/>
      <c r="D45" s="37">
        <f>D42/D44</f>
        <v>15.170901594024226</v>
      </c>
      <c r="E45" s="4"/>
    </row>
    <row r="46" spans="4:5" x14ac:dyDescent="0.25">
      <c r="D46" s="26"/>
      <c r="E46" s="4"/>
    </row>
    <row r="47" spans="4:4" x14ac:dyDescent="0.25">
      <c r="D47" s="26"/>
    </row>
    <row r="48" spans="4:4" x14ac:dyDescent="0.25">
      <c r="D48" s="26"/>
    </row>
    <row r="49" spans="3:5" x14ac:dyDescent="0.25">
      <c r="C49" s="31"/>
      <c r="D49" s="46"/>
      <c r="E49" s="46"/>
    </row>
    <row r="50" spans="4:4" x14ac:dyDescent="0.25">
      <c r="D50" s="26"/>
    </row>
    <row r="51" spans="4:4" x14ac:dyDescent="0.25">
      <c r="D51" s="46"/>
    </row>
    <row r="52" spans="4:4" x14ac:dyDescent="0.25">
      <c r="D52" s="26"/>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J75"/>
  <sheetViews>
    <sheetView workbookViewId="0" showGridLines="0" zoomScale="110" zoomScaleNormal="90">
      <selection activeCell="A58" sqref="A58"/>
    </sheetView>
  </sheetViews>
  <sheetFormatPr defaultRowHeight="15" outlineLevelRow="0" outlineLevelCol="0" x14ac:dyDescent="0.2" defaultColWidth="8.83203125"/>
  <cols>
    <col min="1" max="1" width="17.6640625" customWidth="1"/>
    <col min="2" max="2" width="38.33203125" customWidth="1"/>
    <col min="3" max="3" width="19" customWidth="1"/>
    <col min="4" max="4" width="23.5" customWidth="1"/>
    <col min="5" max="5" width="23" customWidth="1"/>
    <col min="6" max="6" width="17" customWidth="1"/>
    <col min="7" max="7" width="23.5" customWidth="1"/>
    <col min="8" max="8" width="20.1640625" customWidth="1"/>
    <col min="9" max="9" width="22" customWidth="1"/>
    <col min="10" max="10" width="24.1640625" customWidth="1"/>
  </cols>
  <sheetData>
    <row r="1" spans="1:1" x14ac:dyDescent="0.25">
      <c r="A1" t="str">
        <f>'BALANCE SHEET'!A1</f>
        <v>PT RAJA VOLTAMA ELEKTRIK</v>
      </c>
    </row>
    <row r="2" spans="1:1" x14ac:dyDescent="0.25">
      <c r="A2" t="s">
        <v>2793</v>
      </c>
    </row>
    <row r="3" spans="1:1" x14ac:dyDescent="0.25">
      <c r="A3" t="str">
        <f>'BALANCE SHEET'!A3</f>
        <v>(IDR)</v>
      </c>
    </row>
    <row r="5" spans="1:5" x14ac:dyDescent="0.25">
      <c r="A5" s="24"/>
      <c r="B5" s="24"/>
      <c r="C5" s="24">
        <f>'BALANCE SHEET'!F4</f>
        <v>2021</v>
      </c>
      <c r="D5" s="24" t="s">
        <v>2794</v>
      </c>
      <c r="E5" s="24" t="str">
        <f>C5&amp;"*)"</f>
        <v>2021*)</v>
      </c>
    </row>
    <row r="6" spans="1:3" x14ac:dyDescent="0.25">
      <c r="A6" s="4" t="s">
        <v>2231</v>
      </c>
      <c r="C6" s="26"/>
    </row>
    <row r="7" spans="3:3" x14ac:dyDescent="0.25">
      <c r="C7" s="26"/>
    </row>
    <row r="8" spans="1:3" x14ac:dyDescent="0.25">
      <c r="A8" s="4" t="s">
        <v>2232</v>
      </c>
      <c r="C8" s="26"/>
    </row>
    <row r="9" spans="2:5" x14ac:dyDescent="0.25">
      <c r="B9" t="s">
        <v>2233</v>
      </c>
      <c r="C9" s="26">
        <f>'BALANCE SHEET'!F8</f>
        <v>6635142218</v>
      </c>
      <c r="D9" s="26"/>
      <c r="E9" s="26">
        <f t="shared" ref="E9:E14" si="0">C9+D9</f>
        <v>6635142218</v>
      </c>
    </row>
    <row r="10" spans="2:5" x14ac:dyDescent="0.25">
      <c r="B10" t="s">
        <v>2234</v>
      </c>
      <c r="C10" s="26">
        <f>'BALANCE SHEET'!F9</f>
        <v>9652447673</v>
      </c>
      <c r="D10" s="26"/>
      <c r="E10" s="26">
        <f t="shared" si="0"/>
        <v>9652447673</v>
      </c>
    </row>
    <row r="11" spans="2:5" x14ac:dyDescent="0.25">
      <c r="B11" t="s">
        <v>2235</v>
      </c>
      <c r="C11" s="26">
        <f>'BALANCE SHEET'!F10</f>
        <v>3382100694</v>
      </c>
      <c r="D11" s="26"/>
      <c r="E11" s="26">
        <f t="shared" si="0"/>
        <v>3382100694</v>
      </c>
    </row>
    <row r="12" spans="2:5" x14ac:dyDescent="0.25">
      <c r="B12" t="s">
        <v>2684</v>
      </c>
      <c r="C12" s="26">
        <f>'BALANCE SHEET'!F11</f>
        <v>1000000000</v>
      </c>
      <c r="D12" s="26"/>
      <c r="E12" s="26">
        <f t="shared" si="0"/>
        <v>1000000000</v>
      </c>
    </row>
    <row r="13" spans="2:5" x14ac:dyDescent="0.25">
      <c r="B13" t="s">
        <v>2237</v>
      </c>
      <c r="C13" s="26">
        <f>'BALANCE SHEET'!F12</f>
        <v>1423637783</v>
      </c>
      <c r="D13" s="26"/>
      <c r="E13" s="26">
        <f t="shared" si="0"/>
        <v>1423637783</v>
      </c>
    </row>
    <row r="14" spans="2:5" x14ac:dyDescent="0.25">
      <c r="B14" t="s">
        <v>2287</v>
      </c>
      <c r="C14" s="26">
        <f>'BALANCE SHEET'!F14</f>
        <v>2347809320</v>
      </c>
      <c r="D14" s="26">
        <v>0</v>
      </c>
      <c r="E14" s="26">
        <f t="shared" si="0"/>
        <v>2347809320</v>
      </c>
    </row>
    <row r="15" spans="3:4" x14ac:dyDescent="0.25">
      <c r="C15" s="26"/>
      <c r="D15" s="26"/>
    </row>
    <row r="16" spans="1:5" x14ac:dyDescent="0.25">
      <c r="A16" s="33" t="s">
        <v>2232</v>
      </c>
      <c r="B16" s="34"/>
      <c r="C16" s="38">
        <f>SUM(C9:C14)</f>
        <v>24441137688</v>
      </c>
      <c r="D16" s="38"/>
      <c r="E16" s="38">
        <f>SUM(E9:E14)</f>
        <v>24441137688</v>
      </c>
    </row>
    <row r="17" spans="3:4" x14ac:dyDescent="0.25">
      <c r="C17" s="26"/>
      <c r="D17" s="26"/>
    </row>
    <row r="18" spans="1:4" x14ac:dyDescent="0.25">
      <c r="A18" s="4" t="s">
        <v>2240</v>
      </c>
      <c r="C18" s="26"/>
      <c r="D18" s="26"/>
    </row>
    <row r="19" spans="1:5" x14ac:dyDescent="0.25">
      <c r="A19" t="s">
        <v>2241</v>
      </c>
      <c r="B19" t="s">
        <v>2242</v>
      </c>
      <c r="C19" s="26">
        <f>'BALANCE SHEET'!F20</f>
        <v>6989653544</v>
      </c>
      <c r="D19" s="26"/>
      <c r="E19" s="26">
        <f>C19+D19</f>
        <v>6989653544</v>
      </c>
    </row>
    <row r="20" spans="2:7" x14ac:dyDescent="0.25">
      <c r="B20" t="s">
        <v>2244</v>
      </c>
      <c r="C20" s="26">
        <f>'BALANCE SHEET'!F22</f>
        <v>6264339945</v>
      </c>
      <c r="D20" s="26">
        <f>'FIXED ASSET'!H74</f>
        <v>0</v>
      </c>
      <c r="E20" s="26">
        <f>C20+D20</f>
        <v>6264339945</v>
      </c>
      <c r="G20" s="26"/>
    </row>
    <row r="21" spans="1:7" x14ac:dyDescent="0.25">
      <c r="A21" t="s">
        <v>2240</v>
      </c>
      <c r="C21" s="26">
        <f>'BALANCE SHEET'!F23</f>
        <v>0</v>
      </c>
      <c r="D21" s="26"/>
      <c r="E21" s="26">
        <f>C21+D21</f>
        <v>0</v>
      </c>
      <c r="G21" s="26"/>
    </row>
    <row r="22" spans="1:7" x14ac:dyDescent="0.25">
      <c r="A22" t="s">
        <v>2246</v>
      </c>
      <c r="C22" s="26">
        <f>'BALANCE SHEET'!F25</f>
        <v>6264339945</v>
      </c>
      <c r="D22" s="26"/>
      <c r="E22" s="26">
        <f>SUM(E20:E21)</f>
        <v>6264339945</v>
      </c>
      <c r="G22" s="26"/>
    </row>
    <row r="23" spans="1:7" x14ac:dyDescent="0.25">
      <c r="A23" t="s">
        <v>2795</v>
      </c>
      <c r="C23" s="26">
        <f>'BALANCE SHEET'!F24</f>
        <v>0</v>
      </c>
      <c r="D23" s="26"/>
      <c r="E23" s="26">
        <f>C23</f>
        <v>0</v>
      </c>
      <c r="G23" s="26"/>
    </row>
    <row r="24" spans="1:5" x14ac:dyDescent="0.25">
      <c r="A24" s="33" t="s">
        <v>2231</v>
      </c>
      <c r="B24" s="34"/>
      <c r="C24" s="38">
        <f>+C16+C22</f>
        <v>30705477633</v>
      </c>
      <c r="D24" s="38"/>
      <c r="E24" s="38">
        <f>+E16+E22+E23</f>
        <v>30705477633</v>
      </c>
    </row>
    <row r="25" spans="3:4" x14ac:dyDescent="0.25">
      <c r="C25" s="26"/>
      <c r="D25" s="26"/>
    </row>
    <row r="26" spans="1:4" x14ac:dyDescent="0.25">
      <c r="A26" s="4" t="s">
        <v>2247</v>
      </c>
      <c r="C26" s="26"/>
      <c r="D26" s="26"/>
    </row>
    <row r="27" spans="1:4" x14ac:dyDescent="0.25">
      <c r="A27" s="4" t="s">
        <v>2248</v>
      </c>
      <c r="C27" s="26"/>
      <c r="D27" s="26"/>
    </row>
    <row r="28" spans="2:5" x14ac:dyDescent="0.25">
      <c r="B28" t="s">
        <v>2249</v>
      </c>
      <c r="C28" s="26">
        <f>'BALANCE SHEET'!F31</f>
        <v>1000000000</v>
      </c>
      <c r="D28" s="26"/>
      <c r="E28" s="26">
        <f>+C28+D28</f>
        <v>1000000000</v>
      </c>
    </row>
    <row r="29" spans="2:5" x14ac:dyDescent="0.25">
      <c r="B29" t="s">
        <v>2250</v>
      </c>
      <c r="C29" s="26">
        <f>'BALANCE SHEET'!F32</f>
        <v>1096222695</v>
      </c>
      <c r="D29" s="26"/>
      <c r="E29" s="26">
        <f>+C29+D29</f>
        <v>1096222695</v>
      </c>
    </row>
    <row r="30" spans="2:5" x14ac:dyDescent="0.25">
      <c r="B30" t="s">
        <v>2251</v>
      </c>
      <c r="C30" s="26">
        <f>'BALANCE SHEET'!F33</f>
        <v>480490835</v>
      </c>
      <c r="D30" s="26"/>
      <c r="E30" s="26">
        <f>+C30+D30</f>
        <v>480490835</v>
      </c>
    </row>
    <row r="31" spans="2:5" x14ac:dyDescent="0.25">
      <c r="B31" t="s">
        <v>2287</v>
      </c>
      <c r="C31" s="26">
        <f>'BALANCE SHEET'!F34</f>
        <v>1692923000</v>
      </c>
      <c r="D31" s="26"/>
      <c r="E31" s="26">
        <f>+C31+D31</f>
        <v>1692923000</v>
      </c>
    </row>
    <row r="32" spans="1:5" x14ac:dyDescent="0.25">
      <c r="A32" s="40" t="s">
        <v>2248</v>
      </c>
      <c r="B32" s="41"/>
      <c r="C32" s="42">
        <f>SUM(C28:C31)</f>
        <v>4269636530</v>
      </c>
      <c r="D32" s="42"/>
      <c r="E32" s="42">
        <f>SUM(E28:E31)</f>
        <v>4269636530</v>
      </c>
    </row>
    <row r="33" spans="3:4" x14ac:dyDescent="0.25">
      <c r="C33" s="26"/>
      <c r="D33" s="26"/>
    </row>
    <row r="34" spans="1:4" x14ac:dyDescent="0.25">
      <c r="A34" s="4" t="s">
        <v>2253</v>
      </c>
      <c r="C34" s="26"/>
      <c r="D34" s="26"/>
    </row>
    <row r="35" spans="2:5" x14ac:dyDescent="0.25">
      <c r="B35" t="s">
        <v>2254</v>
      </c>
      <c r="C35" s="26">
        <f>'BALANCE SHEET'!F38</f>
        <v>0</v>
      </c>
      <c r="D35" s="26"/>
      <c r="E35" s="26">
        <f>+C35+D35</f>
        <v>0</v>
      </c>
    </row>
    <row r="36" spans="2:5" x14ac:dyDescent="0.25">
      <c r="B36" t="s">
        <v>2255</v>
      </c>
      <c r="C36" s="26">
        <f>'BALANCE SHEET'!F39</f>
        <v>0</v>
      </c>
      <c r="D36" s="26"/>
      <c r="E36" s="26">
        <f>+C36+D36</f>
        <v>0</v>
      </c>
    </row>
    <row r="37" ht="16" customHeight="1" spans="1:5" x14ac:dyDescent="0.25">
      <c r="A37" s="43" t="s">
        <v>2253</v>
      </c>
      <c r="B37" s="44"/>
      <c r="C37" s="45">
        <f>+C35+C36</f>
        <v>0</v>
      </c>
      <c r="D37" s="45"/>
      <c r="E37" s="45">
        <f>+E35+E36</f>
        <v>0</v>
      </c>
    </row>
    <row r="38" ht="16" customHeight="1" spans="1:4" x14ac:dyDescent="0.25">
      <c r="A38" s="4"/>
      <c r="C38" s="26"/>
      <c r="D38" s="26"/>
    </row>
    <row r="39" spans="1:4" x14ac:dyDescent="0.25">
      <c r="A39" s="4" t="s">
        <v>2257</v>
      </c>
      <c r="C39" s="26"/>
      <c r="D39" s="26"/>
    </row>
    <row r="40" spans="1:5" x14ac:dyDescent="0.25">
      <c r="A40" t="s">
        <v>2258</v>
      </c>
      <c r="C40" s="26">
        <f>'BALANCE SHEET'!F43</f>
        <v>2000000000</v>
      </c>
      <c r="D40" s="26"/>
      <c r="E40" s="26">
        <f>+C40+D40</f>
        <v>2000000000</v>
      </c>
    </row>
    <row r="41" spans="1:5" x14ac:dyDescent="0.25">
      <c r="A41" s="4" t="s">
        <v>2259</v>
      </c>
      <c r="C41" s="26">
        <f>'BALANCE SHEET'!F44</f>
        <v>0</v>
      </c>
      <c r="D41" s="26"/>
      <c r="E41" s="26">
        <f>+C41+D41</f>
        <v>0</v>
      </c>
    </row>
    <row r="42" spans="1:4" x14ac:dyDescent="0.25">
      <c r="A42" t="s">
        <v>2260</v>
      </c>
      <c r="C42" s="26"/>
      <c r="D42" s="26"/>
    </row>
    <row r="43" spans="2:5" x14ac:dyDescent="0.25">
      <c r="B43" t="s">
        <v>2796</v>
      </c>
      <c r="C43" s="26">
        <f>'BALANCE SHEET'!F46</f>
        <v>5805826735</v>
      </c>
      <c r="D43" s="26">
        <v>0</v>
      </c>
      <c r="E43" s="26">
        <f>+C43+D43</f>
        <v>5805826735</v>
      </c>
    </row>
    <row r="44" spans="2:10" x14ac:dyDescent="0.25">
      <c r="B44" t="s">
        <v>2797</v>
      </c>
      <c r="C44" s="26">
        <f>'BALANCE SHEET'!F47</f>
        <v>21560655469</v>
      </c>
      <c r="D44" s="26"/>
      <c r="E44" s="26">
        <f>+C44+D44</f>
        <v>21560655469</v>
      </c>
      <c r="H44" s="26"/>
      <c r="J44" s="77"/>
    </row>
    <row r="45" spans="1:10" x14ac:dyDescent="0.25">
      <c r="A45" t="s">
        <v>2263</v>
      </c>
      <c r="C45" s="26">
        <f>C43+C44</f>
        <v>27366482204</v>
      </c>
      <c r="D45" s="26"/>
      <c r="E45" s="26">
        <f>+C45+D45</f>
        <v>27366482204</v>
      </c>
      <c r="H45" s="26"/>
      <c r="J45" s="77"/>
    </row>
    <row r="46" spans="1:10" x14ac:dyDescent="0.25">
      <c r="A46" t="s">
        <v>2798</v>
      </c>
      <c r="C46" s="26">
        <v>0</v>
      </c>
      <c r="D46" s="26">
        <f>D20+D21</f>
        <v>0</v>
      </c>
      <c r="E46" s="26">
        <f>+C46+D46</f>
        <v>0</v>
      </c>
      <c r="H46" s="26"/>
      <c r="J46" s="77"/>
    </row>
    <row r="47" spans="1:10" x14ac:dyDescent="0.25">
      <c r="A47" s="33" t="s">
        <v>2257</v>
      </c>
      <c r="B47" s="34"/>
      <c r="C47" s="38">
        <f>C40+C45+C41</f>
        <v>29366482204</v>
      </c>
      <c r="D47" s="38"/>
      <c r="E47" s="38">
        <f>E40+E45+E41+E46</f>
        <v>29366482204</v>
      </c>
      <c r="F47" s="26"/>
      <c r="H47" s="26"/>
      <c r="I47" s="26"/>
      <c r="J47" s="50"/>
    </row>
    <row r="48" spans="1:10" x14ac:dyDescent="0.25">
      <c r="A48" s="4"/>
      <c r="C48" s="37"/>
      <c r="D48" s="37"/>
      <c r="H48" s="26"/>
      <c r="J48" s="64"/>
    </row>
    <row r="49" ht="16" customHeight="1" spans="1:10" x14ac:dyDescent="0.25">
      <c r="A49" s="47" t="s">
        <v>2264</v>
      </c>
      <c r="B49" s="48"/>
      <c r="C49" s="49">
        <f>C32+C37+C47</f>
        <v>33636118734</v>
      </c>
      <c r="D49" s="49"/>
      <c r="E49" s="49">
        <f>E32+E37+E47</f>
        <v>33636118734</v>
      </c>
      <c r="G49" s="4"/>
      <c r="H49" s="37"/>
      <c r="I49" s="64"/>
      <c r="J49" s="408"/>
    </row>
    <row r="50" spans="8:10" x14ac:dyDescent="0.25">
      <c r="H50" s="46"/>
      <c r="J50" s="64"/>
    </row>
    <row r="51" spans="1:8" x14ac:dyDescent="0.25">
      <c r="A51" t="s">
        <v>2799</v>
      </c>
      <c r="E51" s="26">
        <f>+E24-(E29+E30+E31)-E36</f>
        <v>27435841103</v>
      </c>
      <c r="H51" s="26"/>
    </row>
    <row r="52" spans="1:10" x14ac:dyDescent="0.25">
      <c r="A52" t="s">
        <v>2800</v>
      </c>
      <c r="E52" s="26">
        <f>+C28+C35</f>
        <v>1000000000</v>
      </c>
      <c r="H52" s="26"/>
      <c r="I52" s="64"/>
      <c r="J52" s="64"/>
    </row>
    <row r="53" spans="1:8" x14ac:dyDescent="0.25">
      <c r="A53" t="s">
        <v>2801</v>
      </c>
      <c r="E53" s="26">
        <f>E51-E52</f>
        <v>26435841103</v>
      </c>
      <c r="H53" s="46"/>
    </row>
    <row r="54" spans="1:10" x14ac:dyDescent="0.25">
      <c r="A54" t="s">
        <v>2771</v>
      </c>
      <c r="D54" s="74">
        <f>E68</f>
        <v>-0.3</v>
      </c>
      <c r="E54" s="26">
        <f>+E53*D54</f>
        <v>-7930752330.9</v>
      </c>
      <c r="F54" s="4" t="s">
        <v>2802</v>
      </c>
      <c r="G54" s="4"/>
      <c r="H54" s="37"/>
      <c r="I54" s="37"/>
      <c r="J54" s="64"/>
    </row>
    <row r="55" spans="1:8" x14ac:dyDescent="0.25">
      <c r="A55" t="s">
        <v>2803</v>
      </c>
      <c r="E55" s="26">
        <f>+E53+E54</f>
        <v>18505088772.1</v>
      </c>
      <c r="H55" s="26"/>
    </row>
    <row r="56" spans="1:9" x14ac:dyDescent="0.25">
      <c r="A56" t="str">
        <f>HOME!A16</f>
        <v>DISCOUNT LACK OF CONTROL/PREMIUM FOR CONTROL</v>
      </c>
      <c r="D56" s="409">
        <f>'DLOC(PFC)'!E24*-1</f>
        <v>-0.5399999999999999</v>
      </c>
      <c r="E56" s="26">
        <f>+E55*D56</f>
        <v>-9992747936.933998</v>
      </c>
      <c r="H56" s="26"/>
      <c r="I56" s="26"/>
    </row>
    <row r="57" spans="1:8" x14ac:dyDescent="0.25">
      <c r="A57" t="s">
        <v>2804</v>
      </c>
      <c r="E57" s="26">
        <f>+E55+E56</f>
        <v>8512340835.166</v>
      </c>
      <c r="H57" s="31"/>
    </row>
    <row r="58" spans="1:9" x14ac:dyDescent="0.25">
      <c r="A58" t="s">
        <v>2805</v>
      </c>
      <c r="D58" s="46">
        <f>HOME!B8</f>
        <v>0.3</v>
      </c>
      <c r="H58" s="26"/>
      <c r="I58" s="26"/>
    </row>
    <row r="59" spans="1:9" x14ac:dyDescent="0.25">
      <c r="A59" s="4" t="str">
        <f>"Market Value of "&amp;TEXT(D58,"0.0%")&amp;" Equity"</f>
        <v>Market Value of 30.0% Equity</v>
      </c>
      <c r="E59" s="37">
        <f>+E57*D58</f>
        <v>2553702250.5498</v>
      </c>
      <c r="H59" s="26"/>
      <c r="I59" s="26"/>
    </row>
    <row r="60" spans="1:9" x14ac:dyDescent="0.25">
      <c r="A60" s="4"/>
      <c r="D60" s="26"/>
      <c r="E60" s="37">
        <f>E59-600000000</f>
        <v>1953702250.5498</v>
      </c>
      <c r="H60" s="37"/>
      <c r="I60" s="64"/>
    </row>
    <row r="61" spans="5:7" x14ac:dyDescent="0.25">
      <c r="E61" s="410"/>
      <c r="F61" s="31"/>
      <c r="G61" s="410"/>
    </row>
    <row r="62" spans="5:7" x14ac:dyDescent="0.25">
      <c r="E62" s="410"/>
      <c r="F62" s="31"/>
      <c r="G62" s="410"/>
    </row>
    <row r="63" spans="5:7" x14ac:dyDescent="0.25">
      <c r="E63" s="64"/>
      <c r="F63" s="31"/>
      <c r="G63" s="410"/>
    </row>
    <row r="64" spans="5:7" x14ac:dyDescent="0.25">
      <c r="E64" s="26"/>
      <c r="F64" s="31"/>
      <c r="G64" s="410"/>
    </row>
    <row r="65" spans="5:5" x14ac:dyDescent="0.25">
      <c r="E65" s="26"/>
    </row>
    <row r="66" spans="5:5" x14ac:dyDescent="0.25">
      <c r="E66" s="26"/>
    </row>
    <row r="67" spans="3:5" x14ac:dyDescent="0.25">
      <c r="C67" s="411" t="s">
        <v>2771</v>
      </c>
      <c r="D67" s="412" t="s">
        <v>2806</v>
      </c>
      <c r="E67" s="413">
        <f>40%*-1</f>
        <v>-0.4</v>
      </c>
    </row>
    <row r="68" spans="3:5" x14ac:dyDescent="0.25">
      <c r="C68" s="411"/>
      <c r="D68" s="412" t="s">
        <v>2467</v>
      </c>
      <c r="E68" s="413">
        <f>30%*-1</f>
        <v>-0.3</v>
      </c>
    </row>
    <row r="69" spans="3:5" x14ac:dyDescent="0.25">
      <c r="C69" s="411"/>
      <c r="D69" s="412" t="s">
        <v>2807</v>
      </c>
      <c r="E69" s="413">
        <f>20%*-1</f>
        <v>-0.2</v>
      </c>
    </row>
    <row r="70" spans="3:5" x14ac:dyDescent="0.25">
      <c r="C70" s="411" t="s">
        <v>2808</v>
      </c>
      <c r="D70" s="412" t="s">
        <v>2806</v>
      </c>
      <c r="E70" s="413">
        <f>70%*-1</f>
        <v>-0.7</v>
      </c>
    </row>
    <row r="71" spans="3:5" x14ac:dyDescent="0.25">
      <c r="C71" s="411"/>
      <c r="D71" s="412" t="s">
        <v>2467</v>
      </c>
      <c r="E71" s="413">
        <f>50%*-1</f>
        <v>-0.5</v>
      </c>
    </row>
    <row r="72" spans="3:5" x14ac:dyDescent="0.25">
      <c r="C72" s="411"/>
      <c r="D72" s="412" t="s">
        <v>2807</v>
      </c>
      <c r="E72" s="413">
        <f>30%*-1</f>
        <v>-0.3</v>
      </c>
    </row>
    <row r="73" spans="4:5" x14ac:dyDescent="0.25">
      <c r="D73" s="46"/>
      <c r="E73" s="26"/>
    </row>
    <row r="74" spans="5:5" x14ac:dyDescent="0.25">
      <c r="E74" s="414"/>
    </row>
    <row r="75" spans="1:1" x14ac:dyDescent="0.25">
      <c r="A75" s="4" t="s">
        <v>2809</v>
      </c>
    </row>
  </sheetData>
  <mergeCells count="2">
    <mergeCell ref="C67:C69"/>
    <mergeCell ref="C70:C72"/>
  </mergeCells>
  <pageMargins left="0.7" right="0.7" top="0.75" bottom="0.75" header="0.3" footer="0.3"/>
  <pageSetup orientation="portrait" horizontalDpi="4294967295" verticalDpi="4294967295" scale="100" fitToWidth="1" fitToHeight="1" firstPageNumber="1" useFirstPageNumber="1" copies="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13"/>
  <sheetViews>
    <sheetView workbookViewId="0" zoomScale="115" zoomScaleNormal="115">
      <selection activeCell="B10" sqref="B10"/>
    </sheetView>
  </sheetViews>
  <sheetFormatPr defaultRowHeight="15" outlineLevelRow="0" outlineLevelCol="0" x14ac:dyDescent="0.2" defaultColWidth="8.83203125"/>
  <cols>
    <col min="1" max="1" width="31.1640625" customWidth="1"/>
    <col min="2" max="2" width="24.83203125" customWidth="1"/>
  </cols>
  <sheetData>
    <row r="1" spans="1:1" x14ac:dyDescent="0.25">
      <c r="A1" s="4" t="s">
        <v>2950</v>
      </c>
    </row>
    <row r="2" spans="1:1" x14ac:dyDescent="0.25">
      <c r="A2" s="275" t="s">
        <v>2951</v>
      </c>
    </row>
    <row r="3" spans="1:1" x14ac:dyDescent="0.25">
      <c r="A3" s="55" t="s">
        <v>2952</v>
      </c>
    </row>
    <row r="4" spans="1:4" x14ac:dyDescent="0.25">
      <c r="A4" t="s">
        <v>2953</v>
      </c>
      <c r="B4" s="26">
        <v>333333</v>
      </c>
      <c r="C4" t="s">
        <v>2954</v>
      </c>
      <c r="D4" t="s">
        <v>2955</v>
      </c>
    </row>
    <row r="5" spans="1:3" x14ac:dyDescent="0.25">
      <c r="A5" t="s">
        <v>2956</v>
      </c>
      <c r="B5" s="26">
        <f>EEM!D41</f>
        <v>1</v>
      </c>
      <c r="C5" t="s">
        <v>2957</v>
      </c>
    </row>
    <row r="6" spans="1:2" x14ac:dyDescent="0.25">
      <c r="A6" t="s">
        <v>2958</v>
      </c>
      <c r="B6" s="46">
        <f>'DISCOUNT RATE'!H4</f>
        <v>0.06863999999999999</v>
      </c>
    </row>
    <row r="7" spans="1:2" x14ac:dyDescent="0.25">
      <c r="A7" t="s">
        <v>2230</v>
      </c>
      <c r="B7" s="31">
        <v>0</v>
      </c>
    </row>
    <row r="8" spans="1:3" x14ac:dyDescent="0.25">
      <c r="A8" t="s">
        <v>2959</v>
      </c>
      <c r="B8" s="26">
        <f>(1+B6)/(B6-B7)*B4*B5</f>
        <v>5189583.000000001</v>
      </c>
      <c r="C8" t="s">
        <v>2954</v>
      </c>
    </row>
    <row r="9" spans="1:2" x14ac:dyDescent="0.25">
      <c r="A9" t="s">
        <v>2754</v>
      </c>
      <c r="B9" s="26">
        <f>EEM!D44</f>
        <v>600000000</v>
      </c>
    </row>
    <row r="10" spans="1:2" x14ac:dyDescent="0.25">
      <c r="A10" t="s">
        <v>2960</v>
      </c>
      <c r="B10" s="584">
        <f>B8*B9</f>
        <v>3113749800000000.5</v>
      </c>
    </row>
    <row r="11" spans="1:2" x14ac:dyDescent="0.25">
      <c r="A11" t="s">
        <v>2771</v>
      </c>
      <c r="B11" s="31">
        <f>EEM!C35</f>
        <v>-0.4</v>
      </c>
    </row>
    <row r="12" spans="1:2" x14ac:dyDescent="0.25">
      <c r="A12" t="s">
        <v>2774</v>
      </c>
      <c r="B12" s="584">
        <f>B10*(1+B11)</f>
        <v>1868249880000000.2</v>
      </c>
    </row>
    <row r="13" spans="1:2" x14ac:dyDescent="0.25">
      <c r="A13" t="s">
        <v>2961</v>
      </c>
      <c r="B13" s="26">
        <f>B12/B9</f>
        <v>3113749.8000000003</v>
      </c>
    </row>
  </sheetData>
  <pageMargins left="0.7" right="0.7" top="0.75" bottom="0.75" header="0.3" footer="0.3"/>
  <pageSetup orientation="portrait" horizontalDpi="4294967295" verticalDpi="4294967295" scale="100" fitToWidth="1" fitToHeight="1" firstPageNumber="1" useFirstPageNumber="1" copies="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C3"/>
  <sheetViews>
    <sheetView workbookViewId="0" zoomScale="100" zoomScaleNormal="100">
      <selection activeCell="D1" sqref="D1"/>
    </sheetView>
  </sheetViews>
  <sheetFormatPr defaultRowHeight="15" outlineLevelRow="0" outlineLevelCol="0" x14ac:dyDescent="0.2" defaultColWidth="8.83203125"/>
  <cols>
    <col min="1" max="1" width="26.6640625" customWidth="1"/>
    <col min="2" max="2" width="33.5" customWidth="1"/>
    <col min="3" max="3" width="19.6640625" customWidth="1"/>
  </cols>
  <sheetData>
    <row r="1" spans="3:3" x14ac:dyDescent="0.25">
      <c r="C1" t="s">
        <v>2734</v>
      </c>
    </row>
    <row r="2" spans="1:2" x14ac:dyDescent="0.25">
      <c r="A2" t="s">
        <v>2735</v>
      </c>
      <c r="B2" t="s">
        <v>2736</v>
      </c>
    </row>
    <row r="3" spans="2:2" x14ac:dyDescent="0.25">
      <c r="B3" t="s">
        <v>2737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AB64"/>
  <sheetViews>
    <sheetView workbookViewId="0" zoomScale="73" zoomScaleNormal="73"/>
  </sheetViews>
  <sheetFormatPr defaultRowHeight="15" outlineLevelRow="0" outlineLevelCol="0" x14ac:dyDescent="0.2" defaultColWidth="9"/>
  <cols>
    <col min="1" max="16384" width="9" style="150" customWidth="1"/>
  </cols>
  <sheetData>
    <row r="1" ht="16" customHeight="1" x14ac:dyDescent="0.25"/>
    <row r="2" spans="2:28" x14ac:dyDescent="0.25">
      <c r="B2" s="151"/>
      <c r="C2" s="152"/>
      <c r="D2" s="152"/>
      <c r="E2" s="152"/>
      <c r="F2" s="152"/>
      <c r="G2" s="152"/>
      <c r="H2" s="152"/>
      <c r="I2" s="152"/>
      <c r="J2" s="152"/>
      <c r="K2" s="152"/>
      <c r="L2" s="153"/>
      <c r="M2" s="154" t="s">
        <v>2544</v>
      </c>
      <c r="N2" s="155"/>
      <c r="O2" s="155"/>
      <c r="P2" s="155"/>
      <c r="Q2" s="155"/>
      <c r="R2" s="155"/>
      <c r="S2" s="155"/>
      <c r="T2" s="156"/>
      <c r="U2" s="154" t="s">
        <v>19</v>
      </c>
      <c r="V2" s="155"/>
      <c r="W2" s="155"/>
      <c r="X2" s="155"/>
      <c r="Y2" s="155"/>
      <c r="Z2" s="155"/>
      <c r="AA2" s="155"/>
      <c r="AB2" s="156"/>
    </row>
    <row r="3" spans="2:28" x14ac:dyDescent="0.25">
      <c r="B3" s="157"/>
      <c r="L3" s="158"/>
      <c r="M3" s="157"/>
      <c r="T3" s="158"/>
      <c r="U3" s="157"/>
      <c r="AB3" s="158"/>
    </row>
    <row r="4" spans="2:28" x14ac:dyDescent="0.25">
      <c r="B4" s="157"/>
      <c r="L4" s="158"/>
      <c r="M4" s="157"/>
      <c r="T4" s="158"/>
      <c r="U4" s="157"/>
      <c r="AB4" s="158"/>
    </row>
    <row r="5" spans="2:28" x14ac:dyDescent="0.25">
      <c r="B5" s="157"/>
      <c r="L5" s="158"/>
      <c r="M5" s="157"/>
      <c r="T5" s="158"/>
      <c r="U5" s="157"/>
      <c r="AB5" s="158"/>
    </row>
    <row r="6" spans="2:28" x14ac:dyDescent="0.25">
      <c r="B6" s="157"/>
      <c r="L6" s="158"/>
      <c r="M6" s="157"/>
      <c r="T6" s="158"/>
      <c r="U6" s="157"/>
      <c r="AB6" s="158"/>
    </row>
    <row r="7" spans="2:28" x14ac:dyDescent="0.25">
      <c r="B7" s="157"/>
      <c r="L7" s="158"/>
      <c r="M7" s="157"/>
      <c r="T7" s="158"/>
      <c r="U7" s="157"/>
      <c r="AB7" s="158"/>
    </row>
    <row r="8" spans="2:28" x14ac:dyDescent="0.25">
      <c r="B8" s="157"/>
      <c r="L8" s="158"/>
      <c r="M8" s="157"/>
      <c r="T8" s="158"/>
      <c r="U8" s="157"/>
      <c r="AB8" s="158"/>
    </row>
    <row r="9" spans="2:28" x14ac:dyDescent="0.25">
      <c r="B9" s="157"/>
      <c r="L9" s="158"/>
      <c r="M9" s="157"/>
      <c r="T9" s="158"/>
      <c r="U9" s="157"/>
      <c r="AB9" s="158"/>
    </row>
    <row r="10" spans="2:28" x14ac:dyDescent="0.25">
      <c r="B10" s="157"/>
      <c r="L10" s="158"/>
      <c r="M10" s="157"/>
      <c r="T10" s="158"/>
      <c r="U10" s="157"/>
      <c r="AB10" s="158"/>
    </row>
    <row r="11" spans="2:28" x14ac:dyDescent="0.25">
      <c r="B11" s="157"/>
      <c r="L11" s="158"/>
      <c r="M11" s="157"/>
      <c r="T11" s="158"/>
      <c r="U11" s="157"/>
      <c r="AB11" s="158"/>
    </row>
    <row r="12" spans="2:28" x14ac:dyDescent="0.25">
      <c r="B12" s="157"/>
      <c r="L12" s="158"/>
      <c r="M12" s="157"/>
      <c r="T12" s="158"/>
      <c r="U12" s="157"/>
      <c r="AB12" s="158"/>
    </row>
    <row r="13" spans="2:28" x14ac:dyDescent="0.25">
      <c r="B13" s="157"/>
      <c r="L13" s="158"/>
      <c r="M13" s="157"/>
      <c r="T13" s="158"/>
      <c r="U13" s="157"/>
      <c r="AB13" s="158"/>
    </row>
    <row r="14" spans="2:28" x14ac:dyDescent="0.25">
      <c r="B14" s="157"/>
      <c r="L14" s="158"/>
      <c r="M14" s="157"/>
      <c r="T14" s="158"/>
      <c r="U14" s="157"/>
      <c r="AB14" s="158"/>
    </row>
    <row r="15" spans="2:28" x14ac:dyDescent="0.25">
      <c r="B15" s="157"/>
      <c r="L15" s="158"/>
      <c r="M15" s="157"/>
      <c r="T15" s="158"/>
      <c r="U15" s="157"/>
      <c r="AB15" s="158"/>
    </row>
    <row r="16" spans="2:28" x14ac:dyDescent="0.25">
      <c r="B16" s="157"/>
      <c r="L16" s="158"/>
      <c r="M16" s="157"/>
      <c r="T16" s="158"/>
      <c r="U16" s="157"/>
      <c r="AB16" s="158"/>
    </row>
    <row r="17" ht="16" customHeight="1" spans="2:28" x14ac:dyDescent="0.25">
      <c r="B17" s="157"/>
      <c r="L17" s="158"/>
      <c r="M17" s="159"/>
      <c r="N17" s="160"/>
      <c r="O17" s="160"/>
      <c r="P17" s="160"/>
      <c r="Q17" s="160"/>
      <c r="R17" s="160"/>
      <c r="S17" s="160"/>
      <c r="T17" s="161"/>
      <c r="U17" s="159"/>
      <c r="V17" s="160"/>
      <c r="W17" s="160"/>
      <c r="X17" s="160"/>
      <c r="Y17" s="160"/>
      <c r="Z17" s="160"/>
      <c r="AA17" s="160"/>
      <c r="AB17" s="161"/>
    </row>
    <row r="18" spans="2:28" x14ac:dyDescent="0.25">
      <c r="B18" s="157"/>
      <c r="L18" s="158"/>
      <c r="M18" s="151"/>
      <c r="N18" s="152"/>
      <c r="O18" s="152"/>
      <c r="P18" s="152"/>
      <c r="Q18" s="152"/>
      <c r="R18" s="152"/>
      <c r="S18" s="152"/>
      <c r="T18" s="153"/>
      <c r="U18" s="151"/>
      <c r="V18" s="152"/>
      <c r="W18" s="152"/>
      <c r="X18" s="152"/>
      <c r="Y18" s="152"/>
      <c r="Z18" s="152"/>
      <c r="AA18" s="152"/>
      <c r="AB18" s="153"/>
    </row>
    <row r="19" spans="2:28" x14ac:dyDescent="0.25">
      <c r="B19" s="157"/>
      <c r="L19" s="158"/>
      <c r="M19" s="157"/>
      <c r="T19" s="158"/>
      <c r="U19" s="157"/>
      <c r="AB19" s="158"/>
    </row>
    <row r="20" spans="2:28" x14ac:dyDescent="0.25">
      <c r="B20" s="157"/>
      <c r="L20" s="158"/>
      <c r="M20" s="157"/>
      <c r="T20" s="158"/>
      <c r="U20" s="157"/>
      <c r="AB20" s="158"/>
    </row>
    <row r="21" spans="2:28" x14ac:dyDescent="0.25">
      <c r="B21" s="157"/>
      <c r="L21" s="158"/>
      <c r="M21" s="157"/>
      <c r="T21" s="158"/>
      <c r="U21" s="157"/>
      <c r="AB21" s="158"/>
    </row>
    <row r="22" spans="2:28" x14ac:dyDescent="0.25">
      <c r="B22" s="157"/>
      <c r="L22" s="158"/>
      <c r="M22" s="157"/>
      <c r="T22" s="158"/>
      <c r="U22" s="157"/>
      <c r="AB22" s="158"/>
    </row>
    <row r="23" spans="2:28" x14ac:dyDescent="0.25">
      <c r="B23" s="157"/>
      <c r="L23" s="158"/>
      <c r="M23" s="157"/>
      <c r="T23" s="158"/>
      <c r="U23" s="157"/>
      <c r="AB23" s="158"/>
    </row>
    <row r="24" spans="2:28" x14ac:dyDescent="0.25">
      <c r="B24" s="157"/>
      <c r="L24" s="158"/>
      <c r="M24" s="157"/>
      <c r="T24" s="158"/>
      <c r="U24" s="157"/>
      <c r="AB24" s="158"/>
    </row>
    <row r="25" spans="2:28" x14ac:dyDescent="0.25">
      <c r="B25" s="157"/>
      <c r="L25" s="158"/>
      <c r="M25" s="157"/>
      <c r="T25" s="158"/>
      <c r="U25" s="157"/>
      <c r="AB25" s="158"/>
    </row>
    <row r="26" spans="2:28" x14ac:dyDescent="0.25">
      <c r="B26" s="157"/>
      <c r="L26" s="158"/>
      <c r="M26" s="157"/>
      <c r="T26" s="158"/>
      <c r="U26" s="157"/>
      <c r="AB26" s="158"/>
    </row>
    <row r="27" spans="2:28" x14ac:dyDescent="0.25">
      <c r="B27" s="157"/>
      <c r="L27" s="158"/>
      <c r="M27" s="157"/>
      <c r="T27" s="158"/>
      <c r="U27" s="157"/>
      <c r="AB27" s="158"/>
    </row>
    <row r="28" spans="2:28" x14ac:dyDescent="0.25">
      <c r="B28" s="157"/>
      <c r="L28" s="158"/>
      <c r="M28" s="157"/>
      <c r="T28" s="158"/>
      <c r="U28" s="157"/>
      <c r="AB28" s="158"/>
    </row>
    <row r="29" spans="2:28" x14ac:dyDescent="0.25">
      <c r="B29" s="157"/>
      <c r="L29" s="158"/>
      <c r="M29" s="157"/>
      <c r="T29" s="158"/>
      <c r="U29" s="157"/>
      <c r="AB29" s="158"/>
    </row>
    <row r="30" spans="2:28" x14ac:dyDescent="0.25">
      <c r="B30" s="157"/>
      <c r="L30" s="158"/>
      <c r="M30" s="157"/>
      <c r="T30" s="158"/>
      <c r="U30" s="157"/>
      <c r="AB30" s="158"/>
    </row>
    <row r="31" spans="2:28" x14ac:dyDescent="0.25">
      <c r="B31" s="157"/>
      <c r="L31" s="158"/>
      <c r="M31" s="157"/>
      <c r="T31" s="158"/>
      <c r="U31" s="157"/>
      <c r="AB31" s="158"/>
    </row>
    <row r="32" ht="16" customHeight="1" spans="2:28" x14ac:dyDescent="0.25">
      <c r="B32" s="157"/>
      <c r="L32" s="158"/>
      <c r="M32" s="159"/>
      <c r="N32" s="160"/>
      <c r="O32" s="160"/>
      <c r="P32" s="160"/>
      <c r="Q32" s="160"/>
      <c r="R32" s="160"/>
      <c r="S32" s="160"/>
      <c r="T32" s="161"/>
      <c r="U32" s="159"/>
      <c r="V32" s="160"/>
      <c r="W32" s="160"/>
      <c r="X32" s="160"/>
      <c r="Y32" s="160"/>
      <c r="Z32" s="160"/>
      <c r="AA32" s="160"/>
      <c r="AB32" s="161"/>
    </row>
    <row r="33" spans="2:28" x14ac:dyDescent="0.25">
      <c r="B33" s="157"/>
      <c r="L33" s="158"/>
      <c r="M33" s="157"/>
      <c r="T33" s="158"/>
      <c r="U33" s="157"/>
      <c r="AB33" s="158"/>
    </row>
    <row r="34" spans="2:28" x14ac:dyDescent="0.25">
      <c r="B34" s="157"/>
      <c r="L34" s="158"/>
      <c r="M34" s="157"/>
      <c r="T34" s="158"/>
      <c r="U34" s="157"/>
      <c r="AB34" s="158"/>
    </row>
    <row r="35" spans="2:28" x14ac:dyDescent="0.25">
      <c r="B35" s="157"/>
      <c r="L35" s="158"/>
      <c r="M35" s="157"/>
      <c r="T35" s="158"/>
      <c r="U35" s="157"/>
      <c r="AB35" s="158"/>
    </row>
    <row r="36" spans="2:28" x14ac:dyDescent="0.25">
      <c r="B36" s="157"/>
      <c r="L36" s="158"/>
      <c r="M36" s="157"/>
      <c r="T36" s="158"/>
      <c r="U36" s="157"/>
      <c r="AB36" s="158"/>
    </row>
    <row r="37" spans="2:28" x14ac:dyDescent="0.25">
      <c r="B37" s="157"/>
      <c r="L37" s="158"/>
      <c r="M37" s="157"/>
      <c r="T37" s="158"/>
      <c r="U37" s="157"/>
      <c r="AB37" s="158"/>
    </row>
    <row r="38" spans="2:28" x14ac:dyDescent="0.25">
      <c r="B38" s="157"/>
      <c r="L38" s="158"/>
      <c r="M38" s="157"/>
      <c r="T38" s="158"/>
      <c r="U38" s="157"/>
      <c r="AB38" s="158"/>
    </row>
    <row r="39" spans="2:28" x14ac:dyDescent="0.25">
      <c r="B39" s="157"/>
      <c r="L39" s="158"/>
      <c r="M39" s="157"/>
      <c r="T39" s="158"/>
      <c r="U39" s="157"/>
      <c r="AB39" s="158"/>
    </row>
    <row r="40" spans="2:28" x14ac:dyDescent="0.25">
      <c r="B40" s="157"/>
      <c r="L40" s="158"/>
      <c r="M40" s="157"/>
      <c r="T40" s="158"/>
      <c r="U40" s="157"/>
      <c r="AB40" s="158"/>
    </row>
    <row r="41" spans="2:28" x14ac:dyDescent="0.25">
      <c r="B41" s="157"/>
      <c r="L41" s="158"/>
      <c r="M41" s="157"/>
      <c r="T41" s="158"/>
      <c r="U41" s="157"/>
      <c r="AB41" s="158"/>
    </row>
    <row r="42" spans="2:28" x14ac:dyDescent="0.25">
      <c r="B42" s="157"/>
      <c r="L42" s="158"/>
      <c r="M42" s="157"/>
      <c r="T42" s="158"/>
      <c r="U42" s="157"/>
      <c r="AB42" s="158"/>
    </row>
    <row r="43" spans="2:28" x14ac:dyDescent="0.25">
      <c r="B43" s="157"/>
      <c r="L43" s="158"/>
      <c r="M43" s="157"/>
      <c r="T43" s="158"/>
      <c r="U43" s="157"/>
      <c r="AB43" s="158"/>
    </row>
    <row r="44" spans="2:28" x14ac:dyDescent="0.25">
      <c r="B44" s="157"/>
      <c r="L44" s="158"/>
      <c r="M44" s="157"/>
      <c r="T44" s="158"/>
      <c r="U44" s="157"/>
      <c r="AB44" s="158"/>
    </row>
    <row r="45" spans="2:28" x14ac:dyDescent="0.25">
      <c r="B45" s="157"/>
      <c r="L45" s="158"/>
      <c r="M45" s="157"/>
      <c r="T45" s="158"/>
      <c r="U45" s="157"/>
      <c r="AB45" s="158"/>
    </row>
    <row r="46" spans="2:28" x14ac:dyDescent="0.25">
      <c r="B46" s="157"/>
      <c r="L46" s="158"/>
      <c r="M46" s="157"/>
      <c r="T46" s="158"/>
      <c r="U46" s="157"/>
      <c r="AB46" s="158"/>
    </row>
    <row r="47" spans="2:28" x14ac:dyDescent="0.25">
      <c r="B47" s="157"/>
      <c r="L47" s="158"/>
      <c r="M47" s="157"/>
      <c r="T47" s="158"/>
      <c r="U47" s="157"/>
      <c r="V47" s="150"/>
      <c r="AB47" s="158"/>
    </row>
    <row r="48" ht="16" customHeight="1" spans="2:28" x14ac:dyDescent="0.25">
      <c r="B48" s="159"/>
      <c r="C48" s="160"/>
      <c r="D48" s="160"/>
      <c r="E48" s="160"/>
      <c r="F48" s="160"/>
      <c r="G48" s="160"/>
      <c r="H48" s="160"/>
      <c r="I48" s="160"/>
      <c r="J48" s="160"/>
      <c r="K48" s="160"/>
      <c r="L48" s="161"/>
      <c r="M48" s="159"/>
      <c r="N48" s="160"/>
      <c r="O48" s="160"/>
      <c r="P48" s="160"/>
      <c r="Q48" s="160"/>
      <c r="R48" s="160"/>
      <c r="S48" s="160"/>
      <c r="T48" s="161"/>
      <c r="U48" s="159"/>
      <c r="V48" s="160"/>
      <c r="W48" s="160"/>
      <c r="X48" s="160"/>
      <c r="Y48" s="160"/>
      <c r="Z48" s="160"/>
      <c r="AA48" s="160"/>
      <c r="AB48" s="161"/>
    </row>
    <row r="49" spans="2:28" x14ac:dyDescent="0.25">
      <c r="B49" s="162"/>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4"/>
    </row>
    <row r="50" spans="2:28" x14ac:dyDescent="0.25">
      <c r="B50" s="165"/>
      <c r="C50" s="166"/>
      <c r="D50" s="166"/>
      <c r="E50" s="166"/>
      <c r="F50" s="166"/>
      <c r="G50" s="166"/>
      <c r="H50" s="166"/>
      <c r="I50" s="166"/>
      <c r="J50" s="166"/>
      <c r="K50" s="166"/>
      <c r="L50" s="166"/>
      <c r="M50" s="166"/>
      <c r="N50" s="166"/>
      <c r="O50" s="166"/>
      <c r="P50" s="166"/>
      <c r="Q50" s="166"/>
      <c r="R50" s="167" t="s">
        <v>2537</v>
      </c>
      <c r="S50" s="167"/>
      <c r="T50" s="166"/>
      <c r="U50" s="166"/>
      <c r="V50" s="166"/>
      <c r="W50" s="166"/>
      <c r="X50" s="166"/>
      <c r="Y50" s="166"/>
      <c r="Z50" s="166"/>
      <c r="AA50" s="166"/>
      <c r="AB50" s="168"/>
    </row>
    <row r="51" spans="2:28" x14ac:dyDescent="0.25">
      <c r="B51" s="165"/>
      <c r="C51" s="166"/>
      <c r="D51" s="166"/>
      <c r="E51" s="166"/>
      <c r="F51" s="166"/>
      <c r="G51" s="166"/>
      <c r="H51" s="166"/>
      <c r="I51" s="166"/>
      <c r="J51" s="166"/>
      <c r="K51" s="166"/>
      <c r="L51" s="166"/>
      <c r="M51" s="166"/>
      <c r="N51" s="166"/>
      <c r="O51" s="166"/>
      <c r="P51" s="166"/>
      <c r="Q51" s="166"/>
      <c r="R51" s="169"/>
      <c r="S51" s="166"/>
      <c r="T51" s="166"/>
      <c r="U51" s="166"/>
      <c r="V51" s="166"/>
      <c r="W51" s="166"/>
      <c r="X51" s="166"/>
      <c r="Y51" s="166"/>
      <c r="Z51" s="166"/>
      <c r="AA51" s="166"/>
      <c r="AB51" s="168"/>
    </row>
    <row r="52" spans="2:28" x14ac:dyDescent="0.25">
      <c r="B52" s="165"/>
      <c r="C52" s="166"/>
      <c r="D52" s="166"/>
      <c r="E52" s="166"/>
      <c r="F52" s="166"/>
      <c r="G52" s="166"/>
      <c r="H52" s="166"/>
      <c r="I52" s="166"/>
      <c r="J52" s="170"/>
      <c r="K52" s="166"/>
      <c r="L52" s="166"/>
      <c r="M52" s="166"/>
      <c r="N52" s="166"/>
      <c r="O52" s="166"/>
      <c r="P52" s="166"/>
      <c r="Q52" s="166"/>
      <c r="R52" s="169"/>
      <c r="S52" s="166"/>
      <c r="T52" s="166"/>
      <c r="U52" s="166"/>
      <c r="V52" s="166"/>
      <c r="W52" s="166"/>
      <c r="X52" s="166"/>
      <c r="Y52" s="166"/>
      <c r="Z52" s="166"/>
      <c r="AA52" s="166"/>
      <c r="AB52" s="168"/>
    </row>
    <row r="53" spans="2:28" x14ac:dyDescent="0.25">
      <c r="B53" s="165"/>
      <c r="C53" s="166"/>
      <c r="D53" s="166"/>
      <c r="E53" s="166"/>
      <c r="F53" s="166"/>
      <c r="G53" s="166"/>
      <c r="H53" s="166"/>
      <c r="I53" s="166"/>
      <c r="J53" s="170"/>
      <c r="K53" s="166"/>
      <c r="L53" s="166"/>
      <c r="M53" s="166"/>
      <c r="N53" s="166"/>
      <c r="O53" s="166"/>
      <c r="P53" s="166"/>
      <c r="Q53" s="166"/>
      <c r="R53" s="169"/>
      <c r="S53" s="166"/>
      <c r="T53" s="166"/>
      <c r="U53" s="166"/>
      <c r="V53" s="166"/>
      <c r="W53" s="166"/>
      <c r="X53" s="166"/>
      <c r="Y53" s="166"/>
      <c r="Z53" s="166"/>
      <c r="AA53" s="166"/>
      <c r="AB53" s="168"/>
    </row>
    <row r="54" spans="2:28" x14ac:dyDescent="0.25">
      <c r="B54" s="165"/>
      <c r="C54" s="166"/>
      <c r="D54" s="166"/>
      <c r="E54" s="166"/>
      <c r="F54" s="166"/>
      <c r="G54" s="166"/>
      <c r="H54" s="166"/>
      <c r="I54" s="166"/>
      <c r="J54" s="170"/>
      <c r="K54" s="166"/>
      <c r="L54" s="166"/>
      <c r="M54" s="166"/>
      <c r="N54" s="171"/>
      <c r="O54" s="166"/>
      <c r="P54" s="166"/>
      <c r="Q54" s="166"/>
      <c r="R54" s="169"/>
      <c r="S54" s="166"/>
      <c r="T54" s="166"/>
      <c r="U54" s="166"/>
      <c r="V54" s="166"/>
      <c r="W54" s="166"/>
      <c r="X54" s="166"/>
      <c r="Y54" s="166"/>
      <c r="Z54" s="166"/>
      <c r="AA54" s="166"/>
      <c r="AB54" s="168"/>
    </row>
    <row r="55" ht="16" customHeight="1" spans="2:28" x14ac:dyDescent="0.25">
      <c r="B55" s="165"/>
      <c r="C55" s="166"/>
      <c r="D55" s="166"/>
      <c r="E55" s="166"/>
      <c r="F55" s="172"/>
      <c r="G55" s="172"/>
      <c r="H55" s="172"/>
      <c r="I55" s="172"/>
      <c r="J55" s="173"/>
      <c r="K55" s="172"/>
      <c r="L55" s="172"/>
      <c r="M55" s="172"/>
      <c r="N55" s="174"/>
      <c r="O55" s="172"/>
      <c r="P55" s="172"/>
      <c r="Q55" s="172"/>
      <c r="R55" s="175"/>
      <c r="S55" s="172"/>
      <c r="T55" s="172"/>
      <c r="U55" s="172"/>
      <c r="V55" s="172"/>
      <c r="W55" s="172"/>
      <c r="X55" s="166"/>
      <c r="Y55" s="166"/>
      <c r="Z55" s="166"/>
      <c r="AA55" s="166"/>
      <c r="AB55" s="168"/>
    </row>
    <row r="56" spans="2:28" x14ac:dyDescent="0.25">
      <c r="B56" s="165"/>
      <c r="C56" s="166"/>
      <c r="D56" s="166"/>
      <c r="E56" s="166"/>
      <c r="F56" s="166"/>
      <c r="G56" s="166"/>
      <c r="H56" s="166"/>
      <c r="I56" s="166"/>
      <c r="J56" s="170"/>
      <c r="K56" s="166"/>
      <c r="L56" s="166"/>
      <c r="M56" s="166"/>
      <c r="N56" s="171"/>
      <c r="O56" s="166"/>
      <c r="P56" s="166"/>
      <c r="Q56" s="166"/>
      <c r="R56" s="169"/>
      <c r="S56" s="176"/>
      <c r="T56" s="166"/>
      <c r="U56" s="166"/>
      <c r="V56" s="166"/>
      <c r="W56" s="166"/>
      <c r="X56" s="166"/>
      <c r="Y56" s="166"/>
      <c r="Z56" s="166"/>
      <c r="AA56" s="166"/>
      <c r="AB56" s="168"/>
    </row>
    <row r="57" spans="2:28" x14ac:dyDescent="0.25">
      <c r="B57" s="165"/>
      <c r="C57" s="166"/>
      <c r="D57" s="166"/>
      <c r="E57" s="166"/>
      <c r="F57" s="166"/>
      <c r="G57" s="166"/>
      <c r="H57" s="166"/>
      <c r="I57" s="166"/>
      <c r="J57" s="170"/>
      <c r="K57" s="166"/>
      <c r="L57" s="166"/>
      <c r="M57" s="166"/>
      <c r="N57" s="171"/>
      <c r="O57" s="166"/>
      <c r="P57" s="166"/>
      <c r="Q57" s="166"/>
      <c r="R57" s="169"/>
      <c r="S57" s="177"/>
      <c r="T57" s="166" t="s">
        <v>2538</v>
      </c>
      <c r="U57" s="166"/>
      <c r="V57" s="166"/>
      <c r="W57" s="166"/>
      <c r="X57" s="166"/>
      <c r="Y57" s="166"/>
      <c r="Z57" s="166"/>
      <c r="AA57" s="166"/>
      <c r="AB57" s="168"/>
    </row>
    <row r="58" spans="2:28" x14ac:dyDescent="0.25">
      <c r="B58" s="165"/>
      <c r="C58" s="166"/>
      <c r="D58" s="166"/>
      <c r="E58" s="166"/>
      <c r="F58" s="166"/>
      <c r="G58" s="178">
        <f>TL!C10</f>
        <v>2020</v>
      </c>
      <c r="H58" s="179"/>
      <c r="I58" s="180"/>
      <c r="J58" s="170"/>
      <c r="K58" s="166"/>
      <c r="L58" s="178" t="str">
        <f>TL!H10</f>
        <v>?</v>
      </c>
      <c r="M58" s="179"/>
      <c r="N58" s="180"/>
      <c r="O58" s="166"/>
      <c r="P58" s="178">
        <f>TL!L10</f>
        <v>2021</v>
      </c>
      <c r="Q58" s="179"/>
      <c r="R58" s="180"/>
      <c r="S58" s="166"/>
      <c r="T58" s="166"/>
      <c r="U58" s="166">
        <f>P58+1</f>
        <v>2022</v>
      </c>
      <c r="V58" s="166"/>
      <c r="W58" s="166"/>
      <c r="X58" s="166"/>
      <c r="Y58" s="166"/>
      <c r="Z58" s="166"/>
      <c r="AA58" s="166"/>
      <c r="AB58" s="168"/>
    </row>
    <row r="59" spans="2:28" x14ac:dyDescent="0.25">
      <c r="B59" s="165"/>
      <c r="C59" s="166"/>
      <c r="D59" s="166"/>
      <c r="E59" s="166"/>
      <c r="F59" s="166"/>
      <c r="G59" s="177" t="s">
        <v>2540</v>
      </c>
      <c r="H59" s="181">
        <f>TL!D11</f>
        <v>4994138866</v>
      </c>
      <c r="I59" s="182"/>
      <c r="J59" s="170"/>
      <c r="K59" s="166"/>
      <c r="L59" s="177" t="str">
        <f>TL!H11</f>
        <v>Net Profit</v>
      </c>
      <c r="M59" s="183">
        <f>TL!I11</f>
        <v>0</v>
      </c>
      <c r="N59" s="184"/>
      <c r="O59" s="166"/>
      <c r="P59" s="177" t="s">
        <v>2540</v>
      </c>
      <c r="Q59" s="181">
        <f>TL!M11</f>
        <v>5805826735</v>
      </c>
      <c r="R59" s="185"/>
      <c r="S59" s="166"/>
      <c r="T59" s="166"/>
      <c r="U59" s="166" t="s">
        <v>2540</v>
      </c>
      <c r="V59" s="181">
        <f>TL!R11</f>
        <v>135354171907</v>
      </c>
      <c r="W59" s="181"/>
      <c r="X59" s="166"/>
      <c r="Y59" s="166"/>
      <c r="Z59" s="166"/>
      <c r="AA59" s="166"/>
      <c r="AB59" s="168"/>
    </row>
    <row r="60" spans="2:28" x14ac:dyDescent="0.25">
      <c r="B60" s="165"/>
      <c r="C60" s="166"/>
      <c r="D60" s="166"/>
      <c r="E60" s="166"/>
      <c r="F60" s="166"/>
      <c r="G60" s="177" t="s">
        <v>2541</v>
      </c>
      <c r="H60" s="181">
        <f>TL!D12</f>
        <v>23663464279</v>
      </c>
      <c r="I60" s="182"/>
      <c r="J60" s="170"/>
      <c r="K60" s="166"/>
      <c r="L60" s="177" t="str">
        <f>TL!H12</f>
        <v>Ekuitas</v>
      </c>
      <c r="M60" s="183">
        <f>TL!I12</f>
        <v>0</v>
      </c>
      <c r="N60" s="184"/>
      <c r="O60" s="166"/>
      <c r="P60" s="177" t="s">
        <v>2541</v>
      </c>
      <c r="Q60" s="181">
        <f>TL!M12</f>
        <v>29366482204</v>
      </c>
      <c r="R60" s="185"/>
      <c r="S60" s="166"/>
      <c r="T60" s="166"/>
      <c r="U60" s="166" t="s">
        <v>2541</v>
      </c>
      <c r="V60" s="181">
        <f>TL!R12</f>
        <v>635570945239</v>
      </c>
      <c r="W60" s="181"/>
      <c r="X60" s="166"/>
      <c r="Y60" s="166"/>
      <c r="Z60" s="166"/>
      <c r="AA60" s="166"/>
      <c r="AB60" s="168"/>
    </row>
    <row r="61" spans="2:28" x14ac:dyDescent="0.25">
      <c r="B61" s="165"/>
      <c r="C61" s="166"/>
      <c r="D61" s="166"/>
      <c r="E61" s="166"/>
      <c r="F61" s="166"/>
      <c r="G61" s="177" t="s">
        <v>2542</v>
      </c>
      <c r="H61" s="186">
        <f>TL!D13</f>
        <v>0.26662218589858233</v>
      </c>
      <c r="I61" s="171"/>
      <c r="J61" s="170"/>
      <c r="K61" s="166"/>
      <c r="L61" s="177" t="str">
        <f>TL!H13</f>
        <v>DER</v>
      </c>
      <c r="M61" s="186">
        <f>TL!I13</f>
        <v>0</v>
      </c>
      <c r="N61" s="187"/>
      <c r="O61" s="166"/>
      <c r="P61" s="177" t="s">
        <v>2542</v>
      </c>
      <c r="Q61" s="186">
        <f>TL!M13</f>
        <v>0.1453914874904027</v>
      </c>
      <c r="R61" s="171"/>
      <c r="S61" s="166"/>
      <c r="T61" s="166"/>
      <c r="U61" s="166" t="s">
        <v>2542</v>
      </c>
      <c r="V61" s="188">
        <f>TL!R13</f>
        <v>0.3383631765484988</v>
      </c>
      <c r="W61" s="166"/>
      <c r="X61" s="166"/>
      <c r="Y61" s="166"/>
      <c r="Z61" s="166"/>
      <c r="AA61" s="166"/>
      <c r="AB61" s="168"/>
    </row>
    <row r="62" spans="2:28" x14ac:dyDescent="0.25">
      <c r="B62" s="165"/>
      <c r="C62" s="166"/>
      <c r="D62" s="166"/>
      <c r="E62" s="166"/>
      <c r="F62" s="166"/>
      <c r="G62" s="189" t="s">
        <v>2543</v>
      </c>
      <c r="H62" s="190">
        <f>TL!D14</f>
        <v>0.08416123892769456</v>
      </c>
      <c r="I62" s="191"/>
      <c r="J62" s="170"/>
      <c r="K62" s="166"/>
      <c r="L62" s="189" t="str">
        <f>TL!H14</f>
        <v>NPM</v>
      </c>
      <c r="M62" s="190">
        <f>TL!I14</f>
        <v>0</v>
      </c>
      <c r="N62" s="192"/>
      <c r="O62" s="166"/>
      <c r="P62" s="189" t="s">
        <v>2543</v>
      </c>
      <c r="Q62" s="190">
        <f>TL!M14</f>
        <v>0.09511572071956491</v>
      </c>
      <c r="R62" s="191"/>
      <c r="S62" s="166"/>
      <c r="T62" s="166"/>
      <c r="U62" s="166" t="s">
        <v>2543</v>
      </c>
      <c r="V62" s="188">
        <f>TL!R14</f>
        <v>0.09695867478871532</v>
      </c>
      <c r="W62" s="166"/>
      <c r="X62" s="166"/>
      <c r="Y62" s="166"/>
      <c r="Z62" s="166"/>
      <c r="AA62" s="166"/>
      <c r="AB62" s="168"/>
    </row>
    <row r="63" spans="2:28" x14ac:dyDescent="0.25">
      <c r="B63" s="165"/>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8"/>
    </row>
    <row r="64" ht="16" customHeight="1" spans="2:28" x14ac:dyDescent="0.25">
      <c r="B64" s="193"/>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94"/>
    </row>
  </sheetData>
  <mergeCells count="10">
    <mergeCell ref="M2:T2"/>
    <mergeCell ref="U2:AB2"/>
    <mergeCell ref="H59:I59"/>
    <mergeCell ref="M59:N59"/>
    <mergeCell ref="Q59:R59"/>
    <mergeCell ref="V59:W59"/>
    <mergeCell ref="H60:I60"/>
    <mergeCell ref="M60:N60"/>
    <mergeCell ref="Q60:R60"/>
    <mergeCell ref="V60:W60"/>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J10"/>
  <sheetViews>
    <sheetView workbookViewId="0" showGridLines="0" zoomScale="115" zoomScaleNormal="115">
      <selection activeCell="I5" sqref="I5"/>
    </sheetView>
  </sheetViews>
  <sheetFormatPr defaultRowHeight="15" outlineLevelRow="0" outlineLevelCol="0" x14ac:dyDescent="0.2" defaultColWidth="8.83203125"/>
  <cols>
    <col min="1" max="1" width="19.33203125" customWidth="1"/>
    <col min="2" max="6" width="12" customWidth="1"/>
    <col min="8" max="8" width="12.1640625" customWidth="1"/>
    <col min="9" max="9" width="30.5" customWidth="1"/>
    <col min="10" max="10" width="20.1640625" customWidth="1"/>
    <col min="15" max="15" width="18.5" customWidth="1"/>
    <col min="16" max="16" width="22.1640625" customWidth="1"/>
  </cols>
  <sheetData>
    <row r="2" spans="5:10" x14ac:dyDescent="0.25">
      <c r="E2" t="s">
        <v>2564</v>
      </c>
      <c r="G2" s="202" t="s">
        <v>2565</v>
      </c>
      <c r="H2" s="202" t="s">
        <v>2566</v>
      </c>
      <c r="I2" s="202" t="s">
        <v>2567</v>
      </c>
      <c r="J2" s="202" t="s">
        <v>2568</v>
      </c>
    </row>
    <row r="3" spans="5:10" x14ac:dyDescent="0.25">
      <c r="E3" t="s">
        <v>2569</v>
      </c>
      <c r="G3" s="203">
        <v>1</v>
      </c>
      <c r="H3" s="204"/>
      <c r="I3" s="205">
        <v>0</v>
      </c>
      <c r="J3" s="205">
        <v>0</v>
      </c>
    </row>
    <row r="4" spans="7:10" x14ac:dyDescent="0.25">
      <c r="G4" s="203">
        <v>2</v>
      </c>
      <c r="H4" s="206"/>
      <c r="I4" s="205">
        <v>0</v>
      </c>
      <c r="J4" s="205">
        <v>0</v>
      </c>
    </row>
    <row r="5" spans="7:10" x14ac:dyDescent="0.25">
      <c r="G5" s="203">
        <v>3</v>
      </c>
      <c r="H5" s="206"/>
      <c r="I5" s="205">
        <v>0</v>
      </c>
      <c r="J5" s="205">
        <v>0</v>
      </c>
    </row>
    <row r="6" spans="7:10" x14ac:dyDescent="0.25">
      <c r="G6" s="203">
        <v>4</v>
      </c>
      <c r="H6" s="206"/>
      <c r="I6" s="205">
        <v>0</v>
      </c>
      <c r="J6" s="205">
        <v>0</v>
      </c>
    </row>
    <row r="7" spans="7:10" x14ac:dyDescent="0.25">
      <c r="G7" s="203">
        <v>5</v>
      </c>
      <c r="H7" s="207"/>
      <c r="I7" s="205">
        <v>0</v>
      </c>
      <c r="J7" s="205">
        <v>0</v>
      </c>
    </row>
    <row r="8" spans="7:10" x14ac:dyDescent="0.25">
      <c r="G8" s="203">
        <v>6</v>
      </c>
      <c r="H8" s="204"/>
      <c r="I8" s="205">
        <v>0</v>
      </c>
      <c r="J8" s="205">
        <v>0</v>
      </c>
    </row>
    <row r="9" spans="7:10" x14ac:dyDescent="0.25">
      <c r="G9" s="203">
        <v>7</v>
      </c>
      <c r="H9" s="207"/>
      <c r="I9" s="205">
        <v>0</v>
      </c>
      <c r="J9" s="205">
        <v>0</v>
      </c>
    </row>
    <row r="10" spans="7:10" x14ac:dyDescent="0.25">
      <c r="G10" s="208" t="s">
        <v>2570</v>
      </c>
      <c r="H10" s="209"/>
      <c r="I10" s="210"/>
      <c r="J10" s="205">
        <f>SUM(J3:J9)</f>
        <v>0</v>
      </c>
    </row>
  </sheetData>
  <mergeCells count="1">
    <mergeCell ref="G10:I10"/>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69"/>
  <sheetViews>
    <sheetView workbookViewId="0" showGridLines="0" zoomScale="100" zoomScaleNormal="100">
      <selection activeCell="D16" sqref="D16"/>
    </sheetView>
  </sheetViews>
  <sheetFormatPr defaultRowHeight="15" outlineLevelRow="0" outlineLevelCol="0" x14ac:dyDescent="0.2" defaultColWidth="8.83203125"/>
  <cols>
    <col min="1" max="1" width="12.5" customWidth="1"/>
    <col min="2" max="2" width="32" customWidth="1"/>
    <col min="3" max="4" width="16.33203125" customWidth="1"/>
    <col min="5" max="5" width="18.33203125" customWidth="1"/>
    <col min="6" max="7" width="16.33203125" customWidth="1"/>
    <col min="8" max="8" width="19.6640625" customWidth="1"/>
    <col min="9" max="9" width="16.33203125" customWidth="1"/>
  </cols>
  <sheetData>
    <row r="1" spans="1:1" x14ac:dyDescent="0.25">
      <c r="A1" t="str">
        <f>'INCOME STATEMENT'!A1</f>
        <v>PT RAJA VOLTAMA ELEKTRIK</v>
      </c>
    </row>
    <row r="2" spans="1:1" x14ac:dyDescent="0.25">
      <c r="A2" t="s">
        <v>2350</v>
      </c>
    </row>
    <row r="3" spans="1:1" x14ac:dyDescent="0.25">
      <c r="A3" t="s">
        <v>2227</v>
      </c>
    </row>
    <row r="5" spans="1:6" x14ac:dyDescent="0.25">
      <c r="A5" s="24"/>
      <c r="B5" s="24"/>
      <c r="C5" s="24">
        <v>2023</v>
      </c>
      <c r="D5" s="24">
        <f>C5+1</f>
        <v>2024</v>
      </c>
      <c r="E5" s="24">
        <f>D5+1</f>
        <v>2025</v>
      </c>
      <c r="F5" s="24">
        <f>E5+1</f>
        <v>2026</v>
      </c>
    </row>
    <row r="6" spans="1:6" x14ac:dyDescent="0.25">
      <c r="A6" s="4" t="s">
        <v>2351</v>
      </c>
      <c r="C6" s="26"/>
      <c r="D6" s="26"/>
      <c r="E6" s="26"/>
      <c r="F6" s="26"/>
    </row>
    <row r="7" spans="1:6" x14ac:dyDescent="0.25">
      <c r="A7" s="4" t="s">
        <v>2242</v>
      </c>
      <c r="C7" s="26"/>
      <c r="D7" s="26"/>
      <c r="E7" s="26"/>
      <c r="F7" s="26"/>
    </row>
    <row r="8" spans="2:7" x14ac:dyDescent="0.25">
      <c r="B8" t="s">
        <v>2352</v>
      </c>
      <c r="C8" s="26">
        <f>'FIXED ASSET'!E8</f>
        <v>0</v>
      </c>
      <c r="D8" s="36">
        <f>C26</f>
        <v>105632336296</v>
      </c>
      <c r="E8" s="36">
        <f>D26</f>
        <v>105632336296</v>
      </c>
      <c r="F8" s="36">
        <f>E26</f>
        <v>105632336296</v>
      </c>
      <c r="G8" s="71"/>
    </row>
    <row r="9" spans="2:6" x14ac:dyDescent="0.25">
      <c r="B9" t="s">
        <v>2354</v>
      </c>
      <c r="C9" s="26">
        <f>'FIXED ASSET'!E9</f>
        <v>4947437500</v>
      </c>
      <c r="D9" s="36">
        <f t="shared" ref="D9:F13" si="0">C27</f>
        <v>163209838554</v>
      </c>
      <c r="E9" s="36">
        <f t="shared" si="0"/>
        <v>163209838554</v>
      </c>
      <c r="F9" s="36">
        <f t="shared" si="0"/>
        <v>163209838554</v>
      </c>
    </row>
    <row r="10" spans="2:6" x14ac:dyDescent="0.25">
      <c r="B10" t="s">
        <v>2355</v>
      </c>
      <c r="C10" s="26">
        <f>'FIXED ASSET'!E10</f>
        <v>0</v>
      </c>
      <c r="D10" s="36">
        <f t="shared" si="0"/>
        <v>247378342663</v>
      </c>
      <c r="E10" s="36">
        <f t="shared" si="0"/>
        <v>247378342663</v>
      </c>
      <c r="F10" s="36">
        <f t="shared" si="0"/>
        <v>247378342663</v>
      </c>
    </row>
    <row r="11" spans="2:6" x14ac:dyDescent="0.25">
      <c r="B11" t="s">
        <v>2356</v>
      </c>
      <c r="C11" s="26">
        <f>'FIXED ASSET'!E11</f>
        <v>1490000000</v>
      </c>
      <c r="D11" s="36">
        <f t="shared" si="0"/>
        <v>62213825211</v>
      </c>
      <c r="E11" s="36">
        <f t="shared" si="0"/>
        <v>62283625211</v>
      </c>
      <c r="F11" s="36">
        <f t="shared" si="0"/>
        <v>62353425211</v>
      </c>
    </row>
    <row r="12" spans="2:6" x14ac:dyDescent="0.25">
      <c r="B12" t="s">
        <v>2357</v>
      </c>
      <c r="C12" s="26">
        <f>'FIXED ASSET'!E12</f>
        <v>139928000</v>
      </c>
      <c r="D12" s="36">
        <f t="shared" si="0"/>
        <v>7581348746</v>
      </c>
      <c r="E12" s="36">
        <f t="shared" si="0"/>
        <v>8935366739.311922</v>
      </c>
      <c r="F12" s="36">
        <f t="shared" si="0"/>
        <v>14288443316.234543</v>
      </c>
    </row>
    <row r="13" spans="1:6" x14ac:dyDescent="0.25">
      <c r="A13" s="34"/>
      <c r="B13" s="34" t="s">
        <v>2358</v>
      </c>
      <c r="C13" s="35">
        <f>'FIXED ASSET'!E13</f>
        <v>0</v>
      </c>
      <c r="D13" s="72">
        <f t="shared" si="0"/>
        <v>6014871960</v>
      </c>
      <c r="E13" s="72">
        <f t="shared" si="0"/>
        <v>6014871960</v>
      </c>
      <c r="F13" s="72">
        <f t="shared" si="0"/>
        <v>6014871960</v>
      </c>
    </row>
    <row r="14" spans="1:6" x14ac:dyDescent="0.25">
      <c r="A14" s="4" t="s">
        <v>2359</v>
      </c>
      <c r="C14" s="73">
        <f>SUM(C8:C13)</f>
        <v>6577365500</v>
      </c>
      <c r="D14" s="73">
        <f>SUM(D8:D13)</f>
        <v>592030563430</v>
      </c>
      <c r="E14" s="73">
        <f>SUM(E8:E13)</f>
        <v>593454381423.3119</v>
      </c>
      <c r="F14" s="73">
        <f>SUM(F8:F13)</f>
        <v>598877258000.2345</v>
      </c>
    </row>
    <row r="15" spans="3:6" x14ac:dyDescent="0.25">
      <c r="C15" s="26"/>
      <c r="D15" s="26"/>
      <c r="E15" s="26"/>
      <c r="F15" s="26"/>
    </row>
    <row r="16" spans="1:6" x14ac:dyDescent="0.25">
      <c r="A16" s="4" t="s">
        <v>2360</v>
      </c>
      <c r="C16" s="26"/>
      <c r="D16" s="26"/>
      <c r="E16" s="26"/>
      <c r="F16" s="26"/>
    </row>
    <row r="17" spans="2:6" x14ac:dyDescent="0.25">
      <c r="B17" t="s">
        <v>2352</v>
      </c>
      <c r="C17" s="26">
        <f>'FIXED ASSET'!E17</f>
        <v>0</v>
      </c>
      <c r="D17" s="26">
        <f>C17*(1+'FIXED ASSET'!$I17)</f>
        <v>0</v>
      </c>
      <c r="E17" s="26">
        <f>D17*(1+'FIXED ASSET'!$I17)</f>
        <v>0</v>
      </c>
      <c r="F17" s="26">
        <f>E17*(1+'FIXED ASSET'!$I17)</f>
        <v>0</v>
      </c>
    </row>
    <row r="18" spans="2:6" x14ac:dyDescent="0.25">
      <c r="B18" t="s">
        <v>2362</v>
      </c>
      <c r="C18" s="26">
        <f>'FIXED ASSET'!E18</f>
        <v>0</v>
      </c>
      <c r="D18" s="26">
        <f>C18*(1+'FIXED ASSET'!$I18)</f>
        <v>0</v>
      </c>
      <c r="E18" s="26">
        <f>D18*(1+'FIXED ASSET'!$I18)</f>
        <v>0</v>
      </c>
      <c r="F18" s="26">
        <f>E18*(1+'FIXED ASSET'!$I18)</f>
        <v>0</v>
      </c>
    </row>
    <row r="19" spans="2:6" x14ac:dyDescent="0.25">
      <c r="B19" t="s">
        <v>2355</v>
      </c>
      <c r="C19" s="26">
        <f>'FIXED ASSET'!E19</f>
        <v>0</v>
      </c>
      <c r="D19" s="26">
        <f>C19*(1+'FIXED ASSET'!$I19)</f>
        <v>0</v>
      </c>
      <c r="E19" s="26">
        <f>D19*(1+'FIXED ASSET'!$I19)</f>
        <v>0</v>
      </c>
      <c r="F19" s="26">
        <f>E19*(1+'FIXED ASSET'!$I19)</f>
        <v>0</v>
      </c>
    </row>
    <row r="20" spans="2:6" x14ac:dyDescent="0.25">
      <c r="B20" t="s">
        <v>2356</v>
      </c>
      <c r="C20" s="26">
        <f>'FIXED ASSET'!E20</f>
        <v>69800000</v>
      </c>
      <c r="D20" s="26">
        <f>C20*(1+'FIXED ASSET'!$I20)</f>
        <v>69800000</v>
      </c>
      <c r="E20" s="26">
        <f>D20*(1+'FIXED ASSET'!$I20)</f>
        <v>69800000</v>
      </c>
      <c r="F20" s="26">
        <f>E20*(1+'FIXED ASSET'!$I20)</f>
        <v>69800000</v>
      </c>
    </row>
    <row r="21" spans="2:6" x14ac:dyDescent="0.25">
      <c r="B21" t="s">
        <v>2357</v>
      </c>
      <c r="C21" s="26">
        <f>'FIXED ASSET'!E21</f>
        <v>342488044</v>
      </c>
      <c r="D21" s="26">
        <f>C21*(1+'FIXED ASSET'!$I21)</f>
        <v>1354017993.311922</v>
      </c>
      <c r="E21" s="26">
        <f>D21*(1+'FIXED ASSET'!$I21)</f>
        <v>5353076576.922622</v>
      </c>
      <c r="F21" s="26">
        <f>E21*(1+'FIXED ASSET'!$I21)</f>
        <v>21163255569.6742</v>
      </c>
    </row>
    <row r="22" spans="1:6" x14ac:dyDescent="0.25">
      <c r="A22" s="34"/>
      <c r="B22" s="34" t="s">
        <v>2358</v>
      </c>
      <c r="C22" s="35"/>
      <c r="D22" s="35"/>
      <c r="E22" s="35"/>
      <c r="F22" s="35"/>
    </row>
    <row r="23" spans="1:6" x14ac:dyDescent="0.25">
      <c r="A23" s="4" t="s">
        <v>2359</v>
      </c>
      <c r="C23" s="75">
        <v>15247506076</v>
      </c>
      <c r="D23" s="75">
        <f>SUM(D17:D22)</f>
        <v>1423817993.311922</v>
      </c>
      <c r="E23" s="75">
        <f>SUM(E17:E22)</f>
        <v>5422876576.922622</v>
      </c>
      <c r="F23" s="75">
        <f>SUM(F17:F22)</f>
        <v>21233055569.6742</v>
      </c>
    </row>
    <row r="24" spans="3:6" x14ac:dyDescent="0.25">
      <c r="C24" s="26"/>
      <c r="D24" s="26"/>
      <c r="E24" s="26"/>
      <c r="F24" s="26"/>
    </row>
    <row r="25" spans="1:6" x14ac:dyDescent="0.25">
      <c r="A25" s="4" t="s">
        <v>2363</v>
      </c>
      <c r="C25" s="26"/>
      <c r="D25" s="26"/>
      <c r="E25" s="26"/>
      <c r="F25" s="26"/>
    </row>
    <row r="26" spans="2:6" x14ac:dyDescent="0.25">
      <c r="B26" t="s">
        <v>2352</v>
      </c>
      <c r="C26" s="36">
        <v>105632336296</v>
      </c>
      <c r="D26" s="36">
        <f t="shared" ref="D26:E30" si="1">+D8+D17</f>
        <v>105632336296</v>
      </c>
      <c r="E26" s="36">
        <f t="shared" si="1"/>
        <v>105632336296</v>
      </c>
      <c r="F26" s="36">
        <f>+F8+F17</f>
        <v>105632336296</v>
      </c>
    </row>
    <row r="27" spans="2:6" x14ac:dyDescent="0.25">
      <c r="B27" t="s">
        <v>2354</v>
      </c>
      <c r="C27" s="36">
        <v>163209838554</v>
      </c>
      <c r="D27" s="36">
        <f t="shared" si="1"/>
        <v>163209838554</v>
      </c>
      <c r="E27" s="36">
        <f t="shared" si="1"/>
        <v>163209838554</v>
      </c>
      <c r="F27" s="36">
        <f>+F9+F18</f>
        <v>163209838554</v>
      </c>
    </row>
    <row r="28" spans="2:6" x14ac:dyDescent="0.25">
      <c r="B28" t="s">
        <v>2355</v>
      </c>
      <c r="C28" s="36">
        <v>247378342663</v>
      </c>
      <c r="D28" s="36">
        <f t="shared" si="1"/>
        <v>247378342663</v>
      </c>
      <c r="E28" s="36">
        <f t="shared" si="1"/>
        <v>247378342663</v>
      </c>
      <c r="F28" s="36">
        <f>+F10+F19</f>
        <v>247378342663</v>
      </c>
    </row>
    <row r="29" spans="2:6" x14ac:dyDescent="0.25">
      <c r="B29" t="s">
        <v>2356</v>
      </c>
      <c r="C29" s="36">
        <v>62213825211</v>
      </c>
      <c r="D29" s="36">
        <f t="shared" si="1"/>
        <v>62283625211</v>
      </c>
      <c r="E29" s="36">
        <f t="shared" si="1"/>
        <v>62353425211</v>
      </c>
      <c r="F29" s="36">
        <f>+F11+F20</f>
        <v>62423225211</v>
      </c>
    </row>
    <row r="30" spans="2:6" x14ac:dyDescent="0.25">
      <c r="B30" t="s">
        <v>2357</v>
      </c>
      <c r="C30" s="36">
        <v>7581348746</v>
      </c>
      <c r="D30" s="36">
        <f t="shared" si="1"/>
        <v>8935366739.311922</v>
      </c>
      <c r="E30" s="36">
        <f t="shared" si="1"/>
        <v>14288443316.234543</v>
      </c>
      <c r="F30" s="36">
        <f>+F12+F21</f>
        <v>35451698885.90874</v>
      </c>
    </row>
    <row r="31" spans="1:6" x14ac:dyDescent="0.25">
      <c r="A31" s="34"/>
      <c r="B31" s="34" t="s">
        <v>2358</v>
      </c>
      <c r="C31" s="72">
        <v>6014871960</v>
      </c>
      <c r="D31" s="72">
        <f t="shared" ref="D31:F32" si="2">+D13+D22</f>
        <v>6014871960</v>
      </c>
      <c r="E31" s="72">
        <f t="shared" si="2"/>
        <v>6014871960</v>
      </c>
      <c r="F31" s="72">
        <f t="shared" si="2"/>
        <v>6014871960</v>
      </c>
    </row>
    <row r="32" spans="1:6" x14ac:dyDescent="0.25">
      <c r="A32" s="4" t="s">
        <v>2359</v>
      </c>
      <c r="C32" s="73">
        <v>592030563430</v>
      </c>
      <c r="D32" s="73">
        <f t="shared" si="2"/>
        <v>593454381423.3119</v>
      </c>
      <c r="E32" s="73">
        <f t="shared" si="2"/>
        <v>598877258000.2345</v>
      </c>
      <c r="F32" s="73">
        <f t="shared" si="2"/>
        <v>620110313569.9087</v>
      </c>
    </row>
    <row r="33" spans="3:6" x14ac:dyDescent="0.25">
      <c r="C33" s="26"/>
      <c r="D33" s="26"/>
      <c r="E33" s="26"/>
      <c r="F33" s="26"/>
    </row>
    <row r="34" spans="1:1" x14ac:dyDescent="0.25">
      <c r="A34" s="4" t="s">
        <v>2364</v>
      </c>
    </row>
    <row r="35" spans="1:6" x14ac:dyDescent="0.25">
      <c r="A35" s="4" t="s">
        <v>2242</v>
      </c>
      <c r="C35" s="26"/>
      <c r="D35" s="26"/>
      <c r="E35" s="26"/>
      <c r="F35" s="26"/>
    </row>
    <row r="36" spans="2:6" x14ac:dyDescent="0.25">
      <c r="B36" t="s">
        <v>2352</v>
      </c>
      <c r="C36" s="26">
        <f>'FIXED ASSET'!E36</f>
        <v>0</v>
      </c>
      <c r="D36" s="36"/>
      <c r="E36" s="36">
        <f>D54</f>
        <v>0</v>
      </c>
      <c r="F36" s="36">
        <f>E54</f>
        <v>0</v>
      </c>
    </row>
    <row r="37" spans="2:6" x14ac:dyDescent="0.25">
      <c r="B37" t="s">
        <v>2354</v>
      </c>
      <c r="C37" s="26">
        <f>'FIXED ASSET'!E37</f>
        <v>0</v>
      </c>
      <c r="D37" s="36">
        <f t="shared" ref="D37:F41" si="3">C55</f>
        <v>0</v>
      </c>
      <c r="E37" s="36">
        <f t="shared" si="3"/>
        <v>0</v>
      </c>
      <c r="F37" s="36">
        <f t="shared" si="3"/>
        <v>0</v>
      </c>
    </row>
    <row r="38" spans="2:6" x14ac:dyDescent="0.25">
      <c r="B38" t="s">
        <v>2355</v>
      </c>
      <c r="C38" s="26">
        <f>'FIXED ASSET'!E38</f>
        <v>0</v>
      </c>
      <c r="D38" s="36">
        <f t="shared" si="3"/>
        <v>0</v>
      </c>
      <c r="E38" s="36">
        <f t="shared" si="3"/>
        <v>0</v>
      </c>
      <c r="F38" s="36">
        <f t="shared" si="3"/>
        <v>0</v>
      </c>
    </row>
    <row r="39" spans="2:6" x14ac:dyDescent="0.25">
      <c r="B39" t="s">
        <v>2356</v>
      </c>
      <c r="C39" s="26">
        <f>'FIXED ASSET'!E39</f>
        <v>491220093</v>
      </c>
      <c r="D39" s="36">
        <f t="shared" si="3"/>
        <v>586835382</v>
      </c>
      <c r="E39" s="36">
        <f t="shared" si="3"/>
        <v>660057603.1173875</v>
      </c>
      <c r="F39" s="36">
        <f t="shared" si="3"/>
        <v>716131205.1682436</v>
      </c>
    </row>
    <row r="40" spans="2:6" x14ac:dyDescent="0.25">
      <c r="B40" t="s">
        <v>2357</v>
      </c>
      <c r="C40" s="26">
        <f>'FIXED ASSET'!E40</f>
        <v>74121018</v>
      </c>
      <c r="D40" s="36">
        <f t="shared" si="3"/>
        <v>138478217</v>
      </c>
      <c r="E40" s="36">
        <f t="shared" si="3"/>
        <v>332964938.25161815</v>
      </c>
      <c r="F40" s="36">
        <f t="shared" si="3"/>
        <v>920701591.3524562</v>
      </c>
    </row>
    <row r="41" spans="1:6" x14ac:dyDescent="0.25">
      <c r="A41" s="34"/>
      <c r="B41" s="34" t="s">
        <v>2358</v>
      </c>
      <c r="C41" s="35">
        <f>'FIXED ASSET'!E41</f>
        <v>0</v>
      </c>
      <c r="D41" s="72">
        <f t="shared" si="3"/>
        <v>0</v>
      </c>
      <c r="E41" s="72">
        <f t="shared" si="3"/>
        <v>0</v>
      </c>
      <c r="F41" s="72">
        <f t="shared" si="3"/>
        <v>0</v>
      </c>
    </row>
    <row r="42" spans="1:6" x14ac:dyDescent="0.25">
      <c r="A42" s="4" t="s">
        <v>2359</v>
      </c>
      <c r="C42" s="73">
        <v>303324750539</v>
      </c>
      <c r="D42" s="73">
        <f>SUM(D36:D41)</f>
        <v>725313599</v>
      </c>
      <c r="E42" s="73">
        <f>SUM(E36:E41)</f>
        <v>993022541.3690057</v>
      </c>
      <c r="F42" s="73">
        <f>SUM(F36:F41)</f>
        <v>1636832796.5207</v>
      </c>
    </row>
    <row r="43" spans="3:6" x14ac:dyDescent="0.25">
      <c r="C43" s="26"/>
      <c r="D43" s="26"/>
      <c r="E43" s="26"/>
      <c r="F43" s="26"/>
    </row>
    <row r="44" spans="1:6" x14ac:dyDescent="0.25">
      <c r="A44" s="4" t="s">
        <v>2360</v>
      </c>
      <c r="C44" s="26"/>
      <c r="D44" s="26"/>
      <c r="E44" s="26"/>
      <c r="F44" s="26"/>
    </row>
    <row r="45" spans="2:6" x14ac:dyDescent="0.25">
      <c r="B45" t="s">
        <v>2352</v>
      </c>
      <c r="C45" s="26">
        <f>'FIXED ASSET'!E45</f>
        <v>0</v>
      </c>
      <c r="D45" s="26">
        <f>C45*(1+'FIXED ASSET'!$I45)</f>
        <v>0</v>
      </c>
      <c r="E45" s="26">
        <f>D45*(1+'FIXED ASSET'!$I45)</f>
        <v>0</v>
      </c>
      <c r="F45" s="26">
        <f>E45*(1+'FIXED ASSET'!$I45)</f>
        <v>0</v>
      </c>
    </row>
    <row r="46" spans="2:10" x14ac:dyDescent="0.25">
      <c r="B46" t="s">
        <v>2354</v>
      </c>
      <c r="C46" s="26">
        <f>'FIXED ASSET'!E46</f>
        <v>0</v>
      </c>
      <c r="D46" s="26">
        <f>C46*(1+'FIXED ASSET'!$I46)</f>
        <v>0</v>
      </c>
      <c r="E46" s="26">
        <f>D46*(1+'FIXED ASSET'!$I46)</f>
        <v>0</v>
      </c>
      <c r="F46" s="26">
        <f>E46*(1+'FIXED ASSET'!$I46)</f>
        <v>0</v>
      </c>
      <c r="G46" s="26"/>
      <c r="H46" s="26"/>
      <c r="I46" s="26"/>
      <c r="J46" s="26"/>
    </row>
    <row r="47" spans="2:6" x14ac:dyDescent="0.25">
      <c r="B47" t="s">
        <v>2355</v>
      </c>
      <c r="C47" s="26">
        <f>'FIXED ASSET'!E47</f>
        <v>0</v>
      </c>
      <c r="D47" s="26">
        <f>C47*(1+'FIXED ASSET'!$I47)</f>
        <v>0</v>
      </c>
      <c r="E47" s="26">
        <f>D47*(1+'FIXED ASSET'!$I47)</f>
        <v>0</v>
      </c>
      <c r="F47" s="26">
        <f>E47*(1+'FIXED ASSET'!$I47)</f>
        <v>0</v>
      </c>
    </row>
    <row r="48" spans="2:6" x14ac:dyDescent="0.25">
      <c r="B48" t="s">
        <v>2356</v>
      </c>
      <c r="C48" s="26">
        <f>'FIXED ASSET'!E48</f>
        <v>95615289</v>
      </c>
      <c r="D48" s="26">
        <f>C48*(1+'FIXED ASSET'!$I48)</f>
        <v>73222221.11738756</v>
      </c>
      <c r="E48" s="26">
        <f>D48*(1+'FIXED ASSET'!$I48)</f>
        <v>56073602.05085609</v>
      </c>
      <c r="F48" s="26">
        <f>E48*(1+'FIXED ASSET'!$I48)</f>
        <v>42941183.68680747</v>
      </c>
    </row>
    <row r="49" spans="2:6" x14ac:dyDescent="0.25">
      <c r="B49" t="s">
        <v>2357</v>
      </c>
      <c r="C49" s="26">
        <f>'FIXED ASSET'!E49</f>
        <v>64357199</v>
      </c>
      <c r="D49" s="26">
        <f>C49*(1+'FIXED ASSET'!$I49)</f>
        <v>194486721.25161812</v>
      </c>
      <c r="E49" s="26">
        <f>D49*(1+'FIXED ASSET'!$I49)</f>
        <v>587736653.1008381</v>
      </c>
      <c r="F49" s="26">
        <f>E49*(1+'FIXED ASSET'!$I49)</f>
        <v>1776133461.3239098</v>
      </c>
    </row>
    <row r="50" spans="1:6" x14ac:dyDescent="0.25">
      <c r="A50" s="34"/>
      <c r="B50" s="34" t="s">
        <v>2358</v>
      </c>
      <c r="C50" s="35">
        <f>'FIXED ASSET'!E50</f>
        <v>0</v>
      </c>
      <c r="D50" s="26">
        <f>C50*(1+'FIXED ASSET'!$I50)</f>
        <v>0</v>
      </c>
      <c r="E50" s="26">
        <f>D50*(1+'FIXED ASSET'!$I50)</f>
        <v>0</v>
      </c>
      <c r="F50" s="26">
        <f>E50*(1+'FIXED ASSET'!$I50)</f>
        <v>0</v>
      </c>
    </row>
    <row r="51" spans="1:6" x14ac:dyDescent="0.25">
      <c r="A51" s="4" t="s">
        <v>2359</v>
      </c>
      <c r="C51" s="76">
        <v>30135944850</v>
      </c>
      <c r="D51" s="76">
        <f>SUM(D45:D50)</f>
        <v>267708942.36900568</v>
      </c>
      <c r="E51" s="76">
        <f>SUM(E45:E50)</f>
        <v>643810255.1516942</v>
      </c>
      <c r="F51" s="76">
        <f>SUM(F45:F50)</f>
        <v>1819074645.0107172</v>
      </c>
    </row>
    <row r="52" spans="3:10" x14ac:dyDescent="0.25">
      <c r="C52" s="31">
        <f>'FIXED ASSET'!E52</f>
        <v>-0.008494344820965914</v>
      </c>
      <c r="D52" s="31">
        <f>(D51-C51)/C51</f>
        <v>-0.9911166235636044</v>
      </c>
      <c r="E52" s="31">
        <f>(E51-D51)/D51</f>
        <v>1.4048888671947182</v>
      </c>
      <c r="F52" s="31">
        <f>(F51-E51)/E51</f>
        <v>1.825482555542872</v>
      </c>
      <c r="G52" s="26"/>
      <c r="H52" s="26"/>
      <c r="I52" s="26"/>
      <c r="J52" s="26"/>
    </row>
    <row r="53" spans="1:10" x14ac:dyDescent="0.25">
      <c r="A53" s="4" t="s">
        <v>2363</v>
      </c>
      <c r="C53" s="26"/>
      <c r="D53" s="26"/>
      <c r="E53" s="26"/>
      <c r="F53" s="26"/>
      <c r="G53" s="31"/>
      <c r="H53" s="31"/>
      <c r="I53" s="31"/>
      <c r="J53" s="31"/>
    </row>
    <row r="54" spans="2:6" x14ac:dyDescent="0.25">
      <c r="B54" t="s">
        <v>2352</v>
      </c>
      <c r="C54" s="36">
        <f>'FIXED ASSET'!E54</f>
        <v>0</v>
      </c>
      <c r="D54" s="36">
        <f t="shared" ref="D54:E59" si="4">+D36+D45</f>
        <v>0</v>
      </c>
      <c r="E54" s="36">
        <f t="shared" si="4"/>
        <v>0</v>
      </c>
      <c r="F54" s="36">
        <f t="shared" ref="F54:F60" si="5">+F36+F45</f>
        <v>0</v>
      </c>
    </row>
    <row r="55" spans="2:6" x14ac:dyDescent="0.25">
      <c r="B55" t="s">
        <v>2354</v>
      </c>
      <c r="C55" s="36">
        <f>'FIXED ASSET'!E55</f>
        <v>0</v>
      </c>
      <c r="D55" s="36">
        <f t="shared" si="4"/>
        <v>0</v>
      </c>
      <c r="E55" s="36">
        <f t="shared" si="4"/>
        <v>0</v>
      </c>
      <c r="F55" s="36">
        <f t="shared" si="5"/>
        <v>0</v>
      </c>
    </row>
    <row r="56" spans="2:6" x14ac:dyDescent="0.25">
      <c r="B56" t="s">
        <v>2355</v>
      </c>
      <c r="C56" s="36">
        <f>'FIXED ASSET'!E56</f>
        <v>0</v>
      </c>
      <c r="D56" s="36">
        <f t="shared" si="4"/>
        <v>0</v>
      </c>
      <c r="E56" s="36">
        <f t="shared" si="4"/>
        <v>0</v>
      </c>
      <c r="F56" s="36">
        <f t="shared" si="5"/>
        <v>0</v>
      </c>
    </row>
    <row r="57" spans="2:6" x14ac:dyDescent="0.25">
      <c r="B57" t="s">
        <v>2356</v>
      </c>
      <c r="C57" s="36">
        <f>'FIXED ASSET'!E57</f>
        <v>586835382</v>
      </c>
      <c r="D57" s="36">
        <f t="shared" si="4"/>
        <v>660057603.1173875</v>
      </c>
      <c r="E57" s="36">
        <f t="shared" si="4"/>
        <v>716131205.1682436</v>
      </c>
      <c r="F57" s="36">
        <f t="shared" si="5"/>
        <v>759072388.8550512</v>
      </c>
    </row>
    <row r="58" spans="2:6" x14ac:dyDescent="0.25">
      <c r="B58" t="s">
        <v>2357</v>
      </c>
      <c r="C58" s="36">
        <f>'FIXED ASSET'!E58</f>
        <v>138478217</v>
      </c>
      <c r="D58" s="36">
        <f t="shared" si="4"/>
        <v>332964938.25161815</v>
      </c>
      <c r="E58" s="36">
        <f t="shared" si="4"/>
        <v>920701591.3524562</v>
      </c>
      <c r="F58" s="36">
        <f t="shared" si="5"/>
        <v>2696835052.676366</v>
      </c>
    </row>
    <row r="59" spans="1:6" x14ac:dyDescent="0.25">
      <c r="A59" s="34"/>
      <c r="B59" s="34" t="s">
        <v>2358</v>
      </c>
      <c r="C59" s="72">
        <f>'FIXED ASSET'!E59</f>
        <v>0</v>
      </c>
      <c r="D59" s="72">
        <f t="shared" si="4"/>
        <v>0</v>
      </c>
      <c r="E59" s="72">
        <f t="shared" si="4"/>
        <v>0</v>
      </c>
      <c r="F59" s="72">
        <f t="shared" si="5"/>
        <v>0</v>
      </c>
    </row>
    <row r="60" spans="1:6" x14ac:dyDescent="0.25">
      <c r="A60" s="4" t="s">
        <v>2359</v>
      </c>
      <c r="C60" s="73">
        <v>333460695389</v>
      </c>
      <c r="D60" s="73">
        <f>+D42+D51</f>
        <v>993022541.3690057</v>
      </c>
      <c r="E60" s="73">
        <f>+E42+E51</f>
        <v>1636832796.5207</v>
      </c>
      <c r="F60" s="73">
        <f t="shared" si="5"/>
        <v>3455907441.531417</v>
      </c>
    </row>
    <row r="62" spans="1:1" x14ac:dyDescent="0.25">
      <c r="A62" s="4" t="s">
        <v>2365</v>
      </c>
    </row>
    <row r="63" spans="2:8" x14ac:dyDescent="0.25">
      <c r="B63" t="s">
        <v>2352</v>
      </c>
      <c r="C63" s="36">
        <f>'FIXED ASSET'!E63</f>
        <v>0</v>
      </c>
      <c r="D63" s="36">
        <f>+D26-D54</f>
        <v>105632336296</v>
      </c>
      <c r="E63" s="36">
        <f>+E26-E54</f>
        <v>105632336296</v>
      </c>
      <c r="F63" s="36">
        <f>+F26-F54</f>
        <v>105632336296</v>
      </c>
      <c r="G63" s="26"/>
      <c r="H63" s="26"/>
    </row>
    <row r="64" spans="2:8" x14ac:dyDescent="0.25">
      <c r="B64" t="s">
        <v>2354</v>
      </c>
      <c r="C64" s="36">
        <f>'FIXED ASSET'!E64</f>
        <v>4947437500</v>
      </c>
      <c r="D64" s="36">
        <f t="shared" ref="D64:E68" si="6">+D27-D55</f>
        <v>163209838554</v>
      </c>
      <c r="E64" s="36">
        <f t="shared" si="6"/>
        <v>163209838554</v>
      </c>
      <c r="F64" s="36">
        <f>+F27-F55</f>
        <v>163209838554</v>
      </c>
      <c r="G64" s="26"/>
      <c r="H64" s="26"/>
    </row>
    <row r="65" spans="2:8" x14ac:dyDescent="0.25">
      <c r="B65" t="s">
        <v>2355</v>
      </c>
      <c r="C65" s="36">
        <f>'FIXED ASSET'!E65</f>
        <v>0</v>
      </c>
      <c r="D65" s="36">
        <f t="shared" si="6"/>
        <v>247378342663</v>
      </c>
      <c r="E65" s="36">
        <f t="shared" si="6"/>
        <v>247378342663</v>
      </c>
      <c r="F65" s="36">
        <f>+F28-F56</f>
        <v>247378342663</v>
      </c>
      <c r="H65" s="26"/>
    </row>
    <row r="66" spans="2:8" x14ac:dyDescent="0.25">
      <c r="B66" t="s">
        <v>2356</v>
      </c>
      <c r="C66" s="36">
        <f>'FIXED ASSET'!E66</f>
        <v>972964618</v>
      </c>
      <c r="D66" s="36">
        <f t="shared" si="6"/>
        <v>61623567607.882614</v>
      </c>
      <c r="E66" s="36">
        <f t="shared" si="6"/>
        <v>61637294005.83176</v>
      </c>
      <c r="F66" s="36">
        <f>+F29-F57</f>
        <v>61664152822.14495</v>
      </c>
      <c r="H66" s="26"/>
    </row>
    <row r="67" spans="2:9" x14ac:dyDescent="0.25">
      <c r="B67" t="s">
        <v>2357</v>
      </c>
      <c r="C67" s="36">
        <f>'FIXED ASSET'!E67</f>
        <v>343937827</v>
      </c>
      <c r="D67" s="36">
        <f t="shared" si="6"/>
        <v>8602401801.060305</v>
      </c>
      <c r="E67" s="36">
        <f t="shared" si="6"/>
        <v>13367741724.882086</v>
      </c>
      <c r="F67" s="36">
        <f>+F30-F58</f>
        <v>32754863833.232372</v>
      </c>
      <c r="H67" s="26"/>
      <c r="I67" s="26"/>
    </row>
    <row r="68" spans="1:9" x14ac:dyDescent="0.25">
      <c r="A68" s="34"/>
      <c r="B68" s="34" t="s">
        <v>2358</v>
      </c>
      <c r="C68" s="72">
        <f>'FIXED ASSET'!E68</f>
        <v>0</v>
      </c>
      <c r="D68" s="72">
        <f t="shared" si="6"/>
        <v>6014871960</v>
      </c>
      <c r="E68" s="72">
        <f t="shared" si="6"/>
        <v>6014871960</v>
      </c>
      <c r="F68" s="72">
        <f>+F31-F59</f>
        <v>6014871960</v>
      </c>
      <c r="I68" s="26"/>
    </row>
    <row r="69" spans="1:6" x14ac:dyDescent="0.25">
      <c r="A69" s="4" t="s">
        <v>2359</v>
      </c>
      <c r="C69" s="73">
        <v>258569868041</v>
      </c>
      <c r="D69" s="73">
        <f>SUM(D63:D68)</f>
        <v>592461358881.9429</v>
      </c>
      <c r="E69" s="73">
        <f>SUM(E63:E68)</f>
        <v>597240425203.7139</v>
      </c>
      <c r="F69" s="73">
        <f>SUM(F63:F68)</f>
        <v>616654406128.3773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40"/>
  <sheetViews>
    <sheetView workbookViewId="0" showGridLines="0" zoomScale="85" zoomScaleNormal="85">
      <selection activeCell="K12" sqref="K12"/>
    </sheetView>
  </sheetViews>
  <sheetFormatPr defaultRowHeight="15" outlineLevelRow="0" outlineLevelCol="0" x14ac:dyDescent="0.2" defaultColWidth="8.83203125"/>
  <cols>
    <col min="1" max="1" width="14.5" customWidth="1"/>
    <col min="2" max="2" width="34.33203125" customWidth="1"/>
    <col min="3" max="3" width="21.5" customWidth="1"/>
    <col min="4" max="4" width="18.6640625" customWidth="1"/>
    <col min="5" max="5" width="18.83203125" customWidth="1"/>
    <col min="6" max="6" width="19.6640625" customWidth="1"/>
    <col min="7" max="7" width="11.33203125" customWidth="1"/>
    <col min="8" max="13" width="11.5" customWidth="1"/>
  </cols>
  <sheetData>
    <row r="1" spans="1:1" x14ac:dyDescent="0.25">
      <c r="A1" t="str">
        <f>'BALANCE SHEET'!A1</f>
        <v>PT RAJA VOLTAMA ELEKTRIK</v>
      </c>
    </row>
    <row r="2" spans="1:1" x14ac:dyDescent="0.25">
      <c r="A2" t="s">
        <v>2280</v>
      </c>
    </row>
    <row r="3" spans="1:13" x14ac:dyDescent="0.25">
      <c r="A3" t="s">
        <v>2227</v>
      </c>
      <c r="E3" s="31"/>
      <c r="F3" s="31"/>
      <c r="G3" s="31"/>
      <c r="H3" s="51" t="s">
        <v>2225</v>
      </c>
      <c r="I3" s="51"/>
      <c r="J3" s="51"/>
      <c r="K3" s="51"/>
      <c r="L3" s="31"/>
      <c r="M3" s="31"/>
    </row>
    <row r="5" spans="1:16" x14ac:dyDescent="0.25">
      <c r="A5" s="24"/>
      <c r="B5" s="24"/>
      <c r="C5" s="195">
        <f>'INCOME STATEMENT'!F5</f>
        <v>2021</v>
      </c>
      <c r="D5" s="195">
        <f>C5+1</f>
        <v>2022</v>
      </c>
      <c r="E5" s="195">
        <f>D5+1</f>
        <v>2023</v>
      </c>
      <c r="F5" s="195">
        <f>E5+1</f>
        <v>2024</v>
      </c>
      <c r="G5" s="20"/>
      <c r="H5" s="52">
        <f>D5</f>
        <v>2022</v>
      </c>
      <c r="I5" s="52">
        <f>E5</f>
        <v>2023</v>
      </c>
      <c r="J5" s="52">
        <f>F5</f>
        <v>2024</v>
      </c>
      <c r="K5" s="52" t="s">
        <v>2229</v>
      </c>
      <c r="M5" s="52"/>
      <c r="N5" s="52"/>
      <c r="O5" s="52"/>
      <c r="P5" s="52"/>
    </row>
    <row r="6" spans="1:13" x14ac:dyDescent="0.25">
      <c r="A6" t="s">
        <v>2282</v>
      </c>
      <c r="C6" s="26">
        <f>'INCOME STATEMENT'!F6</f>
        <v>61039612496</v>
      </c>
      <c r="D6" s="26">
        <f>C6*(1+'INCOME STATEMENT'!$P$6)</f>
        <v>75106435974.33751</v>
      </c>
      <c r="E6" s="26">
        <f>D6*(1+'INCOME STATEMENT'!$P$6)</f>
        <v>92415015333.47578</v>
      </c>
      <c r="F6" s="26">
        <f>E6*(1+'INCOME STATEMENT'!$P$6)</f>
        <v>113712426216.10628</v>
      </c>
      <c r="G6" s="53"/>
      <c r="H6" s="29">
        <f>(D6-C6)/C6</f>
        <v>0.23045401016035816</v>
      </c>
      <c r="I6" s="29">
        <f>(E6-D6)/D6</f>
        <v>0.23045401016035827</v>
      </c>
      <c r="J6" s="29">
        <f>(F6-E6)/E6</f>
        <v>0.23045401016035827</v>
      </c>
      <c r="K6" s="30">
        <f>AVERAGE(H6:J6)</f>
        <v>0.23045401016035824</v>
      </c>
      <c r="L6" s="26"/>
      <c r="M6" s="26"/>
    </row>
    <row r="7" spans="1:13" x14ac:dyDescent="0.25">
      <c r="A7" t="s">
        <v>2283</v>
      </c>
      <c r="C7" s="26">
        <f>'INCOME STATEMENT'!F7</f>
        <v>-26008410685</v>
      </c>
      <c r="D7" s="26">
        <f>C7*(1+'INCOME STATEMENT'!$P$7)</f>
        <v>-30802883678.06398</v>
      </c>
      <c r="E7" s="26">
        <f>D7*(1+'INCOME STATEMENT'!$P$7)</f>
        <v>-36481185043.404366</v>
      </c>
      <c r="F7" s="26">
        <f>E7*(1+'INCOME STATEMENT'!$P$7)</f>
        <v>-43206242509.0052</v>
      </c>
      <c r="G7" s="31"/>
      <c r="H7" s="29">
        <f t="shared" ref="H7:J8" si="0">D7/D$6</f>
        <v>-0.4101230910302915</v>
      </c>
      <c r="I7" s="29">
        <f t="shared" si="0"/>
        <v>-0.3947538710215381</v>
      </c>
      <c r="J7" s="29">
        <f t="shared" si="0"/>
        <v>-0.379960607180198</v>
      </c>
      <c r="K7" s="30">
        <f>AVERAGE(H7:J7)</f>
        <v>-0.39494585641067587</v>
      </c>
      <c r="L7" s="26"/>
      <c r="M7" s="26"/>
    </row>
    <row r="8" spans="1:13" x14ac:dyDescent="0.25">
      <c r="A8" s="4" t="s">
        <v>2284</v>
      </c>
      <c r="B8" s="4"/>
      <c r="C8" s="37">
        <f>'INCOME STATEMENT'!F8</f>
        <v>35031201811</v>
      </c>
      <c r="D8" s="37">
        <f>SUM(D6:D7)</f>
        <v>44303552296.27353</v>
      </c>
      <c r="E8" s="37">
        <f>SUM(E6:E7)</f>
        <v>55933830290.07142</v>
      </c>
      <c r="F8" s="37">
        <f>SUM(F6:F7)</f>
        <v>70506183707.10107</v>
      </c>
      <c r="G8" s="37"/>
      <c r="H8" s="54">
        <f t="shared" si="0"/>
        <v>0.5898769089697086</v>
      </c>
      <c r="I8" s="54">
        <f t="shared" si="0"/>
        <v>0.6052461289784619</v>
      </c>
      <c r="J8" s="54">
        <f t="shared" si="0"/>
        <v>0.620039392819802</v>
      </c>
      <c r="K8" s="30">
        <f>AVERAGE(H8:J8)</f>
        <v>0.6050541435893242</v>
      </c>
      <c r="L8" s="37"/>
      <c r="M8" s="37"/>
    </row>
    <row r="9" spans="2:13" x14ac:dyDescent="0.25">
      <c r="B9" s="55" t="s">
        <v>2285</v>
      </c>
      <c r="C9" s="196">
        <f>'INCOME STATEMENT'!F9</f>
        <v>0.5739093087017162</v>
      </c>
      <c r="D9" s="56">
        <f>+D8/D6</f>
        <v>0.5898769089697086</v>
      </c>
      <c r="E9" s="56">
        <f>+E8/E6</f>
        <v>0.6052461289784619</v>
      </c>
      <c r="F9" s="56">
        <f>+F8/F6</f>
        <v>0.620039392819802</v>
      </c>
      <c r="G9" s="31"/>
      <c r="H9" s="57"/>
      <c r="I9" s="57"/>
      <c r="J9" s="57">
        <f>J8-I8</f>
        <v>0.014793263841340165</v>
      </c>
      <c r="K9" s="58"/>
      <c r="L9" s="31"/>
      <c r="M9" s="31"/>
    </row>
    <row r="10" spans="3:11" x14ac:dyDescent="0.25">
      <c r="C10" s="26"/>
      <c r="H10" s="27"/>
      <c r="I10" s="27"/>
      <c r="J10" s="27"/>
      <c r="K10" s="28"/>
    </row>
    <row r="11" spans="1:11" x14ac:dyDescent="0.25">
      <c r="A11" t="s">
        <v>2286</v>
      </c>
      <c r="C11" s="26"/>
      <c r="H11" s="27"/>
      <c r="I11" s="27"/>
      <c r="J11" s="27"/>
      <c r="K11" s="28"/>
    </row>
    <row r="12" spans="2:11" x14ac:dyDescent="0.25">
      <c r="B12" t="s">
        <v>2287</v>
      </c>
      <c r="C12" s="26">
        <f>'INCOME STATEMENT'!F12</f>
        <v>-20131113884</v>
      </c>
      <c r="D12" s="26">
        <f>C12*(1+'INCOME STATEMENT'!P12)</f>
        <v>-29540936822.522095</v>
      </c>
      <c r="E12" s="26">
        <f>D12*(1+'INCOME STATEMENT'!Q12)</f>
        <v>-29540936822.522095</v>
      </c>
      <c r="F12" s="26">
        <f>E12*(1+'INCOME STATEMENT'!R12)</f>
        <v>-29540936822.522095</v>
      </c>
      <c r="H12" s="29">
        <f t="shared" ref="H12:J13" si="1">D12/D$6</f>
        <v>-0.3933209776138984</v>
      </c>
      <c r="I12" s="29">
        <f t="shared" si="1"/>
        <v>-0.3196551633511593</v>
      </c>
      <c r="J12" s="29">
        <f t="shared" si="1"/>
        <v>-0.2597863558585992</v>
      </c>
      <c r="K12" s="30">
        <f>AVERAGE(H12:J12)</f>
        <v>-0.3242541656078856</v>
      </c>
    </row>
    <row r="13" spans="2:11" x14ac:dyDescent="0.25">
      <c r="B13" t="s">
        <v>2288</v>
      </c>
      <c r="C13" s="26">
        <f>'INCOME STATEMENT'!F13</f>
        <v>-7406641195</v>
      </c>
      <c r="D13" s="26">
        <f>C13*(1+'INCOME STATEMENT'!P13)</f>
        <v>-11815727423.271692</v>
      </c>
      <c r="E13" s="26">
        <f>D13*(1+'INCOME STATEMENT'!Q13)</f>
        <v>-11815727423.271692</v>
      </c>
      <c r="F13" s="26">
        <f>E13*(1+'INCOME STATEMENT'!R13)</f>
        <v>-11815727423.271692</v>
      </c>
      <c r="H13" s="29">
        <f t="shared" si="1"/>
        <v>-0.15731977253332735</v>
      </c>
      <c r="I13" s="29">
        <f t="shared" si="1"/>
        <v>-0.12785506100534774</v>
      </c>
      <c r="J13" s="29">
        <f t="shared" si="1"/>
        <v>-0.10390884986321844</v>
      </c>
      <c r="K13" s="30">
        <f>AVERAGE(H13:J13)</f>
        <v>-0.12969456113396452</v>
      </c>
    </row>
    <row r="14" spans="3:11" x14ac:dyDescent="0.25">
      <c r="C14" s="26"/>
      <c r="D14" s="31"/>
      <c r="E14" s="31"/>
      <c r="F14" s="31"/>
      <c r="H14" s="27"/>
      <c r="I14" s="27"/>
      <c r="J14" s="27"/>
      <c r="K14" s="28"/>
    </row>
    <row r="15" spans="1:11" x14ac:dyDescent="0.25">
      <c r="A15" t="s">
        <v>2289</v>
      </c>
      <c r="C15" s="26">
        <f>'INCOME STATEMENT'!F15</f>
        <v>-27537755079</v>
      </c>
      <c r="D15" s="26">
        <f>D12+D13</f>
        <v>-41356664245.793785</v>
      </c>
      <c r="E15" s="26">
        <f>E12+E13</f>
        <v>-41356664245.793785</v>
      </c>
      <c r="F15" s="26">
        <f>F12+F13</f>
        <v>-41356664245.793785</v>
      </c>
      <c r="H15" s="29">
        <f>D15/D$6</f>
        <v>-0.5506407501472257</v>
      </c>
      <c r="I15" s="29">
        <f>E15/E$6</f>
        <v>-0.447510224356507</v>
      </c>
      <c r="J15" s="29">
        <f>F15/F$6</f>
        <v>-0.3636952057218177</v>
      </c>
      <c r="K15" s="30">
        <f>AVERAGE(H15:J15)</f>
        <v>-0.4539487267418501</v>
      </c>
    </row>
    <row r="16" spans="1:11" x14ac:dyDescent="0.25">
      <c r="A16" t="s">
        <v>2545</v>
      </c>
      <c r="C16" s="26"/>
      <c r="H16" s="27"/>
      <c r="I16" s="27"/>
      <c r="J16" s="27"/>
      <c r="K16" s="28"/>
    </row>
    <row r="17" spans="1:11" x14ac:dyDescent="0.25">
      <c r="A17" s="34"/>
      <c r="B17" s="34"/>
      <c r="C17" s="35"/>
      <c r="D17" s="34"/>
      <c r="E17" s="34"/>
      <c r="F17" s="34"/>
      <c r="H17" s="27"/>
      <c r="I17" s="27"/>
      <c r="J17" s="27"/>
      <c r="K17" s="28"/>
    </row>
    <row r="18" spans="1:11" x14ac:dyDescent="0.25">
      <c r="A18" s="4" t="s">
        <v>2291</v>
      </c>
      <c r="C18" s="37">
        <f>'INCOME STATEMENT'!F18</f>
        <v>7493446732</v>
      </c>
      <c r="D18" s="37">
        <f>D8+D15</f>
        <v>2946888050.479744</v>
      </c>
      <c r="E18" s="37">
        <f>E8+E15</f>
        <v>14577166044.277634</v>
      </c>
      <c r="F18" s="37">
        <f>F8+F15</f>
        <v>29149519461.30729</v>
      </c>
      <c r="H18" s="54">
        <f>D18/D$6</f>
        <v>0.039236158822482825</v>
      </c>
      <c r="I18" s="54">
        <f>E18/E$6</f>
        <v>0.1577359046219549</v>
      </c>
      <c r="J18" s="54">
        <f>F18/F$6</f>
        <v>0.25634418709798434</v>
      </c>
      <c r="K18" s="30">
        <f>AVERAGE(H18:J18)</f>
        <v>0.15110541684747403</v>
      </c>
    </row>
    <row r="19" spans="2:11" x14ac:dyDescent="0.25">
      <c r="B19" s="55" t="s">
        <v>2292</v>
      </c>
      <c r="C19" s="196">
        <f>'INCOME STATEMENT'!F19</f>
        <v>0.12276366814240595</v>
      </c>
      <c r="D19" s="59">
        <f>D18/D6</f>
        <v>0.039236158822482825</v>
      </c>
      <c r="E19" s="59">
        <f>E18/E6</f>
        <v>0.1577359046219549</v>
      </c>
      <c r="F19" s="59">
        <f>F18/F6</f>
        <v>0.25634418709798434</v>
      </c>
      <c r="H19" s="29"/>
      <c r="I19" s="29"/>
      <c r="J19" s="29"/>
      <c r="K19" s="30"/>
    </row>
    <row r="20" spans="2:11" x14ac:dyDescent="0.25">
      <c r="B20" s="55"/>
      <c r="C20" s="26"/>
      <c r="D20" s="31"/>
      <c r="E20" s="31"/>
      <c r="F20" s="31"/>
      <c r="H20" s="27"/>
      <c r="I20" s="27"/>
      <c r="J20" s="27"/>
      <c r="K20" s="28"/>
    </row>
    <row r="21" spans="1:11" x14ac:dyDescent="0.25">
      <c r="A21" s="34" t="s">
        <v>2293</v>
      </c>
      <c r="B21" s="34"/>
      <c r="C21" s="35"/>
      <c r="D21" s="35">
        <v>0</v>
      </c>
      <c r="E21" s="35">
        <v>0</v>
      </c>
      <c r="F21" s="35">
        <v>0</v>
      </c>
      <c r="H21" s="27"/>
      <c r="I21" s="27"/>
      <c r="J21" s="27"/>
      <c r="K21" s="28"/>
    </row>
    <row r="22" spans="1:11" x14ac:dyDescent="0.25">
      <c r="A22" s="4" t="s">
        <v>2294</v>
      </c>
      <c r="C22" s="37">
        <f>'INCOME STATEMENT'!F22</f>
        <v>7333474245</v>
      </c>
      <c r="D22" s="37">
        <f>+D18+D21</f>
        <v>2946888050.479744</v>
      </c>
      <c r="E22" s="37">
        <f>+E18+E21</f>
        <v>14577166044.277634</v>
      </c>
      <c r="F22" s="37">
        <f>+F18+F21</f>
        <v>29149519461.30729</v>
      </c>
      <c r="H22" s="54">
        <f t="shared" ref="H22:J23" si="2">D22/D$6</f>
        <v>0.039236158822482825</v>
      </c>
      <c r="I22" s="54">
        <f t="shared" si="2"/>
        <v>0.1577359046219549</v>
      </c>
      <c r="J22" s="54">
        <f t="shared" si="2"/>
        <v>0.25634418709798434</v>
      </c>
      <c r="K22" s="30">
        <f>AVERAGE(H22:J22)</f>
        <v>0.15110541684747403</v>
      </c>
    </row>
    <row r="23" spans="2:11" x14ac:dyDescent="0.25">
      <c r="B23" s="55" t="s">
        <v>2295</v>
      </c>
      <c r="C23" s="196">
        <f>'INCOME STATEMENT'!F23</f>
        <v>0.12014287026282434</v>
      </c>
      <c r="D23" s="59">
        <f>+D22/D6</f>
        <v>0.039236158822482825</v>
      </c>
      <c r="E23" s="59">
        <f>+E22/E6</f>
        <v>0.1577359046219549</v>
      </c>
      <c r="F23" s="59">
        <f>+F22/F6</f>
        <v>0.25634418709798434</v>
      </c>
      <c r="H23" s="29">
        <f t="shared" si="2"/>
        <v>5.224074117415064e-13</v>
      </c>
      <c r="I23" s="29">
        <f t="shared" si="2"/>
        <v>1.706821170269478e-12</v>
      </c>
      <c r="J23" s="29">
        <f t="shared" si="2"/>
        <v>2.254319915844656e-12</v>
      </c>
      <c r="K23" s="30">
        <f>AVERAGE(H23:J23)</f>
        <v>1.49451616595188e-12</v>
      </c>
    </row>
    <row r="24" spans="3:11" x14ac:dyDescent="0.25">
      <c r="C24" s="26"/>
      <c r="D24" s="26"/>
      <c r="E24" s="26"/>
      <c r="F24" s="26"/>
      <c r="H24" s="27"/>
      <c r="I24" s="27"/>
      <c r="J24" s="27"/>
      <c r="K24" s="28"/>
    </row>
    <row r="25" spans="1:11" x14ac:dyDescent="0.25">
      <c r="A25" t="s">
        <v>2546</v>
      </c>
      <c r="C25" s="26"/>
      <c r="D25" s="26"/>
      <c r="E25" s="26"/>
      <c r="F25" s="26"/>
      <c r="H25" s="27"/>
      <c r="I25" s="27"/>
      <c r="J25" s="27"/>
      <c r="K25" s="28"/>
    </row>
    <row r="26" spans="2:11" x14ac:dyDescent="0.25">
      <c r="B26" t="s">
        <v>2547</v>
      </c>
      <c r="C26" s="26"/>
      <c r="D26" s="26"/>
      <c r="E26" s="26">
        <v>0</v>
      </c>
      <c r="F26" s="26">
        <v>0</v>
      </c>
      <c r="H26" s="29">
        <f t="shared" ref="H26:J28" si="3">D26/D$6</f>
        <v>0</v>
      </c>
      <c r="I26" s="29">
        <f t="shared" si="3"/>
        <v>0</v>
      </c>
      <c r="J26" s="29">
        <f t="shared" si="3"/>
        <v>0</v>
      </c>
      <c r="K26" s="30">
        <f>AVERAGE(H26:J26)</f>
        <v>0</v>
      </c>
    </row>
    <row r="27" spans="2:11" x14ac:dyDescent="0.25">
      <c r="B27" t="s">
        <v>2548</v>
      </c>
      <c r="C27" s="26">
        <f>'INCOME STATEMENT'!F27</f>
        <v>-19483450</v>
      </c>
      <c r="D27" s="26">
        <v>-7125134289</v>
      </c>
      <c r="E27" s="26">
        <v>-2738870436</v>
      </c>
      <c r="F27" s="26">
        <v>-7038891365</v>
      </c>
      <c r="H27" s="29">
        <f t="shared" si="3"/>
        <v>-0.09486716013837386</v>
      </c>
      <c r="I27" s="29">
        <f t="shared" si="3"/>
        <v>-0.029636638874287892</v>
      </c>
      <c r="J27" s="29">
        <f t="shared" si="3"/>
        <v>-0.06190081066094612</v>
      </c>
      <c r="K27" s="30">
        <f>AVERAGE(H27:J27)</f>
        <v>-0.06213486989120263</v>
      </c>
    </row>
    <row r="28" spans="1:11" x14ac:dyDescent="0.25">
      <c r="A28" t="s">
        <v>2549</v>
      </c>
      <c r="C28" s="26">
        <f>'INCOME STATEMENT'!F28</f>
        <v>85716770</v>
      </c>
      <c r="D28" s="26">
        <f>+D26+D27</f>
        <v>-7125134289</v>
      </c>
      <c r="E28" s="26">
        <f>+E26+E27</f>
        <v>-2738870436</v>
      </c>
      <c r="F28" s="26">
        <f>+F26+F27</f>
        <v>-7038891365</v>
      </c>
      <c r="H28" s="29">
        <f t="shared" si="3"/>
        <v>-0.09486716013837386</v>
      </c>
      <c r="I28" s="29">
        <f t="shared" si="3"/>
        <v>-0.029636638874287892</v>
      </c>
      <c r="J28" s="29">
        <f t="shared" si="3"/>
        <v>-0.06190081066094612</v>
      </c>
      <c r="K28" s="30">
        <f>AVERAGE(H28:J28)</f>
        <v>-0.06213486989120263</v>
      </c>
    </row>
    <row r="29" spans="3:11" x14ac:dyDescent="0.25">
      <c r="C29" s="26"/>
      <c r="D29" s="26"/>
      <c r="E29" s="26"/>
      <c r="F29" s="26"/>
      <c r="H29" s="27"/>
      <c r="I29" s="27"/>
      <c r="J29" s="27"/>
      <c r="K29" s="28"/>
    </row>
    <row r="30" spans="1:11" x14ac:dyDescent="0.25">
      <c r="A30" t="s">
        <v>2300</v>
      </c>
      <c r="C30" s="26">
        <f>'INCOME STATEMENT'!F30</f>
        <v>0</v>
      </c>
      <c r="D30" s="26">
        <f>1006370564+264951236</f>
        <v>1271321800</v>
      </c>
      <c r="E30" s="26">
        <f>186392498+422783588</f>
        <v>609176086</v>
      </c>
      <c r="F30" s="26">
        <f>248115634+176467247</f>
        <v>424582881</v>
      </c>
      <c r="H30" s="29">
        <f>D30/D$6</f>
        <v>0.01692693553498381</v>
      </c>
      <c r="I30" s="29">
        <f>E30/E$6</f>
        <v>0.006591743601424651</v>
      </c>
      <c r="J30" s="29">
        <f>F30/F$6</f>
        <v>0.0037338301109950452</v>
      </c>
      <c r="K30" s="30">
        <f>AVERAGE(H30:J30)</f>
        <v>0.009084169749134502</v>
      </c>
    </row>
    <row r="31" spans="1:11" x14ac:dyDescent="0.25">
      <c r="A31" s="34"/>
      <c r="B31" s="34"/>
      <c r="C31" s="35"/>
      <c r="D31" s="35"/>
      <c r="E31" s="35"/>
      <c r="F31" s="35"/>
      <c r="H31" s="27"/>
      <c r="I31" s="27"/>
      <c r="J31" s="27"/>
      <c r="K31" s="28"/>
    </row>
    <row r="32" spans="1:11" x14ac:dyDescent="0.25">
      <c r="A32" s="4" t="s">
        <v>2301</v>
      </c>
      <c r="C32" s="37">
        <f>'INCOME STATEMENT'!F32</f>
        <v>7419191015</v>
      </c>
      <c r="D32" s="37">
        <f>+D22+D28+D30</f>
        <v>-2906924438.520256</v>
      </c>
      <c r="E32" s="37">
        <f>+E22+E28+E30</f>
        <v>12447471694.277634</v>
      </c>
      <c r="F32" s="37">
        <f>+F22+F28+F30</f>
        <v>22535210977.30729</v>
      </c>
      <c r="H32" s="54">
        <f>D32/D$6</f>
        <v>-0.03870406578090723</v>
      </c>
      <c r="I32" s="54">
        <f>E32/E$6</f>
        <v>0.13469100934909164</v>
      </c>
      <c r="J32" s="54">
        <f>F32/F$6</f>
        <v>0.19817720654803328</v>
      </c>
      <c r="K32" s="30">
        <f>AVERAGE(H32:J32)</f>
        <v>0.09805471670540589</v>
      </c>
    </row>
    <row r="33" spans="1:11" x14ac:dyDescent="0.25">
      <c r="A33" t="s">
        <v>2302</v>
      </c>
      <c r="B33" s="31"/>
      <c r="C33" s="26">
        <f>'INCOME STATEMENT'!F33</f>
        <v>-1613364280</v>
      </c>
      <c r="D33" s="26">
        <f>-14866516500+1492188624</f>
        <v>-13374327876</v>
      </c>
      <c r="E33" s="26">
        <f>-17448959880-558003573-93012389</f>
        <v>-18099975842</v>
      </c>
      <c r="F33" s="26">
        <f>-30675449200+823736312-38822794</f>
        <v>-29890535682</v>
      </c>
      <c r="H33" s="29"/>
      <c r="I33" s="29"/>
      <c r="J33" s="29">
        <f>(F33-E33)/E33</f>
        <v>0.6514130152947858</v>
      </c>
      <c r="K33" s="30"/>
    </row>
    <row r="34" spans="1:11" x14ac:dyDescent="0.25">
      <c r="A34" s="34"/>
      <c r="B34" s="34"/>
      <c r="C34" s="35"/>
      <c r="D34" s="35"/>
      <c r="E34" s="35"/>
      <c r="F34" s="35"/>
      <c r="H34" s="27"/>
      <c r="I34" s="27"/>
      <c r="J34" s="27"/>
      <c r="K34" s="28"/>
    </row>
    <row r="35" spans="1:11" x14ac:dyDescent="0.25">
      <c r="A35" s="40" t="s">
        <v>2303</v>
      </c>
      <c r="B35" s="41"/>
      <c r="C35" s="42">
        <f>'INCOME STATEMENT'!F35</f>
        <v>5805826735</v>
      </c>
      <c r="D35" s="42">
        <f>+D32+D33</f>
        <v>-16281252314.520256</v>
      </c>
      <c r="E35" s="42">
        <f>+E32+E33</f>
        <v>-5652504147.722366</v>
      </c>
      <c r="F35" s="42">
        <f>+F32+F33</f>
        <v>-7355324704.692711</v>
      </c>
      <c r="H35" s="54">
        <f>D35/D$6</f>
        <v>-0.21677572771637388</v>
      </c>
      <c r="I35" s="54">
        <f>E35/E$6</f>
        <v>-0.06116434788573629</v>
      </c>
      <c r="J35" s="54">
        <f>F35/F$6</f>
        <v>-0.06468356141407261</v>
      </c>
      <c r="K35" s="30">
        <f>AVERAGE(H35:J35)</f>
        <v>-0.11420787900539425</v>
      </c>
    </row>
    <row r="36" spans="1:9" x14ac:dyDescent="0.25">
      <c r="A36" s="41"/>
      <c r="B36" s="60" t="s">
        <v>2550</v>
      </c>
      <c r="C36" s="61"/>
      <c r="D36" s="62">
        <f>+D35/D6</f>
        <v>-0.21677572771637388</v>
      </c>
      <c r="E36" s="62">
        <f>+E35/E6</f>
        <v>-0.06116434788573629</v>
      </c>
      <c r="F36" s="62">
        <f>+F35/F6</f>
        <v>-0.06468356141407261</v>
      </c>
      <c r="I36" s="46">
        <f>J35-I35</f>
        <v>-0.0035192135283363193</v>
      </c>
    </row>
    <row r="39" spans="3:3" x14ac:dyDescent="0.25">
      <c r="C39" s="26"/>
    </row>
    <row r="40" spans="3:3" x14ac:dyDescent="0.25">
      <c r="C40" s="26"/>
    </row>
  </sheetData>
  <mergeCells count="1">
    <mergeCell ref="H3:K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4"/>
  <sheetViews>
    <sheetView workbookViewId="0" zoomScale="100" zoomScaleNormal="100">
      <selection activeCell="D1" sqref="D1"/>
    </sheetView>
  </sheetViews>
  <sheetFormatPr defaultRowHeight="15" outlineLevelRow="0" outlineLevelCol="0" x14ac:dyDescent="0.2" defaultColWidth="8.83203125"/>
  <cols>
    <col min="1" max="1" width="4" customWidth="1"/>
    <col min="2" max="2" width="7.1640625" customWidth="1"/>
    <col min="3" max="3" width="50.1640625" customWidth="1"/>
    <col min="4" max="4" width="11.33203125" customWidth="1"/>
  </cols>
  <sheetData>
    <row r="1" spans="1:4" x14ac:dyDescent="0.25">
      <c r="A1">
        <v>1</v>
      </c>
      <c r="B1" t="s">
        <v>22</v>
      </c>
      <c r="C1" t="s">
        <v>23</v>
      </c>
      <c r="D1" t="s">
        <v>24</v>
      </c>
    </row>
    <row r="2" spans="1:4" x14ac:dyDescent="0.25">
      <c r="A2">
        <v>2</v>
      </c>
      <c r="B2" t="s">
        <v>25</v>
      </c>
      <c r="C2" t="s">
        <v>26</v>
      </c>
      <c r="D2" t="s">
        <v>27</v>
      </c>
    </row>
    <row r="3" spans="1:4" x14ac:dyDescent="0.25">
      <c r="A3">
        <v>3</v>
      </c>
      <c r="B3" t="s">
        <v>28</v>
      </c>
      <c r="C3" t="s">
        <v>29</v>
      </c>
      <c r="D3" s="19">
        <v>37349</v>
      </c>
    </row>
    <row r="4" spans="1:4" x14ac:dyDescent="0.25">
      <c r="A4">
        <v>4</v>
      </c>
      <c r="B4" t="s">
        <v>30</v>
      </c>
      <c r="C4" t="s">
        <v>31</v>
      </c>
      <c r="D4" s="19">
        <v>32695</v>
      </c>
    </row>
    <row r="5" spans="1:4" x14ac:dyDescent="0.25">
      <c r="A5">
        <v>5</v>
      </c>
      <c r="B5" t="s">
        <v>32</v>
      </c>
      <c r="C5" t="s">
        <v>33</v>
      </c>
      <c r="D5" t="s">
        <v>34</v>
      </c>
    </row>
    <row r="6" spans="1:4" x14ac:dyDescent="0.25">
      <c r="A6">
        <v>6</v>
      </c>
      <c r="B6" t="s">
        <v>35</v>
      </c>
      <c r="C6" t="s">
        <v>36</v>
      </c>
      <c r="D6" s="19">
        <v>39392</v>
      </c>
    </row>
    <row r="7" spans="1:4" x14ac:dyDescent="0.25">
      <c r="A7">
        <v>7</v>
      </c>
      <c r="B7" t="s">
        <v>37</v>
      </c>
      <c r="C7" t="s">
        <v>38</v>
      </c>
      <c r="D7" s="19">
        <v>45302</v>
      </c>
    </row>
    <row r="8" spans="1:4" x14ac:dyDescent="0.25">
      <c r="A8">
        <v>8</v>
      </c>
      <c r="B8" t="s">
        <v>39</v>
      </c>
      <c r="C8" t="s">
        <v>40</v>
      </c>
      <c r="D8" s="19">
        <v>41449</v>
      </c>
    </row>
    <row r="9" spans="1:4" x14ac:dyDescent="0.25">
      <c r="A9">
        <v>9</v>
      </c>
      <c r="B9" t="s">
        <v>41</v>
      </c>
      <c r="C9" t="s">
        <v>42</v>
      </c>
      <c r="D9" t="s">
        <v>43</v>
      </c>
    </row>
    <row r="10" spans="1:4" x14ac:dyDescent="0.25">
      <c r="A10">
        <v>10</v>
      </c>
      <c r="B10" t="s">
        <v>44</v>
      </c>
      <c r="C10" t="s">
        <v>45</v>
      </c>
      <c r="D10" s="19">
        <v>34498</v>
      </c>
    </row>
    <row r="11" spans="1:4" x14ac:dyDescent="0.25">
      <c r="A11">
        <v>11</v>
      </c>
      <c r="B11" t="s">
        <v>46</v>
      </c>
      <c r="C11" t="s">
        <v>47</v>
      </c>
      <c r="D11" s="19">
        <v>38064</v>
      </c>
    </row>
    <row r="12" spans="1:4" x14ac:dyDescent="0.25">
      <c r="A12">
        <v>12</v>
      </c>
      <c r="B12" t="s">
        <v>48</v>
      </c>
      <c r="C12" t="s">
        <v>49</v>
      </c>
      <c r="D12" s="19">
        <v>38077</v>
      </c>
    </row>
    <row r="13" spans="1:4" x14ac:dyDescent="0.25">
      <c r="A13">
        <v>13</v>
      </c>
      <c r="B13" t="s">
        <v>50</v>
      </c>
      <c r="C13" t="s">
        <v>51</v>
      </c>
      <c r="D13" t="s">
        <v>52</v>
      </c>
    </row>
    <row r="14" spans="1:4" x14ac:dyDescent="0.25">
      <c r="A14">
        <v>14</v>
      </c>
      <c r="B14" t="s">
        <v>53</v>
      </c>
      <c r="C14" t="s">
        <v>54</v>
      </c>
      <c r="D14" s="19">
        <v>44564</v>
      </c>
    </row>
    <row r="15" spans="1:4" x14ac:dyDescent="0.25">
      <c r="A15">
        <v>15</v>
      </c>
      <c r="B15" t="s">
        <v>55</v>
      </c>
      <c r="C15" t="s">
        <v>56</v>
      </c>
      <c r="D15" s="19">
        <v>39645</v>
      </c>
    </row>
    <row r="16" spans="1:4" x14ac:dyDescent="0.25">
      <c r="A16">
        <v>16</v>
      </c>
      <c r="B16" t="s">
        <v>57</v>
      </c>
      <c r="C16" t="s">
        <v>58</v>
      </c>
      <c r="D16" s="19">
        <v>45180</v>
      </c>
    </row>
    <row r="17" spans="1:4" x14ac:dyDescent="0.25">
      <c r="A17">
        <v>17</v>
      </c>
      <c r="B17" t="s">
        <v>59</v>
      </c>
      <c r="C17" t="s">
        <v>60</v>
      </c>
      <c r="D17" t="s">
        <v>61</v>
      </c>
    </row>
    <row r="18" spans="1:4" x14ac:dyDescent="0.25">
      <c r="A18">
        <v>18</v>
      </c>
      <c r="B18" t="s">
        <v>62</v>
      </c>
      <c r="C18" t="s">
        <v>63</v>
      </c>
      <c r="D18" s="19">
        <v>42641</v>
      </c>
    </row>
    <row r="19" spans="1:4" x14ac:dyDescent="0.25">
      <c r="A19">
        <v>19</v>
      </c>
      <c r="B19" t="s">
        <v>64</v>
      </c>
      <c r="C19" t="s">
        <v>65</v>
      </c>
      <c r="D19" t="s">
        <v>66</v>
      </c>
    </row>
    <row r="20" spans="1:4" x14ac:dyDescent="0.25">
      <c r="A20">
        <v>20</v>
      </c>
      <c r="B20" t="s">
        <v>67</v>
      </c>
      <c r="C20" t="s">
        <v>68</v>
      </c>
      <c r="D20" t="s">
        <v>69</v>
      </c>
    </row>
    <row r="21" spans="1:4" x14ac:dyDescent="0.25">
      <c r="A21">
        <v>21</v>
      </c>
      <c r="B21" t="s">
        <v>70</v>
      </c>
      <c r="C21" t="s">
        <v>71</v>
      </c>
      <c r="D21" s="19">
        <v>33130</v>
      </c>
    </row>
    <row r="22" spans="1:4" x14ac:dyDescent="0.25">
      <c r="A22">
        <v>22</v>
      </c>
      <c r="B22" t="s">
        <v>72</v>
      </c>
      <c r="C22" t="s">
        <v>73</v>
      </c>
      <c r="D22" s="19">
        <v>37092</v>
      </c>
    </row>
    <row r="23" spans="1:4" x14ac:dyDescent="0.25">
      <c r="A23">
        <v>23</v>
      </c>
      <c r="B23" t="s">
        <v>74</v>
      </c>
      <c r="C23" t="s">
        <v>75</v>
      </c>
      <c r="D23" s="19">
        <v>35592</v>
      </c>
    </row>
    <row r="24" spans="1:4" x14ac:dyDescent="0.25">
      <c r="A24">
        <v>24</v>
      </c>
      <c r="B24" t="s">
        <v>76</v>
      </c>
      <c r="C24" t="s">
        <v>77</v>
      </c>
      <c r="D24" s="19">
        <v>38292</v>
      </c>
    </row>
    <row r="25" spans="1:4" x14ac:dyDescent="0.25">
      <c r="A25">
        <v>25</v>
      </c>
      <c r="B25" t="s">
        <v>78</v>
      </c>
      <c r="C25" t="s">
        <v>79</v>
      </c>
      <c r="D25" t="s">
        <v>80</v>
      </c>
    </row>
    <row r="26" spans="1:4" x14ac:dyDescent="0.25">
      <c r="A26">
        <v>26</v>
      </c>
      <c r="B26" t="s">
        <v>81</v>
      </c>
      <c r="C26" t="s">
        <v>82</v>
      </c>
      <c r="D26" t="s">
        <v>83</v>
      </c>
    </row>
    <row r="27" spans="1:4" x14ac:dyDescent="0.25">
      <c r="A27">
        <v>27</v>
      </c>
      <c r="B27" t="s">
        <v>84</v>
      </c>
      <c r="C27" t="s">
        <v>85</v>
      </c>
      <c r="D27" s="19">
        <v>37085</v>
      </c>
    </row>
    <row r="28" spans="1:4" x14ac:dyDescent="0.25">
      <c r="A28">
        <v>28</v>
      </c>
      <c r="B28" t="s">
        <v>86</v>
      </c>
      <c r="C28" t="s">
        <v>87</v>
      </c>
      <c r="D28" s="19">
        <v>40736</v>
      </c>
    </row>
    <row r="29" spans="1:4" x14ac:dyDescent="0.25">
      <c r="A29">
        <v>29</v>
      </c>
      <c r="B29" t="s">
        <v>88</v>
      </c>
      <c r="C29" t="s">
        <v>89</v>
      </c>
      <c r="D29" s="19">
        <v>45329</v>
      </c>
    </row>
    <row r="30" spans="1:4" x14ac:dyDescent="0.25">
      <c r="A30">
        <v>30</v>
      </c>
      <c r="B30" t="s">
        <v>90</v>
      </c>
      <c r="C30" t="s">
        <v>91</v>
      </c>
      <c r="D30" s="19">
        <v>33066</v>
      </c>
    </row>
    <row r="31" spans="1:4" x14ac:dyDescent="0.25">
      <c r="A31">
        <v>31</v>
      </c>
      <c r="B31" t="s">
        <v>92</v>
      </c>
      <c r="C31" t="s">
        <v>93</v>
      </c>
      <c r="D31" s="19">
        <v>35432</v>
      </c>
    </row>
    <row r="32" spans="1:4" x14ac:dyDescent="0.25">
      <c r="A32">
        <v>32</v>
      </c>
      <c r="B32" t="s">
        <v>94</v>
      </c>
      <c r="C32" t="s">
        <v>95</v>
      </c>
      <c r="D32" s="19">
        <v>41100</v>
      </c>
    </row>
    <row r="33" spans="1:4" x14ac:dyDescent="0.25">
      <c r="A33">
        <v>33</v>
      </c>
      <c r="B33" t="s">
        <v>96</v>
      </c>
      <c r="C33" t="s">
        <v>97</v>
      </c>
      <c r="D33" t="s">
        <v>98</v>
      </c>
    </row>
    <row r="34" spans="1:4" x14ac:dyDescent="0.25">
      <c r="A34">
        <v>34</v>
      </c>
      <c r="B34" t="s">
        <v>99</v>
      </c>
      <c r="C34" t="s">
        <v>100</v>
      </c>
      <c r="D34" s="19">
        <v>43903</v>
      </c>
    </row>
    <row r="35" spans="1:4" x14ac:dyDescent="0.25">
      <c r="A35">
        <v>35</v>
      </c>
      <c r="B35" t="s">
        <v>101</v>
      </c>
      <c r="C35" t="s">
        <v>102</v>
      </c>
      <c r="D35" s="19">
        <v>43839</v>
      </c>
    </row>
    <row r="36" spans="1:4" x14ac:dyDescent="0.25">
      <c r="A36">
        <v>36</v>
      </c>
      <c r="B36" t="s">
        <v>103</v>
      </c>
      <c r="C36" t="s">
        <v>104</v>
      </c>
      <c r="D36" s="19">
        <v>35011</v>
      </c>
    </row>
    <row r="37" spans="1:4" x14ac:dyDescent="0.25">
      <c r="A37">
        <v>37</v>
      </c>
      <c r="B37" t="s">
        <v>105</v>
      </c>
      <c r="C37" t="s">
        <v>106</v>
      </c>
      <c r="D37" t="s">
        <v>107</v>
      </c>
    </row>
    <row r="38" spans="1:4" x14ac:dyDescent="0.25">
      <c r="A38">
        <v>38</v>
      </c>
      <c r="B38" t="s">
        <v>108</v>
      </c>
      <c r="C38" t="s">
        <v>109</v>
      </c>
      <c r="D38" s="19">
        <v>45114</v>
      </c>
    </row>
    <row r="39" spans="1:4" x14ac:dyDescent="0.25">
      <c r="A39">
        <v>39</v>
      </c>
      <c r="B39" t="s">
        <v>110</v>
      </c>
      <c r="C39" t="s">
        <v>111</v>
      </c>
      <c r="D39" t="s">
        <v>112</v>
      </c>
    </row>
    <row r="40" spans="1:4" x14ac:dyDescent="0.25">
      <c r="A40">
        <v>40</v>
      </c>
      <c r="B40" t="s">
        <v>113</v>
      </c>
      <c r="C40" t="s">
        <v>114</v>
      </c>
      <c r="D40" s="19">
        <v>43844</v>
      </c>
    </row>
    <row r="41" spans="1:4" x14ac:dyDescent="0.25">
      <c r="A41">
        <v>41</v>
      </c>
      <c r="B41" t="s">
        <v>115</v>
      </c>
      <c r="C41" t="s">
        <v>116</v>
      </c>
      <c r="D41" s="19">
        <v>39828</v>
      </c>
    </row>
    <row r="42" spans="1:4" x14ac:dyDescent="0.25">
      <c r="A42">
        <v>42</v>
      </c>
      <c r="B42" t="s">
        <v>117</v>
      </c>
      <c r="C42" t="s">
        <v>118</v>
      </c>
      <c r="D42" t="s">
        <v>119</v>
      </c>
    </row>
    <row r="43" spans="1:4" x14ac:dyDescent="0.25">
      <c r="A43">
        <v>43</v>
      </c>
      <c r="B43" t="s">
        <v>120</v>
      </c>
      <c r="C43" t="s">
        <v>121</v>
      </c>
      <c r="D43" t="s">
        <v>122</v>
      </c>
    </row>
    <row r="44" spans="1:4" x14ac:dyDescent="0.25">
      <c r="A44">
        <v>44</v>
      </c>
      <c r="B44" t="s">
        <v>123</v>
      </c>
      <c r="C44" t="s">
        <v>124</v>
      </c>
      <c r="D44" s="19">
        <v>35761</v>
      </c>
    </row>
    <row r="45" spans="1:4" x14ac:dyDescent="0.25">
      <c r="A45">
        <v>45</v>
      </c>
      <c r="B45" t="s">
        <v>125</v>
      </c>
      <c r="C45" t="s">
        <v>126</v>
      </c>
      <c r="D45" s="19">
        <v>41430</v>
      </c>
    </row>
    <row r="46" spans="1:4" x14ac:dyDescent="0.25">
      <c r="A46">
        <v>46</v>
      </c>
      <c r="B46" t="s">
        <v>127</v>
      </c>
      <c r="C46" t="s">
        <v>128</v>
      </c>
      <c r="D46" t="s">
        <v>129</v>
      </c>
    </row>
    <row r="47" spans="1:4" x14ac:dyDescent="0.25">
      <c r="A47">
        <v>47</v>
      </c>
      <c r="B47" t="s">
        <v>130</v>
      </c>
      <c r="C47" t="s">
        <v>131</v>
      </c>
      <c r="D47" t="s">
        <v>132</v>
      </c>
    </row>
    <row r="48" spans="1:4" x14ac:dyDescent="0.25">
      <c r="A48">
        <v>48</v>
      </c>
      <c r="B48" t="s">
        <v>133</v>
      </c>
      <c r="C48" t="s">
        <v>134</v>
      </c>
      <c r="D48" t="s">
        <v>135</v>
      </c>
    </row>
    <row r="49" spans="1:4" x14ac:dyDescent="0.25">
      <c r="A49">
        <v>49</v>
      </c>
      <c r="B49" t="s">
        <v>136</v>
      </c>
      <c r="C49" t="s">
        <v>137</v>
      </c>
      <c r="D49" s="19">
        <v>40493</v>
      </c>
    </row>
    <row r="50" spans="1:4" x14ac:dyDescent="0.25">
      <c r="A50">
        <v>50</v>
      </c>
      <c r="B50" t="s">
        <v>138</v>
      </c>
      <c r="C50" t="s">
        <v>139</v>
      </c>
      <c r="D50" s="19">
        <v>44375</v>
      </c>
    </row>
    <row r="51" spans="1:4" x14ac:dyDescent="0.25">
      <c r="A51">
        <v>51</v>
      </c>
      <c r="B51" t="s">
        <v>140</v>
      </c>
      <c r="C51" t="s">
        <v>141</v>
      </c>
      <c r="D51" s="19">
        <v>45383</v>
      </c>
    </row>
    <row r="52" spans="1:4" x14ac:dyDescent="0.25">
      <c r="A52">
        <v>52</v>
      </c>
      <c r="B52" t="s">
        <v>142</v>
      </c>
      <c r="C52" t="s">
        <v>143</v>
      </c>
      <c r="D52" s="19">
        <v>33245</v>
      </c>
    </row>
    <row r="53" spans="1:4" x14ac:dyDescent="0.25">
      <c r="A53">
        <v>53</v>
      </c>
      <c r="B53" t="s">
        <v>144</v>
      </c>
      <c r="C53" t="s">
        <v>145</v>
      </c>
      <c r="D53" s="19">
        <v>40855</v>
      </c>
    </row>
    <row r="54" spans="1:4" x14ac:dyDescent="0.25">
      <c r="A54">
        <v>54</v>
      </c>
      <c r="B54" t="s">
        <v>146</v>
      </c>
      <c r="C54" t="s">
        <v>147</v>
      </c>
      <c r="D54" s="19">
        <v>43656</v>
      </c>
    </row>
    <row r="55" spans="1:4" x14ac:dyDescent="0.25">
      <c r="A55">
        <v>55</v>
      </c>
      <c r="B55" t="s">
        <v>148</v>
      </c>
      <c r="C55" t="s">
        <v>149</v>
      </c>
      <c r="D55" s="19">
        <v>44750</v>
      </c>
    </row>
    <row r="56" spans="1:4" x14ac:dyDescent="0.25">
      <c r="A56">
        <v>56</v>
      </c>
      <c r="B56" t="s">
        <v>150</v>
      </c>
      <c r="C56" t="s">
        <v>151</v>
      </c>
      <c r="D56" s="19">
        <v>42907</v>
      </c>
    </row>
    <row r="57" spans="1:4" x14ac:dyDescent="0.25">
      <c r="A57">
        <v>57</v>
      </c>
      <c r="B57" t="s">
        <v>152</v>
      </c>
      <c r="C57" t="s">
        <v>153</v>
      </c>
      <c r="D57" s="19">
        <v>37089</v>
      </c>
    </row>
    <row r="58" spans="1:4" x14ac:dyDescent="0.25">
      <c r="A58">
        <v>58</v>
      </c>
      <c r="B58" t="s">
        <v>154</v>
      </c>
      <c r="C58" t="s">
        <v>155</v>
      </c>
      <c r="D58" s="19">
        <v>37565</v>
      </c>
    </row>
    <row r="59" spans="1:4" x14ac:dyDescent="0.25">
      <c r="A59">
        <v>59</v>
      </c>
      <c r="B59" t="s">
        <v>156</v>
      </c>
      <c r="C59" t="s">
        <v>157</v>
      </c>
      <c r="D59" s="19">
        <v>37741</v>
      </c>
    </row>
    <row r="60" spans="1:4" x14ac:dyDescent="0.25">
      <c r="A60">
        <v>60</v>
      </c>
      <c r="B60" t="s">
        <v>158</v>
      </c>
      <c r="C60" t="s">
        <v>159</v>
      </c>
      <c r="D60" s="19">
        <v>42381</v>
      </c>
    </row>
    <row r="61" spans="1:4" x14ac:dyDescent="0.25">
      <c r="A61">
        <v>61</v>
      </c>
      <c r="B61" t="s">
        <v>160</v>
      </c>
      <c r="C61" t="s">
        <v>161</v>
      </c>
      <c r="D61" s="19">
        <v>32841</v>
      </c>
    </row>
    <row r="62" spans="1:4" x14ac:dyDescent="0.25">
      <c r="A62">
        <v>62</v>
      </c>
      <c r="B62" t="s">
        <v>162</v>
      </c>
      <c r="C62" t="s">
        <v>163</v>
      </c>
      <c r="D62" t="s">
        <v>164</v>
      </c>
    </row>
    <row r="63" spans="1:4" x14ac:dyDescent="0.25">
      <c r="A63">
        <v>63</v>
      </c>
      <c r="B63" t="s">
        <v>165</v>
      </c>
      <c r="C63" t="s">
        <v>166</v>
      </c>
      <c r="D63" s="19">
        <v>32827</v>
      </c>
    </row>
    <row r="64" spans="1:4" x14ac:dyDescent="0.25">
      <c r="A64">
        <v>64</v>
      </c>
      <c r="B64" t="s">
        <v>167</v>
      </c>
      <c r="C64" t="s">
        <v>168</v>
      </c>
      <c r="D64" t="s">
        <v>169</v>
      </c>
    </row>
    <row r="65" spans="1:4" x14ac:dyDescent="0.25">
      <c r="A65">
        <v>65</v>
      </c>
      <c r="B65" t="s">
        <v>170</v>
      </c>
      <c r="C65" t="s">
        <v>171</v>
      </c>
      <c r="D65" s="19">
        <v>32967</v>
      </c>
    </row>
    <row r="66" spans="1:4" x14ac:dyDescent="0.25">
      <c r="A66">
        <v>66</v>
      </c>
      <c r="B66" t="s">
        <v>172</v>
      </c>
      <c r="C66" t="s">
        <v>173</v>
      </c>
      <c r="D66" t="s">
        <v>174</v>
      </c>
    </row>
    <row r="67" spans="1:4" x14ac:dyDescent="0.25">
      <c r="A67">
        <v>67</v>
      </c>
      <c r="B67" t="s">
        <v>175</v>
      </c>
      <c r="C67" t="s">
        <v>176</v>
      </c>
      <c r="D67" s="19">
        <v>44586</v>
      </c>
    </row>
    <row r="68" spans="1:4" x14ac:dyDescent="0.25">
      <c r="A68">
        <v>68</v>
      </c>
      <c r="B68" t="s">
        <v>177</v>
      </c>
      <c r="C68" t="s">
        <v>178</v>
      </c>
      <c r="D68" s="19">
        <v>45296</v>
      </c>
    </row>
    <row r="69" spans="1:4" x14ac:dyDescent="0.25">
      <c r="A69">
        <v>69</v>
      </c>
      <c r="B69" t="s">
        <v>179</v>
      </c>
      <c r="C69" t="s">
        <v>180</v>
      </c>
      <c r="D69" s="19">
        <v>41655</v>
      </c>
    </row>
    <row r="70" spans="1:4" x14ac:dyDescent="0.25">
      <c r="A70">
        <v>70</v>
      </c>
      <c r="B70" t="s">
        <v>181</v>
      </c>
      <c r="C70" t="s">
        <v>182</v>
      </c>
      <c r="D70" s="19">
        <v>43878</v>
      </c>
    </row>
    <row r="71" spans="1:4" x14ac:dyDescent="0.25">
      <c r="A71">
        <v>71</v>
      </c>
      <c r="B71" t="s">
        <v>183</v>
      </c>
      <c r="C71" t="s">
        <v>184</v>
      </c>
      <c r="D71" s="19">
        <v>45846</v>
      </c>
    </row>
    <row r="72" spans="1:4" x14ac:dyDescent="0.25">
      <c r="A72">
        <v>72</v>
      </c>
      <c r="B72" t="s">
        <v>185</v>
      </c>
      <c r="C72" t="s">
        <v>186</v>
      </c>
      <c r="D72" t="s">
        <v>187</v>
      </c>
    </row>
    <row r="73" spans="1:4" x14ac:dyDescent="0.25">
      <c r="A73">
        <v>73</v>
      </c>
      <c r="B73" t="s">
        <v>188</v>
      </c>
      <c r="C73" t="s">
        <v>189</v>
      </c>
      <c r="D73" s="19">
        <v>32951</v>
      </c>
    </row>
    <row r="74" spans="1:4" x14ac:dyDescent="0.25">
      <c r="A74">
        <v>74</v>
      </c>
      <c r="B74" t="s">
        <v>190</v>
      </c>
      <c r="C74" t="s">
        <v>191</v>
      </c>
      <c r="D74" s="19">
        <v>41225</v>
      </c>
    </row>
    <row r="75" spans="1:4" x14ac:dyDescent="0.25">
      <c r="A75">
        <v>75</v>
      </c>
      <c r="B75" t="s">
        <v>192</v>
      </c>
      <c r="C75" t="s">
        <v>193</v>
      </c>
      <c r="D75" t="s">
        <v>194</v>
      </c>
    </row>
    <row r="76" spans="1:4" x14ac:dyDescent="0.25">
      <c r="A76">
        <v>76</v>
      </c>
      <c r="B76" t="s">
        <v>195</v>
      </c>
      <c r="C76" t="s">
        <v>196</v>
      </c>
      <c r="D76" s="19">
        <v>42193</v>
      </c>
    </row>
    <row r="77" spans="1:4" x14ac:dyDescent="0.25">
      <c r="A77">
        <v>77</v>
      </c>
      <c r="B77" t="s">
        <v>197</v>
      </c>
      <c r="C77" t="s">
        <v>198</v>
      </c>
      <c r="D77" s="19">
        <v>45398</v>
      </c>
    </row>
    <row r="78" spans="1:4" x14ac:dyDescent="0.25">
      <c r="A78">
        <v>78</v>
      </c>
      <c r="B78" t="s">
        <v>199</v>
      </c>
      <c r="C78" t="s">
        <v>200</v>
      </c>
      <c r="D78" s="19">
        <v>35961</v>
      </c>
    </row>
    <row r="79" spans="1:4" x14ac:dyDescent="0.25">
      <c r="A79">
        <v>79</v>
      </c>
      <c r="B79" t="s">
        <v>201</v>
      </c>
      <c r="C79" t="s">
        <v>202</v>
      </c>
      <c r="D79" t="s">
        <v>203</v>
      </c>
    </row>
    <row r="80" spans="1:4" x14ac:dyDescent="0.25">
      <c r="A80">
        <v>80</v>
      </c>
      <c r="B80" t="s">
        <v>204</v>
      </c>
      <c r="C80" t="s">
        <v>205</v>
      </c>
      <c r="D80" s="19">
        <v>45034</v>
      </c>
    </row>
    <row r="81" spans="1:4" x14ac:dyDescent="0.25">
      <c r="A81">
        <v>81</v>
      </c>
      <c r="B81" t="s">
        <v>206</v>
      </c>
      <c r="C81" t="s">
        <v>207</v>
      </c>
      <c r="D81" s="19">
        <v>44762</v>
      </c>
    </row>
    <row r="82" spans="1:4" x14ac:dyDescent="0.25">
      <c r="A82">
        <v>82</v>
      </c>
      <c r="B82" t="s">
        <v>208</v>
      </c>
      <c r="C82" t="s">
        <v>209</v>
      </c>
      <c r="D82" s="19">
        <v>45260</v>
      </c>
    </row>
    <row r="83" spans="1:4" x14ac:dyDescent="0.25">
      <c r="A83">
        <v>83</v>
      </c>
      <c r="B83" t="s">
        <v>210</v>
      </c>
      <c r="C83" t="s">
        <v>211</v>
      </c>
      <c r="D83" s="19">
        <v>43873</v>
      </c>
    </row>
    <row r="84" spans="1:4" x14ac:dyDescent="0.25">
      <c r="A84">
        <v>84</v>
      </c>
      <c r="B84" t="s">
        <v>212</v>
      </c>
      <c r="C84" t="s">
        <v>213</v>
      </c>
      <c r="D84" s="19">
        <v>37452</v>
      </c>
    </row>
    <row r="85" spans="1:4" x14ac:dyDescent="0.25">
      <c r="A85">
        <v>85</v>
      </c>
      <c r="B85" t="s">
        <v>214</v>
      </c>
      <c r="C85" t="s">
        <v>215</v>
      </c>
      <c r="D85" s="19">
        <v>45176</v>
      </c>
    </row>
    <row r="86" spans="1:4" x14ac:dyDescent="0.25">
      <c r="A86">
        <v>86</v>
      </c>
      <c r="B86" t="s">
        <v>216</v>
      </c>
      <c r="C86" t="s">
        <v>217</v>
      </c>
      <c r="D86" t="s">
        <v>218</v>
      </c>
    </row>
    <row r="87" spans="1:4" x14ac:dyDescent="0.25">
      <c r="A87">
        <v>87</v>
      </c>
      <c r="B87" t="s">
        <v>219</v>
      </c>
      <c r="C87" t="s">
        <v>220</v>
      </c>
      <c r="D87" s="19">
        <v>45337</v>
      </c>
    </row>
    <row r="88" spans="1:4" x14ac:dyDescent="0.25">
      <c r="A88">
        <v>88</v>
      </c>
      <c r="B88" t="s">
        <v>221</v>
      </c>
      <c r="C88" t="s">
        <v>222</v>
      </c>
      <c r="D88" t="s">
        <v>223</v>
      </c>
    </row>
    <row r="89" spans="1:4" x14ac:dyDescent="0.25">
      <c r="A89">
        <v>89</v>
      </c>
      <c r="B89" t="s">
        <v>224</v>
      </c>
      <c r="C89" t="s">
        <v>225</v>
      </c>
      <c r="D89" s="19">
        <v>41711</v>
      </c>
    </row>
    <row r="90" spans="1:4" x14ac:dyDescent="0.25">
      <c r="A90">
        <v>90</v>
      </c>
      <c r="B90" t="s">
        <v>226</v>
      </c>
      <c r="C90" t="s">
        <v>227</v>
      </c>
      <c r="D90" s="19">
        <v>44228</v>
      </c>
    </row>
    <row r="91" spans="1:4" x14ac:dyDescent="0.25">
      <c r="A91">
        <v>91</v>
      </c>
      <c r="B91" t="s">
        <v>228</v>
      </c>
      <c r="C91" t="s">
        <v>229</v>
      </c>
      <c r="D91" s="19">
        <v>39461</v>
      </c>
    </row>
    <row r="92" spans="1:4" x14ac:dyDescent="0.25">
      <c r="A92">
        <v>92</v>
      </c>
      <c r="B92" t="s">
        <v>230</v>
      </c>
      <c r="C92" t="s">
        <v>231</v>
      </c>
      <c r="D92" s="19">
        <v>43724</v>
      </c>
    </row>
    <row r="93" spans="1:4" x14ac:dyDescent="0.25">
      <c r="A93">
        <v>93</v>
      </c>
      <c r="B93" t="s">
        <v>232</v>
      </c>
      <c r="C93" t="s">
        <v>233</v>
      </c>
      <c r="D93" s="19">
        <v>30034</v>
      </c>
    </row>
    <row r="94" spans="1:4" x14ac:dyDescent="0.25">
      <c r="A94">
        <v>94</v>
      </c>
      <c r="B94" t="s">
        <v>234</v>
      </c>
      <c r="C94" t="s">
        <v>235</v>
      </c>
      <c r="D94" s="19">
        <v>45453</v>
      </c>
    </row>
    <row r="95" spans="1:4" x14ac:dyDescent="0.25">
      <c r="A95">
        <v>95</v>
      </c>
      <c r="B95" t="s">
        <v>236</v>
      </c>
      <c r="C95" t="s">
        <v>237</v>
      </c>
      <c r="D95" s="19">
        <v>44589</v>
      </c>
    </row>
    <row r="96" spans="1:4" x14ac:dyDescent="0.25">
      <c r="A96">
        <v>96</v>
      </c>
      <c r="B96" t="s">
        <v>238</v>
      </c>
      <c r="C96" t="s">
        <v>239</v>
      </c>
      <c r="D96" t="s">
        <v>240</v>
      </c>
    </row>
    <row r="97" spans="1:4" x14ac:dyDescent="0.25">
      <c r="A97">
        <v>97</v>
      </c>
      <c r="B97" t="s">
        <v>241</v>
      </c>
      <c r="C97" t="s">
        <v>242</v>
      </c>
      <c r="D97" t="s">
        <v>243</v>
      </c>
    </row>
    <row r="98" spans="1:4" x14ac:dyDescent="0.25">
      <c r="A98">
        <v>98</v>
      </c>
      <c r="B98" t="s">
        <v>244</v>
      </c>
      <c r="C98" t="s">
        <v>245</v>
      </c>
      <c r="D98" t="s">
        <v>246</v>
      </c>
    </row>
    <row r="99" spans="1:4" x14ac:dyDescent="0.25">
      <c r="A99">
        <v>99</v>
      </c>
      <c r="B99" t="s">
        <v>247</v>
      </c>
      <c r="C99" t="s">
        <v>248</v>
      </c>
      <c r="D99" s="19">
        <v>38908</v>
      </c>
    </row>
    <row r="100" spans="1:4" x14ac:dyDescent="0.25">
      <c r="A100">
        <v>100</v>
      </c>
      <c r="B100" t="s">
        <v>249</v>
      </c>
      <c r="C100" t="s">
        <v>250</v>
      </c>
      <c r="D100" t="s">
        <v>251</v>
      </c>
    </row>
    <row r="101" spans="1:4" x14ac:dyDescent="0.25">
      <c r="A101">
        <v>101</v>
      </c>
      <c r="B101" t="s">
        <v>252</v>
      </c>
      <c r="C101" t="s">
        <v>253</v>
      </c>
      <c r="D101" s="19">
        <v>41463</v>
      </c>
    </row>
    <row r="102" spans="1:4" x14ac:dyDescent="0.25">
      <c r="A102">
        <v>102</v>
      </c>
      <c r="B102" t="s">
        <v>254</v>
      </c>
      <c r="C102" t="s">
        <v>255</v>
      </c>
      <c r="D102" s="19">
        <v>35394</v>
      </c>
    </row>
    <row r="103" spans="1:4" x14ac:dyDescent="0.25">
      <c r="A103">
        <v>103</v>
      </c>
      <c r="B103" t="s">
        <v>256</v>
      </c>
      <c r="C103" t="s">
        <v>257</v>
      </c>
      <c r="D103" s="19">
        <v>37935</v>
      </c>
    </row>
    <row r="104" spans="1:4" x14ac:dyDescent="0.25">
      <c r="A104">
        <v>104</v>
      </c>
      <c r="B104" t="s">
        <v>258</v>
      </c>
      <c r="C104" t="s">
        <v>259</v>
      </c>
      <c r="D104" s="19">
        <v>41283</v>
      </c>
    </row>
    <row r="105" spans="1:4" x14ac:dyDescent="0.25">
      <c r="A105">
        <v>105</v>
      </c>
      <c r="B105" t="s">
        <v>260</v>
      </c>
      <c r="C105" t="s">
        <v>261</v>
      </c>
      <c r="D105" s="19">
        <v>44081</v>
      </c>
    </row>
    <row r="106" spans="1:4" x14ac:dyDescent="0.25">
      <c r="A106">
        <v>106</v>
      </c>
      <c r="B106" t="s">
        <v>262</v>
      </c>
      <c r="C106" t="s">
        <v>263</v>
      </c>
      <c r="D106" s="19">
        <v>43936</v>
      </c>
    </row>
    <row r="107" spans="1:4" x14ac:dyDescent="0.25">
      <c r="A107">
        <v>107</v>
      </c>
      <c r="B107" t="s">
        <v>264</v>
      </c>
      <c r="C107" t="s">
        <v>265</v>
      </c>
      <c r="D107" t="s">
        <v>266</v>
      </c>
    </row>
    <row r="108" spans="1:4" x14ac:dyDescent="0.25">
      <c r="A108">
        <v>108</v>
      </c>
      <c r="B108" t="s">
        <v>267</v>
      </c>
      <c r="C108" t="s">
        <v>268</v>
      </c>
      <c r="D108" s="19">
        <v>42017</v>
      </c>
    </row>
    <row r="109" spans="1:4" x14ac:dyDescent="0.25">
      <c r="A109">
        <v>109</v>
      </c>
      <c r="B109" t="s">
        <v>269</v>
      </c>
      <c r="C109" t="s">
        <v>270</v>
      </c>
      <c r="D109" s="19">
        <v>37050</v>
      </c>
    </row>
    <row r="110" spans="1:4" x14ac:dyDescent="0.25">
      <c r="A110">
        <v>110</v>
      </c>
      <c r="B110" t="s">
        <v>271</v>
      </c>
      <c r="C110" t="s">
        <v>272</v>
      </c>
      <c r="D110" s="19">
        <v>35606</v>
      </c>
    </row>
    <row r="111" spans="1:4" x14ac:dyDescent="0.25">
      <c r="A111">
        <v>111</v>
      </c>
      <c r="B111" t="s">
        <v>273</v>
      </c>
      <c r="C111" t="s">
        <v>274</v>
      </c>
      <c r="D111" t="s">
        <v>275</v>
      </c>
    </row>
    <row r="112" spans="1:4" x14ac:dyDescent="0.25">
      <c r="A112">
        <v>112</v>
      </c>
      <c r="B112" t="s">
        <v>276</v>
      </c>
      <c r="C112" t="s">
        <v>277</v>
      </c>
      <c r="D112" s="19">
        <v>44988</v>
      </c>
    </row>
    <row r="113" spans="1:4" x14ac:dyDescent="0.25">
      <c r="A113">
        <v>113</v>
      </c>
      <c r="B113" t="s">
        <v>278</v>
      </c>
      <c r="C113" t="s">
        <v>279</v>
      </c>
      <c r="D113" t="s">
        <v>280</v>
      </c>
    </row>
    <row r="114" spans="1:4" x14ac:dyDescent="0.25">
      <c r="A114">
        <v>114</v>
      </c>
      <c r="B114" t="s">
        <v>281</v>
      </c>
      <c r="C114" t="s">
        <v>282</v>
      </c>
      <c r="D114" s="19">
        <v>44265</v>
      </c>
    </row>
    <row r="115" spans="1:4" x14ac:dyDescent="0.25">
      <c r="A115">
        <v>115</v>
      </c>
      <c r="B115" t="s">
        <v>283</v>
      </c>
      <c r="C115" t="s">
        <v>284</v>
      </c>
      <c r="D115" s="19">
        <v>43475</v>
      </c>
    </row>
    <row r="116" spans="1:4" x14ac:dyDescent="0.25">
      <c r="A116">
        <v>116</v>
      </c>
      <c r="B116" t="s">
        <v>285</v>
      </c>
      <c r="C116" t="s">
        <v>286</v>
      </c>
      <c r="D116" s="19">
        <v>44932</v>
      </c>
    </row>
    <row r="117" spans="1:4" x14ac:dyDescent="0.25">
      <c r="A117">
        <v>117</v>
      </c>
      <c r="B117" t="s">
        <v>287</v>
      </c>
      <c r="C117" t="s">
        <v>288</v>
      </c>
      <c r="D117" s="19">
        <v>37085</v>
      </c>
    </row>
    <row r="118" spans="1:4" x14ac:dyDescent="0.25">
      <c r="A118">
        <v>118</v>
      </c>
      <c r="B118" t="s">
        <v>289</v>
      </c>
      <c r="C118" t="s">
        <v>290</v>
      </c>
      <c r="D118" s="19">
        <v>44873</v>
      </c>
    </row>
    <row r="119" spans="1:4" x14ac:dyDescent="0.25">
      <c r="A119">
        <v>119</v>
      </c>
      <c r="B119" t="s">
        <v>291</v>
      </c>
      <c r="C119" t="s">
        <v>292</v>
      </c>
      <c r="D119" t="s">
        <v>293</v>
      </c>
    </row>
    <row r="120" spans="1:4" x14ac:dyDescent="0.25">
      <c r="A120">
        <v>120</v>
      </c>
      <c r="B120" t="s">
        <v>294</v>
      </c>
      <c r="C120" t="s">
        <v>295</v>
      </c>
      <c r="D120" s="19">
        <v>43899</v>
      </c>
    </row>
    <row r="121" spans="1:4" x14ac:dyDescent="0.25">
      <c r="A121">
        <v>121</v>
      </c>
      <c r="B121" t="s">
        <v>296</v>
      </c>
      <c r="C121" t="s">
        <v>297</v>
      </c>
      <c r="D121" s="19">
        <v>41009</v>
      </c>
    </row>
    <row r="122" spans="1:4" x14ac:dyDescent="0.25">
      <c r="A122">
        <v>122</v>
      </c>
      <c r="B122" t="s">
        <v>298</v>
      </c>
      <c r="C122" t="s">
        <v>299</v>
      </c>
      <c r="D122" t="s">
        <v>300</v>
      </c>
    </row>
    <row r="123" spans="1:4" x14ac:dyDescent="0.25">
      <c r="A123">
        <v>123</v>
      </c>
      <c r="B123" t="s">
        <v>301</v>
      </c>
      <c r="C123" t="s">
        <v>302</v>
      </c>
      <c r="D123" t="s">
        <v>303</v>
      </c>
    </row>
    <row r="124" spans="1:4" x14ac:dyDescent="0.25">
      <c r="A124">
        <v>124</v>
      </c>
      <c r="B124" t="s">
        <v>304</v>
      </c>
      <c r="C124" t="s">
        <v>305</v>
      </c>
      <c r="D124" s="19">
        <v>43936</v>
      </c>
    </row>
    <row r="125" spans="1:4" x14ac:dyDescent="0.25">
      <c r="A125">
        <v>125</v>
      </c>
      <c r="B125" t="s">
        <v>306</v>
      </c>
      <c r="C125" t="s">
        <v>307</v>
      </c>
      <c r="D125" s="19">
        <v>35758</v>
      </c>
    </row>
    <row r="126" spans="1:4" x14ac:dyDescent="0.25">
      <c r="A126">
        <v>126</v>
      </c>
      <c r="B126" t="s">
        <v>308</v>
      </c>
      <c r="C126" t="s">
        <v>309</v>
      </c>
      <c r="D126" s="19">
        <v>42199</v>
      </c>
    </row>
    <row r="127" spans="1:4" x14ac:dyDescent="0.25">
      <c r="A127">
        <v>127</v>
      </c>
      <c r="B127" t="s">
        <v>310</v>
      </c>
      <c r="C127" t="s">
        <v>311</v>
      </c>
      <c r="D127" s="19">
        <v>44641</v>
      </c>
    </row>
    <row r="128" spans="1:4" x14ac:dyDescent="0.25">
      <c r="A128">
        <v>128</v>
      </c>
      <c r="B128" t="s">
        <v>312</v>
      </c>
      <c r="C128" t="s">
        <v>313</v>
      </c>
      <c r="D128" t="s">
        <v>314</v>
      </c>
    </row>
    <row r="129" spans="1:4" x14ac:dyDescent="0.25">
      <c r="A129">
        <v>129</v>
      </c>
      <c r="B129" t="s">
        <v>315</v>
      </c>
      <c r="C129" t="s">
        <v>316</v>
      </c>
      <c r="D129" s="19">
        <v>41655</v>
      </c>
    </row>
    <row r="130" spans="1:4" x14ac:dyDescent="0.25">
      <c r="A130">
        <v>130</v>
      </c>
      <c r="B130" t="s">
        <v>317</v>
      </c>
      <c r="C130" t="s">
        <v>318</v>
      </c>
      <c r="D130" s="19">
        <v>44525</v>
      </c>
    </row>
    <row r="131" spans="1:4" x14ac:dyDescent="0.25">
      <c r="A131">
        <v>131</v>
      </c>
      <c r="B131" t="s">
        <v>319</v>
      </c>
      <c r="C131" t="s">
        <v>320</v>
      </c>
      <c r="D131" s="19">
        <v>40220</v>
      </c>
    </row>
    <row r="132" spans="1:4" x14ac:dyDescent="0.25">
      <c r="A132">
        <v>132</v>
      </c>
      <c r="B132" t="s">
        <v>321</v>
      </c>
      <c r="C132" t="s">
        <v>322</v>
      </c>
      <c r="D132" t="s">
        <v>323</v>
      </c>
    </row>
    <row r="133" spans="1:4" x14ac:dyDescent="0.25">
      <c r="A133">
        <v>133</v>
      </c>
      <c r="B133" t="s">
        <v>324</v>
      </c>
      <c r="C133" t="s">
        <v>325</v>
      </c>
      <c r="D133" s="19">
        <v>41948</v>
      </c>
    </row>
    <row r="134" spans="1:4" x14ac:dyDescent="0.25">
      <c r="A134">
        <v>134</v>
      </c>
      <c r="B134" t="s">
        <v>326</v>
      </c>
      <c r="C134" t="s">
        <v>327</v>
      </c>
      <c r="D134" t="s">
        <v>328</v>
      </c>
    </row>
    <row r="135" spans="1:4" x14ac:dyDescent="0.25">
      <c r="A135">
        <v>135</v>
      </c>
      <c r="B135" t="s">
        <v>329</v>
      </c>
      <c r="C135" t="s">
        <v>330</v>
      </c>
      <c r="D135" s="19">
        <v>40367</v>
      </c>
    </row>
    <row r="136" spans="1:4" x14ac:dyDescent="0.25">
      <c r="A136">
        <v>136</v>
      </c>
      <c r="B136" t="s">
        <v>331</v>
      </c>
      <c r="C136" t="s">
        <v>332</v>
      </c>
      <c r="D136" s="19">
        <v>41102</v>
      </c>
    </row>
    <row r="137" spans="1:4" x14ac:dyDescent="0.25">
      <c r="A137">
        <v>137</v>
      </c>
      <c r="B137" t="s">
        <v>333</v>
      </c>
      <c r="C137" t="s">
        <v>334</v>
      </c>
      <c r="D137" s="19">
        <v>39248</v>
      </c>
    </row>
    <row r="138" spans="1:4" x14ac:dyDescent="0.25">
      <c r="A138">
        <v>138</v>
      </c>
      <c r="B138" t="s">
        <v>335</v>
      </c>
      <c r="C138" t="s">
        <v>336</v>
      </c>
      <c r="D138" s="19">
        <v>35639</v>
      </c>
    </row>
    <row r="139" spans="1:4" x14ac:dyDescent="0.25">
      <c r="A139">
        <v>139</v>
      </c>
      <c r="B139" t="s">
        <v>337</v>
      </c>
      <c r="C139" t="s">
        <v>338</v>
      </c>
      <c r="D139" s="19">
        <v>37581</v>
      </c>
    </row>
    <row r="140" spans="1:4" x14ac:dyDescent="0.25">
      <c r="A140">
        <v>140</v>
      </c>
      <c r="B140" t="s">
        <v>339</v>
      </c>
      <c r="C140" t="s">
        <v>340</v>
      </c>
      <c r="D140" s="19">
        <v>45481</v>
      </c>
    </row>
    <row r="141" spans="1:4" x14ac:dyDescent="0.25">
      <c r="A141">
        <v>141</v>
      </c>
      <c r="B141" t="s">
        <v>341</v>
      </c>
      <c r="C141" t="s">
        <v>342</v>
      </c>
      <c r="D141" s="19">
        <v>45848</v>
      </c>
    </row>
    <row r="142" spans="1:4" x14ac:dyDescent="0.25">
      <c r="A142">
        <v>142</v>
      </c>
      <c r="B142" t="s">
        <v>343</v>
      </c>
      <c r="C142" t="s">
        <v>344</v>
      </c>
      <c r="D142" s="19">
        <v>32958</v>
      </c>
    </row>
    <row r="143" spans="1:4" x14ac:dyDescent="0.25">
      <c r="A143">
        <v>143</v>
      </c>
      <c r="B143" t="s">
        <v>345</v>
      </c>
      <c r="C143" t="s">
        <v>346</v>
      </c>
      <c r="D143" s="19">
        <v>41739</v>
      </c>
    </row>
    <row r="144" spans="1:4" x14ac:dyDescent="0.25">
      <c r="A144">
        <v>144</v>
      </c>
      <c r="B144" t="s">
        <v>347</v>
      </c>
      <c r="C144" t="s">
        <v>348</v>
      </c>
      <c r="D144" s="19">
        <v>43654</v>
      </c>
    </row>
    <row r="145" spans="1:4" x14ac:dyDescent="0.25">
      <c r="A145">
        <v>145</v>
      </c>
      <c r="B145" t="s">
        <v>349</v>
      </c>
      <c r="C145" t="s">
        <v>350</v>
      </c>
      <c r="D145" s="19">
        <v>41466</v>
      </c>
    </row>
    <row r="146" spans="1:4" x14ac:dyDescent="0.25">
      <c r="A146">
        <v>146</v>
      </c>
      <c r="B146" t="s">
        <v>351</v>
      </c>
      <c r="C146" t="s">
        <v>352</v>
      </c>
      <c r="D146" s="19">
        <v>44937</v>
      </c>
    </row>
    <row r="147" spans="1:4" x14ac:dyDescent="0.25">
      <c r="A147">
        <v>147</v>
      </c>
      <c r="B147" t="s">
        <v>353</v>
      </c>
      <c r="C147" t="s">
        <v>354</v>
      </c>
      <c r="D147" s="19">
        <v>44383</v>
      </c>
    </row>
    <row r="148" spans="1:4" x14ac:dyDescent="0.25">
      <c r="A148">
        <v>148</v>
      </c>
      <c r="B148" t="s">
        <v>355</v>
      </c>
      <c r="C148" t="s">
        <v>356</v>
      </c>
      <c r="D148" s="19">
        <v>37816</v>
      </c>
    </row>
    <row r="149" spans="1:4" x14ac:dyDescent="0.25">
      <c r="A149">
        <v>149</v>
      </c>
      <c r="B149" t="s">
        <v>357</v>
      </c>
      <c r="C149" t="s">
        <v>358</v>
      </c>
      <c r="D149" t="s">
        <v>359</v>
      </c>
    </row>
    <row r="150" spans="1:4" x14ac:dyDescent="0.25">
      <c r="A150">
        <v>150</v>
      </c>
      <c r="B150" t="s">
        <v>360</v>
      </c>
      <c r="C150" t="s">
        <v>361</v>
      </c>
      <c r="D150" s="19">
        <v>34897</v>
      </c>
    </row>
    <row r="151" spans="1:4" x14ac:dyDescent="0.25">
      <c r="A151">
        <v>151</v>
      </c>
      <c r="B151" t="s">
        <v>362</v>
      </c>
      <c r="C151" t="s">
        <v>363</v>
      </c>
      <c r="D151" s="19">
        <v>38869</v>
      </c>
    </row>
    <row r="152" spans="1:4" x14ac:dyDescent="0.25">
      <c r="A152">
        <v>152</v>
      </c>
      <c r="B152" t="s">
        <v>364</v>
      </c>
      <c r="C152" t="s">
        <v>365</v>
      </c>
      <c r="D152" t="s">
        <v>366</v>
      </c>
    </row>
    <row r="153" spans="1:4" x14ac:dyDescent="0.25">
      <c r="A153">
        <v>153</v>
      </c>
      <c r="B153" t="s">
        <v>367</v>
      </c>
      <c r="C153" t="s">
        <v>368</v>
      </c>
      <c r="D153" s="19">
        <v>32841</v>
      </c>
    </row>
    <row r="154" spans="1:4" x14ac:dyDescent="0.25">
      <c r="A154">
        <v>154</v>
      </c>
      <c r="B154" t="s">
        <v>369</v>
      </c>
      <c r="C154" t="s">
        <v>370</v>
      </c>
      <c r="D154" s="19">
        <v>32833</v>
      </c>
    </row>
    <row r="155" spans="1:4" x14ac:dyDescent="0.25">
      <c r="A155">
        <v>155</v>
      </c>
      <c r="B155" t="s">
        <v>371</v>
      </c>
      <c r="C155" t="s">
        <v>372</v>
      </c>
      <c r="D155" s="19">
        <v>32888</v>
      </c>
    </row>
    <row r="156" spans="1:4" x14ac:dyDescent="0.25">
      <c r="A156">
        <v>156</v>
      </c>
      <c r="B156" t="s">
        <v>373</v>
      </c>
      <c r="C156" t="s">
        <v>374</v>
      </c>
      <c r="D156" s="19">
        <v>45608</v>
      </c>
    </row>
    <row r="157" spans="1:4" x14ac:dyDescent="0.25">
      <c r="A157">
        <v>157</v>
      </c>
      <c r="B157" t="s">
        <v>375</v>
      </c>
      <c r="C157" t="s">
        <v>376</v>
      </c>
      <c r="D157" s="19">
        <v>44501</v>
      </c>
    </row>
    <row r="158" spans="1:4" x14ac:dyDescent="0.25">
      <c r="A158">
        <v>158</v>
      </c>
      <c r="B158" t="s">
        <v>377</v>
      </c>
      <c r="C158" t="s">
        <v>378</v>
      </c>
      <c r="D158" t="s">
        <v>379</v>
      </c>
    </row>
    <row r="159" spans="1:4" x14ac:dyDescent="0.25">
      <c r="A159">
        <v>159</v>
      </c>
      <c r="B159" t="s">
        <v>380</v>
      </c>
      <c r="C159" t="s">
        <v>381</v>
      </c>
      <c r="D159" s="19">
        <v>43633</v>
      </c>
    </row>
    <row r="160" spans="1:4" x14ac:dyDescent="0.25">
      <c r="A160">
        <v>160</v>
      </c>
      <c r="B160" t="s">
        <v>382</v>
      </c>
      <c r="C160" t="s">
        <v>383</v>
      </c>
      <c r="D160" s="19">
        <v>42192</v>
      </c>
    </row>
    <row r="161" spans="1:4" x14ac:dyDescent="0.25">
      <c r="A161">
        <v>161</v>
      </c>
      <c r="B161" t="s">
        <v>384</v>
      </c>
      <c r="C161" t="s">
        <v>385</v>
      </c>
      <c r="D161" s="19">
        <v>43146</v>
      </c>
    </row>
    <row r="162" spans="1:4" x14ac:dyDescent="0.25">
      <c r="A162">
        <v>162</v>
      </c>
      <c r="B162" t="s">
        <v>386</v>
      </c>
      <c r="C162" t="s">
        <v>387</v>
      </c>
      <c r="D162" s="19">
        <v>39965</v>
      </c>
    </row>
    <row r="163" spans="1:4" x14ac:dyDescent="0.25">
      <c r="A163">
        <v>163</v>
      </c>
      <c r="B163" t="s">
        <v>388</v>
      </c>
      <c r="C163" t="s">
        <v>389</v>
      </c>
      <c r="D163" s="19">
        <v>41828</v>
      </c>
    </row>
    <row r="164" spans="1:4" x14ac:dyDescent="0.25">
      <c r="A164">
        <v>164</v>
      </c>
      <c r="B164" t="s">
        <v>390</v>
      </c>
      <c r="C164" t="s">
        <v>391</v>
      </c>
      <c r="D164" s="19">
        <v>43290</v>
      </c>
    </row>
    <row r="165" spans="1:4" x14ac:dyDescent="0.25">
      <c r="A165">
        <v>165</v>
      </c>
      <c r="B165" t="s">
        <v>392</v>
      </c>
      <c r="C165" t="s">
        <v>393</v>
      </c>
      <c r="D165" s="19">
        <v>33121</v>
      </c>
    </row>
    <row r="166" spans="1:4" x14ac:dyDescent="0.25">
      <c r="A166">
        <v>166</v>
      </c>
      <c r="B166" t="s">
        <v>394</v>
      </c>
      <c r="C166" t="s">
        <v>395</v>
      </c>
      <c r="D166" t="s">
        <v>396</v>
      </c>
    </row>
    <row r="167" spans="1:4" x14ac:dyDescent="0.25">
      <c r="A167">
        <v>167</v>
      </c>
      <c r="B167" t="s">
        <v>397</v>
      </c>
      <c r="C167" t="s">
        <v>398</v>
      </c>
      <c r="D167" t="s">
        <v>399</v>
      </c>
    </row>
    <row r="168" spans="1:4" x14ac:dyDescent="0.25">
      <c r="A168">
        <v>168</v>
      </c>
      <c r="B168" t="s">
        <v>400</v>
      </c>
      <c r="C168" t="s">
        <v>401</v>
      </c>
      <c r="D168" t="s">
        <v>402</v>
      </c>
    </row>
    <row r="169" spans="1:4" x14ac:dyDescent="0.25">
      <c r="A169">
        <v>169</v>
      </c>
      <c r="B169" t="s">
        <v>403</v>
      </c>
      <c r="C169" t="s">
        <v>404</v>
      </c>
      <c r="D169" s="19">
        <v>32818</v>
      </c>
    </row>
    <row r="170" spans="1:4" x14ac:dyDescent="0.25">
      <c r="A170">
        <v>170</v>
      </c>
      <c r="B170" t="s">
        <v>405</v>
      </c>
      <c r="C170" t="s">
        <v>406</v>
      </c>
      <c r="D170" t="s">
        <v>407</v>
      </c>
    </row>
    <row r="171" spans="1:4" x14ac:dyDescent="0.25">
      <c r="A171">
        <v>171</v>
      </c>
      <c r="B171" t="s">
        <v>408</v>
      </c>
      <c r="C171" t="s">
        <v>409</v>
      </c>
      <c r="D171" s="19">
        <v>45666</v>
      </c>
    </row>
    <row r="172" spans="1:4" x14ac:dyDescent="0.25">
      <c r="A172">
        <v>172</v>
      </c>
      <c r="B172" t="s">
        <v>410</v>
      </c>
      <c r="C172" t="s">
        <v>411</v>
      </c>
      <c r="D172" s="19">
        <v>44873</v>
      </c>
    </row>
    <row r="173" spans="1:4" x14ac:dyDescent="0.25">
      <c r="A173">
        <v>173</v>
      </c>
      <c r="B173" t="s">
        <v>412</v>
      </c>
      <c r="C173" t="s">
        <v>413</v>
      </c>
      <c r="D173" s="19">
        <v>39605</v>
      </c>
    </row>
    <row r="174" spans="1:4" x14ac:dyDescent="0.25">
      <c r="A174">
        <v>174</v>
      </c>
      <c r="B174" t="s">
        <v>414</v>
      </c>
      <c r="C174" t="s">
        <v>415</v>
      </c>
      <c r="D174" t="s">
        <v>416</v>
      </c>
    </row>
    <row r="175" spans="1:4" x14ac:dyDescent="0.25">
      <c r="A175">
        <v>175</v>
      </c>
      <c r="B175" t="s">
        <v>417</v>
      </c>
      <c r="C175" t="s">
        <v>418</v>
      </c>
      <c r="D175" t="s">
        <v>419</v>
      </c>
    </row>
    <row r="176" spans="1:4" x14ac:dyDescent="0.25">
      <c r="A176">
        <v>176</v>
      </c>
      <c r="B176" t="s">
        <v>420</v>
      </c>
      <c r="C176" t="s">
        <v>421</v>
      </c>
      <c r="D176" s="19">
        <v>41221</v>
      </c>
    </row>
    <row r="177" spans="1:4" x14ac:dyDescent="0.25">
      <c r="A177">
        <v>177</v>
      </c>
      <c r="B177" t="s">
        <v>422</v>
      </c>
      <c r="C177" t="s">
        <v>423</v>
      </c>
      <c r="D177" t="s">
        <v>424</v>
      </c>
    </row>
    <row r="178" spans="1:4" x14ac:dyDescent="0.25">
      <c r="A178">
        <v>178</v>
      </c>
      <c r="B178" t="s">
        <v>425</v>
      </c>
      <c r="C178" t="s">
        <v>426</v>
      </c>
      <c r="D178" t="s">
        <v>427</v>
      </c>
    </row>
    <row r="179" spans="1:4" x14ac:dyDescent="0.25">
      <c r="A179">
        <v>179</v>
      </c>
      <c r="B179" t="s">
        <v>428</v>
      </c>
      <c r="C179" t="s">
        <v>429</v>
      </c>
      <c r="D179" s="19">
        <v>38751</v>
      </c>
    </row>
    <row r="180" spans="1:4" x14ac:dyDescent="0.25">
      <c r="A180">
        <v>180</v>
      </c>
      <c r="B180" t="s">
        <v>430</v>
      </c>
      <c r="C180" t="s">
        <v>431</v>
      </c>
      <c r="D180" s="19">
        <v>37090</v>
      </c>
    </row>
    <row r="181" spans="1:4" x14ac:dyDescent="0.25">
      <c r="A181">
        <v>181</v>
      </c>
      <c r="B181" t="s">
        <v>432</v>
      </c>
      <c r="C181" t="s">
        <v>433</v>
      </c>
      <c r="D181" s="19">
        <v>39519</v>
      </c>
    </row>
    <row r="182" spans="1:4" x14ac:dyDescent="0.25">
      <c r="A182">
        <v>182</v>
      </c>
      <c r="B182" t="s">
        <v>434</v>
      </c>
      <c r="C182" t="s">
        <v>435</v>
      </c>
      <c r="D182" t="s">
        <v>436</v>
      </c>
    </row>
    <row r="183" spans="1:4" x14ac:dyDescent="0.25">
      <c r="A183">
        <v>183</v>
      </c>
      <c r="B183" t="s">
        <v>437</v>
      </c>
      <c r="C183" t="s">
        <v>438</v>
      </c>
      <c r="D183" t="s">
        <v>439</v>
      </c>
    </row>
    <row r="184" spans="1:4" x14ac:dyDescent="0.25">
      <c r="A184">
        <v>184</v>
      </c>
      <c r="B184" t="s">
        <v>440</v>
      </c>
      <c r="C184" t="s">
        <v>441</v>
      </c>
      <c r="D184" t="s">
        <v>442</v>
      </c>
    </row>
    <row r="185" spans="1:4" x14ac:dyDescent="0.25">
      <c r="A185">
        <v>185</v>
      </c>
      <c r="B185" t="s">
        <v>443</v>
      </c>
      <c r="C185" t="s">
        <v>444</v>
      </c>
      <c r="D185" t="s">
        <v>445</v>
      </c>
    </row>
    <row r="186" spans="1:4" x14ac:dyDescent="0.25">
      <c r="A186">
        <v>186</v>
      </c>
      <c r="B186" t="s">
        <v>446</v>
      </c>
      <c r="C186" t="s">
        <v>447</v>
      </c>
      <c r="D186" s="19">
        <v>42184</v>
      </c>
    </row>
    <row r="187" spans="1:4" x14ac:dyDescent="0.25">
      <c r="A187">
        <v>187</v>
      </c>
      <c r="B187" t="s">
        <v>448</v>
      </c>
      <c r="C187" t="s">
        <v>449</v>
      </c>
      <c r="D187" t="s">
        <v>450</v>
      </c>
    </row>
    <row r="188" spans="1:4" x14ac:dyDescent="0.25">
      <c r="A188">
        <v>188</v>
      </c>
      <c r="B188" t="s">
        <v>451</v>
      </c>
      <c r="C188" t="s">
        <v>452</v>
      </c>
      <c r="D188" s="19">
        <v>33084</v>
      </c>
    </row>
    <row r="189" spans="1:4" x14ac:dyDescent="0.25">
      <c r="A189">
        <v>189</v>
      </c>
      <c r="B189" t="s">
        <v>453</v>
      </c>
      <c r="C189" t="s">
        <v>454</v>
      </c>
      <c r="D189" s="19">
        <v>40371</v>
      </c>
    </row>
    <row r="190" spans="1:4" x14ac:dyDescent="0.25">
      <c r="A190">
        <v>190</v>
      </c>
      <c r="B190" t="s">
        <v>455</v>
      </c>
      <c r="C190" t="s">
        <v>456</v>
      </c>
      <c r="D190" s="19">
        <v>36341</v>
      </c>
    </row>
    <row r="191" spans="1:4" x14ac:dyDescent="0.25">
      <c r="A191">
        <v>191</v>
      </c>
      <c r="B191" t="s">
        <v>457</v>
      </c>
      <c r="C191" t="s">
        <v>458</v>
      </c>
      <c r="D191" t="s">
        <v>459</v>
      </c>
    </row>
    <row r="192" spans="1:4" x14ac:dyDescent="0.25">
      <c r="A192">
        <v>192</v>
      </c>
      <c r="B192" t="s">
        <v>460</v>
      </c>
      <c r="C192" t="s">
        <v>461</v>
      </c>
      <c r="D192" t="s">
        <v>462</v>
      </c>
    </row>
    <row r="193" spans="1:4" x14ac:dyDescent="0.25">
      <c r="A193">
        <v>193</v>
      </c>
      <c r="B193" t="s">
        <v>463</v>
      </c>
      <c r="C193" t="s">
        <v>464</v>
      </c>
      <c r="D193" t="s">
        <v>465</v>
      </c>
    </row>
    <row r="194" spans="1:4" x14ac:dyDescent="0.25">
      <c r="A194">
        <v>194</v>
      </c>
      <c r="B194" t="s">
        <v>466</v>
      </c>
      <c r="C194" t="s">
        <v>467</v>
      </c>
      <c r="D194" t="s">
        <v>468</v>
      </c>
    </row>
    <row r="195" spans="1:4" x14ac:dyDescent="0.25">
      <c r="A195">
        <v>195</v>
      </c>
      <c r="B195" t="s">
        <v>469</v>
      </c>
      <c r="C195" t="s">
        <v>470</v>
      </c>
      <c r="D195" s="19">
        <v>41655</v>
      </c>
    </row>
    <row r="196" spans="1:4" x14ac:dyDescent="0.25">
      <c r="A196">
        <v>196</v>
      </c>
      <c r="B196" t="s">
        <v>471</v>
      </c>
      <c r="C196" t="s">
        <v>472</v>
      </c>
      <c r="D196" s="19">
        <v>43903</v>
      </c>
    </row>
    <row r="197" spans="1:4" x14ac:dyDescent="0.25">
      <c r="A197">
        <v>197</v>
      </c>
      <c r="B197" t="s">
        <v>473</v>
      </c>
      <c r="C197" t="s">
        <v>474</v>
      </c>
      <c r="D197" s="19">
        <v>42835</v>
      </c>
    </row>
    <row r="198" spans="1:4" x14ac:dyDescent="0.25">
      <c r="A198">
        <v>198</v>
      </c>
      <c r="B198" t="s">
        <v>475</v>
      </c>
      <c r="C198" t="s">
        <v>476</v>
      </c>
      <c r="D198" s="19">
        <v>42570</v>
      </c>
    </row>
    <row r="199" spans="1:4" x14ac:dyDescent="0.25">
      <c r="A199">
        <v>199</v>
      </c>
      <c r="B199" t="s">
        <v>477</v>
      </c>
      <c r="C199" t="s">
        <v>478</v>
      </c>
      <c r="D199" t="s">
        <v>479</v>
      </c>
    </row>
    <row r="200" spans="1:4" x14ac:dyDescent="0.25">
      <c r="A200">
        <v>200</v>
      </c>
      <c r="B200" t="s">
        <v>480</v>
      </c>
      <c r="C200" t="s">
        <v>481</v>
      </c>
      <c r="D200" t="s">
        <v>482</v>
      </c>
    </row>
    <row r="201" spans="1:4" x14ac:dyDescent="0.25">
      <c r="A201">
        <v>201</v>
      </c>
      <c r="B201" t="s">
        <v>483</v>
      </c>
      <c r="C201" t="s">
        <v>484</v>
      </c>
      <c r="D201" s="19">
        <v>45670</v>
      </c>
    </row>
    <row r="202" spans="1:4" x14ac:dyDescent="0.25">
      <c r="A202">
        <v>202</v>
      </c>
      <c r="B202" t="s">
        <v>485</v>
      </c>
      <c r="C202" t="s">
        <v>486</v>
      </c>
      <c r="D202" s="19">
        <v>43930</v>
      </c>
    </row>
    <row r="203" spans="1:4" x14ac:dyDescent="0.25">
      <c r="A203">
        <v>203</v>
      </c>
      <c r="B203" t="s">
        <v>487</v>
      </c>
      <c r="C203" t="s">
        <v>488</v>
      </c>
      <c r="D203" s="19">
        <v>44932</v>
      </c>
    </row>
    <row r="204" spans="1:4" x14ac:dyDescent="0.25">
      <c r="A204">
        <v>204</v>
      </c>
      <c r="B204" t="s">
        <v>489</v>
      </c>
      <c r="C204" t="s">
        <v>490</v>
      </c>
      <c r="D204" s="19">
        <v>44935</v>
      </c>
    </row>
    <row r="205" spans="1:4" x14ac:dyDescent="0.25">
      <c r="A205">
        <v>205</v>
      </c>
      <c r="B205" t="s">
        <v>491</v>
      </c>
      <c r="C205" t="s">
        <v>492</v>
      </c>
      <c r="D205" s="19">
        <v>44873</v>
      </c>
    </row>
    <row r="206" spans="1:4" x14ac:dyDescent="0.25">
      <c r="A206">
        <v>206</v>
      </c>
      <c r="B206" t="s">
        <v>493</v>
      </c>
      <c r="C206" t="s">
        <v>494</v>
      </c>
      <c r="D206" s="19">
        <v>43634</v>
      </c>
    </row>
    <row r="207" spans="1:4" x14ac:dyDescent="0.25">
      <c r="A207">
        <v>207</v>
      </c>
      <c r="B207" t="s">
        <v>495</v>
      </c>
      <c r="C207" t="s">
        <v>496</v>
      </c>
      <c r="D207" s="19">
        <v>45847</v>
      </c>
    </row>
    <row r="208" spans="1:4" x14ac:dyDescent="0.25">
      <c r="A208">
        <v>208</v>
      </c>
      <c r="B208" t="s">
        <v>497</v>
      </c>
      <c r="C208" t="s">
        <v>498</v>
      </c>
      <c r="D208" s="19">
        <v>35255</v>
      </c>
    </row>
    <row r="209" spans="1:4" x14ac:dyDescent="0.25">
      <c r="A209">
        <v>209</v>
      </c>
      <c r="B209" t="s">
        <v>499</v>
      </c>
      <c r="C209" t="s">
        <v>500</v>
      </c>
      <c r="D209" s="19">
        <v>37196</v>
      </c>
    </row>
    <row r="210" spans="1:4" x14ac:dyDescent="0.25">
      <c r="A210">
        <v>210</v>
      </c>
      <c r="B210" t="s">
        <v>501</v>
      </c>
      <c r="C210" t="s">
        <v>502</v>
      </c>
      <c r="D210" t="s">
        <v>503</v>
      </c>
    </row>
    <row r="211" spans="1:4" x14ac:dyDescent="0.25">
      <c r="A211">
        <v>211</v>
      </c>
      <c r="B211" t="s">
        <v>504</v>
      </c>
      <c r="C211" t="s">
        <v>505</v>
      </c>
      <c r="D211" s="19">
        <v>45299</v>
      </c>
    </row>
    <row r="212" spans="1:4" x14ac:dyDescent="0.25">
      <c r="A212">
        <v>212</v>
      </c>
      <c r="B212" t="s">
        <v>506</v>
      </c>
      <c r="C212" t="s">
        <v>507</v>
      </c>
      <c r="D212" s="19">
        <v>45848</v>
      </c>
    </row>
    <row r="213" spans="1:4" x14ac:dyDescent="0.25">
      <c r="A213">
        <v>213</v>
      </c>
      <c r="B213" t="s">
        <v>508</v>
      </c>
      <c r="C213" t="s">
        <v>509</v>
      </c>
      <c r="D213" s="19">
        <v>44750</v>
      </c>
    </row>
    <row r="214" spans="1:4" x14ac:dyDescent="0.25">
      <c r="A214">
        <v>214</v>
      </c>
      <c r="B214" t="s">
        <v>510</v>
      </c>
      <c r="C214" t="s">
        <v>511</v>
      </c>
      <c r="D214" s="19">
        <v>44965</v>
      </c>
    </row>
    <row r="215" spans="1:4" x14ac:dyDescent="0.25">
      <c r="A215">
        <v>215</v>
      </c>
      <c r="B215" t="s">
        <v>512</v>
      </c>
      <c r="C215" t="s">
        <v>513</v>
      </c>
      <c r="D215" s="19">
        <v>41817</v>
      </c>
    </row>
    <row r="216" spans="1:4" x14ac:dyDescent="0.25">
      <c r="A216">
        <v>216</v>
      </c>
      <c r="B216" t="s">
        <v>514</v>
      </c>
      <c r="C216" t="s">
        <v>515</v>
      </c>
      <c r="D216" s="19">
        <v>37335</v>
      </c>
    </row>
    <row r="217" spans="1:4" x14ac:dyDescent="0.25">
      <c r="A217">
        <v>217</v>
      </c>
      <c r="B217" t="s">
        <v>516</v>
      </c>
      <c r="C217" t="s">
        <v>517</v>
      </c>
      <c r="D217" s="19">
        <v>43371</v>
      </c>
    </row>
    <row r="218" spans="1:4" x14ac:dyDescent="0.25">
      <c r="A218">
        <v>218</v>
      </c>
      <c r="B218" t="s">
        <v>518</v>
      </c>
      <c r="C218" t="s">
        <v>519</v>
      </c>
      <c r="D218" s="19">
        <v>43483</v>
      </c>
    </row>
    <row r="219" spans="1:4" x14ac:dyDescent="0.25">
      <c r="A219">
        <v>219</v>
      </c>
      <c r="B219" t="s">
        <v>520</v>
      </c>
      <c r="C219" t="s">
        <v>521</v>
      </c>
      <c r="D219" t="s">
        <v>522</v>
      </c>
    </row>
    <row r="220" spans="1:4" x14ac:dyDescent="0.25">
      <c r="A220">
        <v>220</v>
      </c>
      <c r="B220" t="s">
        <v>523</v>
      </c>
      <c r="C220" t="s">
        <v>524</v>
      </c>
      <c r="D220" s="19">
        <v>37225</v>
      </c>
    </row>
    <row r="221" spans="1:4" x14ac:dyDescent="0.25">
      <c r="A221">
        <v>221</v>
      </c>
      <c r="B221" t="s">
        <v>525</v>
      </c>
      <c r="C221" t="s">
        <v>526</v>
      </c>
      <c r="D221" s="19">
        <v>34709</v>
      </c>
    </row>
    <row r="222" spans="1:4" x14ac:dyDescent="0.25">
      <c r="A222">
        <v>222</v>
      </c>
      <c r="B222" t="s">
        <v>527</v>
      </c>
      <c r="C222" t="s">
        <v>528</v>
      </c>
      <c r="D222" s="19">
        <v>44447</v>
      </c>
    </row>
    <row r="223" spans="1:4" x14ac:dyDescent="0.25">
      <c r="A223">
        <v>223</v>
      </c>
      <c r="B223" t="s">
        <v>529</v>
      </c>
      <c r="C223" t="s">
        <v>530</v>
      </c>
      <c r="D223" t="s">
        <v>531</v>
      </c>
    </row>
    <row r="224" spans="1:4" x14ac:dyDescent="0.25">
      <c r="A224">
        <v>224</v>
      </c>
      <c r="B224" t="s">
        <v>532</v>
      </c>
      <c r="C224" t="s">
        <v>533</v>
      </c>
      <c r="D224" t="s">
        <v>534</v>
      </c>
    </row>
    <row r="225" spans="1:4" x14ac:dyDescent="0.25">
      <c r="A225">
        <v>225</v>
      </c>
      <c r="B225" t="s">
        <v>535</v>
      </c>
      <c r="C225" t="s">
        <v>536</v>
      </c>
      <c r="D225" s="19">
        <v>37215</v>
      </c>
    </row>
    <row r="226" spans="1:4" x14ac:dyDescent="0.25">
      <c r="A226">
        <v>226</v>
      </c>
      <c r="B226" t="s">
        <v>537</v>
      </c>
      <c r="C226" t="s">
        <v>538</v>
      </c>
      <c r="D226" t="s">
        <v>539</v>
      </c>
    </row>
    <row r="227" spans="1:4" x14ac:dyDescent="0.25">
      <c r="A227">
        <v>227</v>
      </c>
      <c r="B227" t="s">
        <v>540</v>
      </c>
      <c r="C227" t="s">
        <v>541</v>
      </c>
      <c r="D227" t="s">
        <v>542</v>
      </c>
    </row>
    <row r="228" spans="1:4" x14ac:dyDescent="0.25">
      <c r="A228">
        <v>228</v>
      </c>
      <c r="B228" t="s">
        <v>543</v>
      </c>
      <c r="C228" t="s">
        <v>544</v>
      </c>
      <c r="D228" s="19">
        <v>44811</v>
      </c>
    </row>
    <row r="229" spans="1:4" x14ac:dyDescent="0.25">
      <c r="A229">
        <v>229</v>
      </c>
      <c r="B229" t="s">
        <v>545</v>
      </c>
      <c r="C229" t="s">
        <v>546</v>
      </c>
      <c r="D229" s="19">
        <v>43544</v>
      </c>
    </row>
    <row r="230" spans="1:4" x14ac:dyDescent="0.25">
      <c r="A230">
        <v>230</v>
      </c>
      <c r="B230" t="s">
        <v>547</v>
      </c>
      <c r="C230" t="s">
        <v>548</v>
      </c>
      <c r="D230" s="19">
        <v>45847</v>
      </c>
    </row>
    <row r="231" spans="1:4" x14ac:dyDescent="0.25">
      <c r="A231">
        <v>231</v>
      </c>
      <c r="B231" t="s">
        <v>549</v>
      </c>
      <c r="C231" t="s">
        <v>550</v>
      </c>
      <c r="D231" t="s">
        <v>551</v>
      </c>
    </row>
    <row r="232" spans="1:4" x14ac:dyDescent="0.25">
      <c r="A232">
        <v>232</v>
      </c>
      <c r="B232" t="s">
        <v>552</v>
      </c>
      <c r="C232" t="s">
        <v>553</v>
      </c>
      <c r="D232" s="19">
        <v>33315</v>
      </c>
    </row>
    <row r="233" spans="1:4" x14ac:dyDescent="0.25">
      <c r="A233">
        <v>233</v>
      </c>
      <c r="B233" t="s">
        <v>554</v>
      </c>
      <c r="C233" t="s">
        <v>555</v>
      </c>
      <c r="D233" s="19">
        <v>43566</v>
      </c>
    </row>
    <row r="234" spans="1:4" x14ac:dyDescent="0.25">
      <c r="A234">
        <v>234</v>
      </c>
      <c r="B234" t="s">
        <v>556</v>
      </c>
      <c r="C234" t="s">
        <v>557</v>
      </c>
      <c r="D234" s="19">
        <v>39049</v>
      </c>
    </row>
    <row r="235" spans="1:4" x14ac:dyDescent="0.25">
      <c r="A235">
        <v>235</v>
      </c>
      <c r="B235" t="s">
        <v>558</v>
      </c>
      <c r="C235" t="s">
        <v>559</v>
      </c>
      <c r="D235" t="s">
        <v>560</v>
      </c>
    </row>
    <row r="236" spans="1:4" x14ac:dyDescent="0.25">
      <c r="A236">
        <v>236</v>
      </c>
      <c r="B236" t="s">
        <v>561</v>
      </c>
      <c r="C236" t="s">
        <v>562</v>
      </c>
      <c r="D236" s="19">
        <v>45117</v>
      </c>
    </row>
    <row r="237" spans="1:4" x14ac:dyDescent="0.25">
      <c r="A237">
        <v>237</v>
      </c>
      <c r="B237" t="s">
        <v>563</v>
      </c>
      <c r="C237" t="s">
        <v>564</v>
      </c>
      <c r="D237" t="s">
        <v>565</v>
      </c>
    </row>
    <row r="238" spans="1:4" x14ac:dyDescent="0.25">
      <c r="A238">
        <v>238</v>
      </c>
      <c r="B238" t="s">
        <v>566</v>
      </c>
      <c r="C238" t="s">
        <v>567</v>
      </c>
      <c r="D238" t="s">
        <v>568</v>
      </c>
    </row>
    <row r="239" spans="1:4" x14ac:dyDescent="0.25">
      <c r="A239">
        <v>239</v>
      </c>
      <c r="B239" t="s">
        <v>569</v>
      </c>
      <c r="C239" t="s">
        <v>570</v>
      </c>
      <c r="D239" s="19">
        <v>43930</v>
      </c>
    </row>
    <row r="240" spans="1:4" x14ac:dyDescent="0.25">
      <c r="A240">
        <v>240</v>
      </c>
      <c r="B240" t="s">
        <v>571</v>
      </c>
      <c r="C240" t="s">
        <v>572</v>
      </c>
      <c r="D240" s="19">
        <v>43839</v>
      </c>
    </row>
    <row r="241" spans="1:4" x14ac:dyDescent="0.25">
      <c r="A241">
        <v>241</v>
      </c>
      <c r="B241" t="s">
        <v>573</v>
      </c>
      <c r="C241" t="s">
        <v>574</v>
      </c>
      <c r="D241" s="19">
        <v>32840</v>
      </c>
    </row>
    <row r="242" spans="1:4" x14ac:dyDescent="0.25">
      <c r="A242">
        <v>242</v>
      </c>
      <c r="B242" t="s">
        <v>575</v>
      </c>
      <c r="C242" t="s">
        <v>576</v>
      </c>
      <c r="D242" s="19">
        <v>34421</v>
      </c>
    </row>
    <row r="243" spans="1:4" x14ac:dyDescent="0.25">
      <c r="A243">
        <v>243</v>
      </c>
      <c r="B243" t="s">
        <v>577</v>
      </c>
      <c r="C243" t="s">
        <v>578</v>
      </c>
      <c r="D243" s="19">
        <v>35249</v>
      </c>
    </row>
    <row r="244" spans="1:4" x14ac:dyDescent="0.25">
      <c r="A244">
        <v>244</v>
      </c>
      <c r="B244" t="s">
        <v>579</v>
      </c>
      <c r="C244" t="s">
        <v>580</v>
      </c>
      <c r="D244" s="19">
        <v>44993</v>
      </c>
    </row>
    <row r="245" spans="1:4" x14ac:dyDescent="0.25">
      <c r="A245">
        <v>245</v>
      </c>
      <c r="B245" t="s">
        <v>581</v>
      </c>
      <c r="C245" t="s">
        <v>582</v>
      </c>
      <c r="D245" t="s">
        <v>583</v>
      </c>
    </row>
    <row r="246" spans="1:4" x14ac:dyDescent="0.25">
      <c r="A246">
        <v>246</v>
      </c>
      <c r="B246" t="s">
        <v>584</v>
      </c>
      <c r="C246" t="s">
        <v>585</v>
      </c>
      <c r="D246" s="19">
        <v>45607</v>
      </c>
    </row>
    <row r="247" spans="1:4" x14ac:dyDescent="0.25">
      <c r="A247">
        <v>247</v>
      </c>
      <c r="B247" t="s">
        <v>586</v>
      </c>
      <c r="C247" t="s">
        <v>587</v>
      </c>
      <c r="D247" s="19">
        <v>43875</v>
      </c>
    </row>
    <row r="248" spans="1:4" x14ac:dyDescent="0.25">
      <c r="A248">
        <v>248</v>
      </c>
      <c r="B248" t="s">
        <v>588</v>
      </c>
      <c r="C248" t="s">
        <v>589</v>
      </c>
      <c r="D248" t="s">
        <v>590</v>
      </c>
    </row>
    <row r="249" spans="1:4" x14ac:dyDescent="0.25">
      <c r="A249">
        <v>249</v>
      </c>
      <c r="B249" t="s">
        <v>591</v>
      </c>
      <c r="C249" t="s">
        <v>592</v>
      </c>
      <c r="D249" t="s">
        <v>593</v>
      </c>
    </row>
    <row r="250" spans="1:4" x14ac:dyDescent="0.25">
      <c r="A250">
        <v>250</v>
      </c>
      <c r="B250" t="s">
        <v>594</v>
      </c>
      <c r="C250" t="s">
        <v>595</v>
      </c>
      <c r="D250" s="19">
        <v>42549</v>
      </c>
    </row>
    <row r="251" spans="1:4" x14ac:dyDescent="0.25">
      <c r="A251">
        <v>251</v>
      </c>
      <c r="B251" t="s">
        <v>596</v>
      </c>
      <c r="C251" t="s">
        <v>597</v>
      </c>
      <c r="D251" s="19">
        <v>44202</v>
      </c>
    </row>
    <row r="252" spans="1:4" x14ac:dyDescent="0.25">
      <c r="A252">
        <v>252</v>
      </c>
      <c r="B252" t="s">
        <v>598</v>
      </c>
      <c r="C252" t="s">
        <v>599</v>
      </c>
      <c r="D252" s="19">
        <v>43415</v>
      </c>
    </row>
    <row r="253" spans="1:4" x14ac:dyDescent="0.25">
      <c r="A253">
        <v>253</v>
      </c>
      <c r="B253" t="s">
        <v>600</v>
      </c>
      <c r="C253" t="s">
        <v>601</v>
      </c>
      <c r="D253" s="19">
        <v>37078</v>
      </c>
    </row>
    <row r="254" spans="1:4" x14ac:dyDescent="0.25">
      <c r="A254">
        <v>254</v>
      </c>
      <c r="B254" t="s">
        <v>602</v>
      </c>
      <c r="C254" t="s">
        <v>603</v>
      </c>
      <c r="D254" s="19">
        <v>44525</v>
      </c>
    </row>
    <row r="255" spans="1:4" x14ac:dyDescent="0.25">
      <c r="A255">
        <v>255</v>
      </c>
      <c r="B255" t="s">
        <v>604</v>
      </c>
      <c r="C255" t="s">
        <v>605</v>
      </c>
      <c r="D255" s="19">
        <v>39351</v>
      </c>
    </row>
    <row r="256" spans="1:4" x14ac:dyDescent="0.25">
      <c r="A256">
        <v>256</v>
      </c>
      <c r="B256" t="s">
        <v>606</v>
      </c>
      <c r="C256" t="s">
        <v>607</v>
      </c>
      <c r="D256" s="19">
        <v>44760</v>
      </c>
    </row>
    <row r="257" spans="1:4" x14ac:dyDescent="0.25">
      <c r="A257">
        <v>257</v>
      </c>
      <c r="B257" t="s">
        <v>608</v>
      </c>
      <c r="C257" t="s">
        <v>609</v>
      </c>
      <c r="D257" s="19">
        <v>43217</v>
      </c>
    </row>
    <row r="258" spans="1:4" x14ac:dyDescent="0.25">
      <c r="A258">
        <v>258</v>
      </c>
      <c r="B258" t="s">
        <v>610</v>
      </c>
      <c r="C258" t="s">
        <v>611</v>
      </c>
      <c r="D258" t="s">
        <v>551</v>
      </c>
    </row>
    <row r="259" spans="1:4" x14ac:dyDescent="0.25">
      <c r="A259">
        <v>259</v>
      </c>
      <c r="B259" t="s">
        <v>612</v>
      </c>
      <c r="C259" t="s">
        <v>613</v>
      </c>
      <c r="D259" s="19">
        <v>44211</v>
      </c>
    </row>
    <row r="260" spans="1:4" x14ac:dyDescent="0.25">
      <c r="A260">
        <v>260</v>
      </c>
      <c r="B260" t="s">
        <v>614</v>
      </c>
      <c r="C260" t="s">
        <v>615</v>
      </c>
      <c r="D260" s="19">
        <v>45670</v>
      </c>
    </row>
    <row r="261" spans="1:4" x14ac:dyDescent="0.25">
      <c r="A261">
        <v>261</v>
      </c>
      <c r="B261" t="s">
        <v>616</v>
      </c>
      <c r="C261" t="s">
        <v>617</v>
      </c>
      <c r="D261" s="19">
        <v>43361</v>
      </c>
    </row>
    <row r="262" spans="1:4" x14ac:dyDescent="0.25">
      <c r="A262">
        <v>262</v>
      </c>
      <c r="B262" t="s">
        <v>618</v>
      </c>
      <c r="C262" t="s">
        <v>619</v>
      </c>
      <c r="D262" s="19">
        <v>33485</v>
      </c>
    </row>
    <row r="263" spans="1:4" x14ac:dyDescent="0.25">
      <c r="A263">
        <v>263</v>
      </c>
      <c r="B263" t="s">
        <v>620</v>
      </c>
      <c r="C263" t="s">
        <v>621</v>
      </c>
      <c r="D263" s="19">
        <v>43431</v>
      </c>
    </row>
    <row r="264" spans="1:4" x14ac:dyDescent="0.25">
      <c r="A264">
        <v>264</v>
      </c>
      <c r="B264" t="s">
        <v>622</v>
      </c>
      <c r="C264" t="s">
        <v>623</v>
      </c>
      <c r="D264" s="19">
        <v>35755</v>
      </c>
    </row>
    <row r="265" spans="1:4" x14ac:dyDescent="0.25">
      <c r="A265">
        <v>265</v>
      </c>
      <c r="B265" t="s">
        <v>624</v>
      </c>
      <c r="C265" t="s">
        <v>625</v>
      </c>
      <c r="D265" t="s">
        <v>626</v>
      </c>
    </row>
    <row r="266" spans="1:4" x14ac:dyDescent="0.25">
      <c r="A266">
        <v>266</v>
      </c>
      <c r="B266" t="s">
        <v>627</v>
      </c>
      <c r="C266" t="s">
        <v>628</v>
      </c>
      <c r="D266" s="19">
        <v>30739</v>
      </c>
    </row>
    <row r="267" spans="1:4" x14ac:dyDescent="0.25">
      <c r="A267">
        <v>267</v>
      </c>
      <c r="B267" t="s">
        <v>629</v>
      </c>
      <c r="C267" t="s">
        <v>630</v>
      </c>
      <c r="D267" t="s">
        <v>631</v>
      </c>
    </row>
    <row r="268" spans="1:4" x14ac:dyDescent="0.25">
      <c r="A268">
        <v>268</v>
      </c>
      <c r="B268" t="s">
        <v>632</v>
      </c>
      <c r="C268" t="s">
        <v>633</v>
      </c>
      <c r="D268" t="s">
        <v>634</v>
      </c>
    </row>
    <row r="269" spans="1:4" x14ac:dyDescent="0.25">
      <c r="A269">
        <v>269</v>
      </c>
      <c r="B269" t="s">
        <v>635</v>
      </c>
      <c r="C269" t="s">
        <v>636</v>
      </c>
      <c r="D269" s="19">
        <v>43852</v>
      </c>
    </row>
    <row r="270" spans="1:4" x14ac:dyDescent="0.25">
      <c r="A270">
        <v>270</v>
      </c>
      <c r="B270" t="s">
        <v>637</v>
      </c>
      <c r="C270" t="s">
        <v>638</v>
      </c>
      <c r="D270" s="19">
        <v>41831</v>
      </c>
    </row>
    <row r="271" spans="1:4" x14ac:dyDescent="0.25">
      <c r="A271">
        <v>271</v>
      </c>
      <c r="B271" t="s">
        <v>639</v>
      </c>
      <c r="C271" t="s">
        <v>640</v>
      </c>
      <c r="D271" t="s">
        <v>641</v>
      </c>
    </row>
    <row r="272" spans="1:4" x14ac:dyDescent="0.25">
      <c r="A272">
        <v>272</v>
      </c>
      <c r="B272" t="s">
        <v>642</v>
      </c>
      <c r="C272" t="s">
        <v>643</v>
      </c>
      <c r="D272" s="19">
        <v>37057</v>
      </c>
    </row>
    <row r="273" spans="1:4" x14ac:dyDescent="0.25">
      <c r="A273">
        <v>273</v>
      </c>
      <c r="B273" t="s">
        <v>644</v>
      </c>
      <c r="C273" t="s">
        <v>645</v>
      </c>
      <c r="D273" t="s">
        <v>646</v>
      </c>
    </row>
    <row r="274" spans="1:4" x14ac:dyDescent="0.25">
      <c r="A274">
        <v>274</v>
      </c>
      <c r="B274" t="s">
        <v>647</v>
      </c>
      <c r="C274" t="s">
        <v>648</v>
      </c>
      <c r="D274" t="s">
        <v>649</v>
      </c>
    </row>
    <row r="275" spans="1:4" x14ac:dyDescent="0.25">
      <c r="A275">
        <v>275</v>
      </c>
      <c r="B275" t="s">
        <v>650</v>
      </c>
      <c r="C275" t="s">
        <v>651</v>
      </c>
      <c r="D275" t="s">
        <v>652</v>
      </c>
    </row>
    <row r="276" spans="1:4" x14ac:dyDescent="0.25">
      <c r="A276">
        <v>276</v>
      </c>
      <c r="B276" t="s">
        <v>653</v>
      </c>
      <c r="C276" t="s">
        <v>654</v>
      </c>
      <c r="D276" t="s">
        <v>655</v>
      </c>
    </row>
    <row r="277" spans="1:4" x14ac:dyDescent="0.25">
      <c r="A277">
        <v>277</v>
      </c>
      <c r="B277" t="s">
        <v>656</v>
      </c>
      <c r="C277" t="s">
        <v>657</v>
      </c>
      <c r="D277" t="s">
        <v>658</v>
      </c>
    </row>
    <row r="278" spans="1:4" x14ac:dyDescent="0.25">
      <c r="A278">
        <v>278</v>
      </c>
      <c r="B278" t="s">
        <v>659</v>
      </c>
      <c r="C278" t="s">
        <v>660</v>
      </c>
      <c r="D278" s="19">
        <v>36609</v>
      </c>
    </row>
    <row r="279" spans="1:4" x14ac:dyDescent="0.25">
      <c r="A279">
        <v>279</v>
      </c>
      <c r="B279" t="s">
        <v>661</v>
      </c>
      <c r="C279" t="s">
        <v>662</v>
      </c>
      <c r="D279" s="19">
        <v>41439</v>
      </c>
    </row>
    <row r="280" spans="1:4" x14ac:dyDescent="0.25">
      <c r="A280">
        <v>280</v>
      </c>
      <c r="B280" t="s">
        <v>663</v>
      </c>
      <c r="C280" t="s">
        <v>664</v>
      </c>
      <c r="D280" t="s">
        <v>665</v>
      </c>
    </row>
    <row r="281" spans="1:4" x14ac:dyDescent="0.25">
      <c r="A281">
        <v>281</v>
      </c>
      <c r="B281" t="s">
        <v>666</v>
      </c>
      <c r="C281" t="s">
        <v>667</v>
      </c>
      <c r="D281" t="s">
        <v>668</v>
      </c>
    </row>
    <row r="282" spans="1:4" x14ac:dyDescent="0.25">
      <c r="A282">
        <v>282</v>
      </c>
      <c r="B282" t="s">
        <v>669</v>
      </c>
      <c r="C282" t="s">
        <v>670</v>
      </c>
      <c r="D282" s="19">
        <v>34640</v>
      </c>
    </row>
    <row r="283" spans="1:4" x14ac:dyDescent="0.25">
      <c r="A283">
        <v>283</v>
      </c>
      <c r="B283" t="s">
        <v>671</v>
      </c>
      <c r="C283" t="s">
        <v>672</v>
      </c>
      <c r="D283" s="19">
        <v>34649</v>
      </c>
    </row>
    <row r="284" spans="1:4" x14ac:dyDescent="0.25">
      <c r="A284">
        <v>284</v>
      </c>
      <c r="B284" t="s">
        <v>673</v>
      </c>
      <c r="C284" t="s">
        <v>674</v>
      </c>
      <c r="D284" t="s">
        <v>675</v>
      </c>
    </row>
    <row r="285" spans="1:4" x14ac:dyDescent="0.25">
      <c r="A285">
        <v>285</v>
      </c>
      <c r="B285" t="s">
        <v>676</v>
      </c>
      <c r="C285" t="s">
        <v>677</v>
      </c>
      <c r="D285" s="19">
        <v>41358</v>
      </c>
    </row>
    <row r="286" spans="1:4" x14ac:dyDescent="0.25">
      <c r="A286">
        <v>286</v>
      </c>
      <c r="B286" t="s">
        <v>678</v>
      </c>
      <c r="C286" t="s">
        <v>679</v>
      </c>
      <c r="D286" s="19">
        <v>43655</v>
      </c>
    </row>
    <row r="287" spans="1:4" x14ac:dyDescent="0.25">
      <c r="A287">
        <v>287</v>
      </c>
      <c r="B287" t="s">
        <v>680</v>
      </c>
      <c r="C287" t="s">
        <v>681</v>
      </c>
      <c r="D287" s="19">
        <v>41458</v>
      </c>
    </row>
    <row r="288" spans="1:4" x14ac:dyDescent="0.25">
      <c r="A288">
        <v>288</v>
      </c>
      <c r="B288" t="s">
        <v>682</v>
      </c>
      <c r="C288" t="s">
        <v>683</v>
      </c>
      <c r="D288" s="19">
        <v>44235</v>
      </c>
    </row>
    <row r="289" spans="1:4" x14ac:dyDescent="0.25">
      <c r="A289">
        <v>289</v>
      </c>
      <c r="B289" t="s">
        <v>684</v>
      </c>
      <c r="C289" t="s">
        <v>685</v>
      </c>
      <c r="D289" t="s">
        <v>686</v>
      </c>
    </row>
    <row r="290" spans="1:4" x14ac:dyDescent="0.25">
      <c r="A290">
        <v>290</v>
      </c>
      <c r="B290" t="s">
        <v>687</v>
      </c>
      <c r="C290" t="s">
        <v>688</v>
      </c>
      <c r="D290" s="19">
        <v>44932</v>
      </c>
    </row>
    <row r="291" spans="1:4" x14ac:dyDescent="0.25">
      <c r="A291">
        <v>291</v>
      </c>
      <c r="B291" t="s">
        <v>689</v>
      </c>
      <c r="C291" t="s">
        <v>690</v>
      </c>
      <c r="D291" t="s">
        <v>691</v>
      </c>
    </row>
    <row r="292" spans="1:4" x14ac:dyDescent="0.25">
      <c r="A292">
        <v>292</v>
      </c>
      <c r="B292" t="s">
        <v>692</v>
      </c>
      <c r="C292" t="s">
        <v>693</v>
      </c>
      <c r="D292" s="19">
        <v>39484</v>
      </c>
    </row>
    <row r="293" spans="1:4" x14ac:dyDescent="0.25">
      <c r="A293">
        <v>293</v>
      </c>
      <c r="B293" t="s">
        <v>694</v>
      </c>
      <c r="C293" t="s">
        <v>695</v>
      </c>
      <c r="D293" t="s">
        <v>696</v>
      </c>
    </row>
    <row r="294" spans="1:4" x14ac:dyDescent="0.25">
      <c r="A294">
        <v>294</v>
      </c>
      <c r="B294" t="s">
        <v>697</v>
      </c>
      <c r="C294" t="s">
        <v>698</v>
      </c>
      <c r="D294" s="19">
        <v>40555</v>
      </c>
    </row>
    <row r="295" spans="1:4" x14ac:dyDescent="0.25">
      <c r="A295">
        <v>295</v>
      </c>
      <c r="B295" t="s">
        <v>699</v>
      </c>
      <c r="C295" t="s">
        <v>700</v>
      </c>
      <c r="D295" s="19">
        <v>40190</v>
      </c>
    </row>
    <row r="296" spans="1:4" x14ac:dyDescent="0.25">
      <c r="A296">
        <v>296</v>
      </c>
      <c r="B296" t="s">
        <v>701</v>
      </c>
      <c r="C296" t="s">
        <v>702</v>
      </c>
      <c r="D296" s="19">
        <v>44600</v>
      </c>
    </row>
    <row r="297" spans="1:4" x14ac:dyDescent="0.25">
      <c r="A297">
        <v>297</v>
      </c>
      <c r="B297" t="s">
        <v>703</v>
      </c>
      <c r="C297" t="s">
        <v>704</v>
      </c>
      <c r="D297" s="19">
        <v>38145</v>
      </c>
    </row>
    <row r="298" spans="1:4" x14ac:dyDescent="0.25">
      <c r="A298">
        <v>298</v>
      </c>
      <c r="B298" t="s">
        <v>705</v>
      </c>
      <c r="C298" t="s">
        <v>706</v>
      </c>
      <c r="D298" s="19">
        <v>43654</v>
      </c>
    </row>
    <row r="299" spans="1:4" x14ac:dyDescent="0.25">
      <c r="A299">
        <v>299</v>
      </c>
      <c r="B299" t="s">
        <v>707</v>
      </c>
      <c r="C299" t="s">
        <v>708</v>
      </c>
      <c r="D299" s="19">
        <v>44088</v>
      </c>
    </row>
    <row r="300" spans="1:4" x14ac:dyDescent="0.25">
      <c r="A300">
        <v>300</v>
      </c>
      <c r="B300" t="s">
        <v>709</v>
      </c>
      <c r="C300" t="s">
        <v>710</v>
      </c>
      <c r="D300" s="19">
        <v>44013</v>
      </c>
    </row>
    <row r="301" spans="1:4" x14ac:dyDescent="0.25">
      <c r="A301">
        <v>301</v>
      </c>
      <c r="B301" t="s">
        <v>711</v>
      </c>
      <c r="C301" t="s">
        <v>712</v>
      </c>
      <c r="D301" t="s">
        <v>713</v>
      </c>
    </row>
    <row r="302" spans="1:4" x14ac:dyDescent="0.25">
      <c r="A302">
        <v>302</v>
      </c>
      <c r="B302" t="s">
        <v>714</v>
      </c>
      <c r="C302" t="s">
        <v>715</v>
      </c>
      <c r="D302" t="s">
        <v>716</v>
      </c>
    </row>
    <row r="303" spans="1:4" x14ac:dyDescent="0.25">
      <c r="A303">
        <v>303</v>
      </c>
      <c r="B303" t="s">
        <v>717</v>
      </c>
      <c r="C303" t="s">
        <v>718</v>
      </c>
      <c r="D303" t="s">
        <v>583</v>
      </c>
    </row>
    <row r="304" spans="1:4" x14ac:dyDescent="0.25">
      <c r="A304">
        <v>304</v>
      </c>
      <c r="B304" t="s">
        <v>719</v>
      </c>
      <c r="C304" t="s">
        <v>720</v>
      </c>
      <c r="D304" t="s">
        <v>721</v>
      </c>
    </row>
    <row r="305" spans="1:4" x14ac:dyDescent="0.25">
      <c r="A305">
        <v>305</v>
      </c>
      <c r="B305" t="s">
        <v>722</v>
      </c>
      <c r="C305" t="s">
        <v>723</v>
      </c>
      <c r="D305" s="19">
        <v>43783</v>
      </c>
    </row>
    <row r="306" spans="1:4" x14ac:dyDescent="0.25">
      <c r="A306">
        <v>306</v>
      </c>
      <c r="B306" t="s">
        <v>724</v>
      </c>
      <c r="C306" t="s">
        <v>725</v>
      </c>
      <c r="D306" s="19">
        <v>40940</v>
      </c>
    </row>
    <row r="307" spans="1:4" x14ac:dyDescent="0.25">
      <c r="A307">
        <v>307</v>
      </c>
      <c r="B307" t="s">
        <v>726</v>
      </c>
      <c r="C307" t="s">
        <v>727</v>
      </c>
      <c r="D307" s="19">
        <v>43899</v>
      </c>
    </row>
    <row r="308" spans="1:4" x14ac:dyDescent="0.25">
      <c r="A308">
        <v>308</v>
      </c>
      <c r="B308" t="s">
        <v>728</v>
      </c>
      <c r="C308" t="s">
        <v>729</v>
      </c>
      <c r="D308" t="s">
        <v>730</v>
      </c>
    </row>
    <row r="309" spans="1:4" x14ac:dyDescent="0.25">
      <c r="A309">
        <v>309</v>
      </c>
      <c r="B309" t="s">
        <v>731</v>
      </c>
      <c r="C309" t="s">
        <v>732</v>
      </c>
      <c r="D309" t="s">
        <v>733</v>
      </c>
    </row>
    <row r="310" spans="1:4" x14ac:dyDescent="0.25">
      <c r="A310">
        <v>310</v>
      </c>
      <c r="B310" t="s">
        <v>734</v>
      </c>
      <c r="C310" t="s">
        <v>735</v>
      </c>
      <c r="D310" t="s">
        <v>691</v>
      </c>
    </row>
    <row r="311" spans="1:4" x14ac:dyDescent="0.25">
      <c r="A311">
        <v>311</v>
      </c>
      <c r="B311" t="s">
        <v>736</v>
      </c>
      <c r="C311" t="s">
        <v>737</v>
      </c>
      <c r="D311" s="19">
        <v>38624</v>
      </c>
    </row>
    <row r="312" spans="1:4" x14ac:dyDescent="0.25">
      <c r="A312">
        <v>312</v>
      </c>
      <c r="B312" t="s">
        <v>738</v>
      </c>
      <c r="C312" t="s">
        <v>739</v>
      </c>
      <c r="D312" s="19">
        <v>44200</v>
      </c>
    </row>
    <row r="313" spans="1:4" x14ac:dyDescent="0.25">
      <c r="A313">
        <v>313</v>
      </c>
      <c r="B313" t="s">
        <v>740</v>
      </c>
      <c r="C313" t="s">
        <v>741</v>
      </c>
      <c r="D313" t="s">
        <v>742</v>
      </c>
    </row>
    <row r="314" spans="1:4" x14ac:dyDescent="0.25">
      <c r="A314">
        <v>314</v>
      </c>
      <c r="B314" t="s">
        <v>743</v>
      </c>
      <c r="C314" t="s">
        <v>744</v>
      </c>
      <c r="D314" t="s">
        <v>745</v>
      </c>
    </row>
    <row r="315" spans="1:4" x14ac:dyDescent="0.25">
      <c r="A315">
        <v>315</v>
      </c>
      <c r="B315" t="s">
        <v>746</v>
      </c>
      <c r="C315" t="s">
        <v>747</v>
      </c>
      <c r="D315" t="s">
        <v>748</v>
      </c>
    </row>
    <row r="316" spans="1:4" x14ac:dyDescent="0.25">
      <c r="A316">
        <v>316</v>
      </c>
      <c r="B316" t="s">
        <v>749</v>
      </c>
      <c r="C316" t="s">
        <v>750</v>
      </c>
      <c r="D316" s="19">
        <v>44295</v>
      </c>
    </row>
    <row r="317" spans="1:4" x14ac:dyDescent="0.25">
      <c r="A317">
        <v>317</v>
      </c>
      <c r="B317" t="s">
        <v>751</v>
      </c>
      <c r="C317" t="s">
        <v>752</v>
      </c>
      <c r="D317" s="19">
        <v>42895</v>
      </c>
    </row>
    <row r="318" spans="1:4" x14ac:dyDescent="0.25">
      <c r="A318">
        <v>318</v>
      </c>
      <c r="B318" t="s">
        <v>753</v>
      </c>
      <c r="C318" t="s">
        <v>754</v>
      </c>
      <c r="D318" s="19">
        <v>37274</v>
      </c>
    </row>
    <row r="319" spans="1:4" x14ac:dyDescent="0.25">
      <c r="A319">
        <v>319</v>
      </c>
      <c r="B319" t="s">
        <v>755</v>
      </c>
      <c r="C319" t="s">
        <v>756</v>
      </c>
      <c r="D319" s="19">
        <v>43627</v>
      </c>
    </row>
    <row r="320" spans="1:4" x14ac:dyDescent="0.25">
      <c r="A320">
        <v>320</v>
      </c>
      <c r="B320" t="s">
        <v>757</v>
      </c>
      <c r="C320" t="s">
        <v>758</v>
      </c>
      <c r="D320" s="19">
        <v>44385</v>
      </c>
    </row>
    <row r="321" spans="1:4" x14ac:dyDescent="0.25">
      <c r="A321">
        <v>321</v>
      </c>
      <c r="B321" t="s">
        <v>759</v>
      </c>
      <c r="C321" t="s">
        <v>760</v>
      </c>
      <c r="D321" s="19">
        <v>36707</v>
      </c>
    </row>
    <row r="322" spans="1:4" x14ac:dyDescent="0.25">
      <c r="A322">
        <v>322</v>
      </c>
      <c r="B322" t="s">
        <v>761</v>
      </c>
      <c r="C322" t="s">
        <v>762</v>
      </c>
      <c r="D322" t="s">
        <v>763</v>
      </c>
    </row>
    <row r="323" spans="1:4" x14ac:dyDescent="0.25">
      <c r="A323">
        <v>323</v>
      </c>
      <c r="B323" t="s">
        <v>764</v>
      </c>
      <c r="C323" t="s">
        <v>765</v>
      </c>
      <c r="D323" s="19">
        <v>43473</v>
      </c>
    </row>
    <row r="324" spans="1:4" x14ac:dyDescent="0.25">
      <c r="A324">
        <v>324</v>
      </c>
      <c r="B324" t="s">
        <v>766</v>
      </c>
      <c r="C324" t="s">
        <v>767</v>
      </c>
      <c r="D324" s="19">
        <v>45761</v>
      </c>
    </row>
    <row r="325" spans="1:4" x14ac:dyDescent="0.25">
      <c r="A325">
        <v>325</v>
      </c>
      <c r="B325" t="s">
        <v>768</v>
      </c>
      <c r="C325" t="s">
        <v>769</v>
      </c>
      <c r="D325" s="19">
        <v>37273</v>
      </c>
    </row>
    <row r="326" spans="1:4" x14ac:dyDescent="0.25">
      <c r="A326">
        <v>326</v>
      </c>
      <c r="B326" t="s">
        <v>770</v>
      </c>
      <c r="C326" t="s">
        <v>771</v>
      </c>
      <c r="D326" s="19">
        <v>42853</v>
      </c>
    </row>
    <row r="327" spans="1:4" x14ac:dyDescent="0.25">
      <c r="A327">
        <v>327</v>
      </c>
      <c r="B327" t="s">
        <v>772</v>
      </c>
      <c r="C327" t="s">
        <v>773</v>
      </c>
      <c r="D327" s="19">
        <v>37336</v>
      </c>
    </row>
    <row r="328" spans="1:4" x14ac:dyDescent="0.25">
      <c r="A328">
        <v>328</v>
      </c>
      <c r="B328" t="s">
        <v>774</v>
      </c>
      <c r="C328" t="s">
        <v>775</v>
      </c>
      <c r="D328" s="19">
        <v>43655</v>
      </c>
    </row>
    <row r="329" spans="1:4" x14ac:dyDescent="0.25">
      <c r="A329">
        <v>329</v>
      </c>
      <c r="B329" t="s">
        <v>776</v>
      </c>
      <c r="C329" t="s">
        <v>777</v>
      </c>
      <c r="D329" s="19">
        <v>44984</v>
      </c>
    </row>
    <row r="330" spans="1:4" x14ac:dyDescent="0.25">
      <c r="A330">
        <v>330</v>
      </c>
      <c r="B330" t="s">
        <v>778</v>
      </c>
      <c r="C330" t="s">
        <v>779</v>
      </c>
      <c r="D330" s="19">
        <v>44958</v>
      </c>
    </row>
    <row r="331" spans="1:4" x14ac:dyDescent="0.25">
      <c r="A331">
        <v>331</v>
      </c>
      <c r="B331" t="s">
        <v>780</v>
      </c>
      <c r="C331" t="s">
        <v>781</v>
      </c>
      <c r="D331" s="19">
        <v>41101</v>
      </c>
    </row>
    <row r="332" spans="1:4" x14ac:dyDescent="0.25">
      <c r="A332">
        <v>332</v>
      </c>
      <c r="B332" t="s">
        <v>782</v>
      </c>
      <c r="C332" t="s">
        <v>783</v>
      </c>
      <c r="D332" t="s">
        <v>784</v>
      </c>
    </row>
    <row r="333" spans="1:4" x14ac:dyDescent="0.25">
      <c r="A333">
        <v>333</v>
      </c>
      <c r="B333" t="s">
        <v>785</v>
      </c>
      <c r="C333" t="s">
        <v>786</v>
      </c>
      <c r="D333" t="s">
        <v>787</v>
      </c>
    </row>
    <row r="334" spans="1:4" x14ac:dyDescent="0.25">
      <c r="A334">
        <v>334</v>
      </c>
      <c r="B334" t="s">
        <v>788</v>
      </c>
      <c r="C334" t="s">
        <v>789</v>
      </c>
      <c r="D334" t="s">
        <v>790</v>
      </c>
    </row>
    <row r="335" spans="1:4" x14ac:dyDescent="0.25">
      <c r="A335">
        <v>335</v>
      </c>
      <c r="B335" t="s">
        <v>791</v>
      </c>
      <c r="C335" t="s">
        <v>792</v>
      </c>
      <c r="D335" s="19">
        <v>40864</v>
      </c>
    </row>
    <row r="336" spans="1:4" x14ac:dyDescent="0.25">
      <c r="A336">
        <v>336</v>
      </c>
      <c r="B336" t="s">
        <v>793</v>
      </c>
      <c r="C336" t="s">
        <v>794</v>
      </c>
      <c r="D336" t="s">
        <v>503</v>
      </c>
    </row>
    <row r="337" spans="1:4" x14ac:dyDescent="0.25">
      <c r="A337">
        <v>337</v>
      </c>
      <c r="B337" t="s">
        <v>795</v>
      </c>
      <c r="C337" t="s">
        <v>796</v>
      </c>
      <c r="D337" s="19">
        <v>43727</v>
      </c>
    </row>
    <row r="338" spans="1:4" x14ac:dyDescent="0.25">
      <c r="A338">
        <v>338</v>
      </c>
      <c r="B338" t="s">
        <v>797</v>
      </c>
      <c r="C338" t="s">
        <v>798</v>
      </c>
      <c r="D338" s="19">
        <v>43199</v>
      </c>
    </row>
    <row r="339" spans="1:4" x14ac:dyDescent="0.25">
      <c r="A339">
        <v>339</v>
      </c>
      <c r="B339" t="s">
        <v>799</v>
      </c>
      <c r="C339" t="s">
        <v>800</v>
      </c>
      <c r="D339" s="19">
        <v>40585</v>
      </c>
    </row>
    <row r="340" spans="1:4" x14ac:dyDescent="0.25">
      <c r="A340">
        <v>340</v>
      </c>
      <c r="B340" t="s">
        <v>801</v>
      </c>
      <c r="C340" t="s">
        <v>802</v>
      </c>
      <c r="D340" t="s">
        <v>590</v>
      </c>
    </row>
    <row r="341" spans="1:4" x14ac:dyDescent="0.25">
      <c r="A341">
        <v>341</v>
      </c>
      <c r="B341" t="s">
        <v>803</v>
      </c>
      <c r="C341" t="s">
        <v>804</v>
      </c>
      <c r="D341" s="19">
        <v>41100</v>
      </c>
    </row>
    <row r="342" spans="1:4" x14ac:dyDescent="0.25">
      <c r="A342">
        <v>342</v>
      </c>
      <c r="B342" t="s">
        <v>805</v>
      </c>
      <c r="C342" t="s">
        <v>806</v>
      </c>
      <c r="D342" t="s">
        <v>807</v>
      </c>
    </row>
    <row r="343" spans="1:4" x14ac:dyDescent="0.25">
      <c r="A343">
        <v>343</v>
      </c>
      <c r="B343" t="s">
        <v>808</v>
      </c>
      <c r="C343" t="s">
        <v>809</v>
      </c>
      <c r="D343" t="s">
        <v>810</v>
      </c>
    </row>
    <row r="344" spans="1:4" x14ac:dyDescent="0.25">
      <c r="A344">
        <v>344</v>
      </c>
      <c r="B344" t="s">
        <v>811</v>
      </c>
      <c r="C344" t="s">
        <v>812</v>
      </c>
      <c r="D344" t="s">
        <v>641</v>
      </c>
    </row>
    <row r="345" spans="1:4" x14ac:dyDescent="0.25">
      <c r="A345">
        <v>345</v>
      </c>
      <c r="B345" t="s">
        <v>813</v>
      </c>
      <c r="C345" t="s">
        <v>814</v>
      </c>
      <c r="D345" s="19">
        <v>40366</v>
      </c>
    </row>
    <row r="346" spans="1:4" x14ac:dyDescent="0.25">
      <c r="A346">
        <v>346</v>
      </c>
      <c r="B346" t="s">
        <v>815</v>
      </c>
      <c r="C346" t="s">
        <v>816</v>
      </c>
      <c r="D346" s="19">
        <v>45481</v>
      </c>
    </row>
    <row r="347" spans="1:4" x14ac:dyDescent="0.25">
      <c r="A347">
        <v>347</v>
      </c>
      <c r="B347" t="s">
        <v>817</v>
      </c>
      <c r="C347" t="s">
        <v>818</v>
      </c>
      <c r="D347" t="s">
        <v>819</v>
      </c>
    </row>
    <row r="348" spans="1:4" x14ac:dyDescent="0.25">
      <c r="A348">
        <v>348</v>
      </c>
      <c r="B348" t="s">
        <v>820</v>
      </c>
      <c r="C348" t="s">
        <v>821</v>
      </c>
      <c r="D348" t="s">
        <v>668</v>
      </c>
    </row>
    <row r="349" spans="1:4" x14ac:dyDescent="0.25">
      <c r="A349">
        <v>349</v>
      </c>
      <c r="B349" t="s">
        <v>822</v>
      </c>
      <c r="C349" t="s">
        <v>823</v>
      </c>
      <c r="D349" s="19">
        <v>44662</v>
      </c>
    </row>
    <row r="350" spans="1:4" x14ac:dyDescent="0.25">
      <c r="A350">
        <v>350</v>
      </c>
      <c r="B350" t="s">
        <v>824</v>
      </c>
      <c r="C350" t="s">
        <v>825</v>
      </c>
      <c r="D350" t="s">
        <v>826</v>
      </c>
    </row>
    <row r="351" spans="1:4" x14ac:dyDescent="0.25">
      <c r="A351">
        <v>351</v>
      </c>
      <c r="B351" t="s">
        <v>827</v>
      </c>
      <c r="C351" t="s">
        <v>828</v>
      </c>
      <c r="D351" s="19">
        <v>44445</v>
      </c>
    </row>
    <row r="352" spans="1:4" x14ac:dyDescent="0.25">
      <c r="A352">
        <v>352</v>
      </c>
      <c r="B352" t="s">
        <v>829</v>
      </c>
      <c r="C352" t="s">
        <v>830</v>
      </c>
      <c r="D352" t="s">
        <v>583</v>
      </c>
    </row>
    <row r="353" spans="1:4" x14ac:dyDescent="0.25">
      <c r="A353">
        <v>353</v>
      </c>
      <c r="B353" t="s">
        <v>831</v>
      </c>
      <c r="C353" t="s">
        <v>832</v>
      </c>
      <c r="D353" s="19">
        <v>45308</v>
      </c>
    </row>
    <row r="354" spans="1:4" x14ac:dyDescent="0.25">
      <c r="A354">
        <v>354</v>
      </c>
      <c r="B354" t="s">
        <v>833</v>
      </c>
      <c r="C354" t="s">
        <v>834</v>
      </c>
      <c r="D354" s="19">
        <v>45117</v>
      </c>
    </row>
    <row r="355" spans="1:4" x14ac:dyDescent="0.25">
      <c r="A355">
        <v>355</v>
      </c>
      <c r="B355" t="s">
        <v>835</v>
      </c>
      <c r="C355" t="s">
        <v>836</v>
      </c>
      <c r="D355" t="s">
        <v>837</v>
      </c>
    </row>
    <row r="356" spans="1:4" x14ac:dyDescent="0.25">
      <c r="A356">
        <v>356</v>
      </c>
      <c r="B356" t="s">
        <v>838</v>
      </c>
      <c r="C356" t="s">
        <v>839</v>
      </c>
      <c r="D356" s="19">
        <v>40003</v>
      </c>
    </row>
    <row r="357" spans="1:4" x14ac:dyDescent="0.25">
      <c r="A357">
        <v>357</v>
      </c>
      <c r="B357" t="s">
        <v>840</v>
      </c>
      <c r="C357" t="s">
        <v>841</v>
      </c>
      <c r="D357" s="19">
        <v>45015</v>
      </c>
    </row>
    <row r="358" spans="1:4" x14ac:dyDescent="0.25">
      <c r="A358">
        <v>358</v>
      </c>
      <c r="B358" t="s">
        <v>842</v>
      </c>
      <c r="C358" t="s">
        <v>843</v>
      </c>
      <c r="D358" s="19">
        <v>44447</v>
      </c>
    </row>
    <row r="359" spans="1:4" x14ac:dyDescent="0.25">
      <c r="A359">
        <v>359</v>
      </c>
      <c r="B359" t="s">
        <v>844</v>
      </c>
      <c r="C359" t="s">
        <v>845</v>
      </c>
      <c r="D359" t="s">
        <v>846</v>
      </c>
    </row>
    <row r="360" spans="1:4" x14ac:dyDescent="0.25">
      <c r="A360">
        <v>360</v>
      </c>
      <c r="B360" t="s">
        <v>847</v>
      </c>
      <c r="C360" t="s">
        <v>848</v>
      </c>
      <c r="D360" s="19">
        <v>45482</v>
      </c>
    </row>
    <row r="361" spans="1:4" x14ac:dyDescent="0.25">
      <c r="A361">
        <v>361</v>
      </c>
      <c r="B361" t="s">
        <v>849</v>
      </c>
      <c r="C361" t="s">
        <v>850</v>
      </c>
      <c r="D361" t="s">
        <v>851</v>
      </c>
    </row>
    <row r="362" spans="1:4" x14ac:dyDescent="0.25">
      <c r="A362">
        <v>362</v>
      </c>
      <c r="B362" t="s">
        <v>852</v>
      </c>
      <c r="C362" t="s">
        <v>853</v>
      </c>
      <c r="D362" t="s">
        <v>854</v>
      </c>
    </row>
    <row r="363" spans="1:4" x14ac:dyDescent="0.25">
      <c r="A363">
        <v>363</v>
      </c>
      <c r="B363" t="s">
        <v>855</v>
      </c>
      <c r="C363" t="s">
        <v>856</v>
      </c>
      <c r="D363" s="19">
        <v>38089</v>
      </c>
    </row>
    <row r="364" spans="1:4" x14ac:dyDescent="0.25">
      <c r="A364">
        <v>364</v>
      </c>
      <c r="B364" t="s">
        <v>857</v>
      </c>
      <c r="C364" t="s">
        <v>858</v>
      </c>
      <c r="D364" s="19">
        <v>44440</v>
      </c>
    </row>
    <row r="365" spans="1:4" x14ac:dyDescent="0.25">
      <c r="A365">
        <v>365</v>
      </c>
      <c r="B365" t="s">
        <v>859</v>
      </c>
      <c r="C365" t="s">
        <v>860</v>
      </c>
      <c r="D365" s="19">
        <v>45021</v>
      </c>
    </row>
    <row r="366" spans="1:4" x14ac:dyDescent="0.25">
      <c r="A366">
        <v>366</v>
      </c>
      <c r="B366" t="s">
        <v>861</v>
      </c>
      <c r="C366" t="s">
        <v>862</v>
      </c>
      <c r="D366" s="19">
        <v>44965</v>
      </c>
    </row>
    <row r="367" spans="1:4" x14ac:dyDescent="0.25">
      <c r="A367">
        <v>367</v>
      </c>
      <c r="B367" t="s">
        <v>863</v>
      </c>
      <c r="C367" t="s">
        <v>864</v>
      </c>
      <c r="D367" s="19">
        <v>44768</v>
      </c>
    </row>
    <row r="368" spans="1:4" x14ac:dyDescent="0.25">
      <c r="A368">
        <v>368</v>
      </c>
      <c r="B368" t="s">
        <v>865</v>
      </c>
      <c r="C368" t="s">
        <v>866</v>
      </c>
      <c r="D368" t="s">
        <v>763</v>
      </c>
    </row>
    <row r="369" spans="1:4" x14ac:dyDescent="0.25">
      <c r="A369">
        <v>369</v>
      </c>
      <c r="B369" t="s">
        <v>867</v>
      </c>
      <c r="C369" t="s">
        <v>868</v>
      </c>
      <c r="D369" t="s">
        <v>869</v>
      </c>
    </row>
    <row r="370" spans="1:4" x14ac:dyDescent="0.25">
      <c r="A370">
        <v>370</v>
      </c>
      <c r="B370" t="s">
        <v>870</v>
      </c>
      <c r="C370" t="s">
        <v>871</v>
      </c>
      <c r="D370" s="19">
        <v>43658</v>
      </c>
    </row>
    <row r="371" spans="1:4" x14ac:dyDescent="0.25">
      <c r="A371">
        <v>371</v>
      </c>
      <c r="B371" t="s">
        <v>872</v>
      </c>
      <c r="C371" t="s">
        <v>873</v>
      </c>
      <c r="D371" s="19">
        <v>33030</v>
      </c>
    </row>
    <row r="372" spans="1:4" x14ac:dyDescent="0.25">
      <c r="A372">
        <v>372</v>
      </c>
      <c r="B372" t="s">
        <v>874</v>
      </c>
      <c r="C372" t="s">
        <v>875</v>
      </c>
      <c r="D372" t="s">
        <v>876</v>
      </c>
    </row>
    <row r="373" spans="1:4" x14ac:dyDescent="0.25">
      <c r="A373">
        <v>373</v>
      </c>
      <c r="B373" t="s">
        <v>877</v>
      </c>
      <c r="C373" t="s">
        <v>878</v>
      </c>
      <c r="D373" s="19">
        <v>43186</v>
      </c>
    </row>
    <row r="374" spans="1:4" x14ac:dyDescent="0.25">
      <c r="A374">
        <v>374</v>
      </c>
      <c r="B374" t="s">
        <v>879</v>
      </c>
      <c r="C374" t="s">
        <v>880</v>
      </c>
      <c r="D374" t="s">
        <v>881</v>
      </c>
    </row>
    <row r="375" spans="1:4" x14ac:dyDescent="0.25">
      <c r="A375">
        <v>375</v>
      </c>
      <c r="B375" t="s">
        <v>882</v>
      </c>
      <c r="C375" t="s">
        <v>883</v>
      </c>
      <c r="D375" s="19">
        <v>34743</v>
      </c>
    </row>
    <row r="376" spans="1:4" x14ac:dyDescent="0.25">
      <c r="A376">
        <v>376</v>
      </c>
      <c r="B376" t="s">
        <v>884</v>
      </c>
      <c r="C376" t="s">
        <v>885</v>
      </c>
      <c r="D376" s="19">
        <v>45666</v>
      </c>
    </row>
    <row r="377" spans="1:4" x14ac:dyDescent="0.25">
      <c r="A377">
        <v>377</v>
      </c>
      <c r="B377" t="s">
        <v>886</v>
      </c>
      <c r="C377" t="s">
        <v>887</v>
      </c>
      <c r="D377" s="19">
        <v>44986</v>
      </c>
    </row>
    <row r="378" spans="1:4" x14ac:dyDescent="0.25">
      <c r="A378">
        <v>378</v>
      </c>
      <c r="B378" t="s">
        <v>888</v>
      </c>
      <c r="C378" t="s">
        <v>889</v>
      </c>
      <c r="D378" t="s">
        <v>890</v>
      </c>
    </row>
    <row r="379" spans="1:4" x14ac:dyDescent="0.25">
      <c r="A379">
        <v>379</v>
      </c>
      <c r="B379" t="s">
        <v>891</v>
      </c>
      <c r="C379" t="s">
        <v>892</v>
      </c>
      <c r="D379" t="s">
        <v>893</v>
      </c>
    </row>
    <row r="380" spans="1:4" x14ac:dyDescent="0.25">
      <c r="A380">
        <v>380</v>
      </c>
      <c r="B380" t="s">
        <v>894</v>
      </c>
      <c r="C380" t="s">
        <v>895</v>
      </c>
      <c r="D380" t="s">
        <v>896</v>
      </c>
    </row>
    <row r="381" spans="1:4" x14ac:dyDescent="0.25">
      <c r="A381">
        <v>381</v>
      </c>
      <c r="B381" t="s">
        <v>897</v>
      </c>
      <c r="C381" t="s">
        <v>898</v>
      </c>
      <c r="D381" s="19">
        <v>42908</v>
      </c>
    </row>
    <row r="382" spans="1:4" x14ac:dyDescent="0.25">
      <c r="A382">
        <v>382</v>
      </c>
      <c r="B382" t="s">
        <v>899</v>
      </c>
      <c r="C382" t="s">
        <v>900</v>
      </c>
      <c r="D382" s="19">
        <v>39646</v>
      </c>
    </row>
    <row r="383" spans="1:4" x14ac:dyDescent="0.25">
      <c r="A383">
        <v>383</v>
      </c>
      <c r="B383" t="s">
        <v>901</v>
      </c>
      <c r="C383" t="s">
        <v>902</v>
      </c>
      <c r="D383" s="19">
        <v>44084</v>
      </c>
    </row>
    <row r="384" spans="1:4" x14ac:dyDescent="0.25">
      <c r="A384">
        <v>384</v>
      </c>
      <c r="B384" t="s">
        <v>903</v>
      </c>
      <c r="C384" t="s">
        <v>904</v>
      </c>
      <c r="D384" t="s">
        <v>905</v>
      </c>
    </row>
    <row r="385" spans="1:4" x14ac:dyDescent="0.25">
      <c r="A385">
        <v>385</v>
      </c>
      <c r="B385" t="s">
        <v>906</v>
      </c>
      <c r="C385" t="s">
        <v>907</v>
      </c>
      <c r="D385" s="19">
        <v>41284</v>
      </c>
    </row>
    <row r="386" spans="1:4" x14ac:dyDescent="0.25">
      <c r="A386">
        <v>386</v>
      </c>
      <c r="B386" t="s">
        <v>908</v>
      </c>
      <c r="C386" t="s">
        <v>909</v>
      </c>
      <c r="D386" s="19">
        <v>43567</v>
      </c>
    </row>
    <row r="387" spans="1:4" x14ac:dyDescent="0.25">
      <c r="A387">
        <v>387</v>
      </c>
      <c r="B387" t="s">
        <v>910</v>
      </c>
      <c r="C387" t="s">
        <v>911</v>
      </c>
      <c r="D387" s="19">
        <v>42907</v>
      </c>
    </row>
    <row r="388" spans="1:4" x14ac:dyDescent="0.25">
      <c r="A388">
        <v>388</v>
      </c>
      <c r="B388" t="s">
        <v>912</v>
      </c>
      <c r="C388" t="s">
        <v>913</v>
      </c>
      <c r="D388" t="s">
        <v>914</v>
      </c>
    </row>
    <row r="389" spans="1:4" x14ac:dyDescent="0.25">
      <c r="A389">
        <v>389</v>
      </c>
      <c r="B389" t="s">
        <v>915</v>
      </c>
      <c r="C389" t="s">
        <v>916</v>
      </c>
      <c r="D389" t="s">
        <v>917</v>
      </c>
    </row>
    <row r="390" spans="1:4" x14ac:dyDescent="0.25">
      <c r="A390">
        <v>390</v>
      </c>
      <c r="B390" t="s">
        <v>918</v>
      </c>
      <c r="C390" t="s">
        <v>919</v>
      </c>
      <c r="D390" s="19">
        <v>45335</v>
      </c>
    </row>
    <row r="391" spans="1:4" x14ac:dyDescent="0.25">
      <c r="A391">
        <v>391</v>
      </c>
      <c r="B391" t="s">
        <v>920</v>
      </c>
      <c r="C391" t="s">
        <v>921</v>
      </c>
      <c r="D391" s="19">
        <v>38973</v>
      </c>
    </row>
    <row r="392" spans="1:4" x14ac:dyDescent="0.25">
      <c r="A392">
        <v>392</v>
      </c>
      <c r="B392" t="s">
        <v>922</v>
      </c>
      <c r="C392" t="s">
        <v>923</v>
      </c>
      <c r="D392" t="s">
        <v>69</v>
      </c>
    </row>
    <row r="393" spans="1:4" x14ac:dyDescent="0.25">
      <c r="A393">
        <v>393</v>
      </c>
      <c r="B393" t="s">
        <v>924</v>
      </c>
      <c r="C393" t="s">
        <v>925</v>
      </c>
      <c r="D393" s="19">
        <v>44676</v>
      </c>
    </row>
    <row r="394" spans="1:4" x14ac:dyDescent="0.25">
      <c r="A394">
        <v>394</v>
      </c>
      <c r="B394" t="s">
        <v>926</v>
      </c>
      <c r="C394" t="s">
        <v>927</v>
      </c>
      <c r="D394" t="s">
        <v>928</v>
      </c>
    </row>
    <row r="395" spans="1:4" x14ac:dyDescent="0.25">
      <c r="A395">
        <v>395</v>
      </c>
      <c r="B395" t="s">
        <v>929</v>
      </c>
      <c r="C395" t="s">
        <v>930</v>
      </c>
      <c r="D395" t="s">
        <v>931</v>
      </c>
    </row>
    <row r="396" spans="1:4" x14ac:dyDescent="0.25">
      <c r="A396">
        <v>396</v>
      </c>
      <c r="B396" t="s">
        <v>932</v>
      </c>
      <c r="C396" t="s">
        <v>933</v>
      </c>
      <c r="D396" s="19">
        <v>38541</v>
      </c>
    </row>
    <row r="397" spans="1:4" x14ac:dyDescent="0.25">
      <c r="A397">
        <v>397</v>
      </c>
      <c r="B397" t="s">
        <v>934</v>
      </c>
      <c r="C397" t="s">
        <v>935</v>
      </c>
      <c r="D397" s="19">
        <v>44448</v>
      </c>
    </row>
    <row r="398" spans="1:4" x14ac:dyDescent="0.25">
      <c r="A398">
        <v>398</v>
      </c>
      <c r="B398" t="s">
        <v>936</v>
      </c>
      <c r="C398" t="s">
        <v>937</v>
      </c>
      <c r="D398" t="s">
        <v>107</v>
      </c>
    </row>
    <row r="399" spans="1:4" x14ac:dyDescent="0.25">
      <c r="A399">
        <v>399</v>
      </c>
      <c r="B399" t="s">
        <v>938</v>
      </c>
      <c r="C399" t="s">
        <v>939</v>
      </c>
      <c r="D399" t="s">
        <v>940</v>
      </c>
    </row>
    <row r="400" spans="1:4" x14ac:dyDescent="0.25">
      <c r="A400">
        <v>400</v>
      </c>
      <c r="B400" t="s">
        <v>941</v>
      </c>
      <c r="C400" t="s">
        <v>942</v>
      </c>
      <c r="D400" t="s">
        <v>943</v>
      </c>
    </row>
    <row r="401" spans="1:4" x14ac:dyDescent="0.25">
      <c r="A401">
        <v>401</v>
      </c>
      <c r="B401" t="s">
        <v>944</v>
      </c>
      <c r="C401" t="s">
        <v>945</v>
      </c>
      <c r="D401" s="19">
        <v>33182</v>
      </c>
    </row>
    <row r="402" spans="1:4" x14ac:dyDescent="0.25">
      <c r="A402">
        <v>402</v>
      </c>
      <c r="B402" t="s">
        <v>946</v>
      </c>
      <c r="C402" t="s">
        <v>947</v>
      </c>
      <c r="D402" t="s">
        <v>948</v>
      </c>
    </row>
    <row r="403" spans="1:4" x14ac:dyDescent="0.25">
      <c r="A403">
        <v>403</v>
      </c>
      <c r="B403" t="s">
        <v>949</v>
      </c>
      <c r="C403" t="s">
        <v>950</v>
      </c>
      <c r="D403" s="19">
        <v>35585</v>
      </c>
    </row>
    <row r="404" spans="1:4" x14ac:dyDescent="0.25">
      <c r="A404">
        <v>404</v>
      </c>
      <c r="B404" t="s">
        <v>951</v>
      </c>
      <c r="C404" t="s">
        <v>952</v>
      </c>
      <c r="D404" s="19">
        <v>43873</v>
      </c>
    </row>
    <row r="405" spans="1:4" x14ac:dyDescent="0.25">
      <c r="A405">
        <v>405</v>
      </c>
      <c r="B405" t="s">
        <v>953</v>
      </c>
      <c r="C405" t="s">
        <v>954</v>
      </c>
      <c r="D405" s="19">
        <v>33259</v>
      </c>
    </row>
    <row r="406" spans="1:4" x14ac:dyDescent="0.25">
      <c r="A406">
        <v>406</v>
      </c>
      <c r="B406" t="s">
        <v>955</v>
      </c>
      <c r="C406" t="s">
        <v>956</v>
      </c>
      <c r="D406" s="19">
        <v>45238</v>
      </c>
    </row>
    <row r="407" spans="1:4" x14ac:dyDescent="0.25">
      <c r="A407">
        <v>407</v>
      </c>
      <c r="B407" t="s">
        <v>957</v>
      </c>
      <c r="C407" t="s">
        <v>958</v>
      </c>
      <c r="D407" s="19">
        <v>34288</v>
      </c>
    </row>
    <row r="408" spans="1:4" x14ac:dyDescent="0.25">
      <c r="A408">
        <v>408</v>
      </c>
      <c r="B408" t="s">
        <v>959</v>
      </c>
      <c r="C408" t="s">
        <v>960</v>
      </c>
      <c r="D408" t="s">
        <v>961</v>
      </c>
    </row>
    <row r="409" spans="1:4" x14ac:dyDescent="0.25">
      <c r="A409">
        <v>409</v>
      </c>
      <c r="B409" t="s">
        <v>962</v>
      </c>
      <c r="C409" t="s">
        <v>963</v>
      </c>
      <c r="D409" t="s">
        <v>964</v>
      </c>
    </row>
    <row r="410" spans="1:4" x14ac:dyDescent="0.25">
      <c r="A410">
        <v>410</v>
      </c>
      <c r="B410" t="s">
        <v>965</v>
      </c>
      <c r="C410" t="s">
        <v>966</v>
      </c>
      <c r="D410" s="19">
        <v>36998</v>
      </c>
    </row>
    <row r="411" spans="1:4" x14ac:dyDescent="0.25">
      <c r="A411">
        <v>411</v>
      </c>
      <c r="B411" t="s">
        <v>967</v>
      </c>
      <c r="C411" t="s">
        <v>968</v>
      </c>
      <c r="D411" t="s">
        <v>969</v>
      </c>
    </row>
    <row r="412" spans="1:4" x14ac:dyDescent="0.25">
      <c r="A412">
        <v>412</v>
      </c>
      <c r="B412" t="s">
        <v>970</v>
      </c>
      <c r="C412" t="s">
        <v>971</v>
      </c>
      <c r="D412" s="19">
        <v>42619</v>
      </c>
    </row>
    <row r="413" spans="1:4" x14ac:dyDescent="0.25">
      <c r="A413">
        <v>413</v>
      </c>
      <c r="B413" t="s">
        <v>972</v>
      </c>
      <c r="C413" t="s">
        <v>973</v>
      </c>
      <c r="D413" s="19">
        <v>33078</v>
      </c>
    </row>
    <row r="414" spans="1:4" x14ac:dyDescent="0.25">
      <c r="A414">
        <v>414</v>
      </c>
      <c r="B414" t="s">
        <v>974</v>
      </c>
      <c r="C414" t="s">
        <v>975</v>
      </c>
      <c r="D414" t="s">
        <v>300</v>
      </c>
    </row>
    <row r="415" spans="1:4" x14ac:dyDescent="0.25">
      <c r="A415">
        <v>415</v>
      </c>
      <c r="B415" t="s">
        <v>976</v>
      </c>
      <c r="C415" t="s">
        <v>977</v>
      </c>
      <c r="D415" s="19">
        <v>34529</v>
      </c>
    </row>
    <row r="416" spans="1:4" x14ac:dyDescent="0.25">
      <c r="A416">
        <v>416</v>
      </c>
      <c r="B416" t="s">
        <v>978</v>
      </c>
      <c r="C416" t="s">
        <v>979</v>
      </c>
      <c r="D416" s="19">
        <v>43843</v>
      </c>
    </row>
    <row r="417" spans="1:4" x14ac:dyDescent="0.25">
      <c r="A417">
        <v>417</v>
      </c>
      <c r="B417" t="s">
        <v>980</v>
      </c>
      <c r="C417" t="s">
        <v>981</v>
      </c>
      <c r="D417" t="s">
        <v>982</v>
      </c>
    </row>
    <row r="418" spans="1:4" x14ac:dyDescent="0.25">
      <c r="A418">
        <v>418</v>
      </c>
      <c r="B418" t="s">
        <v>983</v>
      </c>
      <c r="C418" t="s">
        <v>984</v>
      </c>
      <c r="D418" t="s">
        <v>985</v>
      </c>
    </row>
    <row r="419" spans="1:4" x14ac:dyDescent="0.25">
      <c r="A419">
        <v>419</v>
      </c>
      <c r="B419" t="s">
        <v>986</v>
      </c>
      <c r="C419" t="s">
        <v>987</v>
      </c>
      <c r="D419" t="s">
        <v>988</v>
      </c>
    </row>
    <row r="420" spans="1:4" x14ac:dyDescent="0.25">
      <c r="A420">
        <v>420</v>
      </c>
      <c r="B420" t="s">
        <v>989</v>
      </c>
      <c r="C420" t="s">
        <v>990</v>
      </c>
      <c r="D420" s="19">
        <v>39610</v>
      </c>
    </row>
    <row r="421" spans="1:4" x14ac:dyDescent="0.25">
      <c r="A421">
        <v>421</v>
      </c>
      <c r="B421" t="s">
        <v>991</v>
      </c>
      <c r="C421" t="s">
        <v>992</v>
      </c>
      <c r="D421" s="19">
        <v>45131</v>
      </c>
    </row>
    <row r="422" spans="1:4" x14ac:dyDescent="0.25">
      <c r="A422">
        <v>422</v>
      </c>
      <c r="B422" t="s">
        <v>993</v>
      </c>
      <c r="C422" t="s">
        <v>994</v>
      </c>
      <c r="D422" s="19">
        <v>33070</v>
      </c>
    </row>
    <row r="423" spans="1:4" x14ac:dyDescent="0.25">
      <c r="A423">
        <v>423</v>
      </c>
      <c r="B423" t="s">
        <v>995</v>
      </c>
      <c r="C423" t="s">
        <v>996</v>
      </c>
      <c r="D423" s="19">
        <v>43656</v>
      </c>
    </row>
    <row r="424" spans="1:4" x14ac:dyDescent="0.25">
      <c r="A424">
        <v>424</v>
      </c>
      <c r="B424" t="s">
        <v>997</v>
      </c>
      <c r="C424" t="s">
        <v>998</v>
      </c>
      <c r="D424" t="s">
        <v>999</v>
      </c>
    </row>
    <row r="425" spans="1:4" x14ac:dyDescent="0.25">
      <c r="A425">
        <v>425</v>
      </c>
      <c r="B425" t="s">
        <v>1000</v>
      </c>
      <c r="C425" t="s">
        <v>1001</v>
      </c>
      <c r="D425" s="19">
        <v>37998</v>
      </c>
    </row>
    <row r="426" spans="1:4" x14ac:dyDescent="0.25">
      <c r="A426">
        <v>426</v>
      </c>
      <c r="B426" t="s">
        <v>1002</v>
      </c>
      <c r="C426" t="s">
        <v>1003</v>
      </c>
      <c r="D426" s="19">
        <v>43196</v>
      </c>
    </row>
    <row r="427" spans="1:4" x14ac:dyDescent="0.25">
      <c r="A427">
        <v>427</v>
      </c>
      <c r="B427" t="s">
        <v>1004</v>
      </c>
      <c r="C427" t="s">
        <v>1005</v>
      </c>
      <c r="D427" s="19">
        <v>33042</v>
      </c>
    </row>
    <row r="428" spans="1:4" x14ac:dyDescent="0.25">
      <c r="A428">
        <v>428</v>
      </c>
      <c r="B428" t="s">
        <v>1006</v>
      </c>
      <c r="C428" t="s">
        <v>1007</v>
      </c>
      <c r="D428" t="s">
        <v>1008</v>
      </c>
    </row>
    <row r="429" spans="1:4" x14ac:dyDescent="0.25">
      <c r="A429">
        <v>429</v>
      </c>
      <c r="B429" t="s">
        <v>1009</v>
      </c>
      <c r="C429" t="s">
        <v>1010</v>
      </c>
      <c r="D429" t="s">
        <v>1011</v>
      </c>
    </row>
    <row r="430" spans="1:4" x14ac:dyDescent="0.25">
      <c r="A430">
        <v>430</v>
      </c>
      <c r="B430" t="s">
        <v>1012</v>
      </c>
      <c r="C430" t="s">
        <v>1013</v>
      </c>
      <c r="D430" t="s">
        <v>1014</v>
      </c>
    </row>
    <row r="431" spans="1:4" x14ac:dyDescent="0.25">
      <c r="A431">
        <v>431</v>
      </c>
      <c r="B431" t="s">
        <v>1015</v>
      </c>
      <c r="C431" t="s">
        <v>1016</v>
      </c>
      <c r="D431" t="s">
        <v>1017</v>
      </c>
    </row>
    <row r="432" spans="1:4" x14ac:dyDescent="0.25">
      <c r="A432">
        <v>432</v>
      </c>
      <c r="B432" t="s">
        <v>1018</v>
      </c>
      <c r="C432" t="s">
        <v>1019</v>
      </c>
      <c r="D432" s="19">
        <v>44377</v>
      </c>
    </row>
    <row r="433" spans="1:4" x14ac:dyDescent="0.25">
      <c r="A433">
        <v>433</v>
      </c>
      <c r="B433" t="s">
        <v>1020</v>
      </c>
      <c r="C433" t="s">
        <v>1021</v>
      </c>
      <c r="D433" s="19">
        <v>43290</v>
      </c>
    </row>
    <row r="434" spans="1:4" x14ac:dyDescent="0.25">
      <c r="A434">
        <v>434</v>
      </c>
      <c r="B434" t="s">
        <v>1022</v>
      </c>
      <c r="C434" t="s">
        <v>1023</v>
      </c>
      <c r="D434" t="s">
        <v>1024</v>
      </c>
    </row>
    <row r="435" spans="1:4" x14ac:dyDescent="0.25">
      <c r="A435">
        <v>435</v>
      </c>
      <c r="B435" t="s">
        <v>1025</v>
      </c>
      <c r="C435" t="s">
        <v>1026</v>
      </c>
      <c r="D435" s="19">
        <v>40368</v>
      </c>
    </row>
    <row r="436" spans="1:4" x14ac:dyDescent="0.25">
      <c r="A436">
        <v>436</v>
      </c>
      <c r="B436" t="s">
        <v>1027</v>
      </c>
      <c r="C436" t="s">
        <v>1028</v>
      </c>
      <c r="D436" t="s">
        <v>1029</v>
      </c>
    </row>
    <row r="437" spans="1:4" x14ac:dyDescent="0.25">
      <c r="A437">
        <v>437</v>
      </c>
      <c r="B437" t="s">
        <v>1030</v>
      </c>
      <c r="C437" t="s">
        <v>1031</v>
      </c>
      <c r="D437" s="19">
        <v>43654</v>
      </c>
    </row>
    <row r="438" spans="1:4" x14ac:dyDescent="0.25">
      <c r="A438">
        <v>438</v>
      </c>
      <c r="B438" t="s">
        <v>1032</v>
      </c>
      <c r="C438" t="s">
        <v>1033</v>
      </c>
      <c r="D438" t="s">
        <v>1034</v>
      </c>
    </row>
    <row r="439" spans="1:4" x14ac:dyDescent="0.25">
      <c r="A439">
        <v>439</v>
      </c>
      <c r="B439" t="s">
        <v>1035</v>
      </c>
      <c r="C439" t="s">
        <v>1036</v>
      </c>
      <c r="D439" s="19">
        <v>44964</v>
      </c>
    </row>
    <row r="440" spans="1:4" x14ac:dyDescent="0.25">
      <c r="A440">
        <v>440</v>
      </c>
      <c r="B440" t="s">
        <v>1037</v>
      </c>
      <c r="C440" t="s">
        <v>1038</v>
      </c>
      <c r="D440" t="s">
        <v>1039</v>
      </c>
    </row>
    <row r="441" spans="1:4" x14ac:dyDescent="0.25">
      <c r="A441">
        <v>441</v>
      </c>
      <c r="B441" t="s">
        <v>1040</v>
      </c>
      <c r="C441" t="s">
        <v>1041</v>
      </c>
      <c r="D441" t="s">
        <v>1042</v>
      </c>
    </row>
    <row r="442" spans="1:4" x14ac:dyDescent="0.25">
      <c r="A442">
        <v>442</v>
      </c>
      <c r="B442" t="s">
        <v>1043</v>
      </c>
      <c r="C442" t="s">
        <v>1044</v>
      </c>
      <c r="D442" s="19">
        <v>45481</v>
      </c>
    </row>
    <row r="443" spans="1:4" x14ac:dyDescent="0.25">
      <c r="A443">
        <v>443</v>
      </c>
      <c r="B443" t="s">
        <v>1045</v>
      </c>
      <c r="C443" t="s">
        <v>1046</v>
      </c>
      <c r="D443" s="19">
        <v>41327</v>
      </c>
    </row>
    <row r="444" spans="1:4" x14ac:dyDescent="0.25">
      <c r="A444">
        <v>444</v>
      </c>
      <c r="B444" t="s">
        <v>1047</v>
      </c>
      <c r="C444" t="s">
        <v>1048</v>
      </c>
      <c r="D444" s="19">
        <v>43650</v>
      </c>
    </row>
    <row r="445" spans="1:4" x14ac:dyDescent="0.25">
      <c r="A445">
        <v>445</v>
      </c>
      <c r="B445" t="s">
        <v>1049</v>
      </c>
      <c r="C445" t="s">
        <v>1050</v>
      </c>
      <c r="D445" t="s">
        <v>1051</v>
      </c>
    </row>
    <row r="446" spans="1:4" x14ac:dyDescent="0.25">
      <c r="A446">
        <v>446</v>
      </c>
      <c r="B446" t="s">
        <v>1052</v>
      </c>
      <c r="C446" t="s">
        <v>1053</v>
      </c>
      <c r="D446" t="s">
        <v>187</v>
      </c>
    </row>
    <row r="447" spans="1:4" x14ac:dyDescent="0.25">
      <c r="A447">
        <v>447</v>
      </c>
      <c r="B447" t="s">
        <v>1054</v>
      </c>
      <c r="C447" t="s">
        <v>1055</v>
      </c>
      <c r="D447" t="s">
        <v>112</v>
      </c>
    </row>
    <row r="448" spans="1:4" x14ac:dyDescent="0.25">
      <c r="A448">
        <v>448</v>
      </c>
      <c r="B448" t="s">
        <v>1056</v>
      </c>
      <c r="C448" t="s">
        <v>1057</v>
      </c>
      <c r="D448" t="s">
        <v>1058</v>
      </c>
    </row>
    <row r="449" spans="1:4" x14ac:dyDescent="0.25">
      <c r="A449">
        <v>449</v>
      </c>
      <c r="B449" t="s">
        <v>1059</v>
      </c>
      <c r="C449" t="s">
        <v>1060</v>
      </c>
      <c r="D449" t="s">
        <v>646</v>
      </c>
    </row>
    <row r="450" spans="1:4" x14ac:dyDescent="0.25">
      <c r="A450">
        <v>450</v>
      </c>
      <c r="B450" t="s">
        <v>1061</v>
      </c>
      <c r="C450" t="s">
        <v>1062</v>
      </c>
      <c r="D450" t="s">
        <v>1063</v>
      </c>
    </row>
    <row r="451" spans="1:4" x14ac:dyDescent="0.25">
      <c r="A451">
        <v>451</v>
      </c>
      <c r="B451" t="s">
        <v>1064</v>
      </c>
      <c r="C451" t="s">
        <v>1065</v>
      </c>
      <c r="D451" s="19">
        <v>43517</v>
      </c>
    </row>
    <row r="452" spans="1:4" x14ac:dyDescent="0.25">
      <c r="A452">
        <v>452</v>
      </c>
      <c r="B452" t="s">
        <v>1066</v>
      </c>
      <c r="C452" t="s">
        <v>1067</v>
      </c>
      <c r="D452" s="19">
        <v>33926</v>
      </c>
    </row>
    <row r="453" spans="1:4" x14ac:dyDescent="0.25">
      <c r="A453">
        <v>453</v>
      </c>
      <c r="B453" t="s">
        <v>1068</v>
      </c>
      <c r="C453" t="s">
        <v>1069</v>
      </c>
      <c r="D453" s="19">
        <v>42550</v>
      </c>
    </row>
    <row r="454" spans="1:4" x14ac:dyDescent="0.25">
      <c r="A454">
        <v>454</v>
      </c>
      <c r="B454" t="s">
        <v>1070</v>
      </c>
      <c r="C454" t="s">
        <v>1071</v>
      </c>
      <c r="D454" s="19">
        <v>30741</v>
      </c>
    </row>
    <row r="455" spans="1:4" x14ac:dyDescent="0.25">
      <c r="A455">
        <v>455</v>
      </c>
      <c r="B455" t="s">
        <v>1072</v>
      </c>
      <c r="C455" t="s">
        <v>1073</v>
      </c>
      <c r="D455" t="s">
        <v>1074</v>
      </c>
    </row>
    <row r="456" spans="1:4" x14ac:dyDescent="0.25">
      <c r="A456">
        <v>456</v>
      </c>
      <c r="B456" t="s">
        <v>1075</v>
      </c>
      <c r="C456" t="s">
        <v>1076</v>
      </c>
      <c r="D456" t="s">
        <v>1077</v>
      </c>
    </row>
    <row r="457" spans="1:4" x14ac:dyDescent="0.25">
      <c r="A457">
        <v>457</v>
      </c>
      <c r="B457" t="s">
        <v>1078</v>
      </c>
      <c r="C457" t="s">
        <v>1079</v>
      </c>
      <c r="D457" t="s">
        <v>1080</v>
      </c>
    </row>
    <row r="458" spans="1:4" x14ac:dyDescent="0.25">
      <c r="A458">
        <v>458</v>
      </c>
      <c r="B458" t="s">
        <v>1081</v>
      </c>
      <c r="C458" t="s">
        <v>1082</v>
      </c>
      <c r="D458" t="s">
        <v>837</v>
      </c>
    </row>
    <row r="459" spans="1:4" x14ac:dyDescent="0.25">
      <c r="A459">
        <v>459</v>
      </c>
      <c r="B459" t="s">
        <v>1083</v>
      </c>
      <c r="C459" t="s">
        <v>1084</v>
      </c>
      <c r="D459" s="19">
        <v>34514</v>
      </c>
    </row>
    <row r="460" spans="1:4" x14ac:dyDescent="0.25">
      <c r="A460">
        <v>460</v>
      </c>
      <c r="B460" t="s">
        <v>1085</v>
      </c>
      <c r="C460" t="s">
        <v>1086</v>
      </c>
      <c r="D460" s="19">
        <v>43187</v>
      </c>
    </row>
    <row r="461" spans="1:4" x14ac:dyDescent="0.25">
      <c r="A461">
        <v>461</v>
      </c>
      <c r="B461" t="s">
        <v>1087</v>
      </c>
      <c r="C461" t="s">
        <v>1088</v>
      </c>
      <c r="D461" s="19">
        <v>39398</v>
      </c>
    </row>
    <row r="462" spans="1:4" x14ac:dyDescent="0.25">
      <c r="A462">
        <v>462</v>
      </c>
      <c r="B462" t="s">
        <v>1089</v>
      </c>
      <c r="C462" t="s">
        <v>1090</v>
      </c>
      <c r="D462" s="19">
        <v>35807</v>
      </c>
    </row>
    <row r="463" spans="1:4" x14ac:dyDescent="0.25">
      <c r="A463">
        <v>463</v>
      </c>
      <c r="B463" t="s">
        <v>1091</v>
      </c>
      <c r="C463" t="s">
        <v>1092</v>
      </c>
      <c r="D463" s="19">
        <v>37362</v>
      </c>
    </row>
    <row r="464" spans="1:4" x14ac:dyDescent="0.25">
      <c r="A464">
        <v>464</v>
      </c>
      <c r="B464" t="s">
        <v>1093</v>
      </c>
      <c r="C464" t="s">
        <v>1094</v>
      </c>
      <c r="D464" s="19">
        <v>37076</v>
      </c>
    </row>
    <row r="465" spans="1:4" x14ac:dyDescent="0.25">
      <c r="A465">
        <v>465</v>
      </c>
      <c r="B465" t="s">
        <v>1095</v>
      </c>
      <c r="C465" t="s">
        <v>1096</v>
      </c>
      <c r="D465" s="19">
        <v>45726</v>
      </c>
    </row>
    <row r="466" spans="1:4" x14ac:dyDescent="0.25">
      <c r="A466">
        <v>466</v>
      </c>
      <c r="B466" t="s">
        <v>1097</v>
      </c>
      <c r="C466" t="s">
        <v>1098</v>
      </c>
      <c r="D466" t="s">
        <v>1099</v>
      </c>
    </row>
    <row r="467" spans="1:4" x14ac:dyDescent="0.25">
      <c r="A467">
        <v>467</v>
      </c>
      <c r="B467" t="s">
        <v>1100</v>
      </c>
      <c r="C467" t="s">
        <v>1101</v>
      </c>
      <c r="D467" s="19">
        <v>43650</v>
      </c>
    </row>
    <row r="468" spans="1:4" x14ac:dyDescent="0.25">
      <c r="A468">
        <v>468</v>
      </c>
      <c r="B468" t="s">
        <v>1102</v>
      </c>
      <c r="C468" t="s">
        <v>1103</v>
      </c>
      <c r="D468" s="19">
        <v>43929</v>
      </c>
    </row>
    <row r="469" spans="1:4" x14ac:dyDescent="0.25">
      <c r="A469">
        <v>469</v>
      </c>
      <c r="B469" t="s">
        <v>1104</v>
      </c>
      <c r="C469" t="s">
        <v>1105</v>
      </c>
      <c r="D469" s="19">
        <v>33791</v>
      </c>
    </row>
    <row r="470" spans="1:4" x14ac:dyDescent="0.25">
      <c r="A470">
        <v>470</v>
      </c>
      <c r="B470" t="s">
        <v>1106</v>
      </c>
      <c r="C470" t="s">
        <v>1107</v>
      </c>
      <c r="D470" s="19">
        <v>33756</v>
      </c>
    </row>
    <row r="471" spans="1:4" x14ac:dyDescent="0.25">
      <c r="A471">
        <v>471</v>
      </c>
      <c r="B471" t="s">
        <v>1108</v>
      </c>
      <c r="C471" t="s">
        <v>1109</v>
      </c>
      <c r="D471" s="19">
        <v>36581</v>
      </c>
    </row>
    <row r="472" spans="1:4" x14ac:dyDescent="0.25">
      <c r="A472">
        <v>472</v>
      </c>
      <c r="B472" t="s">
        <v>1110</v>
      </c>
      <c r="C472" t="s">
        <v>1111</v>
      </c>
      <c r="D472" s="19">
        <v>39640</v>
      </c>
    </row>
    <row r="473" spans="1:4" x14ac:dyDescent="0.25">
      <c r="A473">
        <v>473</v>
      </c>
      <c r="B473" t="s">
        <v>1112</v>
      </c>
      <c r="C473" t="s">
        <v>1113</v>
      </c>
      <c r="D473" s="19">
        <v>35275</v>
      </c>
    </row>
    <row r="474" spans="1:4" x14ac:dyDescent="0.25">
      <c r="A474">
        <v>474</v>
      </c>
      <c r="B474" t="s">
        <v>1114</v>
      </c>
      <c r="C474" t="s">
        <v>1115</v>
      </c>
      <c r="D474" s="19">
        <v>44874</v>
      </c>
    </row>
    <row r="475" spans="1:4" x14ac:dyDescent="0.25">
      <c r="A475">
        <v>475</v>
      </c>
      <c r="B475" t="s">
        <v>1116</v>
      </c>
      <c r="C475" t="s">
        <v>1117</v>
      </c>
      <c r="D475" s="19">
        <v>43710</v>
      </c>
    </row>
    <row r="476" spans="1:4" x14ac:dyDescent="0.25">
      <c r="A476">
        <v>476</v>
      </c>
      <c r="B476" t="s">
        <v>1118</v>
      </c>
      <c r="C476" t="s">
        <v>1119</v>
      </c>
      <c r="D476" s="19">
        <v>43794</v>
      </c>
    </row>
    <row r="477" spans="1:4" x14ac:dyDescent="0.25">
      <c r="A477">
        <v>477</v>
      </c>
      <c r="B477" t="s">
        <v>1120</v>
      </c>
      <c r="C477" t="s">
        <v>1121</v>
      </c>
      <c r="D477" s="19">
        <v>44207</v>
      </c>
    </row>
    <row r="478" spans="1:4" x14ac:dyDescent="0.25">
      <c r="A478">
        <v>478</v>
      </c>
      <c r="B478" t="s">
        <v>1122</v>
      </c>
      <c r="C478" t="s">
        <v>1123</v>
      </c>
      <c r="D478" t="s">
        <v>531</v>
      </c>
    </row>
    <row r="479" spans="1:4" x14ac:dyDescent="0.25">
      <c r="A479">
        <v>479</v>
      </c>
      <c r="B479" t="s">
        <v>1124</v>
      </c>
      <c r="C479" t="s">
        <v>1125</v>
      </c>
      <c r="D479" t="s">
        <v>1126</v>
      </c>
    </row>
    <row r="480" spans="1:4" x14ac:dyDescent="0.25">
      <c r="A480">
        <v>480</v>
      </c>
      <c r="B480" t="s">
        <v>1127</v>
      </c>
      <c r="C480" t="s">
        <v>1128</v>
      </c>
      <c r="D480" s="19">
        <v>34709</v>
      </c>
    </row>
    <row r="481" spans="1:4" x14ac:dyDescent="0.25">
      <c r="A481">
        <v>481</v>
      </c>
      <c r="B481" t="s">
        <v>1129</v>
      </c>
      <c r="C481" t="s">
        <v>1130</v>
      </c>
      <c r="D481" s="19">
        <v>44973</v>
      </c>
    </row>
    <row r="482" spans="1:4" x14ac:dyDescent="0.25">
      <c r="A482">
        <v>482</v>
      </c>
      <c r="B482" t="s">
        <v>1131</v>
      </c>
      <c r="C482" t="s">
        <v>1132</v>
      </c>
      <c r="D482" t="s">
        <v>1133</v>
      </c>
    </row>
    <row r="483" spans="1:4" x14ac:dyDescent="0.25">
      <c r="A483">
        <v>483</v>
      </c>
      <c r="B483" t="s">
        <v>1134</v>
      </c>
      <c r="C483" t="s">
        <v>1135</v>
      </c>
      <c r="D483" t="s">
        <v>1136</v>
      </c>
    </row>
    <row r="484" spans="1:4" x14ac:dyDescent="0.25">
      <c r="A484">
        <v>484</v>
      </c>
      <c r="B484" t="s">
        <v>1137</v>
      </c>
      <c r="C484" t="s">
        <v>1138</v>
      </c>
      <c r="D484" s="19">
        <v>43647</v>
      </c>
    </row>
    <row r="485" spans="1:4" x14ac:dyDescent="0.25">
      <c r="A485">
        <v>485</v>
      </c>
      <c r="B485" t="s">
        <v>1139</v>
      </c>
      <c r="C485" t="s">
        <v>1140</v>
      </c>
      <c r="D485" t="s">
        <v>691</v>
      </c>
    </row>
    <row r="486" spans="1:4" x14ac:dyDescent="0.25">
      <c r="A486">
        <v>486</v>
      </c>
      <c r="B486" t="s">
        <v>1141</v>
      </c>
      <c r="C486" t="s">
        <v>1142</v>
      </c>
      <c r="D486" s="19">
        <v>33420</v>
      </c>
    </row>
    <row r="487" spans="1:4" x14ac:dyDescent="0.25">
      <c r="A487">
        <v>487</v>
      </c>
      <c r="B487" t="s">
        <v>1143</v>
      </c>
      <c r="C487" t="s">
        <v>1144</v>
      </c>
      <c r="D487" s="19">
        <v>45089</v>
      </c>
    </row>
    <row r="488" spans="1:4" x14ac:dyDescent="0.25">
      <c r="A488">
        <v>488</v>
      </c>
      <c r="B488" t="s">
        <v>1145</v>
      </c>
      <c r="C488" t="s">
        <v>1146</v>
      </c>
      <c r="D488" s="19">
        <v>33449</v>
      </c>
    </row>
    <row r="489" spans="1:4" x14ac:dyDescent="0.25">
      <c r="A489">
        <v>489</v>
      </c>
      <c r="B489" t="s">
        <v>1147</v>
      </c>
      <c r="C489" t="s">
        <v>1148</v>
      </c>
      <c r="D489" t="s">
        <v>439</v>
      </c>
    </row>
    <row r="490" spans="1:4" x14ac:dyDescent="0.25">
      <c r="A490">
        <v>490</v>
      </c>
      <c r="B490" t="s">
        <v>1149</v>
      </c>
      <c r="C490" t="s">
        <v>1150</v>
      </c>
      <c r="D490" s="19">
        <v>44081</v>
      </c>
    </row>
    <row r="491" spans="1:4" x14ac:dyDescent="0.25">
      <c r="A491">
        <v>491</v>
      </c>
      <c r="B491" t="s">
        <v>1151</v>
      </c>
      <c r="C491" t="s">
        <v>1152</v>
      </c>
      <c r="D491" s="19">
        <v>42905</v>
      </c>
    </row>
    <row r="492" spans="1:4" x14ac:dyDescent="0.25">
      <c r="A492">
        <v>492</v>
      </c>
      <c r="B492" t="s">
        <v>1153</v>
      </c>
      <c r="C492" t="s">
        <v>1154</v>
      </c>
      <c r="D492" s="19">
        <v>41095</v>
      </c>
    </row>
    <row r="493" spans="1:4" x14ac:dyDescent="0.25">
      <c r="A493">
        <v>493</v>
      </c>
      <c r="B493" t="s">
        <v>1155</v>
      </c>
      <c r="C493" t="s">
        <v>1156</v>
      </c>
      <c r="D493" t="s">
        <v>1157</v>
      </c>
    </row>
    <row r="494" spans="1:4" x14ac:dyDescent="0.25">
      <c r="A494">
        <v>494</v>
      </c>
      <c r="B494" t="s">
        <v>1158</v>
      </c>
      <c r="C494" t="s">
        <v>1159</v>
      </c>
      <c r="D494" s="19">
        <v>39547</v>
      </c>
    </row>
    <row r="495" spans="1:4" x14ac:dyDescent="0.25">
      <c r="A495">
        <v>495</v>
      </c>
      <c r="B495" t="s">
        <v>1160</v>
      </c>
      <c r="C495" t="s">
        <v>1161</v>
      </c>
      <c r="D495" t="s">
        <v>1162</v>
      </c>
    </row>
    <row r="496" spans="1:4" x14ac:dyDescent="0.25">
      <c r="A496">
        <v>496</v>
      </c>
      <c r="B496" t="s">
        <v>1163</v>
      </c>
      <c r="C496" t="s">
        <v>1164</v>
      </c>
      <c r="D496" t="s">
        <v>1165</v>
      </c>
    </row>
    <row r="497" spans="1:4" x14ac:dyDescent="0.25">
      <c r="A497">
        <v>497</v>
      </c>
      <c r="B497" t="s">
        <v>1166</v>
      </c>
      <c r="C497" t="s">
        <v>1167</v>
      </c>
      <c r="D497" t="s">
        <v>1168</v>
      </c>
    </row>
    <row r="498" spans="1:4" x14ac:dyDescent="0.25">
      <c r="A498">
        <v>498</v>
      </c>
      <c r="B498" t="s">
        <v>1169</v>
      </c>
      <c r="C498" t="s">
        <v>1170</v>
      </c>
      <c r="D498" s="19">
        <v>43655</v>
      </c>
    </row>
    <row r="499" spans="1:4" x14ac:dyDescent="0.25">
      <c r="A499">
        <v>499</v>
      </c>
      <c r="B499" t="s">
        <v>1171</v>
      </c>
      <c r="C499" t="s">
        <v>1172</v>
      </c>
      <c r="D499" s="19">
        <v>43259</v>
      </c>
    </row>
    <row r="500" spans="1:4" x14ac:dyDescent="0.25">
      <c r="A500">
        <v>500</v>
      </c>
      <c r="B500" t="s">
        <v>1173</v>
      </c>
      <c r="C500" t="s">
        <v>1174</v>
      </c>
      <c r="D500" t="s">
        <v>1175</v>
      </c>
    </row>
    <row r="501" spans="1:4" x14ac:dyDescent="0.25">
      <c r="A501">
        <v>501</v>
      </c>
      <c r="B501" t="s">
        <v>1176</v>
      </c>
      <c r="C501" t="s">
        <v>1177</v>
      </c>
      <c r="D501" s="19">
        <v>36615</v>
      </c>
    </row>
    <row r="502" spans="1:4" x14ac:dyDescent="0.25">
      <c r="A502">
        <v>502</v>
      </c>
      <c r="B502" t="s">
        <v>1178</v>
      </c>
      <c r="C502" t="s">
        <v>1179</v>
      </c>
      <c r="D502" s="19">
        <v>41586</v>
      </c>
    </row>
    <row r="503" spans="1:4" x14ac:dyDescent="0.25">
      <c r="A503">
        <v>503</v>
      </c>
      <c r="B503" t="s">
        <v>1180</v>
      </c>
      <c r="C503" t="s">
        <v>1181</v>
      </c>
      <c r="D503" s="19">
        <v>40492</v>
      </c>
    </row>
    <row r="504" spans="1:4" x14ac:dyDescent="0.25">
      <c r="A504">
        <v>504</v>
      </c>
      <c r="B504" t="s">
        <v>1182</v>
      </c>
      <c r="C504" t="s">
        <v>1183</v>
      </c>
      <c r="D504" s="19">
        <v>37435</v>
      </c>
    </row>
    <row r="505" spans="1:4" x14ac:dyDescent="0.25">
      <c r="A505">
        <v>505</v>
      </c>
      <c r="B505" t="s">
        <v>1184</v>
      </c>
      <c r="C505" t="s">
        <v>1185</v>
      </c>
      <c r="D505" s="19">
        <v>44767</v>
      </c>
    </row>
    <row r="506" spans="1:4" x14ac:dyDescent="0.25">
      <c r="A506">
        <v>506</v>
      </c>
      <c r="B506" t="s">
        <v>1186</v>
      </c>
      <c r="C506" t="s">
        <v>1187</v>
      </c>
      <c r="D506" s="19">
        <v>45665</v>
      </c>
    </row>
    <row r="507" spans="1:4" x14ac:dyDescent="0.25">
      <c r="A507">
        <v>507</v>
      </c>
      <c r="B507" t="s">
        <v>1188</v>
      </c>
      <c r="C507" t="s">
        <v>1189</v>
      </c>
      <c r="D507" t="s">
        <v>1190</v>
      </c>
    </row>
    <row r="508" spans="1:4" x14ac:dyDescent="0.25">
      <c r="A508">
        <v>508</v>
      </c>
      <c r="B508" t="s">
        <v>1191</v>
      </c>
      <c r="C508" t="s">
        <v>1192</v>
      </c>
      <c r="D508" s="19">
        <v>44357</v>
      </c>
    </row>
    <row r="509" spans="1:4" x14ac:dyDescent="0.25">
      <c r="A509">
        <v>509</v>
      </c>
      <c r="B509" t="s">
        <v>1193</v>
      </c>
      <c r="C509" t="s">
        <v>1194</v>
      </c>
      <c r="D509" s="19">
        <v>45483</v>
      </c>
    </row>
    <row r="510" spans="1:4" x14ac:dyDescent="0.25">
      <c r="A510">
        <v>510</v>
      </c>
      <c r="B510" t="s">
        <v>1195</v>
      </c>
      <c r="C510" t="s">
        <v>1196</v>
      </c>
      <c r="D510" s="19">
        <v>44953</v>
      </c>
    </row>
    <row r="511" spans="1:4" x14ac:dyDescent="0.25">
      <c r="A511">
        <v>511</v>
      </c>
      <c r="B511" t="s">
        <v>1197</v>
      </c>
      <c r="C511" t="s">
        <v>1198</v>
      </c>
      <c r="D511" t="s">
        <v>1199</v>
      </c>
    </row>
    <row r="512" spans="1:4" x14ac:dyDescent="0.25">
      <c r="A512">
        <v>512</v>
      </c>
      <c r="B512" t="s">
        <v>1200</v>
      </c>
      <c r="C512" t="s">
        <v>1201</v>
      </c>
      <c r="D512" s="19">
        <v>37089</v>
      </c>
    </row>
    <row r="513" spans="1:4" x14ac:dyDescent="0.25">
      <c r="A513">
        <v>513</v>
      </c>
      <c r="B513" t="s">
        <v>1202</v>
      </c>
      <c r="C513" t="s">
        <v>1203</v>
      </c>
      <c r="D513" s="19">
        <v>39276</v>
      </c>
    </row>
    <row r="514" spans="1:4" x14ac:dyDescent="0.25">
      <c r="A514">
        <v>514</v>
      </c>
      <c r="B514" t="s">
        <v>1204</v>
      </c>
      <c r="C514" t="s">
        <v>1205</v>
      </c>
      <c r="D514" s="19">
        <v>43116</v>
      </c>
    </row>
    <row r="515" spans="1:4" x14ac:dyDescent="0.25">
      <c r="A515">
        <v>515</v>
      </c>
      <c r="B515" t="s">
        <v>1206</v>
      </c>
      <c r="C515" t="s">
        <v>1207</v>
      </c>
      <c r="D515" t="s">
        <v>1208</v>
      </c>
    </row>
    <row r="516" spans="1:4" x14ac:dyDescent="0.25">
      <c r="A516">
        <v>516</v>
      </c>
      <c r="B516" t="s">
        <v>1209</v>
      </c>
      <c r="C516" t="s">
        <v>1210</v>
      </c>
      <c r="D516" s="19">
        <v>44293</v>
      </c>
    </row>
    <row r="517" spans="1:4" x14ac:dyDescent="0.25">
      <c r="A517">
        <v>517</v>
      </c>
      <c r="B517" t="s">
        <v>1211</v>
      </c>
      <c r="C517" t="s">
        <v>1212</v>
      </c>
      <c r="D517" s="19">
        <v>43655</v>
      </c>
    </row>
    <row r="518" spans="1:4" x14ac:dyDescent="0.25">
      <c r="A518">
        <v>518</v>
      </c>
      <c r="B518" t="s">
        <v>1213</v>
      </c>
      <c r="C518" t="s">
        <v>1214</v>
      </c>
      <c r="D518" s="19">
        <v>41792</v>
      </c>
    </row>
    <row r="519" spans="1:4" x14ac:dyDescent="0.25">
      <c r="A519">
        <v>519</v>
      </c>
      <c r="B519" t="s">
        <v>1215</v>
      </c>
      <c r="C519" t="s">
        <v>1216</v>
      </c>
      <c r="D519" t="s">
        <v>1217</v>
      </c>
    </row>
    <row r="520" spans="1:4" x14ac:dyDescent="0.25">
      <c r="A520">
        <v>520</v>
      </c>
      <c r="B520" t="s">
        <v>1218</v>
      </c>
      <c r="C520" t="s">
        <v>1219</v>
      </c>
      <c r="D520" s="19">
        <v>45334</v>
      </c>
    </row>
    <row r="521" spans="1:4" x14ac:dyDescent="0.25">
      <c r="A521">
        <v>521</v>
      </c>
      <c r="B521" t="s">
        <v>1220</v>
      </c>
      <c r="C521" t="s">
        <v>1221</v>
      </c>
      <c r="D521" t="s">
        <v>1222</v>
      </c>
    </row>
    <row r="522" spans="1:4" x14ac:dyDescent="0.25">
      <c r="A522">
        <v>522</v>
      </c>
      <c r="B522" t="s">
        <v>1223</v>
      </c>
      <c r="C522" t="s">
        <v>1224</v>
      </c>
      <c r="D522" t="s">
        <v>917</v>
      </c>
    </row>
    <row r="523" spans="1:4" x14ac:dyDescent="0.25">
      <c r="A523">
        <v>523</v>
      </c>
      <c r="B523" t="s">
        <v>1225</v>
      </c>
      <c r="C523" t="s">
        <v>1226</v>
      </c>
      <c r="D523" t="s">
        <v>1227</v>
      </c>
    </row>
    <row r="524" spans="1:4" x14ac:dyDescent="0.25">
      <c r="A524">
        <v>524</v>
      </c>
      <c r="B524" t="s">
        <v>1228</v>
      </c>
      <c r="C524" t="s">
        <v>1229</v>
      </c>
      <c r="D524" s="19">
        <v>33028</v>
      </c>
    </row>
    <row r="525" spans="1:4" x14ac:dyDescent="0.25">
      <c r="A525">
        <v>525</v>
      </c>
      <c r="B525" t="s">
        <v>1230</v>
      </c>
      <c r="C525" t="s">
        <v>1231</v>
      </c>
      <c r="D525" t="s">
        <v>1162</v>
      </c>
    </row>
    <row r="526" spans="1:4" x14ac:dyDescent="0.25">
      <c r="A526">
        <v>526</v>
      </c>
      <c r="B526" t="s">
        <v>1232</v>
      </c>
      <c r="C526" t="s">
        <v>1233</v>
      </c>
      <c r="D526" s="19">
        <v>35635</v>
      </c>
    </row>
    <row r="527" spans="1:4" x14ac:dyDescent="0.25">
      <c r="A527">
        <v>527</v>
      </c>
      <c r="B527" t="s">
        <v>1234</v>
      </c>
      <c r="C527" t="s">
        <v>1235</v>
      </c>
      <c r="D527" s="19">
        <v>35633</v>
      </c>
    </row>
    <row r="528" spans="1:4" x14ac:dyDescent="0.25">
      <c r="A528">
        <v>528</v>
      </c>
      <c r="B528" t="s">
        <v>1236</v>
      </c>
      <c r="C528" t="s">
        <v>1237</v>
      </c>
      <c r="D528" s="19">
        <v>32909</v>
      </c>
    </row>
    <row r="529" spans="1:4" x14ac:dyDescent="0.25">
      <c r="A529">
        <v>529</v>
      </c>
      <c r="B529" t="s">
        <v>1238</v>
      </c>
      <c r="C529" t="s">
        <v>1239</v>
      </c>
      <c r="D529" s="19">
        <v>35244</v>
      </c>
    </row>
    <row r="530" spans="1:4" x14ac:dyDescent="0.25">
      <c r="A530">
        <v>530</v>
      </c>
      <c r="B530" t="s">
        <v>1240</v>
      </c>
      <c r="C530" t="s">
        <v>1241</v>
      </c>
      <c r="D530" t="s">
        <v>837</v>
      </c>
    </row>
    <row r="531" spans="1:4" x14ac:dyDescent="0.25">
      <c r="A531">
        <v>531</v>
      </c>
      <c r="B531" t="s">
        <v>1242</v>
      </c>
      <c r="C531" t="s">
        <v>1243</v>
      </c>
      <c r="D531" t="s">
        <v>1244</v>
      </c>
    </row>
    <row r="532" spans="1:4" x14ac:dyDescent="0.25">
      <c r="A532">
        <v>532</v>
      </c>
      <c r="B532" t="s">
        <v>1245</v>
      </c>
      <c r="C532" t="s">
        <v>1246</v>
      </c>
      <c r="D532" s="19">
        <v>34421</v>
      </c>
    </row>
    <row r="533" spans="1:4" x14ac:dyDescent="0.25">
      <c r="A533">
        <v>533</v>
      </c>
      <c r="B533" t="s">
        <v>1247</v>
      </c>
      <c r="C533" t="s">
        <v>1248</v>
      </c>
      <c r="D533" s="19">
        <v>41744</v>
      </c>
    </row>
    <row r="534" spans="1:4" x14ac:dyDescent="0.25">
      <c r="A534">
        <v>534</v>
      </c>
      <c r="B534" t="s">
        <v>1249</v>
      </c>
      <c r="C534" t="s">
        <v>1250</v>
      </c>
      <c r="D534" s="19">
        <v>35251</v>
      </c>
    </row>
    <row r="535" spans="1:4" x14ac:dyDescent="0.25">
      <c r="A535">
        <v>535</v>
      </c>
      <c r="B535" t="s">
        <v>1251</v>
      </c>
      <c r="C535" t="s">
        <v>1252</v>
      </c>
      <c r="D535" s="19">
        <v>35632</v>
      </c>
    </row>
    <row r="536" spans="1:4" x14ac:dyDescent="0.25">
      <c r="A536">
        <v>536</v>
      </c>
      <c r="B536" t="s">
        <v>1253</v>
      </c>
      <c r="C536" t="s">
        <v>1254</v>
      </c>
      <c r="D536" s="19">
        <v>43432</v>
      </c>
    </row>
    <row r="537" spans="1:4" x14ac:dyDescent="0.25">
      <c r="A537">
        <v>537</v>
      </c>
      <c r="B537" t="s">
        <v>1255</v>
      </c>
      <c r="C537" t="s">
        <v>1256</v>
      </c>
      <c r="D537" t="s">
        <v>1257</v>
      </c>
    </row>
    <row r="538" spans="1:4" x14ac:dyDescent="0.25">
      <c r="A538">
        <v>538</v>
      </c>
      <c r="B538" t="s">
        <v>1258</v>
      </c>
      <c r="C538" t="s">
        <v>1259</v>
      </c>
      <c r="D538" s="19">
        <v>42908</v>
      </c>
    </row>
    <row r="539" spans="1:4" x14ac:dyDescent="0.25">
      <c r="A539">
        <v>539</v>
      </c>
      <c r="B539" t="s">
        <v>1260</v>
      </c>
      <c r="C539" t="s">
        <v>1261</v>
      </c>
      <c r="D539" s="19">
        <v>41290</v>
      </c>
    </row>
    <row r="540" spans="1:4" x14ac:dyDescent="0.25">
      <c r="A540">
        <v>540</v>
      </c>
      <c r="B540" t="s">
        <v>1262</v>
      </c>
      <c r="C540" t="s">
        <v>1263</v>
      </c>
      <c r="D540" s="19">
        <v>45132</v>
      </c>
    </row>
    <row r="541" spans="1:4" x14ac:dyDescent="0.25">
      <c r="A541">
        <v>541</v>
      </c>
      <c r="B541" t="s">
        <v>1264</v>
      </c>
      <c r="C541" t="s">
        <v>1265</v>
      </c>
      <c r="D541" s="19">
        <v>38758</v>
      </c>
    </row>
    <row r="542" spans="1:4" x14ac:dyDescent="0.25">
      <c r="A542">
        <v>542</v>
      </c>
      <c r="B542" t="s">
        <v>1266</v>
      </c>
      <c r="C542" t="s">
        <v>1267</v>
      </c>
      <c r="D542" s="19">
        <v>34374</v>
      </c>
    </row>
    <row r="543" spans="1:4" x14ac:dyDescent="0.25">
      <c r="A543">
        <v>543</v>
      </c>
      <c r="B543" t="s">
        <v>1268</v>
      </c>
      <c r="C543" t="s">
        <v>1269</v>
      </c>
      <c r="D543" s="19">
        <v>45302</v>
      </c>
    </row>
    <row r="544" spans="1:4" x14ac:dyDescent="0.25">
      <c r="A544">
        <v>544</v>
      </c>
      <c r="B544" t="s">
        <v>1270</v>
      </c>
      <c r="C544" t="s">
        <v>1271</v>
      </c>
      <c r="D544" s="19">
        <v>43286</v>
      </c>
    </row>
    <row r="545" spans="1:4" x14ac:dyDescent="0.25">
      <c r="A545">
        <v>545</v>
      </c>
      <c r="B545" t="s">
        <v>1272</v>
      </c>
      <c r="C545" t="s">
        <v>1273</v>
      </c>
      <c r="D545" s="19">
        <v>42907</v>
      </c>
    </row>
    <row r="546" spans="1:4" x14ac:dyDescent="0.25">
      <c r="A546">
        <v>546</v>
      </c>
      <c r="B546" t="s">
        <v>1274</v>
      </c>
      <c r="C546" t="s">
        <v>1275</v>
      </c>
      <c r="D546" s="19">
        <v>38301</v>
      </c>
    </row>
    <row r="547" spans="1:4" x14ac:dyDescent="0.25">
      <c r="A547">
        <v>547</v>
      </c>
      <c r="B547" t="s">
        <v>1276</v>
      </c>
      <c r="C547" t="s">
        <v>1277</v>
      </c>
      <c r="D547" s="19">
        <v>42411</v>
      </c>
    </row>
    <row r="548" spans="1:4" x14ac:dyDescent="0.25">
      <c r="A548">
        <v>548</v>
      </c>
      <c r="B548" t="s">
        <v>1278</v>
      </c>
      <c r="C548" t="s">
        <v>1279</v>
      </c>
      <c r="D548" s="19">
        <v>42928</v>
      </c>
    </row>
    <row r="549" spans="1:4" x14ac:dyDescent="0.25">
      <c r="A549">
        <v>549</v>
      </c>
      <c r="B549" t="s">
        <v>1280</v>
      </c>
      <c r="C549" t="s">
        <v>1281</v>
      </c>
      <c r="D549" s="19">
        <v>38512</v>
      </c>
    </row>
    <row r="550" spans="1:4" x14ac:dyDescent="0.25">
      <c r="A550">
        <v>550</v>
      </c>
      <c r="B550" t="s">
        <v>1282</v>
      </c>
      <c r="C550" t="s">
        <v>1283</v>
      </c>
      <c r="D550" s="19">
        <v>44377</v>
      </c>
    </row>
    <row r="551" spans="1:4" x14ac:dyDescent="0.25">
      <c r="A551">
        <v>551</v>
      </c>
      <c r="B551" t="s">
        <v>1284</v>
      </c>
      <c r="C551" t="s">
        <v>1285</v>
      </c>
      <c r="D551" s="19">
        <v>45089</v>
      </c>
    </row>
    <row r="552" spans="1:4" x14ac:dyDescent="0.25">
      <c r="A552">
        <v>552</v>
      </c>
      <c r="B552" t="s">
        <v>1286</v>
      </c>
      <c r="C552" t="s">
        <v>1287</v>
      </c>
      <c r="D552" t="s">
        <v>1288</v>
      </c>
    </row>
    <row r="553" spans="1:4" x14ac:dyDescent="0.25">
      <c r="A553">
        <v>553</v>
      </c>
      <c r="B553" t="s">
        <v>1289</v>
      </c>
      <c r="C553" t="s">
        <v>1290</v>
      </c>
      <c r="D553" s="19">
        <v>41830</v>
      </c>
    </row>
    <row r="554" spans="1:4" x14ac:dyDescent="0.25">
      <c r="A554">
        <v>554</v>
      </c>
      <c r="B554" t="s">
        <v>1291</v>
      </c>
      <c r="C554" t="s">
        <v>1292</v>
      </c>
      <c r="D554" s="19">
        <v>45034</v>
      </c>
    </row>
    <row r="555" spans="1:4" x14ac:dyDescent="0.25">
      <c r="A555">
        <v>555</v>
      </c>
      <c r="B555" t="s">
        <v>1293</v>
      </c>
      <c r="C555" t="s">
        <v>1294</v>
      </c>
      <c r="D555" s="19">
        <v>40639</v>
      </c>
    </row>
    <row r="556" spans="1:4" x14ac:dyDescent="0.25">
      <c r="A556">
        <v>556</v>
      </c>
      <c r="B556" t="s">
        <v>1295</v>
      </c>
      <c r="C556" t="s">
        <v>1296</v>
      </c>
      <c r="D556" s="19">
        <v>40556</v>
      </c>
    </row>
    <row r="557" spans="1:4" x14ac:dyDescent="0.25">
      <c r="A557">
        <v>557</v>
      </c>
      <c r="B557" t="s">
        <v>1297</v>
      </c>
      <c r="C557" t="s">
        <v>1298</v>
      </c>
      <c r="D557" s="19">
        <v>43040</v>
      </c>
    </row>
    <row r="558" spans="1:4" x14ac:dyDescent="0.25">
      <c r="A558">
        <v>558</v>
      </c>
      <c r="B558" t="s">
        <v>1299</v>
      </c>
      <c r="C558" t="s">
        <v>1300</v>
      </c>
      <c r="D558" s="19">
        <v>44446</v>
      </c>
    </row>
    <row r="559" spans="1:4" x14ac:dyDescent="0.25">
      <c r="A559">
        <v>559</v>
      </c>
      <c r="B559" t="s">
        <v>1301</v>
      </c>
      <c r="C559" t="s">
        <v>1302</v>
      </c>
      <c r="D559" s="19">
        <v>39266</v>
      </c>
    </row>
    <row r="560" spans="1:4" x14ac:dyDescent="0.25">
      <c r="A560">
        <v>560</v>
      </c>
      <c r="B560" t="s">
        <v>1303</v>
      </c>
      <c r="C560" t="s">
        <v>1304</v>
      </c>
      <c r="D560" s="19">
        <v>41740</v>
      </c>
    </row>
    <row r="561" spans="1:4" x14ac:dyDescent="0.25">
      <c r="A561">
        <v>561</v>
      </c>
      <c r="B561" t="s">
        <v>1305</v>
      </c>
      <c r="C561" t="s">
        <v>1306</v>
      </c>
      <c r="D561" t="s">
        <v>1307</v>
      </c>
    </row>
    <row r="562" spans="1:4" x14ac:dyDescent="0.25">
      <c r="A562">
        <v>562</v>
      </c>
      <c r="B562" t="s">
        <v>1308</v>
      </c>
      <c r="C562" t="s">
        <v>1309</v>
      </c>
      <c r="D562" s="19">
        <v>42174</v>
      </c>
    </row>
    <row r="563" spans="1:4" x14ac:dyDescent="0.25">
      <c r="A563">
        <v>563</v>
      </c>
      <c r="B563" t="s">
        <v>1310</v>
      </c>
      <c r="C563" t="s">
        <v>1311</v>
      </c>
      <c r="D563" s="19">
        <v>43003</v>
      </c>
    </row>
    <row r="564" spans="1:4" x14ac:dyDescent="0.25">
      <c r="A564">
        <v>564</v>
      </c>
      <c r="B564" t="s">
        <v>1312</v>
      </c>
      <c r="C564" t="s">
        <v>1313</v>
      </c>
      <c r="D564" s="19">
        <v>45762</v>
      </c>
    </row>
    <row r="565" spans="1:4" x14ac:dyDescent="0.25">
      <c r="A565">
        <v>565</v>
      </c>
      <c r="B565" t="s">
        <v>1314</v>
      </c>
      <c r="C565" t="s">
        <v>1315</v>
      </c>
      <c r="D565" s="19">
        <v>33987</v>
      </c>
    </row>
    <row r="566" spans="1:4" x14ac:dyDescent="0.25">
      <c r="A566">
        <v>566</v>
      </c>
      <c r="B566" t="s">
        <v>1316</v>
      </c>
      <c r="C566" t="s">
        <v>1317</v>
      </c>
      <c r="D566" s="19">
        <v>33435</v>
      </c>
    </row>
    <row r="567" spans="1:4" x14ac:dyDescent="0.25">
      <c r="A567">
        <v>567</v>
      </c>
      <c r="B567" t="s">
        <v>1318</v>
      </c>
      <c r="C567" t="s">
        <v>1319</v>
      </c>
      <c r="D567" t="s">
        <v>1320</v>
      </c>
    </row>
    <row r="568" spans="1:4" x14ac:dyDescent="0.25">
      <c r="A568">
        <v>568</v>
      </c>
      <c r="B568" t="s">
        <v>1321</v>
      </c>
      <c r="C568" t="s">
        <v>1322</v>
      </c>
      <c r="D568" t="s">
        <v>560</v>
      </c>
    </row>
    <row r="569" spans="1:4" x14ac:dyDescent="0.25">
      <c r="A569">
        <v>569</v>
      </c>
      <c r="B569" t="s">
        <v>1323</v>
      </c>
      <c r="C569" t="s">
        <v>1324</v>
      </c>
      <c r="D569" s="19">
        <v>36633</v>
      </c>
    </row>
    <row r="570" spans="1:4" x14ac:dyDescent="0.25">
      <c r="A570">
        <v>570</v>
      </c>
      <c r="B570" t="s">
        <v>1325</v>
      </c>
      <c r="C570" t="s">
        <v>1326</v>
      </c>
      <c r="D570" s="19">
        <v>45334</v>
      </c>
    </row>
    <row r="571" spans="1:4" x14ac:dyDescent="0.25">
      <c r="A571">
        <v>571</v>
      </c>
      <c r="B571" t="s">
        <v>1327</v>
      </c>
      <c r="C571" t="s">
        <v>1328</v>
      </c>
      <c r="D571" s="19">
        <v>45034</v>
      </c>
    </row>
    <row r="572" spans="1:4" x14ac:dyDescent="0.25">
      <c r="A572">
        <v>572</v>
      </c>
      <c r="B572" t="s">
        <v>1329</v>
      </c>
      <c r="C572" t="s">
        <v>1330</v>
      </c>
      <c r="D572" s="19">
        <v>45848</v>
      </c>
    </row>
    <row r="573" spans="1:4" x14ac:dyDescent="0.25">
      <c r="A573">
        <v>573</v>
      </c>
      <c r="B573" t="s">
        <v>1331</v>
      </c>
      <c r="C573" t="s">
        <v>1332</v>
      </c>
      <c r="D573" s="19">
        <v>29790</v>
      </c>
    </row>
    <row r="574" spans="1:4" x14ac:dyDescent="0.25">
      <c r="A574">
        <v>574</v>
      </c>
      <c r="B574" t="s">
        <v>1333</v>
      </c>
      <c r="C574" t="s">
        <v>1334</v>
      </c>
      <c r="D574" s="19">
        <v>37090</v>
      </c>
    </row>
    <row r="575" spans="1:4" x14ac:dyDescent="0.25">
      <c r="A575">
        <v>575</v>
      </c>
      <c r="B575" t="s">
        <v>1335</v>
      </c>
      <c r="C575" t="s">
        <v>1336</v>
      </c>
      <c r="D575" s="19">
        <v>38601</v>
      </c>
    </row>
    <row r="576" spans="1:4" x14ac:dyDescent="0.25">
      <c r="A576">
        <v>576</v>
      </c>
      <c r="B576" t="s">
        <v>1337</v>
      </c>
      <c r="C576" t="s">
        <v>1338</v>
      </c>
      <c r="D576" t="s">
        <v>1339</v>
      </c>
    </row>
    <row r="577" spans="1:4" x14ac:dyDescent="0.25">
      <c r="A577">
        <v>577</v>
      </c>
      <c r="B577" t="s">
        <v>1340</v>
      </c>
      <c r="C577" t="s">
        <v>1341</v>
      </c>
      <c r="D577" s="19">
        <v>44355</v>
      </c>
    </row>
    <row r="578" spans="1:4" x14ac:dyDescent="0.25">
      <c r="A578">
        <v>578</v>
      </c>
      <c r="B578" t="s">
        <v>1342</v>
      </c>
      <c r="C578" t="s">
        <v>1343</v>
      </c>
      <c r="D578" s="19">
        <v>41828</v>
      </c>
    </row>
    <row r="579" spans="1:4" x14ac:dyDescent="0.25">
      <c r="A579">
        <v>579</v>
      </c>
      <c r="B579" t="s">
        <v>1344</v>
      </c>
      <c r="C579" t="s">
        <v>1345</v>
      </c>
      <c r="D579" s="19">
        <v>43293</v>
      </c>
    </row>
    <row r="580" spans="1:4" x14ac:dyDescent="0.25">
      <c r="A580">
        <v>580</v>
      </c>
      <c r="B580" t="s">
        <v>1346</v>
      </c>
      <c r="C580" t="s">
        <v>1347</v>
      </c>
      <c r="D580" s="19">
        <v>45398</v>
      </c>
    </row>
    <row r="581" spans="1:4" x14ac:dyDescent="0.25">
      <c r="A581">
        <v>581</v>
      </c>
      <c r="B581" t="s">
        <v>1348</v>
      </c>
      <c r="C581" t="s">
        <v>1349</v>
      </c>
      <c r="D581" t="s">
        <v>1350</v>
      </c>
    </row>
    <row r="582" spans="1:4" x14ac:dyDescent="0.25">
      <c r="A582">
        <v>582</v>
      </c>
      <c r="B582" t="s">
        <v>1351</v>
      </c>
      <c r="C582" t="s">
        <v>1352</v>
      </c>
      <c r="D582" s="19">
        <v>40512</v>
      </c>
    </row>
    <row r="583" spans="1:4" x14ac:dyDescent="0.25">
      <c r="A583">
        <v>583</v>
      </c>
      <c r="B583" t="s">
        <v>1353</v>
      </c>
      <c r="C583" t="s">
        <v>1354</v>
      </c>
      <c r="D583" s="19">
        <v>42087</v>
      </c>
    </row>
    <row r="584" spans="1:4" x14ac:dyDescent="0.25">
      <c r="A584">
        <v>584</v>
      </c>
      <c r="B584" t="s">
        <v>1355</v>
      </c>
      <c r="C584" t="s">
        <v>1356</v>
      </c>
      <c r="D584" s="19">
        <v>42853</v>
      </c>
    </row>
    <row r="585" spans="1:4" x14ac:dyDescent="0.25">
      <c r="A585">
        <v>585</v>
      </c>
      <c r="B585" t="s">
        <v>1357</v>
      </c>
      <c r="C585" t="s">
        <v>1358</v>
      </c>
      <c r="D585" s="19">
        <v>45726</v>
      </c>
    </row>
    <row r="586" spans="1:4" x14ac:dyDescent="0.25">
      <c r="A586">
        <v>586</v>
      </c>
      <c r="B586" t="s">
        <v>1359</v>
      </c>
      <c r="C586" t="s">
        <v>1360</v>
      </c>
      <c r="D586" s="19">
        <v>35460</v>
      </c>
    </row>
    <row r="587" spans="1:4" x14ac:dyDescent="0.25">
      <c r="A587">
        <v>587</v>
      </c>
      <c r="B587" t="s">
        <v>1361</v>
      </c>
      <c r="C587" t="s">
        <v>1362</v>
      </c>
      <c r="D587" s="19">
        <v>35627</v>
      </c>
    </row>
    <row r="588" spans="1:4" x14ac:dyDescent="0.25">
      <c r="A588">
        <v>588</v>
      </c>
      <c r="B588" t="s">
        <v>1363</v>
      </c>
      <c r="C588" t="s">
        <v>1364</v>
      </c>
      <c r="D588" s="19">
        <v>45334</v>
      </c>
    </row>
    <row r="589" spans="1:4" x14ac:dyDescent="0.25">
      <c r="A589">
        <v>589</v>
      </c>
      <c r="B589" t="s">
        <v>1365</v>
      </c>
      <c r="C589" t="s">
        <v>1366</v>
      </c>
      <c r="D589" t="s">
        <v>1367</v>
      </c>
    </row>
    <row r="590" spans="1:4" x14ac:dyDescent="0.25">
      <c r="A590">
        <v>590</v>
      </c>
      <c r="B590" t="s">
        <v>1368</v>
      </c>
      <c r="C590" t="s">
        <v>1369</v>
      </c>
      <c r="D590" s="19">
        <v>40004</v>
      </c>
    </row>
    <row r="591" spans="1:4" x14ac:dyDescent="0.25">
      <c r="A591">
        <v>591</v>
      </c>
      <c r="B591" t="s">
        <v>1370</v>
      </c>
      <c r="C591" t="s">
        <v>1371</v>
      </c>
      <c r="D591" s="19">
        <v>44873</v>
      </c>
    </row>
    <row r="592" spans="1:4" x14ac:dyDescent="0.25">
      <c r="A592">
        <v>592</v>
      </c>
      <c r="B592" t="s">
        <v>1372</v>
      </c>
      <c r="C592" t="s">
        <v>1373</v>
      </c>
      <c r="D592" t="s">
        <v>1374</v>
      </c>
    </row>
    <row r="593" spans="1:4" x14ac:dyDescent="0.25">
      <c r="A593">
        <v>593</v>
      </c>
      <c r="B593" t="s">
        <v>1375</v>
      </c>
      <c r="C593" t="s">
        <v>1376</v>
      </c>
      <c r="D593" s="19">
        <v>34351</v>
      </c>
    </row>
    <row r="594" spans="1:4" x14ac:dyDescent="0.25">
      <c r="A594">
        <v>594</v>
      </c>
      <c r="B594" t="s">
        <v>1377</v>
      </c>
      <c r="C594" t="s">
        <v>1378</v>
      </c>
      <c r="D594" s="19">
        <v>32818</v>
      </c>
    </row>
    <row r="595" spans="1:4" x14ac:dyDescent="0.25">
      <c r="A595">
        <v>595</v>
      </c>
      <c r="B595" t="s">
        <v>1379</v>
      </c>
      <c r="C595" t="s">
        <v>1380</v>
      </c>
      <c r="D595" s="19">
        <v>41463</v>
      </c>
    </row>
    <row r="596" spans="1:4" x14ac:dyDescent="0.25">
      <c r="A596">
        <v>596</v>
      </c>
      <c r="B596" t="s">
        <v>1381</v>
      </c>
      <c r="C596" t="s">
        <v>1382</v>
      </c>
      <c r="D596" t="s">
        <v>1383</v>
      </c>
    </row>
    <row r="597" spans="1:4" x14ac:dyDescent="0.25">
      <c r="A597">
        <v>597</v>
      </c>
      <c r="B597" t="s">
        <v>1384</v>
      </c>
      <c r="C597" t="s">
        <v>1385</v>
      </c>
      <c r="D597" s="19">
        <v>42167</v>
      </c>
    </row>
    <row r="598" spans="1:4" x14ac:dyDescent="0.25">
      <c r="A598">
        <v>598</v>
      </c>
      <c r="B598" t="s">
        <v>1386</v>
      </c>
      <c r="C598" t="s">
        <v>1387</v>
      </c>
      <c r="D598" s="19">
        <v>39255</v>
      </c>
    </row>
    <row r="599" spans="1:4" x14ac:dyDescent="0.25">
      <c r="A599">
        <v>599</v>
      </c>
      <c r="B599" t="s">
        <v>1388</v>
      </c>
      <c r="C599" t="s">
        <v>1389</v>
      </c>
      <c r="D599" t="s">
        <v>1390</v>
      </c>
    </row>
    <row r="600" spans="1:4" x14ac:dyDescent="0.25">
      <c r="A600">
        <v>600</v>
      </c>
      <c r="B600" t="s">
        <v>1391</v>
      </c>
      <c r="C600" t="s">
        <v>1392</v>
      </c>
      <c r="D600" t="s">
        <v>691</v>
      </c>
    </row>
    <row r="601" spans="1:4" x14ac:dyDescent="0.25">
      <c r="A601">
        <v>601</v>
      </c>
      <c r="B601" t="s">
        <v>1393</v>
      </c>
      <c r="C601" t="s">
        <v>1394</v>
      </c>
      <c r="D601" s="19">
        <v>45329</v>
      </c>
    </row>
    <row r="602" spans="1:4" x14ac:dyDescent="0.25">
      <c r="A602">
        <v>602</v>
      </c>
      <c r="B602" t="s">
        <v>1395</v>
      </c>
      <c r="C602" t="s">
        <v>1396</v>
      </c>
      <c r="D602" t="s">
        <v>1397</v>
      </c>
    </row>
    <row r="603" spans="1:4" x14ac:dyDescent="0.25">
      <c r="A603">
        <v>603</v>
      </c>
      <c r="B603" t="s">
        <v>1398</v>
      </c>
      <c r="C603" t="s">
        <v>1399</v>
      </c>
      <c r="D603" s="19">
        <v>42921</v>
      </c>
    </row>
    <row r="604" spans="1:4" x14ac:dyDescent="0.25">
      <c r="A604">
        <v>604</v>
      </c>
      <c r="B604" t="s">
        <v>1400</v>
      </c>
      <c r="C604" t="s">
        <v>1401</v>
      </c>
      <c r="D604" t="s">
        <v>1402</v>
      </c>
    </row>
    <row r="605" spans="1:4" x14ac:dyDescent="0.25">
      <c r="A605">
        <v>605</v>
      </c>
      <c r="B605" t="s">
        <v>1403</v>
      </c>
      <c r="C605" t="s">
        <v>1404</v>
      </c>
      <c r="D605" t="s">
        <v>893</v>
      </c>
    </row>
    <row r="606" spans="1:4" x14ac:dyDescent="0.25">
      <c r="A606">
        <v>606</v>
      </c>
      <c r="B606" t="s">
        <v>1405</v>
      </c>
      <c r="C606" t="s">
        <v>1406</v>
      </c>
      <c r="D606" t="s">
        <v>1407</v>
      </c>
    </row>
    <row r="607" spans="1:4" x14ac:dyDescent="0.25">
      <c r="A607">
        <v>607</v>
      </c>
      <c r="B607" t="s">
        <v>1408</v>
      </c>
      <c r="C607" t="s">
        <v>1409</v>
      </c>
      <c r="D607" s="19">
        <v>34907</v>
      </c>
    </row>
    <row r="608" spans="1:4" x14ac:dyDescent="0.25">
      <c r="A608">
        <v>608</v>
      </c>
      <c r="B608" t="s">
        <v>1410</v>
      </c>
      <c r="C608" t="s">
        <v>1411</v>
      </c>
      <c r="D608" s="19">
        <v>32755</v>
      </c>
    </row>
    <row r="609" spans="1:4" x14ac:dyDescent="0.25">
      <c r="A609">
        <v>609</v>
      </c>
      <c r="B609" t="s">
        <v>1412</v>
      </c>
      <c r="C609" t="s">
        <v>1413</v>
      </c>
      <c r="D609" t="s">
        <v>1414</v>
      </c>
    </row>
    <row r="610" spans="1:4" x14ac:dyDescent="0.25">
      <c r="A610">
        <v>610</v>
      </c>
      <c r="B610" t="s">
        <v>1415</v>
      </c>
      <c r="C610" t="s">
        <v>1416</v>
      </c>
      <c r="D610" s="19">
        <v>43259</v>
      </c>
    </row>
    <row r="611" spans="1:4" x14ac:dyDescent="0.25">
      <c r="A611">
        <v>611</v>
      </c>
      <c r="B611" t="s">
        <v>1417</v>
      </c>
      <c r="C611" t="s">
        <v>1418</v>
      </c>
      <c r="D611" s="19">
        <v>45301</v>
      </c>
    </row>
    <row r="612" spans="1:4" x14ac:dyDescent="0.25">
      <c r="A612">
        <v>612</v>
      </c>
      <c r="B612" t="s">
        <v>1419</v>
      </c>
      <c r="C612" t="s">
        <v>1420</v>
      </c>
      <c r="D612" s="19">
        <v>41099</v>
      </c>
    </row>
    <row r="613" spans="1:4" x14ac:dyDescent="0.25">
      <c r="A613">
        <v>613</v>
      </c>
      <c r="B613" t="s">
        <v>1421</v>
      </c>
      <c r="C613" t="s">
        <v>1422</v>
      </c>
      <c r="D613" s="19">
        <v>45238</v>
      </c>
    </row>
    <row r="614" spans="1:4" x14ac:dyDescent="0.25">
      <c r="A614">
        <v>614</v>
      </c>
      <c r="B614" t="s">
        <v>1423</v>
      </c>
      <c r="C614" t="s">
        <v>1424</v>
      </c>
      <c r="D614" s="19">
        <v>32972</v>
      </c>
    </row>
    <row r="615" spans="1:4" x14ac:dyDescent="0.25">
      <c r="A615">
        <v>615</v>
      </c>
      <c r="B615" t="s">
        <v>1425</v>
      </c>
      <c r="C615" t="s">
        <v>1426</v>
      </c>
      <c r="D615" s="19">
        <v>44522</v>
      </c>
    </row>
    <row r="616" spans="1:4" x14ac:dyDescent="0.25">
      <c r="A616">
        <v>616</v>
      </c>
      <c r="B616" t="s">
        <v>1427</v>
      </c>
      <c r="C616" t="s">
        <v>1428</v>
      </c>
      <c r="D616" s="19">
        <v>32979</v>
      </c>
    </row>
    <row r="617" spans="1:4" x14ac:dyDescent="0.25">
      <c r="A617">
        <v>617</v>
      </c>
      <c r="B617" t="s">
        <v>1429</v>
      </c>
      <c r="C617" t="s">
        <v>1430</v>
      </c>
      <c r="D617" s="19">
        <v>40714</v>
      </c>
    </row>
    <row r="618" spans="1:4" x14ac:dyDescent="0.25">
      <c r="A618">
        <v>618</v>
      </c>
      <c r="B618" t="s">
        <v>1431</v>
      </c>
      <c r="C618" t="s">
        <v>1432</v>
      </c>
      <c r="D618" s="19">
        <v>44671</v>
      </c>
    </row>
    <row r="619" spans="1:4" x14ac:dyDescent="0.25">
      <c r="A619">
        <v>619</v>
      </c>
      <c r="B619" t="s">
        <v>1433</v>
      </c>
      <c r="C619" t="s">
        <v>1434</v>
      </c>
      <c r="D619" s="19">
        <v>43565</v>
      </c>
    </row>
    <row r="620" spans="1:4" x14ac:dyDescent="0.25">
      <c r="A620">
        <v>620</v>
      </c>
      <c r="B620" t="s">
        <v>1435</v>
      </c>
      <c r="C620" t="s">
        <v>1436</v>
      </c>
      <c r="D620" s="19">
        <v>42410</v>
      </c>
    </row>
    <row r="621" spans="1:4" x14ac:dyDescent="0.25">
      <c r="A621">
        <v>621</v>
      </c>
      <c r="B621" t="s">
        <v>1437</v>
      </c>
      <c r="C621" t="s">
        <v>1438</v>
      </c>
      <c r="D621" s="19">
        <v>33611</v>
      </c>
    </row>
    <row r="622" spans="1:4" x14ac:dyDescent="0.25">
      <c r="A622">
        <v>622</v>
      </c>
      <c r="B622" t="s">
        <v>1439</v>
      </c>
      <c r="C622" t="s">
        <v>1440</v>
      </c>
      <c r="D622" t="s">
        <v>1441</v>
      </c>
    </row>
    <row r="623" spans="1:4" x14ac:dyDescent="0.25">
      <c r="A623">
        <v>623</v>
      </c>
      <c r="B623" t="s">
        <v>1442</v>
      </c>
      <c r="C623" t="s">
        <v>1443</v>
      </c>
      <c r="D623" t="s">
        <v>917</v>
      </c>
    </row>
    <row r="624" spans="1:4" x14ac:dyDescent="0.25">
      <c r="A624">
        <v>624</v>
      </c>
      <c r="B624" t="s">
        <v>1444</v>
      </c>
      <c r="C624" t="s">
        <v>1445</v>
      </c>
      <c r="D624" s="19">
        <v>36734</v>
      </c>
    </row>
    <row r="625" spans="1:4" x14ac:dyDescent="0.25">
      <c r="A625">
        <v>625</v>
      </c>
      <c r="B625" t="s">
        <v>1446</v>
      </c>
      <c r="C625" t="s">
        <v>1447</v>
      </c>
      <c r="D625" s="19">
        <v>33058</v>
      </c>
    </row>
    <row r="626" spans="1:4" x14ac:dyDescent="0.25">
      <c r="A626">
        <v>626</v>
      </c>
      <c r="B626" t="s">
        <v>1448</v>
      </c>
      <c r="C626" t="s">
        <v>1449</v>
      </c>
      <c r="D626" t="s">
        <v>1450</v>
      </c>
    </row>
    <row r="627" spans="1:4" x14ac:dyDescent="0.25">
      <c r="A627">
        <v>627</v>
      </c>
      <c r="B627" t="s">
        <v>1451</v>
      </c>
      <c r="C627" t="s">
        <v>1452</v>
      </c>
      <c r="D627" t="s">
        <v>1453</v>
      </c>
    </row>
    <row r="628" spans="1:4" x14ac:dyDescent="0.25">
      <c r="A628">
        <v>628</v>
      </c>
      <c r="B628" t="s">
        <v>1454</v>
      </c>
      <c r="C628" t="s">
        <v>1455</v>
      </c>
      <c r="D628" s="19">
        <v>45609</v>
      </c>
    </row>
    <row r="629" spans="1:4" x14ac:dyDescent="0.25">
      <c r="A629">
        <v>629</v>
      </c>
      <c r="B629" t="s">
        <v>1456</v>
      </c>
      <c r="C629" t="s">
        <v>1457</v>
      </c>
      <c r="D629" s="19">
        <v>44630</v>
      </c>
    </row>
    <row r="630" spans="1:4" x14ac:dyDescent="0.25">
      <c r="A630">
        <v>630</v>
      </c>
      <c r="B630" t="s">
        <v>1458</v>
      </c>
      <c r="C630" t="s">
        <v>1459</v>
      </c>
      <c r="D630" t="s">
        <v>1460</v>
      </c>
    </row>
    <row r="631" spans="1:4" x14ac:dyDescent="0.25">
      <c r="A631">
        <v>631</v>
      </c>
      <c r="B631" t="s">
        <v>1461</v>
      </c>
      <c r="C631" t="s">
        <v>1462</v>
      </c>
      <c r="D631" t="s">
        <v>1463</v>
      </c>
    </row>
    <row r="632" spans="1:4" x14ac:dyDescent="0.25">
      <c r="A632">
        <v>632</v>
      </c>
      <c r="B632" t="s">
        <v>1464</v>
      </c>
      <c r="C632" t="s">
        <v>1465</v>
      </c>
      <c r="D632" s="19">
        <v>43483</v>
      </c>
    </row>
    <row r="633" spans="1:4" x14ac:dyDescent="0.25">
      <c r="A633">
        <v>633</v>
      </c>
      <c r="B633" t="s">
        <v>1466</v>
      </c>
      <c r="C633" t="s">
        <v>1467</v>
      </c>
      <c r="D633" s="19">
        <v>44963</v>
      </c>
    </row>
    <row r="634" spans="1:4" x14ac:dyDescent="0.25">
      <c r="A634">
        <v>634</v>
      </c>
      <c r="B634" t="s">
        <v>1468</v>
      </c>
      <c r="C634" t="s">
        <v>1469</v>
      </c>
      <c r="D634" s="19">
        <v>45028</v>
      </c>
    </row>
    <row r="635" spans="1:4" x14ac:dyDescent="0.25">
      <c r="A635">
        <v>635</v>
      </c>
      <c r="B635" t="s">
        <v>1470</v>
      </c>
      <c r="C635" t="s">
        <v>1471</v>
      </c>
      <c r="D635" t="s">
        <v>1472</v>
      </c>
    </row>
    <row r="636" spans="1:4" x14ac:dyDescent="0.25">
      <c r="A636">
        <v>636</v>
      </c>
      <c r="B636" t="s">
        <v>1473</v>
      </c>
      <c r="C636" t="s">
        <v>1474</v>
      </c>
      <c r="D636" t="s">
        <v>1475</v>
      </c>
    </row>
    <row r="637" spans="1:4" x14ac:dyDescent="0.25">
      <c r="A637">
        <v>637</v>
      </c>
      <c r="B637" t="s">
        <v>1476</v>
      </c>
      <c r="C637" t="s">
        <v>1477</v>
      </c>
      <c r="D637" s="19">
        <v>44587</v>
      </c>
    </row>
    <row r="638" spans="1:4" x14ac:dyDescent="0.25">
      <c r="A638">
        <v>638</v>
      </c>
      <c r="B638" t="s">
        <v>1478</v>
      </c>
      <c r="C638" t="s">
        <v>1479</v>
      </c>
      <c r="D638" s="19">
        <v>43293</v>
      </c>
    </row>
    <row r="639" spans="1:4" x14ac:dyDescent="0.25">
      <c r="A639">
        <v>639</v>
      </c>
      <c r="B639" t="s">
        <v>1480</v>
      </c>
      <c r="C639" t="s">
        <v>1481</v>
      </c>
      <c r="D639" s="19">
        <v>45300</v>
      </c>
    </row>
    <row r="640" spans="1:4" x14ac:dyDescent="0.25">
      <c r="A640">
        <v>640</v>
      </c>
      <c r="B640" t="s">
        <v>1482</v>
      </c>
      <c r="C640" t="s">
        <v>1483</v>
      </c>
      <c r="D640" t="s">
        <v>1484</v>
      </c>
    </row>
    <row r="641" spans="1:4" x14ac:dyDescent="0.25">
      <c r="A641">
        <v>641</v>
      </c>
      <c r="B641" t="s">
        <v>1485</v>
      </c>
      <c r="C641" t="s">
        <v>1486</v>
      </c>
      <c r="D641" s="19">
        <v>44386</v>
      </c>
    </row>
    <row r="642" spans="1:4" x14ac:dyDescent="0.25">
      <c r="A642">
        <v>642</v>
      </c>
      <c r="B642" t="s">
        <v>1487</v>
      </c>
      <c r="C642" t="s">
        <v>1488</v>
      </c>
      <c r="D642" t="s">
        <v>1489</v>
      </c>
    </row>
    <row r="643" spans="1:4" x14ac:dyDescent="0.25">
      <c r="A643">
        <v>643</v>
      </c>
      <c r="B643" t="s">
        <v>1490</v>
      </c>
      <c r="C643" t="s">
        <v>1491</v>
      </c>
      <c r="D643" t="s">
        <v>1492</v>
      </c>
    </row>
    <row r="644" spans="1:4" x14ac:dyDescent="0.25">
      <c r="A644">
        <v>644</v>
      </c>
      <c r="B644" t="s">
        <v>1493</v>
      </c>
      <c r="C644" t="s">
        <v>1494</v>
      </c>
      <c r="D644" s="19">
        <v>33443</v>
      </c>
    </row>
    <row r="645" spans="1:4" x14ac:dyDescent="0.25">
      <c r="A645">
        <v>645</v>
      </c>
      <c r="B645" t="s">
        <v>1495</v>
      </c>
      <c r="C645" t="s">
        <v>1496</v>
      </c>
      <c r="D645" s="19">
        <v>41165</v>
      </c>
    </row>
    <row r="646" spans="1:4" x14ac:dyDescent="0.25">
      <c r="A646">
        <v>646</v>
      </c>
      <c r="B646" t="s">
        <v>1497</v>
      </c>
      <c r="C646" t="s">
        <v>1498</v>
      </c>
      <c r="D646" t="s">
        <v>1499</v>
      </c>
    </row>
    <row r="647" spans="1:4" x14ac:dyDescent="0.25">
      <c r="A647">
        <v>647</v>
      </c>
      <c r="B647" t="s">
        <v>1500</v>
      </c>
      <c r="C647" t="s">
        <v>1501</v>
      </c>
      <c r="D647" t="s">
        <v>1502</v>
      </c>
    </row>
    <row r="648" spans="1:4" x14ac:dyDescent="0.25">
      <c r="A648">
        <v>648</v>
      </c>
      <c r="B648" t="s">
        <v>1503</v>
      </c>
      <c r="C648" t="s">
        <v>1504</v>
      </c>
      <c r="D648" s="19">
        <v>44300</v>
      </c>
    </row>
    <row r="649" spans="1:4" x14ac:dyDescent="0.25">
      <c r="A649">
        <v>649</v>
      </c>
      <c r="B649" t="s">
        <v>1505</v>
      </c>
      <c r="C649" t="s">
        <v>1506</v>
      </c>
      <c r="D649" s="19">
        <v>41452</v>
      </c>
    </row>
    <row r="650" spans="1:4" x14ac:dyDescent="0.25">
      <c r="A650">
        <v>650</v>
      </c>
      <c r="B650" t="s">
        <v>1507</v>
      </c>
      <c r="C650" t="s">
        <v>1508</v>
      </c>
      <c r="D650" s="19">
        <v>44995</v>
      </c>
    </row>
    <row r="651" spans="1:4" x14ac:dyDescent="0.25">
      <c r="A651">
        <v>651</v>
      </c>
      <c r="B651" t="s">
        <v>1509</v>
      </c>
      <c r="C651" t="s">
        <v>1510</v>
      </c>
      <c r="D651" s="19">
        <v>44601</v>
      </c>
    </row>
    <row r="652" spans="1:4" x14ac:dyDescent="0.25">
      <c r="A652">
        <v>652</v>
      </c>
      <c r="B652" t="s">
        <v>1511</v>
      </c>
      <c r="C652" t="s">
        <v>1512</v>
      </c>
      <c r="D652" s="19">
        <v>43293</v>
      </c>
    </row>
    <row r="653" spans="1:4" x14ac:dyDescent="0.25">
      <c r="A653">
        <v>653</v>
      </c>
      <c r="B653" t="s">
        <v>1513</v>
      </c>
      <c r="C653" t="s">
        <v>1514</v>
      </c>
      <c r="D653" s="19">
        <v>43733</v>
      </c>
    </row>
    <row r="654" spans="1:4" x14ac:dyDescent="0.25">
      <c r="A654">
        <v>654</v>
      </c>
      <c r="B654" t="s">
        <v>1515</v>
      </c>
      <c r="C654" t="s">
        <v>1516</v>
      </c>
      <c r="D654" s="19">
        <v>42569</v>
      </c>
    </row>
    <row r="655" spans="1:4" x14ac:dyDescent="0.25">
      <c r="A655">
        <v>655</v>
      </c>
      <c r="B655" t="s">
        <v>1517</v>
      </c>
      <c r="C655" t="s">
        <v>1518</v>
      </c>
      <c r="D655" s="19">
        <v>45670</v>
      </c>
    </row>
    <row r="656" spans="1:4" x14ac:dyDescent="0.25">
      <c r="A656">
        <v>656</v>
      </c>
      <c r="B656" t="s">
        <v>1519</v>
      </c>
      <c r="C656" t="s">
        <v>1520</v>
      </c>
      <c r="D656" t="s">
        <v>203</v>
      </c>
    </row>
    <row r="657" spans="1:4" x14ac:dyDescent="0.25">
      <c r="A657">
        <v>657</v>
      </c>
      <c r="B657" t="s">
        <v>1521</v>
      </c>
      <c r="C657" t="s">
        <v>1522</v>
      </c>
      <c r="D657" t="s">
        <v>1523</v>
      </c>
    </row>
    <row r="658" spans="1:4" x14ac:dyDescent="0.25">
      <c r="A658">
        <v>658</v>
      </c>
      <c r="B658" t="s">
        <v>1524</v>
      </c>
      <c r="C658" t="s">
        <v>1525</v>
      </c>
      <c r="D658" s="19">
        <v>44445</v>
      </c>
    </row>
    <row r="659" spans="1:4" x14ac:dyDescent="0.25">
      <c r="A659">
        <v>659</v>
      </c>
      <c r="B659" t="s">
        <v>1526</v>
      </c>
      <c r="C659" t="s">
        <v>1527</v>
      </c>
      <c r="D659" s="19">
        <v>38805</v>
      </c>
    </row>
    <row r="660" spans="1:4" x14ac:dyDescent="0.25">
      <c r="A660">
        <v>660</v>
      </c>
      <c r="B660" t="s">
        <v>1528</v>
      </c>
      <c r="C660" t="s">
        <v>1529</v>
      </c>
      <c r="D660" t="s">
        <v>1530</v>
      </c>
    </row>
    <row r="661" spans="1:4" x14ac:dyDescent="0.25">
      <c r="A661">
        <v>661</v>
      </c>
      <c r="B661" t="s">
        <v>1531</v>
      </c>
      <c r="C661" t="s">
        <v>1532</v>
      </c>
      <c r="D661" s="19">
        <v>44873</v>
      </c>
    </row>
    <row r="662" spans="1:4" x14ac:dyDescent="0.25">
      <c r="A662">
        <v>662</v>
      </c>
      <c r="B662" t="s">
        <v>1533</v>
      </c>
      <c r="C662" t="s">
        <v>1534</v>
      </c>
      <c r="D662" t="s">
        <v>1535</v>
      </c>
    </row>
    <row r="663" spans="1:4" x14ac:dyDescent="0.25">
      <c r="A663">
        <v>663</v>
      </c>
      <c r="B663" t="s">
        <v>1536</v>
      </c>
      <c r="C663" t="s">
        <v>1537</v>
      </c>
      <c r="D663" s="19">
        <v>43731</v>
      </c>
    </row>
    <row r="664" spans="1:4" x14ac:dyDescent="0.25">
      <c r="A664">
        <v>664</v>
      </c>
      <c r="B664" t="s">
        <v>1538</v>
      </c>
      <c r="C664" t="s">
        <v>1539</v>
      </c>
      <c r="D664" s="19">
        <v>44965</v>
      </c>
    </row>
    <row r="665" spans="1:4" x14ac:dyDescent="0.25">
      <c r="A665">
        <v>665</v>
      </c>
      <c r="B665" t="s">
        <v>1540</v>
      </c>
      <c r="C665" t="s">
        <v>1541</v>
      </c>
      <c r="D665" t="s">
        <v>1542</v>
      </c>
    </row>
    <row r="666" spans="1:4" x14ac:dyDescent="0.25">
      <c r="A666">
        <v>666</v>
      </c>
      <c r="B666" t="s">
        <v>1543</v>
      </c>
      <c r="C666" t="s">
        <v>1544</v>
      </c>
      <c r="D666" s="19">
        <v>40917</v>
      </c>
    </row>
    <row r="667" spans="1:4" x14ac:dyDescent="0.25">
      <c r="A667">
        <v>667</v>
      </c>
      <c r="B667" t="s">
        <v>1545</v>
      </c>
      <c r="C667" t="s">
        <v>1546</v>
      </c>
      <c r="D667" t="s">
        <v>1547</v>
      </c>
    </row>
    <row r="668" spans="1:4" x14ac:dyDescent="0.25">
      <c r="A668">
        <v>668</v>
      </c>
      <c r="B668" t="s">
        <v>1548</v>
      </c>
      <c r="C668" t="s">
        <v>1549</v>
      </c>
      <c r="D668" s="19">
        <v>43651</v>
      </c>
    </row>
    <row r="669" spans="1:4" x14ac:dyDescent="0.25">
      <c r="A669">
        <v>669</v>
      </c>
      <c r="B669" t="s">
        <v>1550</v>
      </c>
      <c r="C669" t="s">
        <v>1551</v>
      </c>
      <c r="D669" s="19">
        <v>43361</v>
      </c>
    </row>
    <row r="670" spans="1:4" x14ac:dyDescent="0.25">
      <c r="A670">
        <v>670</v>
      </c>
      <c r="B670" t="s">
        <v>1552</v>
      </c>
      <c r="C670" t="s">
        <v>1553</v>
      </c>
      <c r="D670" s="19">
        <v>37152</v>
      </c>
    </row>
    <row r="671" spans="1:4" x14ac:dyDescent="0.25">
      <c r="A671">
        <v>671</v>
      </c>
      <c r="B671" t="s">
        <v>1554</v>
      </c>
      <c r="C671" t="s">
        <v>1555</v>
      </c>
      <c r="D671" t="s">
        <v>243</v>
      </c>
    </row>
    <row r="672" spans="1:4" x14ac:dyDescent="0.25">
      <c r="A672">
        <v>672</v>
      </c>
      <c r="B672" t="s">
        <v>1556</v>
      </c>
      <c r="C672" t="s">
        <v>1557</v>
      </c>
      <c r="D672" s="19">
        <v>45478</v>
      </c>
    </row>
    <row r="673" spans="1:4" x14ac:dyDescent="0.25">
      <c r="A673">
        <v>673</v>
      </c>
      <c r="B673" t="s">
        <v>1558</v>
      </c>
      <c r="C673" t="s">
        <v>1559</v>
      </c>
      <c r="D673" t="s">
        <v>675</v>
      </c>
    </row>
    <row r="674" spans="1:4" x14ac:dyDescent="0.25">
      <c r="A674">
        <v>674</v>
      </c>
      <c r="B674" t="s">
        <v>1560</v>
      </c>
      <c r="C674" t="s">
        <v>1561</v>
      </c>
      <c r="D674" t="s">
        <v>1562</v>
      </c>
    </row>
    <row r="675" spans="1:4" x14ac:dyDescent="0.25">
      <c r="A675">
        <v>675</v>
      </c>
      <c r="B675" t="s">
        <v>1563</v>
      </c>
      <c r="C675" t="s">
        <v>1564</v>
      </c>
      <c r="D675" s="19">
        <v>42641</v>
      </c>
    </row>
    <row r="676" spans="1:4" x14ac:dyDescent="0.25">
      <c r="A676">
        <v>676</v>
      </c>
      <c r="B676" t="s">
        <v>1565</v>
      </c>
      <c r="C676" t="s">
        <v>1566</v>
      </c>
      <c r="D676" t="s">
        <v>1567</v>
      </c>
    </row>
    <row r="677" spans="1:4" x14ac:dyDescent="0.25">
      <c r="A677">
        <v>677</v>
      </c>
      <c r="B677" t="s">
        <v>1568</v>
      </c>
      <c r="C677" t="s">
        <v>1569</v>
      </c>
      <c r="D677" s="19">
        <v>39637</v>
      </c>
    </row>
    <row r="678" spans="1:4" x14ac:dyDescent="0.25">
      <c r="A678">
        <v>678</v>
      </c>
      <c r="B678" t="s">
        <v>1570</v>
      </c>
      <c r="C678" t="s">
        <v>1571</v>
      </c>
      <c r="D678" s="19">
        <v>44874</v>
      </c>
    </row>
    <row r="679" spans="1:4" x14ac:dyDescent="0.25">
      <c r="A679">
        <v>679</v>
      </c>
      <c r="B679" t="s">
        <v>1572</v>
      </c>
      <c r="C679" t="s">
        <v>1573</v>
      </c>
      <c r="D679" s="19">
        <v>38527</v>
      </c>
    </row>
    <row r="680" spans="1:4" x14ac:dyDescent="0.25">
      <c r="A680">
        <v>680</v>
      </c>
      <c r="B680" t="s">
        <v>1574</v>
      </c>
      <c r="C680" t="s">
        <v>1575</v>
      </c>
      <c r="D680" t="s">
        <v>1576</v>
      </c>
    </row>
    <row r="681" spans="1:4" x14ac:dyDescent="0.25">
      <c r="A681">
        <v>681</v>
      </c>
      <c r="B681" t="s">
        <v>1577</v>
      </c>
      <c r="C681" t="s">
        <v>1578</v>
      </c>
      <c r="D681" s="19">
        <v>44950</v>
      </c>
    </row>
    <row r="682" spans="1:4" x14ac:dyDescent="0.25">
      <c r="A682">
        <v>682</v>
      </c>
      <c r="B682" t="s">
        <v>1579</v>
      </c>
      <c r="C682" t="s">
        <v>1580</v>
      </c>
      <c r="D682" t="s">
        <v>1581</v>
      </c>
    </row>
    <row r="683" spans="1:4" x14ac:dyDescent="0.25">
      <c r="A683">
        <v>683</v>
      </c>
      <c r="B683" t="s">
        <v>1582</v>
      </c>
      <c r="C683" t="s">
        <v>1583</v>
      </c>
      <c r="D683" s="19">
        <v>44981</v>
      </c>
    </row>
    <row r="684" spans="1:4" x14ac:dyDescent="0.25">
      <c r="A684">
        <v>684</v>
      </c>
      <c r="B684" t="s">
        <v>1584</v>
      </c>
      <c r="C684" t="s">
        <v>1585</v>
      </c>
      <c r="D684" s="19">
        <v>43838</v>
      </c>
    </row>
    <row r="685" spans="1:4" x14ac:dyDescent="0.25">
      <c r="A685">
        <v>685</v>
      </c>
      <c r="B685" t="s">
        <v>1586</v>
      </c>
      <c r="C685" t="s">
        <v>1587</v>
      </c>
      <c r="D685" s="19">
        <v>36621</v>
      </c>
    </row>
    <row r="686" spans="1:4" x14ac:dyDescent="0.25">
      <c r="A686">
        <v>686</v>
      </c>
      <c r="B686" t="s">
        <v>1588</v>
      </c>
      <c r="C686" t="s">
        <v>1589</v>
      </c>
      <c r="D686" s="19">
        <v>44019</v>
      </c>
    </row>
    <row r="687" spans="1:4" x14ac:dyDescent="0.25">
      <c r="A687">
        <v>687</v>
      </c>
      <c r="B687" t="s">
        <v>1590</v>
      </c>
      <c r="C687" t="s">
        <v>1591</v>
      </c>
      <c r="D687" s="19">
        <v>35331</v>
      </c>
    </row>
    <row r="688" spans="1:4" x14ac:dyDescent="0.25">
      <c r="A688">
        <v>688</v>
      </c>
      <c r="B688" t="s">
        <v>1592</v>
      </c>
      <c r="C688" t="s">
        <v>1593</v>
      </c>
      <c r="D688" s="19">
        <v>45026</v>
      </c>
    </row>
    <row r="689" spans="1:4" x14ac:dyDescent="0.25">
      <c r="A689">
        <v>689</v>
      </c>
      <c r="B689" t="s">
        <v>1594</v>
      </c>
      <c r="C689" t="s">
        <v>1595</v>
      </c>
      <c r="D689" s="19">
        <v>38170</v>
      </c>
    </row>
    <row r="690" spans="1:4" x14ac:dyDescent="0.25">
      <c r="A690">
        <v>690</v>
      </c>
      <c r="B690" t="s">
        <v>1596</v>
      </c>
      <c r="C690" t="s">
        <v>1597</v>
      </c>
      <c r="D690" s="19">
        <v>39274</v>
      </c>
    </row>
    <row r="691" spans="1:4" x14ac:dyDescent="0.25">
      <c r="A691">
        <v>691</v>
      </c>
      <c r="B691" t="s">
        <v>1598</v>
      </c>
      <c r="C691" t="s">
        <v>1599</v>
      </c>
      <c r="D691" s="19">
        <v>44089</v>
      </c>
    </row>
    <row r="692" spans="1:4" x14ac:dyDescent="0.25">
      <c r="A692">
        <v>692</v>
      </c>
      <c r="B692" t="s">
        <v>1600</v>
      </c>
      <c r="C692" t="s">
        <v>1601</v>
      </c>
      <c r="D692" s="19">
        <v>36966</v>
      </c>
    </row>
    <row r="693" spans="1:4" x14ac:dyDescent="0.25">
      <c r="A693">
        <v>693</v>
      </c>
      <c r="B693" t="s">
        <v>1602</v>
      </c>
      <c r="C693" t="s">
        <v>1603</v>
      </c>
      <c r="D693" s="19">
        <v>33770</v>
      </c>
    </row>
    <row r="694" spans="1:4" x14ac:dyDescent="0.25">
      <c r="A694">
        <v>694</v>
      </c>
      <c r="B694" t="s">
        <v>1604</v>
      </c>
      <c r="C694" t="s">
        <v>1605</v>
      </c>
      <c r="D694" t="s">
        <v>1606</v>
      </c>
    </row>
    <row r="695" spans="1:4" x14ac:dyDescent="0.25">
      <c r="A695">
        <v>695</v>
      </c>
      <c r="B695" t="s">
        <v>1607</v>
      </c>
      <c r="C695" t="s">
        <v>1608</v>
      </c>
      <c r="D695" t="s">
        <v>1609</v>
      </c>
    </row>
    <row r="696" spans="1:4" x14ac:dyDescent="0.25">
      <c r="A696">
        <v>696</v>
      </c>
      <c r="B696" t="s">
        <v>1610</v>
      </c>
      <c r="C696" t="s">
        <v>1611</v>
      </c>
      <c r="D696" s="19">
        <v>45848</v>
      </c>
    </row>
    <row r="697" spans="1:4" x14ac:dyDescent="0.25">
      <c r="A697">
        <v>697</v>
      </c>
      <c r="B697" t="s">
        <v>1612</v>
      </c>
      <c r="C697" t="s">
        <v>1613</v>
      </c>
      <c r="D697" t="s">
        <v>1614</v>
      </c>
    </row>
    <row r="698" spans="1:4" x14ac:dyDescent="0.25">
      <c r="A698">
        <v>698</v>
      </c>
      <c r="B698" t="s">
        <v>1615</v>
      </c>
      <c r="C698" t="s">
        <v>1616</v>
      </c>
      <c r="D698" s="19">
        <v>41654</v>
      </c>
    </row>
    <row r="699" spans="1:4" x14ac:dyDescent="0.25">
      <c r="A699">
        <v>699</v>
      </c>
      <c r="B699" t="s">
        <v>1617</v>
      </c>
      <c r="C699" t="s">
        <v>1618</v>
      </c>
      <c r="D699" t="s">
        <v>1619</v>
      </c>
    </row>
    <row r="700" spans="1:4" x14ac:dyDescent="0.25">
      <c r="A700">
        <v>700</v>
      </c>
      <c r="B700" t="s">
        <v>1620</v>
      </c>
      <c r="C700" t="s">
        <v>1621</v>
      </c>
      <c r="D700" s="19">
        <v>30579</v>
      </c>
    </row>
    <row r="701" spans="1:4" x14ac:dyDescent="0.25">
      <c r="A701">
        <v>701</v>
      </c>
      <c r="B701" t="s">
        <v>1622</v>
      </c>
      <c r="C701" t="s">
        <v>1623</v>
      </c>
      <c r="D701" s="19">
        <v>30481</v>
      </c>
    </row>
    <row r="702" spans="1:4" x14ac:dyDescent="0.25">
      <c r="A702">
        <v>702</v>
      </c>
      <c r="B702" t="s">
        <v>1624</v>
      </c>
      <c r="C702" t="s">
        <v>1625</v>
      </c>
      <c r="D702" t="s">
        <v>1626</v>
      </c>
    </row>
    <row r="703" spans="1:4" x14ac:dyDescent="0.25">
      <c r="A703">
        <v>703</v>
      </c>
      <c r="B703" t="s">
        <v>1627</v>
      </c>
      <c r="C703" t="s">
        <v>1628</v>
      </c>
      <c r="D703" s="19">
        <v>43420</v>
      </c>
    </row>
    <row r="704" spans="1:4" x14ac:dyDescent="0.25">
      <c r="A704">
        <v>704</v>
      </c>
      <c r="B704" t="s">
        <v>1629</v>
      </c>
      <c r="C704" t="s">
        <v>1630</v>
      </c>
      <c r="D704" s="19">
        <v>43475</v>
      </c>
    </row>
    <row r="705" spans="1:4" x14ac:dyDescent="0.25">
      <c r="A705">
        <v>705</v>
      </c>
      <c r="B705" t="s">
        <v>1631</v>
      </c>
      <c r="C705" t="s">
        <v>1632</v>
      </c>
      <c r="D705" s="19">
        <v>43292</v>
      </c>
    </row>
    <row r="706" spans="1:4" x14ac:dyDescent="0.25">
      <c r="A706">
        <v>706</v>
      </c>
      <c r="B706" t="s">
        <v>1633</v>
      </c>
      <c r="C706" t="s">
        <v>1634</v>
      </c>
      <c r="D706" s="19">
        <v>43642</v>
      </c>
    </row>
    <row r="707" spans="1:4" x14ac:dyDescent="0.25">
      <c r="A707">
        <v>707</v>
      </c>
      <c r="B707" t="s">
        <v>1635</v>
      </c>
      <c r="C707" t="s">
        <v>1636</v>
      </c>
      <c r="D707" s="19">
        <v>33309</v>
      </c>
    </row>
    <row r="708" spans="1:4" x14ac:dyDescent="0.25">
      <c r="A708">
        <v>708</v>
      </c>
      <c r="B708" t="s">
        <v>1637</v>
      </c>
      <c r="C708" t="s">
        <v>1638</v>
      </c>
      <c r="D708" t="s">
        <v>1639</v>
      </c>
    </row>
    <row r="709" spans="1:4" x14ac:dyDescent="0.25">
      <c r="A709">
        <v>709</v>
      </c>
      <c r="B709" t="s">
        <v>1640</v>
      </c>
      <c r="C709" t="s">
        <v>1641</v>
      </c>
      <c r="D709" s="19">
        <v>42810</v>
      </c>
    </row>
    <row r="710" spans="1:4" x14ac:dyDescent="0.25">
      <c r="A710">
        <v>710</v>
      </c>
      <c r="B710" t="s">
        <v>1642</v>
      </c>
      <c r="C710" t="s">
        <v>1643</v>
      </c>
      <c r="D710" t="s">
        <v>1644</v>
      </c>
    </row>
    <row r="711" spans="1:4" x14ac:dyDescent="0.25">
      <c r="A711">
        <v>711</v>
      </c>
      <c r="B711" t="s">
        <v>1645</v>
      </c>
      <c r="C711" t="s">
        <v>1646</v>
      </c>
      <c r="D711" s="19">
        <v>42535</v>
      </c>
    </row>
    <row r="712" spans="1:4" x14ac:dyDescent="0.25">
      <c r="A712">
        <v>712</v>
      </c>
      <c r="B712" t="s">
        <v>1647</v>
      </c>
      <c r="C712" t="s">
        <v>1648</v>
      </c>
      <c r="D712" s="19">
        <v>44032</v>
      </c>
    </row>
    <row r="713" spans="1:4" x14ac:dyDescent="0.25">
      <c r="A713">
        <v>713</v>
      </c>
      <c r="B713" t="s">
        <v>1649</v>
      </c>
      <c r="C713" t="s">
        <v>1650</v>
      </c>
      <c r="D713" s="19">
        <v>43063</v>
      </c>
    </row>
    <row r="714" spans="1:4" x14ac:dyDescent="0.25">
      <c r="A714">
        <v>714</v>
      </c>
      <c r="B714" t="s">
        <v>1651</v>
      </c>
      <c r="C714" t="s">
        <v>1652</v>
      </c>
      <c r="D714" t="s">
        <v>583</v>
      </c>
    </row>
    <row r="715" spans="1:4" x14ac:dyDescent="0.25">
      <c r="A715">
        <v>715</v>
      </c>
      <c r="B715" t="s">
        <v>1653</v>
      </c>
      <c r="C715" t="s">
        <v>1654</v>
      </c>
      <c r="D715" t="s">
        <v>1655</v>
      </c>
    </row>
    <row r="716" spans="1:4" x14ac:dyDescent="0.25">
      <c r="A716">
        <v>716</v>
      </c>
      <c r="B716" t="s">
        <v>1656</v>
      </c>
      <c r="C716" t="s">
        <v>1657</v>
      </c>
      <c r="D716" s="19">
        <v>33066</v>
      </c>
    </row>
    <row r="717" spans="1:4" x14ac:dyDescent="0.25">
      <c r="A717">
        <v>717</v>
      </c>
      <c r="B717" t="s">
        <v>1658</v>
      </c>
      <c r="C717" t="s">
        <v>1659</v>
      </c>
      <c r="D717" s="19">
        <v>44873</v>
      </c>
    </row>
    <row r="718" spans="1:4" x14ac:dyDescent="0.25">
      <c r="A718">
        <v>718</v>
      </c>
      <c r="B718" t="s">
        <v>1660</v>
      </c>
      <c r="C718" t="s">
        <v>1661</v>
      </c>
      <c r="D718" t="s">
        <v>1662</v>
      </c>
    </row>
    <row r="719" spans="1:4" x14ac:dyDescent="0.25">
      <c r="A719">
        <v>719</v>
      </c>
      <c r="B719" t="s">
        <v>1663</v>
      </c>
      <c r="C719" t="s">
        <v>1664</v>
      </c>
      <c r="D719" t="s">
        <v>1665</v>
      </c>
    </row>
    <row r="720" spans="1:4" x14ac:dyDescent="0.25">
      <c r="A720">
        <v>720</v>
      </c>
      <c r="B720" t="s">
        <v>1666</v>
      </c>
      <c r="C720" t="s">
        <v>1667</v>
      </c>
      <c r="D720" s="19">
        <v>37733</v>
      </c>
    </row>
    <row r="721" spans="1:4" x14ac:dyDescent="0.25">
      <c r="A721">
        <v>721</v>
      </c>
      <c r="B721" t="s">
        <v>1668</v>
      </c>
      <c r="C721" t="s">
        <v>1669</v>
      </c>
      <c r="D721" s="19">
        <v>45846</v>
      </c>
    </row>
    <row r="722" spans="1:4" x14ac:dyDescent="0.25">
      <c r="A722">
        <v>722</v>
      </c>
      <c r="B722" t="s">
        <v>1670</v>
      </c>
      <c r="C722" t="s">
        <v>1671</v>
      </c>
      <c r="D722" t="s">
        <v>1672</v>
      </c>
    </row>
    <row r="723" spans="1:4" x14ac:dyDescent="0.25">
      <c r="A723">
        <v>723</v>
      </c>
      <c r="B723" t="s">
        <v>1673</v>
      </c>
      <c r="C723" t="s">
        <v>1674</v>
      </c>
      <c r="D723" s="19">
        <v>43794</v>
      </c>
    </row>
    <row r="724" spans="1:4" x14ac:dyDescent="0.25">
      <c r="A724">
        <v>724</v>
      </c>
      <c r="B724" t="s">
        <v>1675</v>
      </c>
      <c r="C724" t="s">
        <v>1676</v>
      </c>
      <c r="D724" s="19">
        <v>34961</v>
      </c>
    </row>
    <row r="725" spans="1:4" x14ac:dyDescent="0.25">
      <c r="A725">
        <v>725</v>
      </c>
      <c r="B725" t="s">
        <v>1677</v>
      </c>
      <c r="C725" t="s">
        <v>1678</v>
      </c>
      <c r="D725" t="s">
        <v>1679</v>
      </c>
    </row>
    <row r="726" spans="1:4" x14ac:dyDescent="0.25">
      <c r="A726">
        <v>726</v>
      </c>
      <c r="B726" t="s">
        <v>1680</v>
      </c>
      <c r="C726" t="s">
        <v>1681</v>
      </c>
      <c r="D726" t="s">
        <v>1682</v>
      </c>
    </row>
    <row r="727" spans="1:4" x14ac:dyDescent="0.25">
      <c r="A727">
        <v>727</v>
      </c>
      <c r="B727" t="s">
        <v>1683</v>
      </c>
      <c r="C727" t="s">
        <v>1684</v>
      </c>
      <c r="D727" t="s">
        <v>1685</v>
      </c>
    </row>
    <row r="728" spans="1:4" x14ac:dyDescent="0.25">
      <c r="A728">
        <v>728</v>
      </c>
      <c r="B728" t="s">
        <v>1686</v>
      </c>
      <c r="C728" t="s">
        <v>1687</v>
      </c>
      <c r="D728" s="19">
        <v>40736</v>
      </c>
    </row>
    <row r="729" spans="1:4" x14ac:dyDescent="0.25">
      <c r="A729">
        <v>729</v>
      </c>
      <c r="B729" t="s">
        <v>1688</v>
      </c>
      <c r="C729" t="s">
        <v>1689</v>
      </c>
      <c r="D729" s="19">
        <v>44991</v>
      </c>
    </row>
    <row r="730" spans="1:4" x14ac:dyDescent="0.25">
      <c r="A730">
        <v>730</v>
      </c>
      <c r="B730" t="s">
        <v>1690</v>
      </c>
      <c r="C730" t="s">
        <v>1691</v>
      </c>
      <c r="D730" t="s">
        <v>1692</v>
      </c>
    </row>
    <row r="731" spans="1:4" x14ac:dyDescent="0.25">
      <c r="A731">
        <v>731</v>
      </c>
      <c r="B731" t="s">
        <v>1693</v>
      </c>
      <c r="C731" t="s">
        <v>1694</v>
      </c>
      <c r="D731" s="19">
        <v>40218</v>
      </c>
    </row>
    <row r="732" spans="1:4" x14ac:dyDescent="0.25">
      <c r="A732">
        <v>732</v>
      </c>
      <c r="B732" t="s">
        <v>1695</v>
      </c>
      <c r="C732" t="s">
        <v>1696</v>
      </c>
      <c r="D732" t="s">
        <v>396</v>
      </c>
    </row>
    <row r="733" spans="1:4" x14ac:dyDescent="0.25">
      <c r="A733">
        <v>733</v>
      </c>
      <c r="B733" t="s">
        <v>1697</v>
      </c>
      <c r="C733" t="s">
        <v>1698</v>
      </c>
      <c r="D733" s="19">
        <v>43868</v>
      </c>
    </row>
    <row r="734" spans="1:4" x14ac:dyDescent="0.25">
      <c r="A734">
        <v>734</v>
      </c>
      <c r="B734" t="s">
        <v>1699</v>
      </c>
      <c r="C734" t="s">
        <v>1700</v>
      </c>
      <c r="D734" t="s">
        <v>1701</v>
      </c>
    </row>
    <row r="735" spans="1:4" x14ac:dyDescent="0.25">
      <c r="A735">
        <v>735</v>
      </c>
      <c r="B735" t="s">
        <v>1702</v>
      </c>
      <c r="C735" t="s">
        <v>1703</v>
      </c>
      <c r="D735" s="19">
        <v>39394</v>
      </c>
    </row>
    <row r="736" spans="1:4" x14ac:dyDescent="0.25">
      <c r="A736">
        <v>736</v>
      </c>
      <c r="B736" t="s">
        <v>1704</v>
      </c>
      <c r="C736" t="s">
        <v>1705</v>
      </c>
      <c r="D736" t="s">
        <v>1706</v>
      </c>
    </row>
    <row r="737" spans="1:4" x14ac:dyDescent="0.25">
      <c r="A737">
        <v>737</v>
      </c>
      <c r="B737" t="s">
        <v>1707</v>
      </c>
      <c r="C737" t="s">
        <v>1708</v>
      </c>
      <c r="D737" s="19">
        <v>34656</v>
      </c>
    </row>
    <row r="738" spans="1:4" x14ac:dyDescent="0.25">
      <c r="A738">
        <v>738</v>
      </c>
      <c r="B738" t="s">
        <v>1709</v>
      </c>
      <c r="C738" t="s">
        <v>1710</v>
      </c>
      <c r="D738" s="19">
        <v>43859</v>
      </c>
    </row>
    <row r="739" spans="1:4" x14ac:dyDescent="0.25">
      <c r="A739">
        <v>739</v>
      </c>
      <c r="B739" t="s">
        <v>1711</v>
      </c>
      <c r="C739" t="s">
        <v>1712</v>
      </c>
      <c r="D739" t="s">
        <v>1713</v>
      </c>
    </row>
    <row r="740" spans="1:4" x14ac:dyDescent="0.25">
      <c r="A740">
        <v>740</v>
      </c>
      <c r="B740" t="s">
        <v>1714</v>
      </c>
      <c r="C740" t="s">
        <v>1715</v>
      </c>
      <c r="D740" s="19">
        <v>44082</v>
      </c>
    </row>
    <row r="741" spans="1:4" x14ac:dyDescent="0.25">
      <c r="A741">
        <v>741</v>
      </c>
      <c r="B741" t="s">
        <v>1716</v>
      </c>
      <c r="C741" t="s">
        <v>1717</v>
      </c>
      <c r="D741" t="s">
        <v>1244</v>
      </c>
    </row>
    <row r="742" spans="1:4" x14ac:dyDescent="0.25">
      <c r="A742">
        <v>742</v>
      </c>
      <c r="B742" t="s">
        <v>1718</v>
      </c>
      <c r="C742" t="s">
        <v>1719</v>
      </c>
      <c r="D742" t="s">
        <v>1720</v>
      </c>
    </row>
    <row r="743" spans="1:4" x14ac:dyDescent="0.25">
      <c r="A743">
        <v>743</v>
      </c>
      <c r="B743" t="s">
        <v>1721</v>
      </c>
      <c r="C743" t="s">
        <v>1722</v>
      </c>
      <c r="D743" t="s">
        <v>1723</v>
      </c>
    </row>
    <row r="744" spans="1:4" x14ac:dyDescent="0.25">
      <c r="A744">
        <v>744</v>
      </c>
      <c r="B744" t="s">
        <v>1724</v>
      </c>
      <c r="C744" t="s">
        <v>1725</v>
      </c>
      <c r="D744" t="s">
        <v>646</v>
      </c>
    </row>
    <row r="745" spans="1:4" x14ac:dyDescent="0.25">
      <c r="A745">
        <v>745</v>
      </c>
      <c r="B745" t="s">
        <v>1726</v>
      </c>
      <c r="C745" t="s">
        <v>1727</v>
      </c>
      <c r="D745" t="s">
        <v>1728</v>
      </c>
    </row>
    <row r="746" spans="1:4" x14ac:dyDescent="0.25">
      <c r="A746">
        <v>746</v>
      </c>
      <c r="B746" t="s">
        <v>1729</v>
      </c>
      <c r="C746" t="s">
        <v>1730</v>
      </c>
      <c r="D746" s="19">
        <v>38826</v>
      </c>
    </row>
    <row r="747" spans="1:4" x14ac:dyDescent="0.25">
      <c r="A747">
        <v>747</v>
      </c>
      <c r="B747" t="s">
        <v>1731</v>
      </c>
      <c r="C747" t="s">
        <v>1732</v>
      </c>
      <c r="D747" s="19">
        <v>35270</v>
      </c>
    </row>
    <row r="748" spans="1:4" x14ac:dyDescent="0.25">
      <c r="A748">
        <v>748</v>
      </c>
      <c r="B748" t="s">
        <v>1733</v>
      </c>
      <c r="C748" t="s">
        <v>1734</v>
      </c>
      <c r="D748" s="19">
        <v>41067</v>
      </c>
    </row>
    <row r="749" spans="1:4" x14ac:dyDescent="0.25">
      <c r="A749">
        <v>749</v>
      </c>
      <c r="B749" t="s">
        <v>1735</v>
      </c>
      <c r="C749" t="s">
        <v>1736</v>
      </c>
      <c r="D749" s="19">
        <v>45665</v>
      </c>
    </row>
    <row r="750" spans="1:4" x14ac:dyDescent="0.25">
      <c r="A750">
        <v>750</v>
      </c>
      <c r="B750" t="s">
        <v>1737</v>
      </c>
      <c r="C750" t="s">
        <v>1738</v>
      </c>
      <c r="D750" t="s">
        <v>1739</v>
      </c>
    </row>
    <row r="751" spans="1:4" x14ac:dyDescent="0.25">
      <c r="A751">
        <v>751</v>
      </c>
      <c r="B751" t="s">
        <v>1740</v>
      </c>
      <c r="C751" t="s">
        <v>1741</v>
      </c>
      <c r="D751" t="s">
        <v>1742</v>
      </c>
    </row>
    <row r="752" spans="1:4" x14ac:dyDescent="0.25">
      <c r="A752">
        <v>752</v>
      </c>
      <c r="B752" t="s">
        <v>1743</v>
      </c>
      <c r="C752" t="s">
        <v>1744</v>
      </c>
      <c r="D752" t="s">
        <v>1745</v>
      </c>
    </row>
    <row r="753" spans="1:4" x14ac:dyDescent="0.25">
      <c r="A753">
        <v>753</v>
      </c>
      <c r="B753" t="s">
        <v>1746</v>
      </c>
      <c r="C753" t="s">
        <v>1747</v>
      </c>
      <c r="D753" t="s">
        <v>1748</v>
      </c>
    </row>
    <row r="754" spans="1:4" x14ac:dyDescent="0.25">
      <c r="A754">
        <v>754</v>
      </c>
      <c r="B754" t="s">
        <v>1749</v>
      </c>
      <c r="C754" t="s">
        <v>1750</v>
      </c>
      <c r="D754" s="19">
        <v>45099</v>
      </c>
    </row>
    <row r="755" spans="1:4" x14ac:dyDescent="0.25">
      <c r="A755">
        <v>755</v>
      </c>
      <c r="B755" t="s">
        <v>1751</v>
      </c>
      <c r="C755" t="s">
        <v>1752</v>
      </c>
      <c r="D755" s="19">
        <v>38546</v>
      </c>
    </row>
    <row r="756" spans="1:4" x14ac:dyDescent="0.25">
      <c r="A756">
        <v>756</v>
      </c>
      <c r="B756" t="s">
        <v>1753</v>
      </c>
      <c r="C756" t="s">
        <v>1754</v>
      </c>
      <c r="D756" s="19">
        <v>45238</v>
      </c>
    </row>
    <row r="757" spans="1:4" x14ac:dyDescent="0.25">
      <c r="A757">
        <v>757</v>
      </c>
      <c r="B757" t="s">
        <v>1755</v>
      </c>
      <c r="C757" t="s">
        <v>1756</v>
      </c>
      <c r="D757" s="19">
        <v>35817</v>
      </c>
    </row>
    <row r="758" spans="1:4" x14ac:dyDescent="0.25">
      <c r="A758">
        <v>758</v>
      </c>
      <c r="B758" t="s">
        <v>1757</v>
      </c>
      <c r="C758" t="s">
        <v>1758</v>
      </c>
      <c r="D758" s="19">
        <v>32937</v>
      </c>
    </row>
    <row r="759" spans="1:4" x14ac:dyDescent="0.25">
      <c r="A759">
        <v>759</v>
      </c>
      <c r="B759" t="s">
        <v>1759</v>
      </c>
      <c r="C759" t="s">
        <v>1760</v>
      </c>
      <c r="D759" s="19">
        <v>36840</v>
      </c>
    </row>
    <row r="760" spans="1:4" x14ac:dyDescent="0.25">
      <c r="A760">
        <v>760</v>
      </c>
      <c r="B760" t="s">
        <v>1761</v>
      </c>
      <c r="C760" t="s">
        <v>1762</v>
      </c>
      <c r="D760" s="19">
        <v>43290</v>
      </c>
    </row>
    <row r="761" spans="1:4" x14ac:dyDescent="0.25">
      <c r="A761">
        <v>761</v>
      </c>
      <c r="B761" t="s">
        <v>1763</v>
      </c>
      <c r="C761" t="s">
        <v>1764</v>
      </c>
      <c r="D761" t="s">
        <v>1765</v>
      </c>
    </row>
    <row r="762" spans="1:4" x14ac:dyDescent="0.25">
      <c r="A762">
        <v>762</v>
      </c>
      <c r="B762" t="s">
        <v>1766</v>
      </c>
      <c r="C762" t="s">
        <v>1767</v>
      </c>
      <c r="D762" s="19">
        <v>45138</v>
      </c>
    </row>
    <row r="763" spans="1:4" x14ac:dyDescent="0.25">
      <c r="A763">
        <v>763</v>
      </c>
      <c r="B763" t="s">
        <v>1768</v>
      </c>
      <c r="C763" t="s">
        <v>1769</v>
      </c>
      <c r="D763" s="19">
        <v>44084</v>
      </c>
    </row>
    <row r="764" spans="1:4" x14ac:dyDescent="0.25">
      <c r="A764">
        <v>764</v>
      </c>
      <c r="B764" t="s">
        <v>1770</v>
      </c>
      <c r="C764" t="s">
        <v>1771</v>
      </c>
      <c r="D764" t="s">
        <v>1772</v>
      </c>
    </row>
    <row r="765" spans="1:4" x14ac:dyDescent="0.25">
      <c r="A765">
        <v>765</v>
      </c>
      <c r="B765" t="s">
        <v>1773</v>
      </c>
      <c r="C765" t="s">
        <v>1774</v>
      </c>
      <c r="D765" s="19">
        <v>43930</v>
      </c>
    </row>
    <row r="766" spans="1:4" x14ac:dyDescent="0.25">
      <c r="A766">
        <v>766</v>
      </c>
      <c r="B766" t="s">
        <v>1775</v>
      </c>
      <c r="C766" t="s">
        <v>1776</v>
      </c>
      <c r="D766" s="19">
        <v>40357</v>
      </c>
    </row>
    <row r="767" spans="1:4" x14ac:dyDescent="0.25">
      <c r="A767">
        <v>767</v>
      </c>
      <c r="B767" t="s">
        <v>1777</v>
      </c>
      <c r="C767" t="s">
        <v>1778</v>
      </c>
      <c r="D767" t="s">
        <v>1779</v>
      </c>
    </row>
    <row r="768" spans="1:4" x14ac:dyDescent="0.25">
      <c r="A768">
        <v>768</v>
      </c>
      <c r="B768" t="s">
        <v>1780</v>
      </c>
      <c r="C768" t="s">
        <v>1781</v>
      </c>
      <c r="D768" s="19">
        <v>44447</v>
      </c>
    </row>
    <row r="769" spans="1:4" x14ac:dyDescent="0.25">
      <c r="A769">
        <v>769</v>
      </c>
      <c r="B769" t="s">
        <v>1782</v>
      </c>
      <c r="C769" t="s">
        <v>1783</v>
      </c>
      <c r="D769" s="19">
        <v>38910</v>
      </c>
    </row>
    <row r="770" spans="1:4" x14ac:dyDescent="0.25">
      <c r="A770">
        <v>770</v>
      </c>
      <c r="B770" t="s">
        <v>1784</v>
      </c>
      <c r="C770" t="s">
        <v>1785</v>
      </c>
      <c r="D770" s="19">
        <v>44447</v>
      </c>
    </row>
    <row r="771" spans="1:4" x14ac:dyDescent="0.25">
      <c r="A771">
        <v>771</v>
      </c>
      <c r="B771" t="s">
        <v>1786</v>
      </c>
      <c r="C771" t="s">
        <v>1787</v>
      </c>
      <c r="D771" t="s">
        <v>1788</v>
      </c>
    </row>
    <row r="772" spans="1:4" x14ac:dyDescent="0.25">
      <c r="A772">
        <v>772</v>
      </c>
      <c r="B772" t="s">
        <v>1789</v>
      </c>
      <c r="C772" t="s">
        <v>1790</v>
      </c>
      <c r="D772" s="19">
        <v>44993</v>
      </c>
    </row>
    <row r="773" spans="1:4" x14ac:dyDescent="0.25">
      <c r="A773">
        <v>773</v>
      </c>
      <c r="B773" t="s">
        <v>1791</v>
      </c>
      <c r="C773" t="s">
        <v>1792</v>
      </c>
      <c r="D773" s="19">
        <v>41285</v>
      </c>
    </row>
    <row r="774" spans="1:4" x14ac:dyDescent="0.25">
      <c r="A774">
        <v>774</v>
      </c>
      <c r="B774" t="s">
        <v>1793</v>
      </c>
      <c r="C774" t="s">
        <v>1794</v>
      </c>
      <c r="D774" s="19">
        <v>43921</v>
      </c>
    </row>
    <row r="775" spans="1:4" x14ac:dyDescent="0.25">
      <c r="A775">
        <v>775</v>
      </c>
      <c r="B775" t="s">
        <v>1795</v>
      </c>
      <c r="C775" t="s">
        <v>1796</v>
      </c>
      <c r="D775" t="s">
        <v>1797</v>
      </c>
    </row>
    <row r="776" spans="1:4" x14ac:dyDescent="0.25">
      <c r="A776">
        <v>776</v>
      </c>
      <c r="B776" t="s">
        <v>1798</v>
      </c>
      <c r="C776" t="s">
        <v>1799</v>
      </c>
      <c r="D776" s="19">
        <v>43409</v>
      </c>
    </row>
    <row r="777" spans="1:4" x14ac:dyDescent="0.25">
      <c r="A777">
        <v>777</v>
      </c>
      <c r="B777" t="s">
        <v>1800</v>
      </c>
      <c r="C777" t="s">
        <v>1801</v>
      </c>
      <c r="D777" s="19">
        <v>43929</v>
      </c>
    </row>
    <row r="778" spans="1:4" x14ac:dyDescent="0.25">
      <c r="A778">
        <v>778</v>
      </c>
      <c r="B778" t="s">
        <v>1802</v>
      </c>
      <c r="C778" t="s">
        <v>1803</v>
      </c>
      <c r="D778" s="19">
        <v>44447</v>
      </c>
    </row>
    <row r="779" spans="1:4" x14ac:dyDescent="0.25">
      <c r="A779">
        <v>779</v>
      </c>
      <c r="B779" t="s">
        <v>1804</v>
      </c>
      <c r="C779" t="s">
        <v>1805</v>
      </c>
      <c r="D779" s="19">
        <v>30152</v>
      </c>
    </row>
    <row r="780" spans="1:4" x14ac:dyDescent="0.25">
      <c r="A780">
        <v>780</v>
      </c>
      <c r="B780" t="s">
        <v>1806</v>
      </c>
      <c r="C780" t="s">
        <v>1807</v>
      </c>
      <c r="D780" s="19">
        <v>37453</v>
      </c>
    </row>
    <row r="781" spans="1:4" x14ac:dyDescent="0.25">
      <c r="A781">
        <v>781</v>
      </c>
      <c r="B781" t="s">
        <v>1808</v>
      </c>
      <c r="C781" t="s">
        <v>1809</v>
      </c>
      <c r="D781" s="19">
        <v>44081</v>
      </c>
    </row>
    <row r="782" spans="1:4" x14ac:dyDescent="0.25">
      <c r="A782">
        <v>782</v>
      </c>
      <c r="B782" t="s">
        <v>1810</v>
      </c>
      <c r="C782" t="s">
        <v>1811</v>
      </c>
      <c r="D782" s="19">
        <v>33032</v>
      </c>
    </row>
    <row r="783" spans="1:4" x14ac:dyDescent="0.25">
      <c r="A783">
        <v>783</v>
      </c>
      <c r="B783" t="s">
        <v>1812</v>
      </c>
      <c r="C783" t="s">
        <v>1813</v>
      </c>
      <c r="D783" s="19">
        <v>40736</v>
      </c>
    </row>
    <row r="784" spans="1:4" x14ac:dyDescent="0.25">
      <c r="A784">
        <v>784</v>
      </c>
      <c r="B784" t="s">
        <v>1814</v>
      </c>
      <c r="C784" t="s">
        <v>1815</v>
      </c>
      <c r="D784" t="s">
        <v>251</v>
      </c>
    </row>
    <row r="785" spans="1:4" x14ac:dyDescent="0.25">
      <c r="A785">
        <v>785</v>
      </c>
      <c r="B785" t="s">
        <v>1816</v>
      </c>
      <c r="C785" t="s">
        <v>1817</v>
      </c>
      <c r="D785" t="s">
        <v>1818</v>
      </c>
    </row>
    <row r="786" spans="1:4" x14ac:dyDescent="0.25">
      <c r="A786">
        <v>786</v>
      </c>
      <c r="B786" t="s">
        <v>1819</v>
      </c>
      <c r="C786" t="s">
        <v>1820</v>
      </c>
      <c r="D786" s="19">
        <v>44571</v>
      </c>
    </row>
    <row r="787" spans="1:4" x14ac:dyDescent="0.25">
      <c r="A787">
        <v>787</v>
      </c>
      <c r="B787" t="s">
        <v>1821</v>
      </c>
      <c r="C787" t="s">
        <v>1822</v>
      </c>
      <c r="D787" s="19">
        <v>43635</v>
      </c>
    </row>
    <row r="788" spans="1:4" x14ac:dyDescent="0.25">
      <c r="A788">
        <v>788</v>
      </c>
      <c r="B788" t="s">
        <v>1823</v>
      </c>
      <c r="C788" t="s">
        <v>1824</v>
      </c>
      <c r="D788" t="s">
        <v>1825</v>
      </c>
    </row>
    <row r="789" spans="1:4" x14ac:dyDescent="0.25">
      <c r="A789">
        <v>789</v>
      </c>
      <c r="B789" t="s">
        <v>1826</v>
      </c>
      <c r="C789" t="s">
        <v>1827</v>
      </c>
      <c r="D789" s="19">
        <v>39251</v>
      </c>
    </row>
    <row r="790" spans="1:4" x14ac:dyDescent="0.25">
      <c r="A790">
        <v>790</v>
      </c>
      <c r="B790" t="s">
        <v>1828</v>
      </c>
      <c r="C790" t="s">
        <v>1829</v>
      </c>
      <c r="D790" t="s">
        <v>590</v>
      </c>
    </row>
    <row r="791" spans="1:4" x14ac:dyDescent="0.25">
      <c r="A791">
        <v>791</v>
      </c>
      <c r="B791" t="s">
        <v>1830</v>
      </c>
      <c r="C791" t="s">
        <v>1831</v>
      </c>
      <c r="D791" s="19">
        <v>42537</v>
      </c>
    </row>
    <row r="792" spans="1:4" x14ac:dyDescent="0.25">
      <c r="A792">
        <v>792</v>
      </c>
      <c r="B792" t="s">
        <v>1832</v>
      </c>
      <c r="C792" t="s">
        <v>1833</v>
      </c>
      <c r="D792" s="19">
        <v>44659</v>
      </c>
    </row>
    <row r="793" spans="1:4" x14ac:dyDescent="0.25">
      <c r="A793">
        <v>793</v>
      </c>
      <c r="B793" t="s">
        <v>1834</v>
      </c>
      <c r="C793" t="s">
        <v>1835</v>
      </c>
      <c r="D793" t="s">
        <v>1836</v>
      </c>
    </row>
    <row r="794" spans="1:4" x14ac:dyDescent="0.25">
      <c r="A794">
        <v>794</v>
      </c>
      <c r="B794" t="s">
        <v>1837</v>
      </c>
      <c r="C794" t="s">
        <v>1838</v>
      </c>
      <c r="D794" s="19">
        <v>41529</v>
      </c>
    </row>
    <row r="795" spans="1:4" x14ac:dyDescent="0.25">
      <c r="A795">
        <v>795</v>
      </c>
      <c r="B795" t="s">
        <v>1839</v>
      </c>
      <c r="C795" t="s">
        <v>1840</v>
      </c>
      <c r="D795" s="19">
        <v>34488</v>
      </c>
    </row>
    <row r="796" spans="1:4" x14ac:dyDescent="0.25">
      <c r="A796">
        <v>796</v>
      </c>
      <c r="B796" t="s">
        <v>1841</v>
      </c>
      <c r="C796" t="s">
        <v>1842</v>
      </c>
      <c r="D796" s="19">
        <v>40703</v>
      </c>
    </row>
    <row r="797" spans="1:4" x14ac:dyDescent="0.25">
      <c r="A797">
        <v>797</v>
      </c>
      <c r="B797" t="s">
        <v>1843</v>
      </c>
      <c r="C797" t="s">
        <v>1844</v>
      </c>
      <c r="D797" s="19">
        <v>43777</v>
      </c>
    </row>
    <row r="798" spans="1:4" x14ac:dyDescent="0.25">
      <c r="A798">
        <v>798</v>
      </c>
      <c r="B798" t="s">
        <v>1845</v>
      </c>
      <c r="C798" t="s">
        <v>1846</v>
      </c>
      <c r="D798" t="s">
        <v>1847</v>
      </c>
    </row>
    <row r="799" spans="1:4" x14ac:dyDescent="0.25">
      <c r="A799">
        <v>799</v>
      </c>
      <c r="B799" t="s">
        <v>1848</v>
      </c>
      <c r="C799" t="s">
        <v>1849</v>
      </c>
      <c r="D799" s="19">
        <v>41180</v>
      </c>
    </row>
    <row r="800" spans="1:4" x14ac:dyDescent="0.25">
      <c r="A800">
        <v>800</v>
      </c>
      <c r="B800" t="s">
        <v>1850</v>
      </c>
      <c r="C800" t="s">
        <v>1851</v>
      </c>
      <c r="D800" s="19">
        <v>34220</v>
      </c>
    </row>
    <row r="801" spans="1:4" x14ac:dyDescent="0.25">
      <c r="A801">
        <v>801</v>
      </c>
      <c r="B801" t="s">
        <v>1852</v>
      </c>
      <c r="C801" t="s">
        <v>1853</v>
      </c>
      <c r="D801" t="s">
        <v>1854</v>
      </c>
    </row>
    <row r="802" spans="1:4" x14ac:dyDescent="0.25">
      <c r="A802">
        <v>802</v>
      </c>
      <c r="B802" t="s">
        <v>1855</v>
      </c>
      <c r="C802" t="s">
        <v>1856</v>
      </c>
      <c r="D802" s="19">
        <v>40366</v>
      </c>
    </row>
    <row r="803" spans="1:4" x14ac:dyDescent="0.25">
      <c r="A803">
        <v>803</v>
      </c>
      <c r="B803" t="s">
        <v>1857</v>
      </c>
      <c r="C803" t="s">
        <v>1858</v>
      </c>
      <c r="D803" t="s">
        <v>1859</v>
      </c>
    </row>
    <row r="804" spans="1:4" x14ac:dyDescent="0.25">
      <c r="A804">
        <v>804</v>
      </c>
      <c r="B804" t="s">
        <v>1860</v>
      </c>
      <c r="C804" t="s">
        <v>1861</v>
      </c>
      <c r="D804" s="19">
        <v>33928</v>
      </c>
    </row>
    <row r="805" spans="1:4" x14ac:dyDescent="0.25">
      <c r="A805">
        <v>805</v>
      </c>
      <c r="B805" t="s">
        <v>1862</v>
      </c>
      <c r="C805" t="s">
        <v>1863</v>
      </c>
      <c r="D805" s="19">
        <v>41453</v>
      </c>
    </row>
    <row r="806" spans="1:4" x14ac:dyDescent="0.25">
      <c r="A806">
        <v>806</v>
      </c>
      <c r="B806" t="s">
        <v>1864</v>
      </c>
      <c r="C806" t="s">
        <v>1865</v>
      </c>
      <c r="D806" t="s">
        <v>1866</v>
      </c>
    </row>
    <row r="807" spans="1:4" x14ac:dyDescent="0.25">
      <c r="A807">
        <v>807</v>
      </c>
      <c r="B807" t="s">
        <v>1867</v>
      </c>
      <c r="C807" t="s">
        <v>1868</v>
      </c>
      <c r="D807" t="s">
        <v>1869</v>
      </c>
    </row>
    <row r="808" spans="1:4" x14ac:dyDescent="0.25">
      <c r="A808">
        <v>808</v>
      </c>
      <c r="B808" t="s">
        <v>1870</v>
      </c>
      <c r="C808" t="s">
        <v>1871</v>
      </c>
      <c r="D808" s="19">
        <v>36346</v>
      </c>
    </row>
    <row r="809" spans="1:4" x14ac:dyDescent="0.25">
      <c r="A809">
        <v>809</v>
      </c>
      <c r="B809" t="s">
        <v>1872</v>
      </c>
      <c r="C809" t="s">
        <v>1873</v>
      </c>
      <c r="D809" s="19">
        <v>45321</v>
      </c>
    </row>
    <row r="810" spans="1:4" x14ac:dyDescent="0.25">
      <c r="A810">
        <v>810</v>
      </c>
      <c r="B810" t="s">
        <v>1874</v>
      </c>
      <c r="C810" t="s">
        <v>1875</v>
      </c>
      <c r="D810" s="19">
        <v>33427</v>
      </c>
    </row>
    <row r="811" spans="1:4" x14ac:dyDescent="0.25">
      <c r="A811">
        <v>811</v>
      </c>
      <c r="B811" t="s">
        <v>1876</v>
      </c>
      <c r="C811" t="s">
        <v>1877</v>
      </c>
      <c r="D811" t="s">
        <v>1878</v>
      </c>
    </row>
    <row r="812" spans="1:4" x14ac:dyDescent="0.25">
      <c r="A812">
        <v>812</v>
      </c>
      <c r="B812" t="s">
        <v>1879</v>
      </c>
      <c r="C812" t="s">
        <v>1880</v>
      </c>
      <c r="D812" s="19">
        <v>43657</v>
      </c>
    </row>
    <row r="813" spans="1:4" x14ac:dyDescent="0.25">
      <c r="A813">
        <v>813</v>
      </c>
      <c r="B813" t="s">
        <v>1881</v>
      </c>
      <c r="C813" t="s">
        <v>1882</v>
      </c>
      <c r="D813" s="19">
        <v>44629</v>
      </c>
    </row>
    <row r="814" spans="1:4" x14ac:dyDescent="0.25">
      <c r="A814">
        <v>814</v>
      </c>
      <c r="B814" t="s">
        <v>1883</v>
      </c>
      <c r="C814" t="s">
        <v>1884</v>
      </c>
      <c r="D814" s="19">
        <v>45301</v>
      </c>
    </row>
    <row r="815" spans="1:4" x14ac:dyDescent="0.25">
      <c r="A815">
        <v>815</v>
      </c>
      <c r="B815" t="s">
        <v>1885</v>
      </c>
      <c r="C815" t="s">
        <v>1886</v>
      </c>
      <c r="D815" s="19">
        <v>34885</v>
      </c>
    </row>
    <row r="816" spans="1:4" x14ac:dyDescent="0.25">
      <c r="A816">
        <v>816</v>
      </c>
      <c r="B816" t="s">
        <v>1887</v>
      </c>
      <c r="C816" t="s">
        <v>1888</v>
      </c>
      <c r="D816" t="s">
        <v>1889</v>
      </c>
    </row>
    <row r="817" spans="1:4" x14ac:dyDescent="0.25">
      <c r="A817">
        <v>817</v>
      </c>
      <c r="B817" t="s">
        <v>1890</v>
      </c>
      <c r="C817" t="s">
        <v>1891</v>
      </c>
      <c r="D817" t="s">
        <v>251</v>
      </c>
    </row>
    <row r="818" spans="1:4" x14ac:dyDescent="0.25">
      <c r="A818">
        <v>818</v>
      </c>
      <c r="B818" t="s">
        <v>1892</v>
      </c>
      <c r="C818" t="s">
        <v>1893</v>
      </c>
      <c r="D818" t="s">
        <v>1894</v>
      </c>
    </row>
    <row r="819" spans="1:4" x14ac:dyDescent="0.25">
      <c r="A819">
        <v>819</v>
      </c>
      <c r="B819" t="s">
        <v>1895</v>
      </c>
      <c r="C819" t="s">
        <v>1896</v>
      </c>
      <c r="D819" s="19">
        <v>35317</v>
      </c>
    </row>
    <row r="820" spans="1:4" x14ac:dyDescent="0.25">
      <c r="A820">
        <v>820</v>
      </c>
      <c r="B820" t="s">
        <v>1897</v>
      </c>
      <c r="C820" t="s">
        <v>1898</v>
      </c>
      <c r="D820" s="19">
        <v>44284</v>
      </c>
    </row>
    <row r="821" spans="1:4" x14ac:dyDescent="0.25">
      <c r="A821">
        <v>821</v>
      </c>
      <c r="B821" t="s">
        <v>1899</v>
      </c>
      <c r="C821" t="s">
        <v>1900</v>
      </c>
      <c r="D821" t="s">
        <v>1901</v>
      </c>
    </row>
    <row r="822" spans="1:4" x14ac:dyDescent="0.25">
      <c r="A822">
        <v>822</v>
      </c>
      <c r="B822" t="s">
        <v>1902</v>
      </c>
      <c r="C822" t="s">
        <v>1903</v>
      </c>
      <c r="D822" s="19">
        <v>44019</v>
      </c>
    </row>
    <row r="823" spans="1:4" x14ac:dyDescent="0.25">
      <c r="A823">
        <v>823</v>
      </c>
      <c r="B823" t="s">
        <v>1904</v>
      </c>
      <c r="C823" t="s">
        <v>1905</v>
      </c>
      <c r="D823" s="19">
        <v>44082</v>
      </c>
    </row>
    <row r="824" spans="1:4" x14ac:dyDescent="0.25">
      <c r="A824">
        <v>824</v>
      </c>
      <c r="B824" t="s">
        <v>1906</v>
      </c>
      <c r="C824" t="s">
        <v>1907</v>
      </c>
      <c r="D824" t="s">
        <v>1908</v>
      </c>
    </row>
    <row r="825" spans="1:4" x14ac:dyDescent="0.25">
      <c r="A825">
        <v>825</v>
      </c>
      <c r="B825" t="s">
        <v>1909</v>
      </c>
      <c r="C825" t="s">
        <v>1910</v>
      </c>
      <c r="D825" s="19">
        <v>33806</v>
      </c>
    </row>
    <row r="826" spans="1:4" x14ac:dyDescent="0.25">
      <c r="A826">
        <v>826</v>
      </c>
      <c r="B826" t="s">
        <v>1911</v>
      </c>
      <c r="C826" t="s">
        <v>1912</v>
      </c>
      <c r="D826" s="19">
        <v>43410</v>
      </c>
    </row>
    <row r="827" spans="1:4" x14ac:dyDescent="0.25">
      <c r="A827">
        <v>827</v>
      </c>
      <c r="B827" t="s">
        <v>1913</v>
      </c>
      <c r="C827" t="s">
        <v>1914</v>
      </c>
      <c r="D827" t="s">
        <v>1915</v>
      </c>
    </row>
    <row r="828" spans="1:4" x14ac:dyDescent="0.25">
      <c r="A828">
        <v>828</v>
      </c>
      <c r="B828" t="s">
        <v>1916</v>
      </c>
      <c r="C828" t="s">
        <v>1917</v>
      </c>
      <c r="D828" s="19">
        <v>44932</v>
      </c>
    </row>
    <row r="829" spans="1:4" x14ac:dyDescent="0.25">
      <c r="A829">
        <v>829</v>
      </c>
      <c r="B829" t="s">
        <v>1918</v>
      </c>
      <c r="C829" t="s">
        <v>1919</v>
      </c>
      <c r="D829" s="19">
        <v>34654</v>
      </c>
    </row>
    <row r="830" spans="1:4" x14ac:dyDescent="0.25">
      <c r="A830">
        <v>830</v>
      </c>
      <c r="B830" t="s">
        <v>1920</v>
      </c>
      <c r="C830" t="s">
        <v>1921</v>
      </c>
      <c r="D830" s="19">
        <v>45476</v>
      </c>
    </row>
    <row r="831" spans="1:4" x14ac:dyDescent="0.25">
      <c r="A831">
        <v>831</v>
      </c>
      <c r="B831" t="s">
        <v>1922</v>
      </c>
      <c r="C831" t="s">
        <v>1923</v>
      </c>
      <c r="D831" t="s">
        <v>1924</v>
      </c>
    </row>
    <row r="832" spans="1:4" x14ac:dyDescent="0.25">
      <c r="A832">
        <v>832</v>
      </c>
      <c r="B832" t="s">
        <v>1925</v>
      </c>
      <c r="C832" t="s">
        <v>1926</v>
      </c>
      <c r="D832" s="19">
        <v>38183</v>
      </c>
    </row>
    <row r="833" spans="1:4" x14ac:dyDescent="0.25">
      <c r="A833">
        <v>833</v>
      </c>
      <c r="B833" t="s">
        <v>1927</v>
      </c>
      <c r="C833" t="s">
        <v>1928</v>
      </c>
      <c r="D833" s="19">
        <v>40644</v>
      </c>
    </row>
    <row r="834" spans="1:4" x14ac:dyDescent="0.25">
      <c r="A834">
        <v>834</v>
      </c>
      <c r="B834" t="s">
        <v>1929</v>
      </c>
      <c r="C834" t="s">
        <v>1930</v>
      </c>
      <c r="D834" s="19">
        <v>41442</v>
      </c>
    </row>
    <row r="835" spans="1:4" x14ac:dyDescent="0.25">
      <c r="A835">
        <v>835</v>
      </c>
      <c r="B835" t="s">
        <v>1931</v>
      </c>
      <c r="C835" t="s">
        <v>1932</v>
      </c>
      <c r="D835" s="19">
        <v>33980</v>
      </c>
    </row>
    <row r="836" spans="1:4" x14ac:dyDescent="0.25">
      <c r="A836">
        <v>836</v>
      </c>
      <c r="B836" t="s">
        <v>1933</v>
      </c>
      <c r="C836" t="s">
        <v>1934</v>
      </c>
      <c r="D836" s="19">
        <v>41451</v>
      </c>
    </row>
    <row r="837" spans="1:4" x14ac:dyDescent="0.25">
      <c r="A837">
        <v>837</v>
      </c>
      <c r="B837" t="s">
        <v>1935</v>
      </c>
      <c r="C837" t="s">
        <v>1936</v>
      </c>
      <c r="D837" s="19">
        <v>35516</v>
      </c>
    </row>
    <row r="838" spans="1:4" x14ac:dyDescent="0.25">
      <c r="A838">
        <v>838</v>
      </c>
      <c r="B838" t="s">
        <v>1937</v>
      </c>
      <c r="C838" t="s">
        <v>1938</v>
      </c>
      <c r="D838" t="s">
        <v>1939</v>
      </c>
    </row>
    <row r="839" spans="1:4" x14ac:dyDescent="0.25">
      <c r="A839">
        <v>839</v>
      </c>
      <c r="B839" t="s">
        <v>1940</v>
      </c>
      <c r="C839" t="s">
        <v>1941</v>
      </c>
      <c r="D839" t="s">
        <v>1942</v>
      </c>
    </row>
    <row r="840" spans="1:4" x14ac:dyDescent="0.25">
      <c r="A840">
        <v>840</v>
      </c>
      <c r="B840" t="s">
        <v>1943</v>
      </c>
      <c r="C840" t="s">
        <v>1944</v>
      </c>
      <c r="D840" s="19">
        <v>44630</v>
      </c>
    </row>
    <row r="841" spans="1:4" x14ac:dyDescent="0.25">
      <c r="A841">
        <v>841</v>
      </c>
      <c r="B841" t="s">
        <v>1945</v>
      </c>
      <c r="C841" t="s">
        <v>1946</v>
      </c>
      <c r="D841" s="19">
        <v>40737</v>
      </c>
    </row>
    <row r="842" spans="1:4" x14ac:dyDescent="0.25">
      <c r="A842">
        <v>842</v>
      </c>
      <c r="B842" t="s">
        <v>1947</v>
      </c>
      <c r="C842" t="s">
        <v>1948</v>
      </c>
      <c r="D842" t="s">
        <v>1949</v>
      </c>
    </row>
    <row r="843" spans="1:4" x14ac:dyDescent="0.25">
      <c r="A843">
        <v>843</v>
      </c>
      <c r="B843" t="s">
        <v>1950</v>
      </c>
      <c r="C843" t="s">
        <v>1951</v>
      </c>
      <c r="D843" t="s">
        <v>1952</v>
      </c>
    </row>
    <row r="844" spans="1:4" x14ac:dyDescent="0.25">
      <c r="A844">
        <v>844</v>
      </c>
      <c r="B844" t="s">
        <v>1953</v>
      </c>
      <c r="C844" t="s">
        <v>1954</v>
      </c>
      <c r="D844" s="19">
        <v>37426</v>
      </c>
    </row>
    <row r="845" spans="1:4" x14ac:dyDescent="0.25">
      <c r="A845">
        <v>845</v>
      </c>
      <c r="B845" t="s">
        <v>1955</v>
      </c>
      <c r="C845" t="s">
        <v>1956</v>
      </c>
      <c r="D845" s="19">
        <v>34414</v>
      </c>
    </row>
    <row r="846" spans="1:4" x14ac:dyDescent="0.25">
      <c r="A846">
        <v>846</v>
      </c>
      <c r="B846" t="s">
        <v>1957</v>
      </c>
      <c r="C846" t="s">
        <v>1958</v>
      </c>
      <c r="D846" s="19">
        <v>44935</v>
      </c>
    </row>
    <row r="847" spans="1:4" x14ac:dyDescent="0.25">
      <c r="A847">
        <v>847</v>
      </c>
      <c r="B847" t="s">
        <v>1959</v>
      </c>
      <c r="C847" t="s">
        <v>1960</v>
      </c>
      <c r="D847" t="s">
        <v>1961</v>
      </c>
    </row>
    <row r="848" spans="1:4" x14ac:dyDescent="0.25">
      <c r="A848">
        <v>848</v>
      </c>
      <c r="B848" t="s">
        <v>1962</v>
      </c>
      <c r="C848" t="s">
        <v>1963</v>
      </c>
      <c r="D848" t="s">
        <v>1175</v>
      </c>
    </row>
    <row r="849" spans="1:4" x14ac:dyDescent="0.25">
      <c r="A849">
        <v>849</v>
      </c>
      <c r="B849" t="s">
        <v>1964</v>
      </c>
      <c r="C849" t="s">
        <v>1965</v>
      </c>
      <c r="D849" t="s">
        <v>1966</v>
      </c>
    </row>
    <row r="850" spans="1:4" x14ac:dyDescent="0.25">
      <c r="A850">
        <v>850</v>
      </c>
      <c r="B850" t="s">
        <v>1967</v>
      </c>
      <c r="C850" t="s">
        <v>1968</v>
      </c>
      <c r="D850" s="19">
        <v>43259</v>
      </c>
    </row>
    <row r="851" spans="1:4" x14ac:dyDescent="0.25">
      <c r="A851">
        <v>851</v>
      </c>
      <c r="B851" t="s">
        <v>1969</v>
      </c>
      <c r="C851" t="s">
        <v>1970</v>
      </c>
      <c r="D851" s="19">
        <v>44749</v>
      </c>
    </row>
    <row r="852" spans="1:4" x14ac:dyDescent="0.25">
      <c r="A852">
        <v>852</v>
      </c>
      <c r="B852" t="s">
        <v>1971</v>
      </c>
      <c r="C852" t="s">
        <v>1972</v>
      </c>
      <c r="D852" s="19">
        <v>41656</v>
      </c>
    </row>
    <row r="853" spans="1:4" x14ac:dyDescent="0.25">
      <c r="A853">
        <v>853</v>
      </c>
      <c r="B853" t="s">
        <v>1973</v>
      </c>
      <c r="C853" t="s">
        <v>1974</v>
      </c>
      <c r="D853" s="19">
        <v>43871</v>
      </c>
    </row>
    <row r="854" spans="1:4" x14ac:dyDescent="0.25">
      <c r="A854">
        <v>854</v>
      </c>
      <c r="B854" t="s">
        <v>1975</v>
      </c>
      <c r="C854" t="s">
        <v>1976</v>
      </c>
      <c r="D854" t="s">
        <v>568</v>
      </c>
    </row>
    <row r="855" spans="1:4" x14ac:dyDescent="0.25">
      <c r="A855">
        <v>855</v>
      </c>
      <c r="B855" t="s">
        <v>1977</v>
      </c>
      <c r="C855" t="s">
        <v>1978</v>
      </c>
      <c r="D855" s="19">
        <v>44298</v>
      </c>
    </row>
    <row r="856" spans="1:4" x14ac:dyDescent="0.25">
      <c r="A856">
        <v>856</v>
      </c>
      <c r="B856" t="s">
        <v>1979</v>
      </c>
      <c r="C856" t="s">
        <v>1980</v>
      </c>
      <c r="D856" s="19">
        <v>41831</v>
      </c>
    </row>
    <row r="857" spans="1:4" x14ac:dyDescent="0.25">
      <c r="A857">
        <v>857</v>
      </c>
      <c r="B857" t="s">
        <v>1981</v>
      </c>
      <c r="C857" t="s">
        <v>1982</v>
      </c>
      <c r="D857" s="19">
        <v>41215</v>
      </c>
    </row>
    <row r="858" spans="1:4" x14ac:dyDescent="0.25">
      <c r="A858">
        <v>858</v>
      </c>
      <c r="B858" t="s">
        <v>1983</v>
      </c>
      <c r="C858" t="s">
        <v>1984</v>
      </c>
      <c r="D858" t="s">
        <v>534</v>
      </c>
    </row>
    <row r="859" spans="1:4" x14ac:dyDescent="0.25">
      <c r="A859">
        <v>859</v>
      </c>
      <c r="B859" t="s">
        <v>1985</v>
      </c>
      <c r="C859" t="s">
        <v>1986</v>
      </c>
      <c r="D859" t="s">
        <v>1987</v>
      </c>
    </row>
    <row r="860" spans="1:4" x14ac:dyDescent="0.25">
      <c r="A860">
        <v>860</v>
      </c>
      <c r="B860" t="s">
        <v>1988</v>
      </c>
      <c r="C860" t="s">
        <v>1989</v>
      </c>
      <c r="D860" s="19">
        <v>36570</v>
      </c>
    </row>
    <row r="861" spans="1:4" x14ac:dyDescent="0.25">
      <c r="A861">
        <v>861</v>
      </c>
      <c r="B861" t="s">
        <v>1990</v>
      </c>
      <c r="C861" t="s">
        <v>1991</v>
      </c>
      <c r="D861" t="s">
        <v>1992</v>
      </c>
    </row>
    <row r="862" spans="1:4" x14ac:dyDescent="0.25">
      <c r="A862">
        <v>862</v>
      </c>
      <c r="B862" t="s">
        <v>1993</v>
      </c>
      <c r="C862" t="s">
        <v>1994</v>
      </c>
      <c r="D862" s="19">
        <v>34242</v>
      </c>
    </row>
    <row r="863" spans="1:4" x14ac:dyDescent="0.25">
      <c r="A863">
        <v>863</v>
      </c>
      <c r="B863" t="s">
        <v>1995</v>
      </c>
      <c r="C863" t="s">
        <v>1996</v>
      </c>
      <c r="D863" s="19">
        <v>43287</v>
      </c>
    </row>
    <row r="864" spans="1:4" x14ac:dyDescent="0.25">
      <c r="A864">
        <v>864</v>
      </c>
      <c r="B864" t="s">
        <v>1997</v>
      </c>
      <c r="C864" t="s">
        <v>1998</v>
      </c>
      <c r="D864" s="19">
        <v>43199</v>
      </c>
    </row>
    <row r="865" spans="1:4" x14ac:dyDescent="0.25">
      <c r="A865">
        <v>865</v>
      </c>
      <c r="B865" t="s">
        <v>1999</v>
      </c>
      <c r="C865" t="s">
        <v>2000</v>
      </c>
      <c r="D865" s="19">
        <v>43787</v>
      </c>
    </row>
    <row r="866" spans="1:4" x14ac:dyDescent="0.25">
      <c r="A866">
        <v>866</v>
      </c>
      <c r="B866" t="s">
        <v>2001</v>
      </c>
      <c r="C866" t="s">
        <v>2002</v>
      </c>
      <c r="D866" s="19">
        <v>43986</v>
      </c>
    </row>
    <row r="867" spans="1:4" x14ac:dyDescent="0.25">
      <c r="A867">
        <v>867</v>
      </c>
      <c r="B867" t="s">
        <v>2003</v>
      </c>
      <c r="C867" t="s">
        <v>2004</v>
      </c>
      <c r="D867" s="19">
        <v>40920</v>
      </c>
    </row>
    <row r="868" spans="1:4" x14ac:dyDescent="0.25">
      <c r="A868">
        <v>868</v>
      </c>
      <c r="B868" t="s">
        <v>2005</v>
      </c>
      <c r="C868" t="s">
        <v>2006</v>
      </c>
      <c r="D868" s="19">
        <v>43725</v>
      </c>
    </row>
    <row r="869" spans="1:4" x14ac:dyDescent="0.25">
      <c r="A869">
        <v>869</v>
      </c>
      <c r="B869" t="s">
        <v>2007</v>
      </c>
      <c r="C869" t="s">
        <v>2008</v>
      </c>
      <c r="D869" s="19">
        <v>29277</v>
      </c>
    </row>
    <row r="870" spans="1:4" x14ac:dyDescent="0.25">
      <c r="A870">
        <v>870</v>
      </c>
      <c r="B870" t="s">
        <v>2009</v>
      </c>
      <c r="C870" t="s">
        <v>2010</v>
      </c>
      <c r="D870" s="19">
        <v>33035</v>
      </c>
    </row>
    <row r="871" spans="1:4" x14ac:dyDescent="0.25">
      <c r="A871">
        <v>871</v>
      </c>
      <c r="B871" t="s">
        <v>2011</v>
      </c>
      <c r="C871" t="s">
        <v>2012</v>
      </c>
      <c r="D871" t="s">
        <v>2013</v>
      </c>
    </row>
    <row r="872" spans="1:4" x14ac:dyDescent="0.25">
      <c r="A872">
        <v>872</v>
      </c>
      <c r="B872" t="s">
        <v>2014</v>
      </c>
      <c r="C872" t="s">
        <v>2015</v>
      </c>
      <c r="D872" s="19">
        <v>45117</v>
      </c>
    </row>
    <row r="873" spans="1:4" x14ac:dyDescent="0.25">
      <c r="A873">
        <v>873</v>
      </c>
      <c r="B873" t="s">
        <v>2016</v>
      </c>
      <c r="C873" t="s">
        <v>2017</v>
      </c>
      <c r="D873" s="19">
        <v>40732</v>
      </c>
    </row>
    <row r="874" spans="1:4" x14ac:dyDescent="0.25">
      <c r="A874">
        <v>874</v>
      </c>
      <c r="B874" t="s">
        <v>2018</v>
      </c>
      <c r="C874" t="s">
        <v>2019</v>
      </c>
      <c r="D874" t="s">
        <v>2020</v>
      </c>
    </row>
    <row r="875" spans="1:4" x14ac:dyDescent="0.25">
      <c r="A875">
        <v>875</v>
      </c>
      <c r="B875" t="s">
        <v>2021</v>
      </c>
      <c r="C875" t="s">
        <v>2022</v>
      </c>
      <c r="D875" s="19">
        <v>34177</v>
      </c>
    </row>
    <row r="876" spans="1:4" x14ac:dyDescent="0.25">
      <c r="A876">
        <v>876</v>
      </c>
      <c r="B876" t="s">
        <v>2023</v>
      </c>
      <c r="C876" t="s">
        <v>2024</v>
      </c>
      <c r="D876" t="s">
        <v>2025</v>
      </c>
    </row>
    <row r="877" spans="1:4" x14ac:dyDescent="0.25">
      <c r="A877">
        <v>877</v>
      </c>
      <c r="B877" t="s">
        <v>2026</v>
      </c>
      <c r="C877" t="s">
        <v>2027</v>
      </c>
      <c r="D877" s="19">
        <v>32966</v>
      </c>
    </row>
    <row r="878" spans="1:4" x14ac:dyDescent="0.25">
      <c r="A878">
        <v>878</v>
      </c>
      <c r="B878" t="s">
        <v>2028</v>
      </c>
      <c r="C878" t="s">
        <v>2029</v>
      </c>
      <c r="D878" s="19">
        <v>44663</v>
      </c>
    </row>
    <row r="879" spans="1:4" x14ac:dyDescent="0.25">
      <c r="A879">
        <v>879</v>
      </c>
      <c r="B879" t="s">
        <v>2030</v>
      </c>
      <c r="C879" t="s">
        <v>2031</v>
      </c>
      <c r="D879" s="19">
        <v>35017</v>
      </c>
    </row>
    <row r="880" spans="1:4" x14ac:dyDescent="0.25">
      <c r="A880">
        <v>880</v>
      </c>
      <c r="B880" t="s">
        <v>2032</v>
      </c>
      <c r="C880" t="s">
        <v>2033</v>
      </c>
      <c r="D880" s="19">
        <v>37811</v>
      </c>
    </row>
    <row r="881" spans="1:4" x14ac:dyDescent="0.25">
      <c r="A881">
        <v>881</v>
      </c>
      <c r="B881" t="s">
        <v>2034</v>
      </c>
      <c r="C881" t="s">
        <v>2035</v>
      </c>
      <c r="D881" s="19">
        <v>36899</v>
      </c>
    </row>
    <row r="882" spans="1:4" x14ac:dyDescent="0.25">
      <c r="A882">
        <v>882</v>
      </c>
      <c r="B882" t="s">
        <v>2036</v>
      </c>
      <c r="C882" t="s">
        <v>2037</v>
      </c>
      <c r="D882" s="19">
        <v>43279</v>
      </c>
    </row>
    <row r="883" spans="1:4" x14ac:dyDescent="0.25">
      <c r="A883">
        <v>883</v>
      </c>
      <c r="B883" t="s">
        <v>2038</v>
      </c>
      <c r="C883" t="s">
        <v>2039</v>
      </c>
      <c r="D883" s="19">
        <v>41096</v>
      </c>
    </row>
    <row r="884" spans="1:4" x14ac:dyDescent="0.25">
      <c r="A884">
        <v>884</v>
      </c>
      <c r="B884" t="s">
        <v>2040</v>
      </c>
      <c r="C884" t="s">
        <v>2041</v>
      </c>
      <c r="D884" t="s">
        <v>439</v>
      </c>
    </row>
    <row r="885" spans="1:4" x14ac:dyDescent="0.25">
      <c r="A885">
        <v>885</v>
      </c>
      <c r="B885" t="s">
        <v>2042</v>
      </c>
      <c r="C885" t="s">
        <v>2043</v>
      </c>
      <c r="D885" s="19">
        <v>42902</v>
      </c>
    </row>
    <row r="886" spans="1:4" x14ac:dyDescent="0.25">
      <c r="A886">
        <v>886</v>
      </c>
      <c r="B886" t="s">
        <v>2044</v>
      </c>
      <c r="C886" t="s">
        <v>2045</v>
      </c>
      <c r="D886" s="19">
        <v>45329</v>
      </c>
    </row>
    <row r="887" spans="1:4" x14ac:dyDescent="0.25">
      <c r="A887">
        <v>887</v>
      </c>
      <c r="B887" t="s">
        <v>2046</v>
      </c>
      <c r="C887" t="s">
        <v>2047</v>
      </c>
      <c r="D887" s="19">
        <v>38923</v>
      </c>
    </row>
    <row r="888" spans="1:4" x14ac:dyDescent="0.25">
      <c r="A888">
        <v>888</v>
      </c>
      <c r="B888" t="s">
        <v>2048</v>
      </c>
      <c r="C888" t="s">
        <v>2049</v>
      </c>
      <c r="D888" t="s">
        <v>2050</v>
      </c>
    </row>
    <row r="889" spans="1:4" x14ac:dyDescent="0.25">
      <c r="A889">
        <v>889</v>
      </c>
      <c r="B889" t="s">
        <v>2051</v>
      </c>
      <c r="C889" t="s">
        <v>2052</v>
      </c>
      <c r="D889" s="19">
        <v>40245</v>
      </c>
    </row>
    <row r="890" spans="1:4" x14ac:dyDescent="0.25">
      <c r="A890">
        <v>890</v>
      </c>
      <c r="B890" t="s">
        <v>2053</v>
      </c>
      <c r="C890" t="s">
        <v>2054</v>
      </c>
      <c r="D890" t="s">
        <v>2055</v>
      </c>
    </row>
    <row r="891" spans="1:4" x14ac:dyDescent="0.25">
      <c r="A891">
        <v>891</v>
      </c>
      <c r="B891" t="s">
        <v>2056</v>
      </c>
      <c r="C891" t="s">
        <v>2057</v>
      </c>
      <c r="D891" t="s">
        <v>2058</v>
      </c>
    </row>
    <row r="892" spans="1:4" x14ac:dyDescent="0.25">
      <c r="A892">
        <v>892</v>
      </c>
      <c r="B892" t="s">
        <v>2059</v>
      </c>
      <c r="C892" t="s">
        <v>2060</v>
      </c>
      <c r="D892" s="19">
        <v>41325</v>
      </c>
    </row>
    <row r="893" spans="1:4" x14ac:dyDescent="0.25">
      <c r="A893">
        <v>893</v>
      </c>
      <c r="B893" t="s">
        <v>2061</v>
      </c>
      <c r="C893" t="s">
        <v>2062</v>
      </c>
      <c r="D893" s="19">
        <v>39701</v>
      </c>
    </row>
    <row r="894" spans="1:4" x14ac:dyDescent="0.25">
      <c r="A894">
        <v>894</v>
      </c>
      <c r="B894" t="s">
        <v>2063</v>
      </c>
      <c r="C894" t="s">
        <v>2064</v>
      </c>
      <c r="D894" s="19">
        <v>44750</v>
      </c>
    </row>
    <row r="895" spans="1:4" x14ac:dyDescent="0.25">
      <c r="A895">
        <v>895</v>
      </c>
      <c r="B895" t="s">
        <v>2065</v>
      </c>
      <c r="C895" t="s">
        <v>2066</v>
      </c>
      <c r="D895" s="19">
        <v>39475</v>
      </c>
    </row>
    <row r="896" spans="1:4" x14ac:dyDescent="0.25">
      <c r="A896">
        <v>896</v>
      </c>
      <c r="B896" t="s">
        <v>2067</v>
      </c>
      <c r="C896" t="s">
        <v>2068</v>
      </c>
      <c r="D896" s="19">
        <v>36556</v>
      </c>
    </row>
    <row r="897" spans="1:4" x14ac:dyDescent="0.25">
      <c r="A897">
        <v>897</v>
      </c>
      <c r="B897" t="s">
        <v>2069</v>
      </c>
      <c r="C897" t="s">
        <v>2070</v>
      </c>
      <c r="D897" s="19">
        <v>43845</v>
      </c>
    </row>
    <row r="898" spans="1:4" x14ac:dyDescent="0.25">
      <c r="A898">
        <v>898</v>
      </c>
      <c r="B898" t="s">
        <v>2071</v>
      </c>
      <c r="C898" t="s">
        <v>2072</v>
      </c>
      <c r="D898" s="19">
        <v>39917</v>
      </c>
    </row>
    <row r="899" spans="1:4" x14ac:dyDescent="0.25">
      <c r="A899">
        <v>899</v>
      </c>
      <c r="B899" t="s">
        <v>2073</v>
      </c>
      <c r="C899" t="s">
        <v>2074</v>
      </c>
      <c r="D899" s="19">
        <v>41088</v>
      </c>
    </row>
    <row r="900" spans="1:4" x14ac:dyDescent="0.25">
      <c r="A900">
        <v>900</v>
      </c>
      <c r="B900" t="s">
        <v>2075</v>
      </c>
      <c r="C900" t="s">
        <v>2076</v>
      </c>
      <c r="D900" t="s">
        <v>2077</v>
      </c>
    </row>
    <row r="901" spans="1:4" x14ac:dyDescent="0.25">
      <c r="A901">
        <v>901</v>
      </c>
      <c r="B901" t="s">
        <v>2078</v>
      </c>
      <c r="C901" t="s">
        <v>2079</v>
      </c>
      <c r="D901" s="19">
        <v>44993</v>
      </c>
    </row>
    <row r="902" spans="1:4" x14ac:dyDescent="0.25">
      <c r="A902">
        <v>902</v>
      </c>
      <c r="B902" t="s">
        <v>2080</v>
      </c>
      <c r="C902" t="s">
        <v>2081</v>
      </c>
      <c r="D902" s="19">
        <v>33056</v>
      </c>
    </row>
    <row r="903" spans="1:4" x14ac:dyDescent="0.25">
      <c r="A903">
        <v>903</v>
      </c>
      <c r="B903" t="b">
        <v>1</v>
      </c>
      <c r="C903" t="s">
        <v>2082</v>
      </c>
      <c r="D903" s="19">
        <v>44357</v>
      </c>
    </row>
    <row r="904" spans="1:4" x14ac:dyDescent="0.25">
      <c r="A904">
        <v>904</v>
      </c>
      <c r="B904" t="s">
        <v>2083</v>
      </c>
      <c r="C904" t="s">
        <v>2084</v>
      </c>
      <c r="D904" t="s">
        <v>1723</v>
      </c>
    </row>
    <row r="905" spans="1:4" x14ac:dyDescent="0.25">
      <c r="A905">
        <v>905</v>
      </c>
      <c r="B905" t="s">
        <v>2085</v>
      </c>
      <c r="C905" t="s">
        <v>2086</v>
      </c>
      <c r="D905" s="19">
        <v>37588</v>
      </c>
    </row>
    <row r="906" spans="1:4" x14ac:dyDescent="0.25">
      <c r="A906">
        <v>906</v>
      </c>
      <c r="B906" t="s">
        <v>2087</v>
      </c>
      <c r="C906" t="s">
        <v>2088</v>
      </c>
      <c r="D906" s="19">
        <v>34502</v>
      </c>
    </row>
    <row r="907" spans="1:4" x14ac:dyDescent="0.25">
      <c r="A907">
        <v>907</v>
      </c>
      <c r="B907" t="s">
        <v>2089</v>
      </c>
      <c r="C907" t="s">
        <v>2090</v>
      </c>
      <c r="D907" t="s">
        <v>2091</v>
      </c>
    </row>
    <row r="908" spans="1:4" x14ac:dyDescent="0.25">
      <c r="A908">
        <v>908</v>
      </c>
      <c r="B908" t="s">
        <v>2092</v>
      </c>
      <c r="C908" t="s">
        <v>2093</v>
      </c>
      <c r="D908" t="s">
        <v>646</v>
      </c>
    </row>
    <row r="909" spans="1:4" x14ac:dyDescent="0.25">
      <c r="A909">
        <v>909</v>
      </c>
      <c r="B909" t="s">
        <v>2094</v>
      </c>
      <c r="C909" t="s">
        <v>2095</v>
      </c>
      <c r="D909" s="19">
        <v>44018</v>
      </c>
    </row>
    <row r="910" spans="1:4" x14ac:dyDescent="0.25">
      <c r="A910">
        <v>910</v>
      </c>
      <c r="B910" t="s">
        <v>2096</v>
      </c>
      <c r="C910" t="s">
        <v>2097</v>
      </c>
      <c r="D910" t="s">
        <v>2098</v>
      </c>
    </row>
    <row r="911" spans="1:4" x14ac:dyDescent="0.25">
      <c r="A911">
        <v>911</v>
      </c>
      <c r="B911" t="s">
        <v>2099</v>
      </c>
      <c r="C911" t="s">
        <v>2100</v>
      </c>
      <c r="D911" t="s">
        <v>2101</v>
      </c>
    </row>
    <row r="912" spans="1:4" x14ac:dyDescent="0.25">
      <c r="A912">
        <v>912</v>
      </c>
      <c r="B912" t="s">
        <v>2102</v>
      </c>
      <c r="C912" t="s">
        <v>2103</v>
      </c>
      <c r="D912" s="19">
        <v>44228</v>
      </c>
    </row>
    <row r="913" spans="1:4" x14ac:dyDescent="0.25">
      <c r="A913">
        <v>913</v>
      </c>
      <c r="B913" t="s">
        <v>2104</v>
      </c>
      <c r="C913" t="s">
        <v>2105</v>
      </c>
      <c r="D913" s="19">
        <v>33056</v>
      </c>
    </row>
    <row r="914" spans="1:4" x14ac:dyDescent="0.25">
      <c r="A914">
        <v>914</v>
      </c>
      <c r="B914" t="s">
        <v>2106</v>
      </c>
      <c r="C914" t="s">
        <v>2107</v>
      </c>
      <c r="D914" s="19">
        <v>32818</v>
      </c>
    </row>
    <row r="915" spans="1:4" x14ac:dyDescent="0.25">
      <c r="A915">
        <v>915</v>
      </c>
      <c r="B915" t="s">
        <v>2108</v>
      </c>
      <c r="C915" t="s">
        <v>2109</v>
      </c>
      <c r="D915" s="19">
        <v>44263</v>
      </c>
    </row>
    <row r="916" spans="1:4" x14ac:dyDescent="0.25">
      <c r="A916">
        <v>916</v>
      </c>
      <c r="B916" t="s">
        <v>2110</v>
      </c>
      <c r="C916" t="s">
        <v>2111</v>
      </c>
      <c r="D916" s="19">
        <v>37364</v>
      </c>
    </row>
    <row r="917" spans="1:4" x14ac:dyDescent="0.25">
      <c r="A917">
        <v>917</v>
      </c>
      <c r="B917" t="s">
        <v>2112</v>
      </c>
      <c r="C917" t="s">
        <v>2113</v>
      </c>
      <c r="D917" s="19">
        <v>32938</v>
      </c>
    </row>
    <row r="918" spans="1:4" x14ac:dyDescent="0.25">
      <c r="A918">
        <v>918</v>
      </c>
      <c r="B918" t="s">
        <v>2114</v>
      </c>
      <c r="C918" t="s">
        <v>2115</v>
      </c>
      <c r="D918" s="19">
        <v>45329</v>
      </c>
    </row>
    <row r="919" spans="1:4" x14ac:dyDescent="0.25">
      <c r="A919">
        <v>919</v>
      </c>
      <c r="B919" t="s">
        <v>2116</v>
      </c>
      <c r="C919" t="s">
        <v>2117</v>
      </c>
      <c r="D919" s="19">
        <v>32770</v>
      </c>
    </row>
    <row r="920" spans="1:4" x14ac:dyDescent="0.25">
      <c r="A920">
        <v>920</v>
      </c>
      <c r="B920" t="s">
        <v>2118</v>
      </c>
      <c r="C920" t="s">
        <v>2119</v>
      </c>
      <c r="D920" s="19">
        <v>29962</v>
      </c>
    </row>
    <row r="921" spans="1:4" x14ac:dyDescent="0.25">
      <c r="A921">
        <v>921</v>
      </c>
      <c r="B921" t="s">
        <v>2120</v>
      </c>
      <c r="C921" t="s">
        <v>2121</v>
      </c>
      <c r="D921" t="s">
        <v>1915</v>
      </c>
    </row>
    <row r="922" spans="1:4" x14ac:dyDescent="0.25">
      <c r="A922">
        <v>922</v>
      </c>
      <c r="B922" t="s">
        <v>2122</v>
      </c>
      <c r="C922" t="s">
        <v>2123</v>
      </c>
      <c r="D922" s="19">
        <v>44404</v>
      </c>
    </row>
    <row r="923" spans="1:4" x14ac:dyDescent="0.25">
      <c r="A923">
        <v>923</v>
      </c>
      <c r="B923" t="s">
        <v>2124</v>
      </c>
      <c r="C923" t="s">
        <v>2125</v>
      </c>
      <c r="D923" s="19">
        <v>44965</v>
      </c>
    </row>
    <row r="924" spans="1:4" x14ac:dyDescent="0.25">
      <c r="A924">
        <v>924</v>
      </c>
      <c r="B924" t="s">
        <v>2126</v>
      </c>
      <c r="C924" t="s">
        <v>2127</v>
      </c>
      <c r="D924" t="s">
        <v>1692</v>
      </c>
    </row>
    <row r="925" spans="1:4" x14ac:dyDescent="0.25">
      <c r="A925">
        <v>925</v>
      </c>
      <c r="B925" t="s">
        <v>2128</v>
      </c>
      <c r="C925" t="s">
        <v>2129</v>
      </c>
      <c r="D925" t="s">
        <v>2130</v>
      </c>
    </row>
    <row r="926" spans="1:4" x14ac:dyDescent="0.25">
      <c r="A926">
        <v>926</v>
      </c>
      <c r="B926" t="s">
        <v>2131</v>
      </c>
      <c r="C926" t="s">
        <v>2132</v>
      </c>
      <c r="D926" s="19">
        <v>41463</v>
      </c>
    </row>
    <row r="927" spans="1:4" x14ac:dyDescent="0.25">
      <c r="A927">
        <v>927</v>
      </c>
      <c r="B927" t="s">
        <v>2133</v>
      </c>
      <c r="C927" t="s">
        <v>2134</v>
      </c>
      <c r="D927" s="19">
        <v>42275</v>
      </c>
    </row>
    <row r="928" spans="1:4" x14ac:dyDescent="0.25">
      <c r="A928">
        <v>928</v>
      </c>
      <c r="B928" t="s">
        <v>2135</v>
      </c>
      <c r="C928" t="s">
        <v>2136</v>
      </c>
      <c r="D928" s="19">
        <v>45349</v>
      </c>
    </row>
    <row r="929" spans="1:4" x14ac:dyDescent="0.25">
      <c r="A929">
        <v>929</v>
      </c>
      <c r="B929" t="s">
        <v>2137</v>
      </c>
      <c r="C929" t="s">
        <v>2138</v>
      </c>
      <c r="D929" s="19">
        <v>40868</v>
      </c>
    </row>
    <row r="930" spans="1:4" x14ac:dyDescent="0.25">
      <c r="A930">
        <v>930</v>
      </c>
      <c r="B930" t="s">
        <v>2139</v>
      </c>
      <c r="C930" t="s">
        <v>2140</v>
      </c>
      <c r="D930" s="19">
        <v>45096</v>
      </c>
    </row>
    <row r="931" spans="1:4" x14ac:dyDescent="0.25">
      <c r="A931">
        <v>931</v>
      </c>
      <c r="B931" t="s">
        <v>2141</v>
      </c>
      <c r="C931" t="s">
        <v>2142</v>
      </c>
      <c r="D931" t="s">
        <v>2143</v>
      </c>
    </row>
    <row r="932" spans="1:4" x14ac:dyDescent="0.25">
      <c r="A932">
        <v>932</v>
      </c>
      <c r="B932" t="s">
        <v>2144</v>
      </c>
      <c r="C932" t="s">
        <v>2145</v>
      </c>
      <c r="D932" s="19">
        <v>39624</v>
      </c>
    </row>
    <row r="933" spans="1:4" x14ac:dyDescent="0.25">
      <c r="A933">
        <v>933</v>
      </c>
      <c r="B933" t="s">
        <v>2146</v>
      </c>
      <c r="C933" t="s">
        <v>2147</v>
      </c>
      <c r="D933" t="s">
        <v>2148</v>
      </c>
    </row>
    <row r="934" spans="1:4" x14ac:dyDescent="0.25">
      <c r="A934">
        <v>934</v>
      </c>
      <c r="B934" t="s">
        <v>2149</v>
      </c>
      <c r="C934" t="s">
        <v>2150</v>
      </c>
      <c r="D934" s="19">
        <v>37064</v>
      </c>
    </row>
    <row r="935" spans="1:4" x14ac:dyDescent="0.25">
      <c r="A935">
        <v>935</v>
      </c>
      <c r="B935" t="s">
        <v>2151</v>
      </c>
      <c r="C935" t="s">
        <v>2152</v>
      </c>
      <c r="D935" s="19">
        <v>43069</v>
      </c>
    </row>
    <row r="936" spans="1:4" x14ac:dyDescent="0.25">
      <c r="A936">
        <v>936</v>
      </c>
      <c r="B936" t="s">
        <v>2153</v>
      </c>
      <c r="C936" t="s">
        <v>2154</v>
      </c>
      <c r="D936" t="s">
        <v>2155</v>
      </c>
    </row>
    <row r="937" spans="1:4" x14ac:dyDescent="0.25">
      <c r="A937">
        <v>937</v>
      </c>
      <c r="B937" t="s">
        <v>2156</v>
      </c>
      <c r="C937" t="s">
        <v>2157</v>
      </c>
      <c r="D937" t="s">
        <v>534</v>
      </c>
    </row>
    <row r="938" spans="1:4" x14ac:dyDescent="0.25">
      <c r="A938">
        <v>938</v>
      </c>
      <c r="B938" t="s">
        <v>2158</v>
      </c>
      <c r="C938" t="s">
        <v>2159</v>
      </c>
      <c r="D938" t="s">
        <v>2160</v>
      </c>
    </row>
    <row r="939" spans="1:4" x14ac:dyDescent="0.25">
      <c r="A939">
        <v>939</v>
      </c>
      <c r="B939" t="s">
        <v>2161</v>
      </c>
      <c r="C939" t="s">
        <v>2162</v>
      </c>
      <c r="D939" s="19">
        <v>45117</v>
      </c>
    </row>
    <row r="940" spans="1:4" x14ac:dyDescent="0.25">
      <c r="A940">
        <v>940</v>
      </c>
      <c r="B940" t="s">
        <v>2163</v>
      </c>
      <c r="C940" t="s">
        <v>2164</v>
      </c>
      <c r="D940" t="s">
        <v>2165</v>
      </c>
    </row>
    <row r="941" spans="1:4" x14ac:dyDescent="0.25">
      <c r="A941">
        <v>941</v>
      </c>
      <c r="B941" t="s">
        <v>2166</v>
      </c>
      <c r="C941" t="s">
        <v>2167</v>
      </c>
      <c r="D941" t="s">
        <v>2168</v>
      </c>
    </row>
    <row r="942" spans="1:4" x14ac:dyDescent="0.25">
      <c r="A942">
        <v>942</v>
      </c>
      <c r="B942" t="s">
        <v>2169</v>
      </c>
      <c r="C942" t="s">
        <v>2170</v>
      </c>
      <c r="D942" t="s">
        <v>2171</v>
      </c>
    </row>
    <row r="943" spans="1:4" x14ac:dyDescent="0.25">
      <c r="A943">
        <v>943</v>
      </c>
      <c r="B943" t="s">
        <v>2172</v>
      </c>
      <c r="C943" t="s">
        <v>2173</v>
      </c>
      <c r="D943" s="19">
        <v>44936</v>
      </c>
    </row>
    <row r="944" spans="1:4" x14ac:dyDescent="0.25">
      <c r="A944">
        <v>944</v>
      </c>
      <c r="B944" t="s">
        <v>2174</v>
      </c>
      <c r="C944" t="s">
        <v>2175</v>
      </c>
      <c r="D944" s="19">
        <v>44676</v>
      </c>
    </row>
    <row r="945" spans="1:4" x14ac:dyDescent="0.25">
      <c r="A945">
        <v>945</v>
      </c>
      <c r="B945" t="s">
        <v>2176</v>
      </c>
      <c r="C945" t="s">
        <v>2177</v>
      </c>
      <c r="D945" s="19">
        <v>40511</v>
      </c>
    </row>
    <row r="946" spans="1:4" x14ac:dyDescent="0.25">
      <c r="A946">
        <v>946</v>
      </c>
      <c r="B946" t="s">
        <v>2178</v>
      </c>
      <c r="C946" t="s">
        <v>2179</v>
      </c>
      <c r="D946" s="19">
        <v>44655</v>
      </c>
    </row>
    <row r="947" spans="1:4" x14ac:dyDescent="0.25">
      <c r="A947">
        <v>947</v>
      </c>
      <c r="B947" t="s">
        <v>2180</v>
      </c>
      <c r="C947" t="s">
        <v>2181</v>
      </c>
      <c r="D947" t="s">
        <v>534</v>
      </c>
    </row>
    <row r="948" spans="1:4" x14ac:dyDescent="0.25">
      <c r="A948">
        <v>948</v>
      </c>
      <c r="B948" t="s">
        <v>2182</v>
      </c>
      <c r="C948" t="s">
        <v>2183</v>
      </c>
      <c r="D948" s="19">
        <v>44229</v>
      </c>
    </row>
    <row r="949" spans="1:4" x14ac:dyDescent="0.25">
      <c r="A949">
        <v>949</v>
      </c>
      <c r="B949" t="s">
        <v>2184</v>
      </c>
      <c r="C949" t="s">
        <v>2185</v>
      </c>
      <c r="D949" t="s">
        <v>2186</v>
      </c>
    </row>
    <row r="950" spans="1:4" x14ac:dyDescent="0.25">
      <c r="A950">
        <v>950</v>
      </c>
      <c r="B950" t="s">
        <v>2187</v>
      </c>
      <c r="C950" t="s">
        <v>2188</v>
      </c>
      <c r="D950" s="19">
        <v>42907</v>
      </c>
    </row>
    <row r="951" spans="1:4" x14ac:dyDescent="0.25">
      <c r="A951">
        <v>951</v>
      </c>
      <c r="B951" t="s">
        <v>2189</v>
      </c>
      <c r="C951" t="s">
        <v>2190</v>
      </c>
      <c r="D951" s="19">
        <v>43777</v>
      </c>
    </row>
    <row r="952" spans="1:4" x14ac:dyDescent="0.25">
      <c r="A952">
        <v>952</v>
      </c>
      <c r="B952" t="s">
        <v>2191</v>
      </c>
      <c r="C952" t="s">
        <v>2192</v>
      </c>
      <c r="D952" s="19">
        <v>42633</v>
      </c>
    </row>
    <row r="953" spans="1:4" x14ac:dyDescent="0.25">
      <c r="A953">
        <v>953</v>
      </c>
      <c r="B953" t="s">
        <v>2193</v>
      </c>
      <c r="C953" t="s">
        <v>2194</v>
      </c>
      <c r="D953" t="s">
        <v>2195</v>
      </c>
    </row>
    <row r="954" spans="1:4" x14ac:dyDescent="0.25">
      <c r="A954">
        <v>954</v>
      </c>
      <c r="B954" t="s">
        <v>2196</v>
      </c>
      <c r="C954" t="s">
        <v>2197</v>
      </c>
      <c r="D954" s="19">
        <v>41737</v>
      </c>
    </row>
    <row r="955" spans="1:4" x14ac:dyDescent="0.25">
      <c r="A955">
        <v>955</v>
      </c>
      <c r="B955" t="s">
        <v>2198</v>
      </c>
      <c r="C955" t="s">
        <v>2199</v>
      </c>
      <c r="D955" t="s">
        <v>2200</v>
      </c>
    </row>
    <row r="956" spans="1:4" x14ac:dyDescent="0.25">
      <c r="A956">
        <v>956</v>
      </c>
      <c r="B956" t="s">
        <v>2201</v>
      </c>
      <c r="C956" t="s">
        <v>2202</v>
      </c>
      <c r="D956" s="19">
        <v>45665</v>
      </c>
    </row>
    <row r="957" spans="1:4" x14ac:dyDescent="0.25">
      <c r="A957">
        <v>957</v>
      </c>
      <c r="B957" t="s">
        <v>2203</v>
      </c>
      <c r="C957" t="s">
        <v>2204</v>
      </c>
      <c r="D957" s="19">
        <v>39512</v>
      </c>
    </row>
    <row r="958" spans="1:4" x14ac:dyDescent="0.25">
      <c r="A958">
        <v>958</v>
      </c>
      <c r="B958" t="s">
        <v>2205</v>
      </c>
      <c r="C958" t="s">
        <v>2206</v>
      </c>
      <c r="D958" t="s">
        <v>2207</v>
      </c>
    </row>
    <row r="959" spans="1:4" x14ac:dyDescent="0.25">
      <c r="A959">
        <v>959</v>
      </c>
      <c r="B959" t="s">
        <v>2208</v>
      </c>
      <c r="C959" t="s">
        <v>2209</v>
      </c>
      <c r="D959" s="19">
        <v>45741</v>
      </c>
    </row>
    <row r="960" spans="1:4" x14ac:dyDescent="0.25">
      <c r="A960">
        <v>960</v>
      </c>
      <c r="B960" t="s">
        <v>2210</v>
      </c>
      <c r="C960" t="s">
        <v>2211</v>
      </c>
      <c r="D960" s="19">
        <v>44875</v>
      </c>
    </row>
    <row r="961" spans="1:4" x14ac:dyDescent="0.25">
      <c r="A961">
        <v>961</v>
      </c>
      <c r="B961" t="s">
        <v>2212</v>
      </c>
      <c r="C961" t="s">
        <v>2213</v>
      </c>
      <c r="D961" t="s">
        <v>2214</v>
      </c>
    </row>
    <row r="962" spans="1:4" x14ac:dyDescent="0.25">
      <c r="A962">
        <v>962</v>
      </c>
      <c r="B962" t="s">
        <v>2215</v>
      </c>
      <c r="C962" t="s">
        <v>2216</v>
      </c>
      <c r="D962" t="s">
        <v>2217</v>
      </c>
    </row>
    <row r="963" spans="1:4" x14ac:dyDescent="0.25">
      <c r="A963">
        <v>963</v>
      </c>
      <c r="B963" t="s">
        <v>2218</v>
      </c>
      <c r="C963" t="s">
        <v>2219</v>
      </c>
      <c r="D963" t="s">
        <v>2220</v>
      </c>
    </row>
    <row r="964" spans="1:4" x14ac:dyDescent="0.25">
      <c r="A964">
        <v>964</v>
      </c>
      <c r="B964" t="s">
        <v>2221</v>
      </c>
      <c r="C964" t="s">
        <v>2222</v>
      </c>
      <c r="D964" s="19">
        <v>44285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zoomScale="55" zoomScaleNormal="55">
      <selection activeCell="B5" sqref="B5"/>
    </sheetView>
  </sheetViews>
  <sheetFormatPr defaultRowHeight="15" outlineLevelRow="0" outlineLevelCol="0" x14ac:dyDescent="0.2" defaultColWidth="8.83203125"/>
  <cols>
    <col min="1" max="1" width="26" customWidth="1"/>
    <col min="2" max="2" width="12.5" customWidth="1"/>
    <col min="3" max="3" width="18" customWidth="1"/>
  </cols>
  <sheetData>
    <row r="1" spans="1:3" x14ac:dyDescent="0.25">
      <c r="A1" t="s">
        <v>2962</v>
      </c>
      <c r="C1" s="584"/>
    </row>
    <row r="2" spans="1:3" x14ac:dyDescent="0.25">
      <c r="A2" s="584"/>
      <c r="B2" s="584"/>
      <c r="C2" s="584"/>
    </row>
    <row r="3" spans="1:3" x14ac:dyDescent="0.25">
      <c r="A3" s="585">
        <v>0.000065</v>
      </c>
      <c r="B3" s="584">
        <f>1/A3</f>
        <v>15384.615384615387</v>
      </c>
      <c r="C3" s="584"/>
    </row>
    <row r="4" spans="1:3" x14ac:dyDescent="0.25">
      <c r="A4" s="584"/>
      <c r="B4" s="584"/>
      <c r="C4" s="584"/>
    </row>
    <row r="5" spans="1:3" x14ac:dyDescent="0.25">
      <c r="A5" s="584" t="s">
        <v>2305</v>
      </c>
      <c r="B5" s="584">
        <v>208240090</v>
      </c>
      <c r="C5" s="584">
        <f>B5*$B$3</f>
        <v>3203693692307.693</v>
      </c>
    </row>
    <row r="6" spans="1:3" x14ac:dyDescent="0.25">
      <c r="A6" s="584" t="s">
        <v>2558</v>
      </c>
      <c r="B6" s="584">
        <v>-165424296</v>
      </c>
      <c r="C6" s="584">
        <f>B6*$B$3</f>
        <v>-2544989169230.7695</v>
      </c>
    </row>
    <row r="7" spans="1:3" x14ac:dyDescent="0.25">
      <c r="A7" s="584" t="s">
        <v>2291</v>
      </c>
      <c r="B7" s="584">
        <v>21880919</v>
      </c>
      <c r="C7" s="584">
        <f>B7*$B$3</f>
        <v>336629523076.9231</v>
      </c>
    </row>
    <row r="8" spans="1:3" x14ac:dyDescent="0.25">
      <c r="A8" s="584" t="s">
        <v>2294</v>
      </c>
      <c r="B8" s="584">
        <v>21301999</v>
      </c>
      <c r="C8" s="584">
        <f>B8*$B$3</f>
        <v>327723061538.4616</v>
      </c>
    </row>
    <row r="9" spans="1:3" x14ac:dyDescent="0.25">
      <c r="A9" s="584"/>
      <c r="B9" s="584"/>
      <c r="C9" s="584"/>
    </row>
    <row r="10" spans="1:3" x14ac:dyDescent="0.25">
      <c r="A10" s="584" t="s">
        <v>2747</v>
      </c>
      <c r="B10" s="584">
        <v>128063363</v>
      </c>
      <c r="C10" s="584">
        <f t="shared" ref="C10:C16" si="0">+B10*$B$3</f>
        <v>1970205584615.3848</v>
      </c>
    </row>
    <row r="11" spans="1:3" x14ac:dyDescent="0.25">
      <c r="A11" s="584" t="s">
        <v>2748</v>
      </c>
      <c r="B11" s="584">
        <v>43083199</v>
      </c>
      <c r="C11" s="584">
        <f t="shared" si="0"/>
        <v>662818446153.8462</v>
      </c>
    </row>
    <row r="12" spans="1:3" x14ac:dyDescent="0.25">
      <c r="A12" s="584" t="s">
        <v>2749</v>
      </c>
      <c r="B12" s="584">
        <f>+B10+B11</f>
        <v>171146562</v>
      </c>
      <c r="C12" s="584">
        <f t="shared" si="0"/>
        <v>2633024030769.231</v>
      </c>
    </row>
    <row r="13" spans="1:3" x14ac:dyDescent="0.25">
      <c r="A13" s="584" t="s">
        <v>2750</v>
      </c>
      <c r="B13" s="584">
        <v>61193099</v>
      </c>
      <c r="C13" s="584">
        <f t="shared" si="0"/>
        <v>941432292307.6924</v>
      </c>
    </row>
    <row r="14" spans="1:3" x14ac:dyDescent="0.25">
      <c r="A14" s="584" t="s">
        <v>2751</v>
      </c>
      <c r="B14" s="584">
        <v>7520475</v>
      </c>
      <c r="C14" s="584">
        <f t="shared" si="0"/>
        <v>115699615384.6154</v>
      </c>
    </row>
    <row r="15" spans="1:3" x14ac:dyDescent="0.25">
      <c r="A15" s="584" t="s">
        <v>2752</v>
      </c>
      <c r="B15" s="584">
        <f>+B13+B14</f>
        <v>68713574</v>
      </c>
      <c r="C15" s="584">
        <f t="shared" si="0"/>
        <v>1057131907692.3079</v>
      </c>
    </row>
    <row r="16" spans="1:3" x14ac:dyDescent="0.25">
      <c r="A16" s="584" t="s">
        <v>2541</v>
      </c>
      <c r="B16" s="584">
        <v>102432988</v>
      </c>
      <c r="C16" s="584">
        <f t="shared" si="0"/>
        <v>1575892123076.9233</v>
      </c>
    </row>
    <row r="17" spans="1:3" x14ac:dyDescent="0.25">
      <c r="A17" s="584" t="s">
        <v>2753</v>
      </c>
      <c r="B17" s="584"/>
      <c r="C17" s="584"/>
    </row>
    <row r="18" spans="1:3" x14ac:dyDescent="0.25">
      <c r="A18" s="584" t="s">
        <v>2754</v>
      </c>
      <c r="B18" s="584">
        <v>800371500</v>
      </c>
      <c r="C18" s="584"/>
    </row>
    <row r="19" spans="1:3" x14ac:dyDescent="0.25">
      <c r="A19" s="584"/>
      <c r="B19" s="584"/>
      <c r="C19" s="584"/>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
  <sheetViews>
    <sheetView workbookViewId="0" zoomScale="100" zoomScaleNormal="100">
      <selection activeCell="A24" sqref="A24"/>
    </sheetView>
  </sheetViews>
  <sheetFormatPr defaultRowHeight="15" outlineLevelRow="0" outlineLevelCol="0" x14ac:dyDescent="0.2" defaultColWidth="8.83203125"/>
  <cols>
    <col min="1" max="1" width="33.6640625" customWidth="1"/>
    <col min="2" max="2" width="20.5" customWidth="1"/>
    <col min="3" max="3" width="19.33203125" customWidth="1"/>
    <col min="4" max="4" width="20.5" customWidth="1"/>
    <col min="5" max="5" width="20.6640625" customWidth="1"/>
    <col min="6" max="6" width="18.83203125" style="26" customWidth="1"/>
    <col min="7" max="8" width="19" style="26" customWidth="1"/>
    <col min="9" max="10" width="20.5" customWidth="1"/>
    <col min="11" max="11" width="21.5" customWidth="1"/>
    <col min="12" max="12" width="19" customWidth="1"/>
    <col min="13" max="13" width="19.6640625" customWidth="1"/>
    <col min="14" max="14" width="19" customWidth="1"/>
    <col min="15" max="15" width="18.6640625" customWidth="1"/>
    <col min="16" max="16" width="19" customWidth="1"/>
    <col min="17" max="17" width="18.6640625" customWidth="1"/>
    <col min="18" max="18" width="17.6640625" customWidth="1"/>
    <col min="19" max="19" width="19" customWidth="1"/>
    <col min="20" max="20" width="18.6640625" customWidth="1"/>
    <col min="21" max="24" width="19" customWidth="1"/>
  </cols>
  <sheetData>
    <row r="1" spans="1:8" x14ac:dyDescent="0.25">
      <c r="A1" t="s">
        <v>2557</v>
      </c>
      <c r="B1">
        <f>'BALANCE SHEET'!C4</f>
        <v>2018</v>
      </c>
      <c r="C1">
        <f>'BALANCE SHEET'!D4</f>
        <v>2019</v>
      </c>
      <c r="D1">
        <f>'BALANCE SHEET'!E4</f>
        <v>2020</v>
      </c>
      <c r="E1">
        <f>'BALANCE SHEET'!F4</f>
        <v>2021</v>
      </c>
      <c r="F1" t="str">
        <f>'PROY BALANCE SHEET'!D5&amp;"P"</f>
        <v>2022P</v>
      </c>
      <c r="G1" t="str">
        <f>'PROY BALANCE SHEET'!E5&amp;"P"</f>
        <v>2023P</v>
      </c>
      <c r="H1" t="str">
        <f>'PROY BALANCE SHEET'!F5&amp;"P"</f>
        <v>2024P</v>
      </c>
    </row>
    <row r="2" spans="1:8" x14ac:dyDescent="0.25">
      <c r="A2" t="s">
        <v>2232</v>
      </c>
      <c r="B2" s="26">
        <f>'BALANCE SHEET'!C16</f>
        <v>19169235881</v>
      </c>
      <c r="C2" s="26">
        <f>'BALANCE SHEET'!D16</f>
        <v>19602444657</v>
      </c>
      <c r="D2" s="26">
        <f>'BALANCE SHEET'!E16</f>
        <v>23960644462</v>
      </c>
      <c r="E2" s="26">
        <f>'BALANCE SHEET'!F16</f>
        <v>27371778788</v>
      </c>
      <c r="F2" s="26">
        <f>'PROY BALANCE SHEET'!D21</f>
        <v>55930366015.022285</v>
      </c>
      <c r="G2" s="26">
        <f>'PROY BALANCE SHEET'!E21</f>
        <v>692869241400.136</v>
      </c>
      <c r="H2" s="26">
        <f>'PROY BALANCE SHEET'!F21</f>
        <v>10527283535428.078</v>
      </c>
    </row>
    <row r="3" spans="1:8" x14ac:dyDescent="0.25">
      <c r="A3" t="s">
        <v>2246</v>
      </c>
      <c r="B3" s="26">
        <f>'BALANCE SHEET'!C25</f>
        <v>31069618</v>
      </c>
      <c r="C3" s="26">
        <f>'BALANCE SHEET'!D25</f>
        <v>6123781380</v>
      </c>
      <c r="D3" s="26">
        <f>'BALANCE SHEET'!E25</f>
        <v>6012024389</v>
      </c>
      <c r="E3" s="26">
        <f>'BALANCE SHEET'!F25</f>
        <v>6264339945</v>
      </c>
      <c r="F3" s="26">
        <f>'PROY BALANCE SHEET'!D31</f>
        <v>592461358881.9429</v>
      </c>
      <c r="G3" s="26">
        <f>'PROY BALANCE SHEET'!E31</f>
        <v>597240425203.7137</v>
      </c>
      <c r="H3" s="26">
        <f>'PROY BALANCE SHEET'!F31</f>
        <v>616654406128.3773</v>
      </c>
    </row>
    <row r="4" spans="1:8" x14ac:dyDescent="0.25">
      <c r="A4" t="s">
        <v>2231</v>
      </c>
      <c r="B4" s="26">
        <f>'BALANCE SHEET'!C27</f>
        <v>19200305499</v>
      </c>
      <c r="C4" s="26">
        <f>'BALANCE SHEET'!D27</f>
        <v>25726226037</v>
      </c>
      <c r="D4" s="26">
        <f>'BALANCE SHEET'!E27</f>
        <v>29972668851</v>
      </c>
      <c r="E4" s="26">
        <f>'BALANCE SHEET'!F27</f>
        <v>33636118733</v>
      </c>
      <c r="F4" s="26">
        <f>'PROY BALANCE SHEET'!D33</f>
        <v>648391724896.9652</v>
      </c>
      <c r="G4" s="26">
        <f>'PROY BALANCE SHEET'!E33</f>
        <v>1290109666603.8496</v>
      </c>
      <c r="H4" s="26">
        <f>'PROY BALANCE SHEET'!F33</f>
        <v>11143937941556.455</v>
      </c>
    </row>
    <row r="5" spans="1:8" x14ac:dyDescent="0.25">
      <c r="A5" t="s">
        <v>2248</v>
      </c>
      <c r="B5" s="26">
        <f>'BALANCE SHEET'!C35</f>
        <v>4936833523</v>
      </c>
      <c r="C5" s="26">
        <f>'BALANCE SHEET'!D35</f>
        <v>7056900624</v>
      </c>
      <c r="D5" s="26">
        <f>'BALANCE SHEET'!E35</f>
        <v>6309204572</v>
      </c>
      <c r="E5" s="26">
        <f>'BALANCE SHEET'!F35</f>
        <v>4269636530</v>
      </c>
      <c r="F5" s="26">
        <f>'PROY BALANCE SHEET'!D45</f>
        <v>3551874335.3781247</v>
      </c>
      <c r="G5" s="26">
        <f>'PROY BALANCE SHEET'!E45</f>
        <v>3053078467.3426094</v>
      </c>
      <c r="H5" s="26">
        <f>'PROY BALANCE SHEET'!F45</f>
        <v>2725301939.03074</v>
      </c>
    </row>
    <row r="6" spans="1:8" x14ac:dyDescent="0.25">
      <c r="A6" t="s">
        <v>2253</v>
      </c>
      <c r="B6" s="26">
        <f>'BALANCE SHEET'!C40</f>
        <v>0</v>
      </c>
      <c r="C6" s="26">
        <f>'BALANCE SHEET'!D40</f>
        <v>0</v>
      </c>
      <c r="D6" s="26">
        <f>'BALANCE SHEET'!E40</f>
        <v>0</v>
      </c>
      <c r="E6" s="26">
        <f>'BALANCE SHEET'!F40</f>
        <v>0</v>
      </c>
      <c r="F6" s="26">
        <f>'PROY BALANCE SHEET'!D52</f>
        <v>0</v>
      </c>
      <c r="G6" s="26" t="e">
        <f>'PROY BALANCE SHEET'!E52</f>
        <v>#DIV/0!</v>
      </c>
      <c r="H6" s="26" t="e">
        <f>'PROY BALANCE SHEET'!F52</f>
        <v>#DIV/0!</v>
      </c>
    </row>
    <row r="7" spans="1:8" x14ac:dyDescent="0.25">
      <c r="A7" t="s">
        <v>2256</v>
      </c>
      <c r="B7" s="26">
        <f>'BALANCE SHEET'!C41</f>
        <v>4936833523</v>
      </c>
      <c r="C7" s="26">
        <f>'BALANCE SHEET'!D41</f>
        <v>7056900624</v>
      </c>
      <c r="D7" s="26">
        <f>'BALANCE SHEET'!E41</f>
        <v>6309204572</v>
      </c>
      <c r="E7" s="26">
        <f>'BALANCE SHEET'!F41</f>
        <v>4269636530</v>
      </c>
      <c r="F7" s="26">
        <f>'PROY BALANCE SHEET'!D45+'PROY BALANCE SHEET'!D52</f>
        <v>3551874335.3781247</v>
      </c>
      <c r="G7" s="26" t="e">
        <f>'PROY BALANCE SHEET'!E45+'PROY BALANCE SHEET'!E52</f>
        <v>#DIV/0!</v>
      </c>
      <c r="H7" s="26" t="e">
        <f>'PROY BALANCE SHEET'!F45+'PROY BALANCE SHEET'!F52</f>
        <v>#DIV/0!</v>
      </c>
    </row>
    <row r="8" spans="1:8" x14ac:dyDescent="0.25">
      <c r="A8" t="s">
        <v>2257</v>
      </c>
      <c r="B8" s="26">
        <f>'BALANCE SHEET'!C49</f>
        <v>14263471976</v>
      </c>
      <c r="C8" s="26">
        <f>'BALANCE SHEET'!D49</f>
        <v>18669325413</v>
      </c>
      <c r="D8" s="26">
        <f>'BALANCE SHEET'!E49</f>
        <v>23663464279</v>
      </c>
      <c r="E8" s="26">
        <f>'BALANCE SHEET'!F49</f>
        <v>29366482204</v>
      </c>
      <c r="F8" s="26">
        <f>'PROY BALANCE SHEET'!D60</f>
        <v>35999025793.150246</v>
      </c>
      <c r="G8" s="26">
        <f>'PROY BALANCE SHEET'!E60</f>
        <v>43899512187.99863</v>
      </c>
      <c r="H8" s="26">
        <f>'PROY BALANCE SHEET'!F60</f>
        <v>52804375160.53537</v>
      </c>
    </row>
    <row r="9" spans="1:8" x14ac:dyDescent="0.25">
      <c r="A9" t="s">
        <v>2264</v>
      </c>
      <c r="B9" s="26">
        <f>'BALANCE SHEET'!C51</f>
        <v>19200305499</v>
      </c>
      <c r="C9" s="26">
        <f>'BALANCE SHEET'!D51</f>
        <v>25726226037</v>
      </c>
      <c r="D9" s="26">
        <f>'BALANCE SHEET'!E51</f>
        <v>29972668851</v>
      </c>
      <c r="E9" s="26">
        <f>'BALANCE SHEET'!F51</f>
        <v>33636118734</v>
      </c>
      <c r="F9" s="26">
        <f>'PROY BALANCE SHEET'!D62</f>
        <v>39550900128.52837</v>
      </c>
      <c r="G9" s="26" t="e">
        <f>'PROY BALANCE SHEET'!E62</f>
        <v>#DIV/0!</v>
      </c>
      <c r="H9" s="26" t="e">
        <f>'PROY BALANCE SHEET'!F62</f>
        <v>#DIV/0!</v>
      </c>
    </row>
    <row r="10" spans="1:8" x14ac:dyDescent="0.25">
      <c r="A10" t="s">
        <v>2282</v>
      </c>
      <c r="B10" s="26">
        <f>'INCOME STATEMENT'!C6</f>
        <v>34193458257</v>
      </c>
      <c r="C10" s="26">
        <f>'INCOME STATEMENT'!D6</f>
        <v>52109888424</v>
      </c>
      <c r="D10" s="26">
        <f>'INCOME STATEMENT'!E6</f>
        <v>59340130084</v>
      </c>
      <c r="E10" s="26">
        <f>'INCOME STATEMENT'!F6</f>
        <v>61039612496</v>
      </c>
      <c r="F10" s="26">
        <f>'PROY LR'!D8</f>
        <v>75106435974.33751</v>
      </c>
      <c r="G10" s="26">
        <f>'PROY LR'!E8</f>
        <v>92415015333.47578</v>
      </c>
      <c r="H10" s="26">
        <f>'PROY LR'!F8</f>
        <v>113712426216.10628</v>
      </c>
    </row>
    <row r="11" spans="1:8" x14ac:dyDescent="0.25">
      <c r="A11" t="s">
        <v>2558</v>
      </c>
      <c r="B11" s="26">
        <f>'INCOME STATEMENT'!C7</f>
        <v>-18945063902</v>
      </c>
      <c r="C11" s="26">
        <f>'INCOME STATEMENT'!D7</f>
        <v>-33239782127</v>
      </c>
      <c r="D11" s="26">
        <f>'INCOME STATEMENT'!E7</f>
        <v>-35270814040</v>
      </c>
      <c r="E11" s="26">
        <f>'INCOME STATEMENT'!F7</f>
        <v>-26008410685</v>
      </c>
      <c r="F11" s="26">
        <f>'PROY LR'!D10</f>
        <v>-41517664017.671</v>
      </c>
      <c r="G11" s="26">
        <f>'PROY LR'!E10</f>
        <v>-51085576183.034</v>
      </c>
      <c r="H11" s="26">
        <f>'PROY LR'!F10</f>
        <v>-62858452075.767</v>
      </c>
    </row>
    <row r="12" spans="1:8" x14ac:dyDescent="0.25">
      <c r="A12" t="s">
        <v>2284</v>
      </c>
      <c r="B12" s="26">
        <f>'INCOME STATEMENT'!C8</f>
        <v>15248394355</v>
      </c>
      <c r="C12" s="26">
        <f>'INCOME STATEMENT'!D8</f>
        <v>18870106297</v>
      </c>
      <c r="D12" s="26">
        <f>'INCOME STATEMENT'!E8</f>
        <v>24069316044</v>
      </c>
      <c r="E12" s="26">
        <f>'INCOME STATEMENT'!F8</f>
        <v>35031201811</v>
      </c>
      <c r="F12" s="26">
        <f>'PROY LR'!D11</f>
        <v>33588771956.66651</v>
      </c>
      <c r="G12" s="26">
        <f>'PROY LR'!E11</f>
        <v>41329439150.44179</v>
      </c>
      <c r="H12" s="26">
        <f>'PROY LR'!F11</f>
        <v>50853974140.33928</v>
      </c>
    </row>
    <row r="13" spans="1:8" x14ac:dyDescent="0.25">
      <c r="A13" t="s">
        <v>2289</v>
      </c>
      <c r="B13" s="26">
        <f>'INCOME STATEMENT'!C15</f>
        <v>-11399852334</v>
      </c>
      <c r="C13" s="26">
        <f>'INCOME STATEMENT'!D15</f>
        <v>-12821759310</v>
      </c>
      <c r="D13" s="26">
        <f>'INCOME STATEMENT'!E15</f>
        <v>-17655896739</v>
      </c>
      <c r="E13" s="26">
        <f>'INCOME STATEMENT'!F15</f>
        <v>-27537755079</v>
      </c>
      <c r="F13" s="26">
        <f>'PROY LR'!D17</f>
        <v>-24903671306.921844</v>
      </c>
      <c r="G13" s="26">
        <f>'PROY LR'!E17</f>
        <v>-30642822227.317436</v>
      </c>
      <c r="H13" s="26">
        <f>'PROY LR'!F17</f>
        <v>-37704583492.2337</v>
      </c>
    </row>
    <row r="14" spans="1:8" x14ac:dyDescent="0.25">
      <c r="A14" t="s">
        <v>2291</v>
      </c>
      <c r="B14" s="26">
        <f>'INCOME STATEMENT'!C18</f>
        <v>3848542021</v>
      </c>
      <c r="C14" s="26">
        <f>'INCOME STATEMENT'!D18</f>
        <v>6048346987</v>
      </c>
      <c r="D14" s="26">
        <f>'INCOME STATEMENT'!E18</f>
        <v>6413419305</v>
      </c>
      <c r="E14" s="26">
        <f>'INCOME STATEMENT'!F18</f>
        <v>7493446732</v>
      </c>
      <c r="F14" s="26">
        <f>'PROY LR'!D19</f>
        <v>8685100649.744667</v>
      </c>
      <c r="G14" s="26">
        <f>'PROY LR'!E19</f>
        <v>10686616923.124352</v>
      </c>
      <c r="H14" s="26">
        <f>'PROY LR'!F19</f>
        <v>13149390648.105576</v>
      </c>
    </row>
    <row r="15" spans="1:8" x14ac:dyDescent="0.25">
      <c r="A15" t="s">
        <v>2559</v>
      </c>
      <c r="B15" s="26">
        <f>'INCOME STATEMENT'!C21</f>
        <v>-10356539</v>
      </c>
      <c r="C15" s="26">
        <f>'INCOME STATEMENT'!D21</f>
        <v>-173875738</v>
      </c>
      <c r="D15" s="26">
        <f>'INCOME STATEMENT'!E21</f>
        <v>-161342991</v>
      </c>
      <c r="E15" s="26">
        <f>'INCOME STATEMENT'!F21</f>
        <v>-159972487</v>
      </c>
      <c r="F15" s="26">
        <f>'PROY LR'!D22</f>
        <v>-267708942.36900568</v>
      </c>
      <c r="G15" s="26">
        <f>'PROY LR'!E22</f>
        <v>-643810255.1516942</v>
      </c>
      <c r="H15" s="26">
        <f>'PROY LR'!F22</f>
        <v>-1819074645.0107172</v>
      </c>
    </row>
    <row r="16" spans="1:8" x14ac:dyDescent="0.25">
      <c r="A16" t="s">
        <v>2294</v>
      </c>
      <c r="B16" s="26">
        <f>'INCOME STATEMENT'!C22</f>
        <v>3838185482</v>
      </c>
      <c r="C16" s="26">
        <f>'INCOME STATEMENT'!D22</f>
        <v>5874471249</v>
      </c>
      <c r="D16" s="26">
        <f>'INCOME STATEMENT'!E22</f>
        <v>6252076314</v>
      </c>
      <c r="E16" s="26">
        <f>'INCOME STATEMENT'!F22</f>
        <v>7333474245</v>
      </c>
      <c r="F16" s="26">
        <f>'PROY LR'!D25</f>
        <v>8417391707.375662</v>
      </c>
      <c r="G16" s="26">
        <f>'PROY LR'!E25</f>
        <v>10042806667.972658</v>
      </c>
      <c r="H16" s="26">
        <f>'PROY LR'!F25</f>
        <v>11330316003.094858</v>
      </c>
    </row>
    <row r="17" spans="1:8" x14ac:dyDescent="0.25">
      <c r="A17" t="s">
        <v>2299</v>
      </c>
      <c r="B17" s="26">
        <f>'INCOME STATEMENT'!C28</f>
        <v>0</v>
      </c>
      <c r="C17" s="26">
        <f>'INCOME STATEMENT'!D28</f>
        <v>0</v>
      </c>
      <c r="D17" s="26">
        <f>'INCOME STATEMENT'!E28</f>
        <v>117519272</v>
      </c>
      <c r="E17" s="26">
        <f>'INCOME STATEMENT'!F28</f>
        <v>85716770</v>
      </c>
      <c r="F17" s="26">
        <f>'PROY LR'!D33</f>
        <v>85869304.35542221</v>
      </c>
      <c r="G17" s="26">
        <f>'PROY LR'!E33</f>
        <v>86022043.37142542</v>
      </c>
      <c r="H17" s="26">
        <f>'PROY LR'!F33</f>
        <v>86174987.33686627</v>
      </c>
    </row>
    <row r="18" spans="1:8" x14ac:dyDescent="0.25">
      <c r="A18" t="s">
        <v>2300</v>
      </c>
      <c r="B18" s="26">
        <f>'INCOME STATEMENT'!C30</f>
        <v>960214518</v>
      </c>
      <c r="C18" s="26">
        <f>'INCOME STATEMENT'!D30</f>
        <v>0</v>
      </c>
      <c r="D18" s="26">
        <f>'INCOME STATEMENT'!E30</f>
        <v>0</v>
      </c>
      <c r="E18" s="26">
        <f>'INCOME STATEMENT'!F30</f>
        <v>0</v>
      </c>
      <c r="F18" s="26">
        <f>'PROY LR'!D34</f>
        <v>0</v>
      </c>
      <c r="G18" s="26">
        <f>'PROY LR'!E34</f>
        <v>0</v>
      </c>
      <c r="H18" s="26">
        <f>'PROY LR'!F34</f>
        <v>0</v>
      </c>
    </row>
    <row r="19" spans="1:8" x14ac:dyDescent="0.25">
      <c r="A19" t="s">
        <v>2301</v>
      </c>
      <c r="B19" s="26">
        <f>'INCOME STATEMENT'!C32</f>
        <v>4798400000</v>
      </c>
      <c r="C19" s="26">
        <f>'INCOME STATEMENT'!D32</f>
        <v>5874471249</v>
      </c>
      <c r="D19" s="26">
        <f>'INCOME STATEMENT'!E32</f>
        <v>6369595586</v>
      </c>
      <c r="E19" s="26">
        <f>'INCOME STATEMENT'!F32</f>
        <v>7419191015</v>
      </c>
      <c r="F19" s="26">
        <f>'PROY LR'!D36</f>
        <v>8503261011.731084</v>
      </c>
      <c r="G19" s="26">
        <f>'PROY LR'!E36</f>
        <v>10128828711.344084</v>
      </c>
      <c r="H19" s="26">
        <f>'PROY LR'!F36</f>
        <v>11416490990.431725</v>
      </c>
    </row>
    <row r="20" spans="1:8" x14ac:dyDescent="0.25">
      <c r="A20" t="s">
        <v>2302</v>
      </c>
      <c r="B20" s="26">
        <f>'INCOME STATEMENT'!C33</f>
        <v>-1117701375</v>
      </c>
      <c r="C20" s="26">
        <f>'INCOME STATEMENT'!D33</f>
        <v>-1468617812</v>
      </c>
      <c r="D20" s="26">
        <f>'INCOME STATEMENT'!E33</f>
        <v>-1375456720</v>
      </c>
      <c r="E20" s="26">
        <f>'INCOME STATEMENT'!F33</f>
        <v>-1613364280</v>
      </c>
      <c r="F20" s="26">
        <f>'PROY LR'!D37</f>
        <v>-1870717422.5808384</v>
      </c>
      <c r="G20" s="26">
        <f>'PROY LR'!E37</f>
        <v>-2228342316.4956985</v>
      </c>
      <c r="H20" s="26">
        <f>'PROY LR'!F37</f>
        <v>-2511628017.8949795</v>
      </c>
    </row>
    <row r="21" spans="1:8" x14ac:dyDescent="0.25">
      <c r="A21" t="s">
        <v>2303</v>
      </c>
      <c r="B21" s="26">
        <f>'INCOME STATEMENT'!C35</f>
        <v>3680698625</v>
      </c>
      <c r="C21" s="26">
        <f>'INCOME STATEMENT'!D35</f>
        <v>4405853437</v>
      </c>
      <c r="D21" s="26">
        <f>'INCOME STATEMENT'!E35</f>
        <v>4994138866</v>
      </c>
      <c r="E21" s="26">
        <f>'INCOME STATEMENT'!F35</f>
        <v>5805826735</v>
      </c>
      <c r="F21" s="26">
        <f>'PROY LR'!D39</f>
        <v>6632543589.150246</v>
      </c>
      <c r="G21" s="26">
        <f>'PROY LR'!E39</f>
        <v>7900486394.848385</v>
      </c>
      <c r="H21" s="26">
        <f>'PROY LR'!F39</f>
        <v>8904862972.536745</v>
      </c>
    </row>
    <row r="22" spans="1:8" x14ac:dyDescent="0.25">
      <c r="A22" t="s">
        <v>2352</v>
      </c>
      <c r="C22" s="26">
        <f>'FIXED ASSET'!C63</f>
        <v>0</v>
      </c>
      <c r="D22" s="26">
        <f>'FIXED ASSET'!D63</f>
        <v>0</v>
      </c>
      <c r="E22" s="26">
        <f>'FIXED ASSET'!E63</f>
        <v>0</v>
      </c>
      <c r="F22" s="26">
        <f>'PROY FIXED ASSETS'!D63</f>
        <v>105632336296</v>
      </c>
      <c r="G22" s="26">
        <f>'PROY FIXED ASSETS'!E63</f>
        <v>105632336296</v>
      </c>
      <c r="H22" s="26">
        <f>'PROY FIXED ASSETS'!F63</f>
        <v>105632336296</v>
      </c>
    </row>
    <row r="23" spans="1:8" x14ac:dyDescent="0.25">
      <c r="A23" t="s">
        <v>2354</v>
      </c>
      <c r="C23" s="26">
        <f>'FIXED ASSET'!C64</f>
        <v>4947437500</v>
      </c>
      <c r="D23" s="26">
        <f>'FIXED ASSET'!D64</f>
        <v>4947437500</v>
      </c>
      <c r="E23" s="26">
        <f>'FIXED ASSET'!E64</f>
        <v>4947437500</v>
      </c>
      <c r="F23" s="26">
        <f>'PROY FIXED ASSETS'!D64</f>
        <v>163209838554</v>
      </c>
      <c r="G23" s="26">
        <f>'PROY FIXED ASSETS'!E64</f>
        <v>163209838554</v>
      </c>
      <c r="H23" s="26">
        <f>'PROY FIXED ASSETS'!F64</f>
        <v>163209838554</v>
      </c>
    </row>
    <row r="24" spans="1:8" x14ac:dyDescent="0.25">
      <c r="A24" t="s">
        <v>2560</v>
      </c>
      <c r="C24" s="26">
        <f>SUM('FIXED ASSET'!C65:C68)</f>
        <v>1176343880</v>
      </c>
      <c r="D24" s="26">
        <f>SUM('FIXED ASSET'!D65:D68)</f>
        <v>1064586889</v>
      </c>
      <c r="E24" s="26">
        <f>SUM('FIXED ASSET'!E65:E68)</f>
        <v>1316902445</v>
      </c>
      <c r="F24" s="26">
        <f>SUM('PROY FIXED ASSETS'!D65:D68)</f>
        <v>323619184031.94293</v>
      </c>
      <c r="G24" s="26">
        <f>SUM('PROY FIXED ASSETS'!E65:E68)</f>
        <v>328398250353.71387</v>
      </c>
      <c r="H24" s="26">
        <f>SUM('PROY FIXED ASSETS'!F65:F68)</f>
        <v>347812231278.3773</v>
      </c>
    </row>
    <row r="27" spans="2:24" x14ac:dyDescent="0.25">
      <c r="B27" s="64"/>
      <c r="C27" s="64"/>
      <c r="D27" s="64"/>
      <c r="E27" s="64"/>
      <c r="F27" s="64"/>
      <c r="G27" s="64"/>
      <c r="H27" s="64"/>
      <c r="I27" s="64"/>
      <c r="J27" s="64"/>
      <c r="K27" s="64"/>
      <c r="L27" s="64"/>
      <c r="M27" s="64"/>
      <c r="N27" s="64"/>
      <c r="O27" s="64"/>
      <c r="P27" s="64"/>
      <c r="Q27" s="64"/>
      <c r="R27" s="64"/>
      <c r="S27" s="64"/>
      <c r="T27" s="64"/>
      <c r="U27" s="64"/>
      <c r="V27" s="64"/>
      <c r="W27" s="64"/>
      <c r="X27" s="64"/>
    </row>
    <row r="28" spans="2:24" x14ac:dyDescent="0.25">
      <c r="B28" s="64"/>
      <c r="C28" s="64"/>
      <c r="D28" s="64"/>
      <c r="E28" s="64"/>
      <c r="F28" s="64"/>
      <c r="G28" s="64"/>
      <c r="H28" s="64"/>
      <c r="I28" s="64"/>
      <c r="J28" s="64"/>
      <c r="K28" s="64"/>
      <c r="L28" s="64"/>
      <c r="M28" s="64"/>
      <c r="N28" s="64"/>
      <c r="O28" s="64"/>
      <c r="P28" s="64"/>
      <c r="Q28" s="64"/>
      <c r="R28" s="64"/>
      <c r="S28" s="64"/>
      <c r="T28" s="64"/>
      <c r="U28" s="64"/>
      <c r="V28" s="64"/>
      <c r="W28" s="64"/>
      <c r="X28" s="64"/>
    </row>
    <row r="29" spans="2:24" x14ac:dyDescent="0.25">
      <c r="B29" s="64"/>
      <c r="C29" s="64"/>
      <c r="D29" s="64"/>
      <c r="E29" s="64"/>
      <c r="F29" s="64"/>
      <c r="G29" s="64"/>
      <c r="H29" s="64"/>
      <c r="I29" s="64"/>
      <c r="J29" s="64"/>
      <c r="K29" s="64"/>
      <c r="L29" s="64"/>
      <c r="M29" s="64"/>
      <c r="N29" s="64"/>
      <c r="O29" s="64"/>
      <c r="P29" s="64"/>
      <c r="Q29" s="64"/>
      <c r="R29" s="64"/>
      <c r="S29" s="64"/>
      <c r="T29" s="64"/>
      <c r="U29" s="64"/>
      <c r="V29" s="64"/>
      <c r="W29" s="64"/>
      <c r="X29" s="64"/>
    </row>
    <row r="30" spans="2:24" x14ac:dyDescent="0.25">
      <c r="B30" s="64"/>
      <c r="C30" s="64"/>
      <c r="D30" s="64"/>
      <c r="E30" s="64"/>
      <c r="F30" s="64"/>
      <c r="G30" s="64"/>
      <c r="H30" s="64"/>
      <c r="I30" s="64"/>
      <c r="J30" s="64"/>
      <c r="K30" s="64"/>
      <c r="L30" s="64"/>
      <c r="M30" s="64"/>
      <c r="N30" s="64"/>
      <c r="O30" s="64"/>
      <c r="P30" s="64"/>
      <c r="Q30" s="64"/>
      <c r="R30" s="64"/>
      <c r="S30" s="64"/>
      <c r="T30" s="64"/>
      <c r="U30" s="64"/>
      <c r="V30" s="64"/>
      <c r="W30" s="64"/>
      <c r="X30" s="64"/>
    </row>
    <row r="31" spans="2:24" x14ac:dyDescent="0.25">
      <c r="B31" s="64"/>
      <c r="C31" s="64"/>
      <c r="D31" s="64"/>
      <c r="E31" s="64"/>
      <c r="F31" s="64"/>
      <c r="G31" s="64"/>
      <c r="H31" s="64"/>
      <c r="I31" s="64"/>
      <c r="J31" s="64"/>
      <c r="K31" s="64"/>
      <c r="L31" s="64"/>
      <c r="M31" s="64"/>
      <c r="N31" s="64"/>
      <c r="O31" s="64"/>
      <c r="P31" s="64"/>
      <c r="Q31" s="64"/>
      <c r="R31" s="64"/>
      <c r="S31" s="64"/>
      <c r="T31" s="64"/>
      <c r="U31" s="64"/>
      <c r="V31" s="64"/>
      <c r="W31" s="64"/>
      <c r="X31" s="64"/>
    </row>
    <row r="32" spans="2:24" x14ac:dyDescent="0.25">
      <c r="B32" s="64"/>
      <c r="C32" s="64"/>
      <c r="D32" s="64"/>
      <c r="E32" s="64"/>
      <c r="F32" s="64"/>
      <c r="G32" s="64"/>
      <c r="H32" s="64"/>
      <c r="I32" s="64"/>
      <c r="J32" s="64"/>
      <c r="K32" s="64"/>
      <c r="L32" s="64"/>
      <c r="M32" s="64"/>
      <c r="N32" s="64"/>
      <c r="O32" s="64"/>
      <c r="P32" s="64"/>
      <c r="Q32" s="64"/>
      <c r="R32" s="64"/>
      <c r="S32" s="64"/>
      <c r="T32" s="64"/>
      <c r="U32" s="64"/>
      <c r="V32" s="64"/>
      <c r="W32" s="64"/>
      <c r="X32" s="64"/>
    </row>
    <row r="33" spans="2:24" x14ac:dyDescent="0.25">
      <c r="B33" s="64"/>
      <c r="C33" s="64"/>
      <c r="D33" s="64"/>
      <c r="E33" s="64"/>
      <c r="F33" s="64"/>
      <c r="G33" s="64"/>
      <c r="H33" s="64"/>
      <c r="I33" s="64"/>
      <c r="J33" s="64"/>
      <c r="K33" s="64"/>
      <c r="L33" s="64"/>
      <c r="M33" s="64"/>
      <c r="N33" s="64"/>
      <c r="O33" s="64"/>
      <c r="P33" s="64"/>
      <c r="Q33" s="64"/>
      <c r="R33" s="64"/>
      <c r="S33" s="64"/>
      <c r="T33" s="64"/>
      <c r="U33" s="64"/>
      <c r="V33" s="64"/>
      <c r="W33" s="64"/>
      <c r="X33" s="64"/>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2:S14"/>
  <sheetViews>
    <sheetView workbookViewId="0" showGridLines="0" zoomScale="100" zoomScaleNormal="100">
      <selection activeCell="D15" sqref="D15"/>
    </sheetView>
  </sheetViews>
  <sheetFormatPr defaultRowHeight="15" outlineLevelRow="0" outlineLevelCol="0" x14ac:dyDescent="0.2" defaultColWidth="8.83203125"/>
  <cols>
    <col min="2" max="2" width="11" customWidth="1"/>
    <col min="7" max="7" width="9.1640625" customWidth="1"/>
    <col min="9" max="9" width="11.33203125" customWidth="1"/>
    <col min="19" max="19" width="11.33203125" customWidth="1"/>
  </cols>
  <sheetData>
    <row r="2" spans="14:15" x14ac:dyDescent="0.25">
      <c r="N2" s="20" t="s">
        <v>2537</v>
      </c>
      <c r="O2" s="20"/>
    </row>
    <row r="3" spans="14:14" x14ac:dyDescent="0.25">
      <c r="N3" s="130"/>
    </row>
    <row r="4" spans="6:14" x14ac:dyDescent="0.25">
      <c r="F4" s="131"/>
      <c r="N4" s="130"/>
    </row>
    <row r="5" spans="6:14" x14ac:dyDescent="0.25">
      <c r="F5" s="131"/>
      <c r="N5" s="130"/>
    </row>
    <row r="6" spans="6:14" x14ac:dyDescent="0.25">
      <c r="F6" s="131"/>
      <c r="J6" s="132"/>
      <c r="N6" s="130"/>
    </row>
    <row r="7" ht="16" customHeight="1" spans="2:19" x14ac:dyDescent="0.25">
      <c r="B7" s="48"/>
      <c r="C7" s="48"/>
      <c r="D7" s="48"/>
      <c r="E7" s="48"/>
      <c r="F7" s="133"/>
      <c r="G7" s="48"/>
      <c r="H7" s="48"/>
      <c r="I7" s="48"/>
      <c r="J7" s="134"/>
      <c r="K7" s="48"/>
      <c r="L7" s="48"/>
      <c r="M7" s="48"/>
      <c r="N7" s="135"/>
      <c r="O7" s="48"/>
      <c r="P7" s="48"/>
      <c r="Q7" s="48"/>
      <c r="R7" s="48"/>
      <c r="S7" s="48"/>
    </row>
    <row r="8" spans="6:15" x14ac:dyDescent="0.25">
      <c r="F8" s="131"/>
      <c r="J8" s="132"/>
      <c r="N8" s="130"/>
      <c r="O8" s="136"/>
    </row>
    <row r="9" spans="6:16" x14ac:dyDescent="0.25">
      <c r="F9" s="131"/>
      <c r="J9" s="132"/>
      <c r="N9" s="130"/>
      <c r="O9" s="137"/>
      <c r="P9" t="s">
        <v>2538</v>
      </c>
    </row>
    <row r="10" spans="3:17" x14ac:dyDescent="0.25">
      <c r="C10" s="138">
        <f>'BALANCE SHEET'!E4</f>
        <v>2020</v>
      </c>
      <c r="D10" s="139"/>
      <c r="E10" s="140"/>
      <c r="F10" s="131"/>
      <c r="H10" s="138" t="s">
        <v>2539</v>
      </c>
      <c r="I10" s="139"/>
      <c r="J10" s="140"/>
      <c r="L10" s="138">
        <f>'BALANCE SHEET'!F4</f>
        <v>2021</v>
      </c>
      <c r="M10" s="139"/>
      <c r="N10" s="140"/>
      <c r="Q10">
        <f>L10+1</f>
        <v>2022</v>
      </c>
    </row>
    <row r="11" spans="3:19" x14ac:dyDescent="0.25">
      <c r="C11" s="137" t="s">
        <v>2540</v>
      </c>
      <c r="D11" s="141">
        <f>'INCOME STATEMENT'!E35</f>
        <v>4994138866</v>
      </c>
      <c r="E11" s="142"/>
      <c r="F11" s="131"/>
      <c r="H11" s="137" t="s">
        <v>2540</v>
      </c>
      <c r="I11" s="143"/>
      <c r="J11" s="144"/>
      <c r="L11" s="137" t="s">
        <v>2540</v>
      </c>
      <c r="M11" s="145">
        <f>'INCOME STATEMENT'!F35</f>
        <v>5805826735</v>
      </c>
      <c r="N11" s="146"/>
      <c r="Q11" t="s">
        <v>2540</v>
      </c>
      <c r="R11" s="145">
        <v>135354171907</v>
      </c>
      <c r="S11" s="145"/>
    </row>
    <row r="12" spans="3:19" x14ac:dyDescent="0.25">
      <c r="C12" s="137" t="s">
        <v>2541</v>
      </c>
      <c r="D12" s="141">
        <f>'BALANCE SHEET'!E49</f>
        <v>23663464279</v>
      </c>
      <c r="E12" s="142"/>
      <c r="F12" s="131"/>
      <c r="H12" s="137" t="s">
        <v>2541</v>
      </c>
      <c r="I12" s="143"/>
      <c r="J12" s="144"/>
      <c r="L12" s="137" t="s">
        <v>2541</v>
      </c>
      <c r="M12" s="145">
        <f>'BALANCE SHEET'!F49</f>
        <v>29366482204</v>
      </c>
      <c r="N12" s="146"/>
      <c r="Q12" t="s">
        <v>2541</v>
      </c>
      <c r="R12" s="145">
        <v>635570945239</v>
      </c>
      <c r="S12" s="145"/>
    </row>
    <row r="13" spans="3:18" x14ac:dyDescent="0.25">
      <c r="C13" s="137" t="s">
        <v>2542</v>
      </c>
      <c r="D13" s="46">
        <f>'FINANCIAL RATIO'!E20</f>
        <v>0.26662218589858233</v>
      </c>
      <c r="E13" s="132"/>
      <c r="F13" s="131"/>
      <c r="H13" s="137" t="s">
        <v>2542</v>
      </c>
      <c r="J13" s="132"/>
      <c r="L13" s="137" t="s">
        <v>2542</v>
      </c>
      <c r="M13" s="46">
        <f>'FINANCIAL RATIO'!F20</f>
        <v>0.1453914874904027</v>
      </c>
      <c r="N13" s="132"/>
      <c r="Q13" t="s">
        <v>2542</v>
      </c>
      <c r="R13" s="31">
        <f>215053803953/R12</f>
        <v>0.3383631765484988</v>
      </c>
    </row>
    <row r="14" spans="3:18" x14ac:dyDescent="0.25">
      <c r="C14" s="147" t="s">
        <v>2543</v>
      </c>
      <c r="D14" s="148">
        <f>'FINANCIAL RATIO'!E9</f>
        <v>0.08416123892769456</v>
      </c>
      <c r="E14" s="149"/>
      <c r="F14" s="131"/>
      <c r="H14" s="147" t="s">
        <v>2543</v>
      </c>
      <c r="I14" s="34"/>
      <c r="J14" s="149"/>
      <c r="L14" s="147" t="s">
        <v>2543</v>
      </c>
      <c r="M14" s="148">
        <f>'FINANCIAL RATIO'!F9</f>
        <v>0.09511572071956491</v>
      </c>
      <c r="N14" s="149"/>
      <c r="Q14" t="s">
        <v>2543</v>
      </c>
      <c r="R14" s="31">
        <f>R11/1395998575702</f>
        <v>0.09695867478871532</v>
      </c>
    </row>
  </sheetData>
  <mergeCells count="9">
    <mergeCell ref="N2:O2"/>
    <mergeCell ref="D11:E11"/>
    <mergeCell ref="I11:J11"/>
    <mergeCell ref="M11:N11"/>
    <mergeCell ref="R11:S11"/>
    <mergeCell ref="D12:E12"/>
    <mergeCell ref="I12:J12"/>
    <mergeCell ref="M12:N12"/>
    <mergeCell ref="R12:S1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zoomScale="100" zoomScaleNormal="100">
      <selection activeCell="C17" sqref="C17"/>
    </sheetView>
  </sheetViews>
  <sheetFormatPr defaultRowHeight="15" outlineLevelRow="0" outlineLevelCol="0" x14ac:dyDescent="0.2" defaultColWidth="11.5"/>
  <cols>
    <col min="1" max="1" width="43.33203125" customWidth="1"/>
    <col min="2" max="2" width="4.5" customWidth="1"/>
    <col min="3" max="3" width="27.1640625" customWidth="1"/>
    <col min="4" max="4" width="13.6640625" customWidth="1"/>
    <col min="5" max="5" width="16.5" customWidth="1"/>
    <col min="7" max="7" width="13.6640625" customWidth="1"/>
  </cols>
  <sheetData>
    <row r="1" spans="1:5" x14ac:dyDescent="0.25">
      <c r="A1" t="s">
        <v>2799</v>
      </c>
      <c r="E1" s="410">
        <f>AAM!E51</f>
        <v>27435841103</v>
      </c>
    </row>
    <row r="2" spans="1:5" x14ac:dyDescent="0.25">
      <c r="A2" t="s">
        <v>2800</v>
      </c>
      <c r="E2" s="410">
        <f>AAM!E52</f>
        <v>1000000000</v>
      </c>
    </row>
    <row r="3" spans="1:5" x14ac:dyDescent="0.25">
      <c r="A3" t="s">
        <v>2801</v>
      </c>
      <c r="E3" s="410">
        <f>AAM!E53</f>
        <v>26435841103</v>
      </c>
    </row>
    <row r="4" spans="1:5" x14ac:dyDescent="0.25">
      <c r="A4" t="s">
        <v>2771</v>
      </c>
      <c r="C4" t="s">
        <v>2467</v>
      </c>
      <c r="D4" s="31">
        <f>IF(C4="Paling Tinggi (Resiko Rendah)",-40%,IF(C4="Moderat",-30%,-20%))</f>
        <v>-0.3</v>
      </c>
      <c r="E4" s="410">
        <f>+E3*D4</f>
        <v>-7930752330.9</v>
      </c>
    </row>
    <row r="5" spans="1:5" x14ac:dyDescent="0.25">
      <c r="A5" t="s">
        <v>2803</v>
      </c>
      <c r="E5" s="410">
        <f>+E3+E4</f>
        <v>18505088772.1</v>
      </c>
    </row>
    <row r="6" spans="1:5" x14ac:dyDescent="0.25">
      <c r="A6" t="str">
        <f>HOME!A16</f>
        <v>DISCOUNT LACK OF CONTROL/PREMIUM FOR CONTROL</v>
      </c>
      <c r="C6" t="s">
        <v>2467</v>
      </c>
      <c r="D6" s="31">
        <f>IF(C6="Paling Tinggi (Resiko Rendah)",-70%,IF(C6="Moderat",-50%,-30%))</f>
        <v>-0.5</v>
      </c>
      <c r="E6" s="410">
        <f>+E5*D6</f>
        <v>-9252544386.05</v>
      </c>
    </row>
    <row r="7" spans="1:5" x14ac:dyDescent="0.25">
      <c r="A7" t="s">
        <v>2810</v>
      </c>
      <c r="C7" t="str">
        <f>IF(AND(C4="Paling Rendah (Resiko Tinggi)", C6="Paling Rendah (Resiko Tinggi)"), "Resiko Tinggi", IF(AND(C4="Paling Rendah (Resiko Tinggi)", C6="Moderat"), "Resiko Tinggi", IF(AND(C4="Paling Rendah (Resiko Tinggi)", C6="Paling Tinggi (Resiko Rendah)"), "Moderat", IF(AND(C4="Moderat", C6="Paling Rendah (Resiko Tinggi)"), "Resiko Tinggi", IF(AND(C4="Moderat", C6="Moderat"), "Moderat", IF(AND(C4="Moderat", C6="Paling Tinggi (Resiko Rendah)"), "Moderat", IF(AND(C4="Paling Tinggi (Resiko Rendah)", C6="Paling Rendah (Resiko Tinggi)"), "Moderat", IF(AND(C4="Paling Tinggi (Resiko Rendah)", C6="Moderat"), "Moderat", IF(AND(C4="Paling Tinggi (Resiko Rendah)", C6="Paling Tinggi (Resiko Rendah)"), "Resiko Rendah", "")))))))))</f>
        <v>Moderat</v>
      </c>
      <c r="D7" s="31"/>
      <c r="E7" s="410"/>
    </row>
    <row r="8" spans="1:5" x14ac:dyDescent="0.25">
      <c r="A8" t="s">
        <v>2804</v>
      </c>
      <c r="E8" s="410">
        <f>+E5+E6</f>
        <v>9252544386.05</v>
      </c>
    </row>
    <row r="9" spans="1:5" x14ac:dyDescent="0.25">
      <c r="A9" t="s">
        <v>2805</v>
      </c>
      <c r="E9" s="46">
        <f>HOME!B8</f>
        <v>0.3</v>
      </c>
    </row>
    <row r="10" spans="1:5" x14ac:dyDescent="0.25">
      <c r="A10" s="4" t="str">
        <f>"Market Value of "&amp;TEXT(G9,"0.0%")&amp;" Equity"</f>
        <v>Market Value of 0.0% Equity</v>
      </c>
      <c r="B10" s="4"/>
      <c r="C10" s="4"/>
      <c r="D10" s="4"/>
      <c r="E10" s="410">
        <f>+E8*E9</f>
        <v>2775763315.8149996</v>
      </c>
    </row>
    <row r="11" spans="1:5" x14ac:dyDescent="0.25">
      <c r="A11" t="s">
        <v>2811</v>
      </c>
      <c r="E11" s="410">
        <v>1610000000</v>
      </c>
    </row>
    <row r="12" spans="1:5" x14ac:dyDescent="0.25">
      <c r="A12" t="s">
        <v>2812</v>
      </c>
      <c r="E12" s="410">
        <f>E10-E11</f>
        <v>2175763315.8149996</v>
      </c>
    </row>
    <row r="13" spans="1:5" x14ac:dyDescent="0.25">
      <c r="A13" t="s">
        <v>2813</v>
      </c>
      <c r="B13" s="31">
        <v>0.05</v>
      </c>
      <c r="C13" s="410">
        <f>IF(E12-D13&gt;0,E12-D13,E12)</f>
        <v>2115763315.8149996</v>
      </c>
      <c r="D13" s="410">
        <v>60000000</v>
      </c>
      <c r="E13" s="410">
        <f>IF(C13=E12,B13*E12,B13*D13)</f>
        <v>3000000</v>
      </c>
    </row>
    <row r="14" spans="2:5" x14ac:dyDescent="0.25">
      <c r="B14" s="31">
        <v>0.15</v>
      </c>
      <c r="C14" s="410">
        <f>IF(C13-D14&gt;0,C13-D14,C13)</f>
        <v>1925763315.8149996</v>
      </c>
      <c r="D14" s="410">
        <v>190000000</v>
      </c>
      <c r="E14" s="410">
        <f>IF(C14=C13,B14*C14,B14*D14)</f>
        <v>28500000</v>
      </c>
    </row>
    <row r="15" spans="2:5" x14ac:dyDescent="0.25">
      <c r="B15" s="31">
        <v>0.25</v>
      </c>
      <c r="C15" s="410">
        <f>IF(C14-D15&gt;0,C14-D15,C14)</f>
        <v>1675763315.8149996</v>
      </c>
      <c r="D15" s="410">
        <v>250000000</v>
      </c>
      <c r="E15" s="410">
        <f>IF(C15=C14,B15*C15,B15*D15)</f>
        <v>62500000</v>
      </c>
    </row>
    <row r="16" spans="2:5" x14ac:dyDescent="0.25">
      <c r="B16" s="31">
        <v>0.3</v>
      </c>
      <c r="C16" s="410">
        <f>IF(C15-D16&gt;0,C15-D16,C15)</f>
        <v>1675763315.8149996</v>
      </c>
      <c r="D16" s="410">
        <v>4500000000</v>
      </c>
      <c r="E16" s="410">
        <f>IF(C16=C15,B16*C16,B16*D16)</f>
        <v>502728994.74449986</v>
      </c>
    </row>
    <row r="17" spans="2:5" x14ac:dyDescent="0.25">
      <c r="B17" s="31">
        <v>0.35</v>
      </c>
      <c r="D17" s="410">
        <f>IF(C16=C15,0,C16)</f>
        <v>0</v>
      </c>
      <c r="E17">
        <f>B17*D17</f>
        <v>0</v>
      </c>
    </row>
    <row r="18" spans="1:5" x14ac:dyDescent="0.25">
      <c r="A18" t="s">
        <v>2814</v>
      </c>
      <c r="E18" s="415">
        <f>SUM(E13:E17)</f>
        <v>596728994.7444999</v>
      </c>
    </row>
  </sheetData>
  <conditionalFormatting sqref="C7">
    <cfRule type="cellIs" dxfId="3" priority="1" operator="equal">
      <formula>"Resiko Rendah"</formula>
    </cfRule>
    <cfRule type="cellIs" dxfId="4" priority="2" operator="equal">
      <formula>"Moderat"</formula>
    </cfRule>
    <cfRule type="cellIs" dxfId="5" priority="3" operator="equal">
      <formula>"Resiko Tinggi"</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HOME</vt:lpstr>
      <vt:lpstr>DAFTAR EMITEN 2023</vt:lpstr>
      <vt:lpstr>BALANCE SHEET</vt:lpstr>
      <vt:lpstr>INCOME STATEMENT</vt:lpstr>
      <vt:lpstr>CASH FLOW STATEMENT</vt:lpstr>
      <vt:lpstr>FIXED ASSET</vt:lpstr>
      <vt:lpstr>FINANCIAL RATIO</vt:lpstr>
      <vt:lpstr>FCF</vt:lpstr>
      <vt:lpstr>NOPLAT</vt:lpstr>
      <vt:lpstr>ROIC</vt:lpstr>
      <vt:lpstr>DLOC(PFC)</vt:lpstr>
      <vt:lpstr>DLOM</vt:lpstr>
      <vt:lpstr>TL</vt:lpstr>
      <vt:lpstr>DASHBOARD</vt:lpstr>
      <vt:lpstr>INCOME STATEMENT (2)</vt:lpstr>
      <vt:lpstr>ACC PAYABLES</vt:lpstr>
      <vt:lpstr>RESUME</vt:lpstr>
      <vt:lpstr>CFI</vt:lpstr>
      <vt:lpstr>ADJUSTMENT TANAH</vt:lpstr>
      <vt:lpstr>KUISIONER</vt:lpstr>
      <vt:lpstr>KEY DRIVERS</vt:lpstr>
      <vt:lpstr>PROY LR</vt:lpstr>
      <vt:lpstr>PROY BALANCE SHEET</vt:lpstr>
      <vt:lpstr>PROY CASH FLOW STATEMENT</vt:lpstr>
      <vt:lpstr>PROY FIXED ASSETS</vt:lpstr>
      <vt:lpstr>PROY FIXED ASSET</vt:lpstr>
      <vt:lpstr>PROY ACC PAYABLES</vt:lpstr>
      <vt:lpstr>PROY NOPLAT</vt:lpstr>
      <vt:lpstr>WACC</vt:lpstr>
      <vt:lpstr>GROWTH REVENUE</vt:lpstr>
      <vt:lpstr>PANGSA PASAR</vt:lpstr>
      <vt:lpstr>PASAR PEMBANDING_</vt:lpstr>
      <vt:lpstr>PASAR KESEBANDINGAN1</vt:lpstr>
      <vt:lpstr>AAM</vt:lpstr>
      <vt:lpstr>SIMULASI POTENSI (AAM)</vt:lpstr>
      <vt:lpstr>BORROWING CAP</vt:lpstr>
      <vt:lpstr>DISCOUNT RATE</vt:lpstr>
      <vt:lpstr>EEM</vt:lpstr>
      <vt:lpstr>PASAR KESEBANDINGAN</vt:lpstr>
      <vt:lpstr>PASAR PEMBANDING</vt:lpstr>
      <vt:lpstr>GROWTH RATE</vt:lpstr>
      <vt:lpstr>DCF</vt:lpstr>
      <vt:lpstr>PERBANDINGAN</vt:lpstr>
      <vt:lpstr>DIVIDEND DISCOUNT MODEL</vt:lpstr>
      <vt:lpstr>HARGA PASAR SAHAM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hmsigitbachtiar</dc:creator>
  <dc:title/>
  <dc:subject/>
  <dc:description/>
  <cp:keywords/>
  <cp:category/>
  <cp:lastModifiedBy>Bff 10759</cp:lastModifiedBy>
  <cp:contentStatus/>
  <dcterms:created xsi:type="dcterms:W3CDTF">2020-07-28T03:32:11Z</dcterms:created>
  <dcterms:modified xsi:type="dcterms:W3CDTF">2026-04-12T23:57:03Z</dcterms:modified>
</cp:coreProperties>
</file>