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v7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6">
      <text>
        <t xml:space="preserve">Very little difference between CFI and wall street prep. Both sites are excel based for individuals in a corporate financial planning and analysis roles
</t>
      </text>
    </comment>
    <comment authorId="0" ref="H33">
      <text>
        <t xml:space="preserve">This is a go-to paper for factor investing/models. You can also refer to AQRs 6 factor model</t>
      </text>
    </comment>
    <comment authorId="0" ref="A36">
      <text>
        <t xml:space="preserve">probably the most listened to podcast</t>
      </text>
    </comment>
  </commentList>
</comments>
</file>

<file path=xl/sharedStrings.xml><?xml version="1.0" encoding="utf-8"?>
<sst xmlns="http://schemas.openxmlformats.org/spreadsheetml/2006/main" count="88" uniqueCount="85">
  <si>
    <t>underlined text is linked to external page</t>
  </si>
  <si>
    <t>Free trading education</t>
  </si>
  <si>
    <t>Top Influences</t>
  </si>
  <si>
    <t>Start Here books</t>
  </si>
  <si>
    <t>Also good 1st resources</t>
  </si>
  <si>
    <t>Favorite Resources</t>
  </si>
  <si>
    <t>Industry Prep</t>
  </si>
  <si>
    <t>Programming and Data Science</t>
  </si>
  <si>
    <t>Open Source Learning</t>
  </si>
  <si>
    <t>https://alpaca.markets/</t>
  </si>
  <si>
    <t>https://intrinio.com/</t>
  </si>
  <si>
    <t>Higher Learning Finance Curriculum</t>
  </si>
  <si>
    <t>Gits and Data Sources</t>
  </si>
  <si>
    <t>Investments Research</t>
  </si>
  <si>
    <t>https://earningswhispers.com/</t>
  </si>
  <si>
    <t>Exchanges</t>
  </si>
  <si>
    <t>Academic Papers</t>
  </si>
  <si>
    <t>The Pricing of Options and Corporate Liabilities</t>
  </si>
  <si>
    <t>Fischer, Scholes</t>
  </si>
  <si>
    <t>Inverse Optimization: A new perspective on the black-litterman model</t>
  </si>
  <si>
    <t>Bertsimas et al</t>
  </si>
  <si>
    <t>Linear time option pricing algorithms by combinatorics</t>
  </si>
  <si>
    <t>Dai et al</t>
  </si>
  <si>
    <t>Moskowitz et al</t>
  </si>
  <si>
    <t>Podcasts</t>
  </si>
  <si>
    <t>A five factor asset pricing model</t>
  </si>
  <si>
    <t>Fama, French</t>
  </si>
  <si>
    <t>The Flash Crash: High Frequency Trading in an Electronic Market</t>
  </si>
  <si>
    <t>kirilenko</t>
  </si>
  <si>
    <t>The value of information in a multi-agent model</t>
  </si>
  <si>
    <t>Toth et al</t>
  </si>
  <si>
    <t>The Market for "Lemons": Quality Uncertainty and the Market Mechanism</t>
  </si>
  <si>
    <t>Akerlof</t>
  </si>
  <si>
    <t>https://arxiv.org/</t>
  </si>
  <si>
    <t xml:space="preserve">Influences </t>
  </si>
  <si>
    <t>Larry Fink</t>
  </si>
  <si>
    <t>Jamie Dimon</t>
  </si>
  <si>
    <t>Specific Episodes</t>
  </si>
  <si>
    <t>Ben Graham</t>
  </si>
  <si>
    <t>Ray Dalio</t>
  </si>
  <si>
    <t>http://mebfaber.com/2017/11/22/episode-82-vineer-bhansali-market-severely-underpricing-probability-sharp-catastrophic-loss-downside/</t>
  </si>
  <si>
    <t>http://mebfaber.2.cavendoclient.com/2016/06/29/podcast-episode-4-guest-wes-gray-even-god-get-fired-active-investor/</t>
  </si>
  <si>
    <t>http://mebfaber.com/2018/02/21/episode-94-michelle-leder-companies-know-sort-bad-eggs/</t>
  </si>
  <si>
    <t>https://www.bloomberg.com/news/audio/2018-02-28/luis-perez-breva-explains-how-to-be-productively-wrong</t>
  </si>
  <si>
    <t>Tom Keene</t>
  </si>
  <si>
    <t>http://investorfieldguide.com/reece/</t>
  </si>
  <si>
    <t>Vineer Bhansali</t>
  </si>
  <si>
    <t>Fischer Black</t>
  </si>
  <si>
    <t>Myron Scholes</t>
  </si>
  <si>
    <t>Anyone on staff at Quantopian</t>
  </si>
  <si>
    <t>Funds, Firms, and Managers</t>
  </si>
  <si>
    <t>General Business</t>
  </si>
  <si>
    <t>J.P. Morgan</t>
  </si>
  <si>
    <t>Alpha Architect</t>
  </si>
  <si>
    <t xml:space="preserve">Renaissance </t>
  </si>
  <si>
    <t>Cambria Asset Management</t>
  </si>
  <si>
    <t>Bridgewater</t>
  </si>
  <si>
    <t>State Street</t>
  </si>
  <si>
    <t>Two Sigma</t>
  </si>
  <si>
    <t>Tiger</t>
  </si>
  <si>
    <t>ValueAct</t>
  </si>
  <si>
    <t>Books</t>
  </si>
  <si>
    <t>http://docs.finance.free.fr/Options/Dynamic_Hedging-Taleb.pdf</t>
  </si>
  <si>
    <t>Barbarians at the Gate</t>
  </si>
  <si>
    <t>Covel</t>
  </si>
  <si>
    <t>Lefevre</t>
  </si>
  <si>
    <t>Trend Following with Managed Futures</t>
  </si>
  <si>
    <t>Kaminski</t>
  </si>
  <si>
    <t>Schwager</t>
  </si>
  <si>
    <t>Market Wizards Series</t>
  </si>
  <si>
    <t>Kosowski</t>
  </si>
  <si>
    <t>Shreve</t>
  </si>
  <si>
    <t>Hilpisch</t>
  </si>
  <si>
    <t>Teetor</t>
  </si>
  <si>
    <t>Duffy</t>
  </si>
  <si>
    <t>Annie Duke</t>
  </si>
  <si>
    <t>Security Analysis</t>
  </si>
  <si>
    <t>Graham</t>
  </si>
  <si>
    <t>Portfolio Selection</t>
  </si>
  <si>
    <t>Markowitz</t>
  </si>
  <si>
    <t>Alhabeeb</t>
  </si>
  <si>
    <t>http://www.amolstraining.com/free-books/The%20Disciplined%20Trader.pdf</t>
  </si>
  <si>
    <t>https://is.muni.cz/www/408176/38744863/The_C__Programming_Language__Stroustrup_.pdf</t>
  </si>
  <si>
    <t>http://www.dipmat.univpm.it/~demeio/public/the_c_programming_language_2.pdf</t>
  </si>
  <si>
    <t>http://math.mit.edu/~gs/linearalgebra/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</si>
</sst>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8">
    <font>
      <sz val="11.0"/>
      <color rgb="FF000000"/>
      <name val="Calibri"/>
    </font>
    <font>
      <sz val="8.0"/>
      <color rgb="FF0000FF"/>
      <name val="IBM Plex Mono"/>
    </font>
    <font>
      <sz val="11.0"/>
      <name val="IBM Plex Mono"/>
    </font>
    <font>
      <name val="IBM Plex Mono"/>
    </font>
    <font>
      <sz val="8.0"/>
      <name val="IBM Plex Mono"/>
    </font>
    <font>
      <sz val="10.0"/>
      <color rgb="FFFFFFFF"/>
      <name val="Oswald"/>
    </font>
    <font>
      <u/>
      <sz val="8.0"/>
      <color rgb="FF000000"/>
      <name val="IBM Plex Mono"/>
    </font>
    <font>
      <u/>
      <sz val="8.0"/>
      <color rgb="FF000000"/>
      <name val="IBM Plex Mono"/>
    </font>
    <font>
      <u/>
      <sz val="8.0"/>
      <color rgb="FF000000"/>
      <name val="IBM Plex Mono"/>
    </font>
    <font>
      <u/>
      <sz val="8.0"/>
      <color rgb="FF000000"/>
      <name val="IBM Plex Mono"/>
    </font>
    <font>
      <u/>
      <sz val="8.0"/>
      <color rgb="FF1155CC"/>
      <name val="IBM Plex Mono"/>
    </font>
    <font>
      <u/>
      <sz val="8.0"/>
      <color rgb="FF000000"/>
      <name val="IBM Plex Mono"/>
    </font>
    <font>
      <u/>
      <sz val="8.0"/>
      <color rgb="FF1155CC"/>
      <name val="IBM Plex Mono"/>
    </font>
    <font>
      <u/>
      <sz val="8.0"/>
      <color rgb="FF0000FF"/>
      <name val="IBM Plex Mono"/>
    </font>
    <font>
      <u/>
      <sz val="8.0"/>
      <color rgb="FF000000"/>
      <name val="IBM Plex Mono"/>
    </font>
    <font>
      <u/>
      <sz val="8.0"/>
      <color rgb="FF1155CC"/>
      <name val="IBM Plex Mono"/>
    </font>
    <font>
      <u/>
      <sz val="8.0"/>
      <color rgb="FF1155CC"/>
      <name val="IBM Plex Mono"/>
    </font>
    <font>
      <u/>
      <sz val="8.0"/>
      <color rgb="FF000000"/>
      <name val="IBM Plex Mono"/>
    </font>
    <font>
      <u/>
      <sz val="11.0"/>
      <color rgb="FF0000FF"/>
      <name val="IBM Plex Mono"/>
    </font>
    <font>
      <sz val="8.0"/>
      <color rgb="FFCC4125"/>
      <name val="IBM Plex Mono"/>
    </font>
    <font>
      <u/>
      <sz val="8.0"/>
      <color rgb="FF000000"/>
      <name val="IBM Plex Mono"/>
    </font>
    <font>
      <u/>
      <sz val="8.0"/>
      <color rgb="FF1155CC"/>
      <name val="IBM Plex Mono"/>
    </font>
    <font>
      <u/>
      <sz val="8.0"/>
      <color rgb="FF000000"/>
      <name val="IBM Plex Mono"/>
    </font>
    <font>
      <sz val="8.0"/>
      <color rgb="FFFF0000"/>
      <name val="IBM Plex Mono"/>
    </font>
    <font>
      <u/>
      <sz val="8.0"/>
      <color rgb="FF000000"/>
      <name val="IBM Plex Mono"/>
    </font>
    <font>
      <sz val="8.0"/>
      <color rgb="FF000000"/>
      <name val="IBM Plex Mono"/>
    </font>
    <font>
      <u/>
      <sz val="8.0"/>
      <color rgb="FF000000"/>
      <name val="IBM Plex Mono"/>
    </font>
    <font>
      <u/>
      <sz val="8.0"/>
      <color rgb="FF1155CC"/>
      <name val="IBM Plex Mono"/>
    </font>
    <font>
      <u/>
      <sz val="8.0"/>
      <color rgb="FF1155CC"/>
      <name val="IBM Plex Mono"/>
    </font>
    <font>
      <u/>
      <sz val="8.0"/>
      <color rgb="FF1155CC"/>
      <name val="IBM Plex Mono"/>
    </font>
    <font>
      <u/>
      <sz val="8.0"/>
      <color rgb="FF000000"/>
      <name val="IBM Plex Mono"/>
    </font>
    <font>
      <u/>
      <sz val="8.0"/>
      <color rgb="FF000000"/>
      <name val="IBM Plex Mono"/>
    </font>
    <font>
      <sz val="8.0"/>
      <color rgb="FFFFFFFF"/>
      <name val="IBM Plex Mono"/>
    </font>
    <font>
      <u/>
      <sz val="8.0"/>
      <color rgb="FFFFFFFF"/>
      <name val="IBM Plex Mono"/>
    </font>
    <font>
      <u/>
      <sz val="8.0"/>
      <color rgb="FF000000"/>
      <name val="IBM Plex Mono"/>
    </font>
    <font>
      <u/>
      <sz val="8.0"/>
      <color rgb="FFFF0000"/>
      <name val="IBM Plex Mono"/>
    </font>
    <font>
      <u/>
      <sz val="8.0"/>
      <color rgb="FF1155CC"/>
      <name val="IBM Plex Mono"/>
    </font>
    <font>
      <u/>
      <sz val="8.0"/>
      <color rgb="FF1155CC"/>
      <name val="IBM Plex Mono"/>
    </font>
  </fonts>
  <fills count="11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00FFFF"/>
        <bgColor rgb="FF00FFFF"/>
      </patternFill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203764"/>
        <bgColor rgb="FF203764"/>
      </patternFill>
    </fill>
    <fill>
      <patternFill patternType="solid">
        <fgColor rgb="FFC9DAF8"/>
        <bgColor rgb="FFC9DAF8"/>
      </patternFill>
    </fill>
    <fill>
      <patternFill patternType="solid">
        <fgColor rgb="FF999999"/>
        <bgColor rgb="FF999999"/>
      </patternFill>
    </fill>
  </fills>
  <borders count="5">
    <border/>
    <border>
      <right/>
      <bottom/>
    </border>
    <border>
      <bottom/>
    </border>
    <border>
      <right/>
    </border>
    <border>
      <left/>
      <right/>
      <bottom/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0"/>
    </xf>
    <xf borderId="1" fillId="2" fontId="2" numFmtId="0" xfId="0" applyAlignment="1" applyBorder="1" applyFont="1">
      <alignment vertical="center"/>
    </xf>
    <xf borderId="2" fillId="2" fontId="2" numFmtId="0" xfId="0" applyAlignment="1" applyBorder="1" applyFont="1">
      <alignment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vertical="center"/>
    </xf>
    <xf borderId="3" fillId="0" fontId="2" numFmtId="0" xfId="0" applyAlignment="1" applyBorder="1" applyFont="1">
      <alignment vertical="center"/>
    </xf>
    <xf borderId="2" fillId="0" fontId="2" numFmtId="0" xfId="0" applyAlignment="1" applyBorder="1" applyFont="1">
      <alignment vertical="center"/>
    </xf>
    <xf borderId="3" fillId="3" fontId="4" numFmtId="0" xfId="0" applyAlignment="1" applyBorder="1" applyFill="1" applyFont="1">
      <alignment shrinkToFit="0" vertical="center" wrapText="0"/>
    </xf>
    <xf borderId="3" fillId="3" fontId="2" numFmtId="0" xfId="0" applyAlignment="1" applyBorder="1" applyFont="1">
      <alignment vertical="center"/>
    </xf>
    <xf borderId="0" fillId="3" fontId="2" numFmtId="0" xfId="0" applyAlignment="1" applyFont="1">
      <alignment vertical="center"/>
    </xf>
    <xf borderId="3" fillId="4" fontId="4" numFmtId="0" xfId="0" applyAlignment="1" applyBorder="1" applyFill="1" applyFont="1">
      <alignment shrinkToFit="0" vertical="center" wrapText="0"/>
    </xf>
    <xf borderId="0" fillId="4" fontId="4" numFmtId="0" xfId="0" applyAlignment="1" applyFont="1">
      <alignment vertical="center"/>
    </xf>
    <xf borderId="3" fillId="5" fontId="4" numFmtId="0" xfId="0" applyAlignment="1" applyBorder="1" applyFill="1" applyFont="1">
      <alignment shrinkToFit="0" vertical="center" wrapText="0"/>
    </xf>
    <xf borderId="0" fillId="5" fontId="2" numFmtId="0" xfId="0" applyAlignment="1" applyFont="1">
      <alignment vertical="center"/>
    </xf>
    <xf borderId="3" fillId="6" fontId="4" numFmtId="0" xfId="0" applyAlignment="1" applyBorder="1" applyFill="1" applyFont="1">
      <alignment shrinkToFit="0" vertical="center" wrapText="0"/>
    </xf>
    <xf borderId="0" fillId="6" fontId="2" numFmtId="0" xfId="0" applyAlignment="1" applyFont="1">
      <alignment vertical="center"/>
    </xf>
    <xf borderId="3" fillId="7" fontId="4" numFmtId="0" xfId="0" applyAlignment="1" applyBorder="1" applyFill="1" applyFont="1">
      <alignment shrinkToFit="0" vertical="center" wrapText="0"/>
    </xf>
    <xf borderId="0" fillId="7" fontId="2" numFmtId="0" xfId="0" applyAlignment="1" applyFont="1">
      <alignment vertical="center"/>
    </xf>
    <xf borderId="1" fillId="0" fontId="2" numFmtId="0" xfId="0" applyAlignment="1" applyBorder="1" applyFont="1">
      <alignment vertical="center"/>
    </xf>
    <xf borderId="4" fillId="8" fontId="5" numFmtId="0" xfId="0" applyAlignment="1" applyBorder="1" applyFill="1" applyFont="1">
      <alignment shrinkToFit="0" vertical="center" wrapText="0"/>
    </xf>
    <xf borderId="1" fillId="8" fontId="2" numFmtId="0" xfId="0" applyAlignment="1" applyBorder="1" applyFont="1">
      <alignment vertical="center"/>
    </xf>
    <xf borderId="1" fillId="8" fontId="5" numFmtId="0" xfId="0" applyAlignment="1" applyBorder="1" applyFont="1">
      <alignment shrinkToFit="0" vertical="center" wrapText="0"/>
    </xf>
    <xf borderId="3" fillId="7" fontId="6" numFmtId="0" xfId="0" applyAlignment="1" applyBorder="1" applyFont="1">
      <alignment shrinkToFit="0" vertical="center" wrapText="0"/>
    </xf>
    <xf borderId="3" fillId="7" fontId="2" numFmtId="0" xfId="0" applyAlignment="1" applyBorder="1" applyFont="1">
      <alignment vertical="center"/>
    </xf>
    <xf borderId="0" fillId="0" fontId="7" numFmtId="0" xfId="0" applyAlignment="1" applyFont="1">
      <alignment vertical="center"/>
    </xf>
    <xf borderId="0" fillId="7" fontId="8" numFmtId="0" xfId="0" applyAlignment="1" applyFont="1">
      <alignment vertical="center"/>
    </xf>
    <xf borderId="3" fillId="0" fontId="9" numFmtId="0" xfId="0" applyAlignment="1" applyBorder="1" applyFont="1">
      <alignment shrinkToFit="0" vertical="center" wrapText="0"/>
    </xf>
    <xf borderId="0" fillId="9" fontId="10" numFmtId="0" xfId="0" applyAlignment="1" applyFill="1" applyFont="1">
      <alignment vertical="center"/>
    </xf>
    <xf borderId="0" fillId="3" fontId="11" numFmtId="0" xfId="0" applyAlignment="1" applyFont="1">
      <alignment vertical="center"/>
    </xf>
    <xf borderId="0" fillId="0" fontId="12" numFmtId="0" xfId="0" applyAlignment="1" applyFont="1">
      <alignment vertical="center"/>
    </xf>
    <xf borderId="0" fillId="0" fontId="13" numFmtId="0" xfId="0" applyAlignment="1" applyFont="1">
      <alignment readingOrder="0" vertical="center"/>
    </xf>
    <xf borderId="3" fillId="9" fontId="14" numFmtId="0" xfId="0" applyAlignment="1" applyBorder="1" applyFont="1">
      <alignment shrinkToFit="0" vertical="center" wrapText="0"/>
    </xf>
    <xf borderId="0" fillId="9" fontId="2" numFmtId="0" xfId="0" applyAlignment="1" applyFont="1">
      <alignment vertical="center"/>
    </xf>
    <xf borderId="3" fillId="0" fontId="15" numFmtId="0" xfId="0" applyAlignment="1" applyBorder="1" applyFont="1">
      <alignment shrinkToFit="0" vertical="center" wrapText="0"/>
    </xf>
    <xf borderId="3" fillId="9" fontId="16" numFmtId="0" xfId="0" applyAlignment="1" applyBorder="1" applyFont="1">
      <alignment shrinkToFit="0" vertical="center" wrapText="0"/>
    </xf>
    <xf borderId="3" fillId="0" fontId="17" numFmtId="0" xfId="0" applyAlignment="1" applyBorder="1" applyFont="1">
      <alignment vertical="center"/>
    </xf>
    <xf borderId="0" fillId="0" fontId="18" numFmtId="0" xfId="0" applyAlignment="1" applyFont="1">
      <alignment readingOrder="0" vertical="center"/>
    </xf>
    <xf borderId="1" fillId="8" fontId="5" numFmtId="0" xfId="0" applyAlignment="1" applyBorder="1" applyFont="1">
      <alignment vertical="center"/>
    </xf>
    <xf borderId="3" fillId="6" fontId="2" numFmtId="0" xfId="0" applyAlignment="1" applyBorder="1" applyFont="1">
      <alignment vertical="center"/>
    </xf>
    <xf borderId="3" fillId="0" fontId="19" numFmtId="0" xfId="0" applyAlignment="1" applyBorder="1" applyFont="1">
      <alignment shrinkToFit="0" vertical="center" wrapText="0"/>
    </xf>
    <xf borderId="0" fillId="0" fontId="4" numFmtId="0" xfId="0" applyAlignment="1" applyFont="1">
      <alignment vertical="center"/>
    </xf>
    <xf borderId="3" fillId="0" fontId="4" numFmtId="0" xfId="0" applyAlignment="1" applyBorder="1" applyFont="1">
      <alignment shrinkToFit="0" vertical="center" wrapText="0"/>
    </xf>
    <xf borderId="3" fillId="9" fontId="20" numFmtId="0" xfId="0" applyAlignment="1" applyBorder="1" applyFont="1">
      <alignment vertical="center"/>
    </xf>
    <xf borderId="3" fillId="7" fontId="21" numFmtId="0" xfId="0" applyAlignment="1" applyBorder="1" applyFont="1">
      <alignment shrinkToFit="0" vertical="center" wrapText="0"/>
    </xf>
    <xf borderId="3" fillId="0" fontId="19" numFmtId="0" xfId="0" applyAlignment="1" applyBorder="1" applyFont="1">
      <alignment vertical="center"/>
    </xf>
    <xf borderId="3" fillId="6" fontId="22" numFmtId="0" xfId="0" applyAlignment="1" applyBorder="1" applyFont="1">
      <alignment shrinkToFit="0" vertical="center" wrapText="0"/>
    </xf>
    <xf borderId="4" fillId="8" fontId="5" numFmtId="0" xfId="0" applyAlignment="1" applyBorder="1" applyFont="1">
      <alignment vertical="center"/>
    </xf>
    <xf borderId="3" fillId="5" fontId="2" numFmtId="0" xfId="0" applyAlignment="1" applyBorder="1" applyFont="1">
      <alignment vertical="center"/>
    </xf>
    <xf borderId="0" fillId="0" fontId="23" numFmtId="0" xfId="0" applyAlignment="1" applyFont="1">
      <alignment vertical="center"/>
    </xf>
    <xf borderId="3" fillId="0" fontId="23" numFmtId="0" xfId="0" applyAlignment="1" applyBorder="1" applyFont="1">
      <alignment vertical="center"/>
    </xf>
    <xf borderId="3" fillId="4" fontId="24" numFmtId="0" xfId="0" applyAlignment="1" applyBorder="1" applyFont="1">
      <alignment shrinkToFit="0" vertical="center" wrapText="0"/>
    </xf>
    <xf borderId="3" fillId="0" fontId="4" numFmtId="0" xfId="0" applyAlignment="1" applyBorder="1" applyFont="1">
      <alignment vertical="center"/>
    </xf>
    <xf borderId="3" fillId="0" fontId="25" numFmtId="0" xfId="0" applyAlignment="1" applyBorder="1" applyFont="1">
      <alignment shrinkToFit="0" vertical="center" wrapText="0"/>
    </xf>
    <xf borderId="3" fillId="0" fontId="25" numFmtId="0" xfId="0" applyAlignment="1" applyBorder="1" applyFont="1">
      <alignment vertical="center"/>
    </xf>
    <xf borderId="0" fillId="7" fontId="26" numFmtId="0" xfId="0" applyAlignment="1" applyFont="1">
      <alignment shrinkToFit="0" vertical="center" wrapText="0"/>
    </xf>
    <xf borderId="0" fillId="4" fontId="27" numFmtId="0" xfId="0" applyAlignment="1" applyFont="1">
      <alignment vertical="center"/>
    </xf>
    <xf borderId="3" fillId="4" fontId="28" numFmtId="0" xfId="0" applyAlignment="1" applyBorder="1" applyFont="1">
      <alignment vertical="center"/>
    </xf>
    <xf borderId="3" fillId="4" fontId="29" numFmtId="0" xfId="0" applyAlignment="1" applyBorder="1" applyFont="1">
      <alignment shrinkToFit="0" vertical="center" wrapText="0"/>
    </xf>
    <xf borderId="3" fillId="0" fontId="2" numFmtId="0" xfId="0" applyAlignment="1" applyBorder="1" applyFont="1">
      <alignment shrinkToFit="0" vertical="center" wrapText="0"/>
    </xf>
    <xf borderId="3" fillId="4" fontId="2" numFmtId="0" xfId="0" applyAlignment="1" applyBorder="1" applyFont="1">
      <alignment vertical="center"/>
    </xf>
    <xf borderId="0" fillId="0" fontId="25" numFmtId="0" xfId="0" applyAlignment="1" applyFont="1">
      <alignment vertical="center"/>
    </xf>
    <xf borderId="1" fillId="0" fontId="30" numFmtId="0" xfId="0" applyAlignment="1" applyBorder="1" applyFont="1">
      <alignment shrinkToFit="0" vertical="center" wrapText="0"/>
    </xf>
    <xf borderId="2" fillId="0" fontId="25" numFmtId="0" xfId="0" applyAlignment="1" applyBorder="1" applyFont="1">
      <alignment vertical="center"/>
    </xf>
    <xf borderId="2" fillId="0" fontId="31" numFmtId="0" xfId="0" applyAlignment="1" applyBorder="1" applyFont="1">
      <alignment vertical="center"/>
    </xf>
    <xf borderId="0" fillId="0" fontId="25" numFmtId="0" xfId="0" applyAlignment="1" applyFont="1">
      <alignment readingOrder="0" vertical="center"/>
    </xf>
    <xf borderId="1" fillId="8" fontId="32" numFmtId="0" xfId="0" applyAlignment="1" applyBorder="1" applyFont="1">
      <alignment vertical="center"/>
    </xf>
    <xf borderId="3" fillId="10" fontId="33" numFmtId="0" xfId="0" applyAlignment="1" applyBorder="1" applyFill="1" applyFont="1">
      <alignment shrinkToFit="0" vertical="center" wrapText="0"/>
    </xf>
    <xf borderId="0" fillId="10" fontId="2" numFmtId="0" xfId="0" applyAlignment="1" applyFont="1">
      <alignment vertical="center"/>
    </xf>
    <xf borderId="3" fillId="5" fontId="34" numFmtId="0" xfId="0" applyAlignment="1" applyBorder="1" applyFont="1">
      <alignment shrinkToFit="0" vertical="center" wrapText="0"/>
    </xf>
    <xf borderId="3" fillId="5" fontId="25" numFmtId="0" xfId="0" applyAlignment="1" applyBorder="1" applyFont="1">
      <alignment shrinkToFit="0" vertical="center" wrapText="0"/>
    </xf>
    <xf borderId="3" fillId="0" fontId="35" numFmtId="0" xfId="0" applyAlignment="1" applyBorder="1" applyFont="1">
      <alignment shrinkToFit="0" vertical="center" wrapText="0"/>
    </xf>
    <xf borderId="3" fillId="6" fontId="36" numFmtId="0" xfId="0" applyAlignment="1" applyBorder="1" applyFont="1">
      <alignment shrinkToFit="0" vertical="center" wrapText="0"/>
    </xf>
    <xf borderId="3" fillId="0" fontId="37" numFmtId="0" xfId="0" applyAlignment="1" applyBorder="1" applyFont="1">
      <alignment readingOrder="0" shrinkToFit="0" vertical="center" wrapText="0"/>
    </xf>
    <xf borderId="3" fillId="0" fontId="2" numFmtId="0" xfId="0" applyAlignment="1" applyBorder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docs.finance.free.fr/Options/Dynamic_Hedging-Taleb.pdf" TargetMode="External"/><Relationship Id="rId10" Type="http://schemas.openxmlformats.org/officeDocument/2006/relationships/hyperlink" Target="http://investorfieldguide.com/reece/" TargetMode="External"/><Relationship Id="rId13" Type="http://schemas.openxmlformats.org/officeDocument/2006/relationships/hyperlink" Target="https://is.muni.cz/www/408176/38744863/The_C__Programming_Language__Stroustrup_.pdf" TargetMode="External"/><Relationship Id="rId12" Type="http://schemas.openxmlformats.org/officeDocument/2006/relationships/hyperlink" Target="http://www.amolstraining.com/free-books/The%20Disciplined%20Trader.pdf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alpaca.markets/" TargetMode="External"/><Relationship Id="rId3" Type="http://schemas.openxmlformats.org/officeDocument/2006/relationships/hyperlink" Target="https://intrinio.com/" TargetMode="External"/><Relationship Id="rId4" Type="http://schemas.openxmlformats.org/officeDocument/2006/relationships/hyperlink" Target="https://earningswhispers.com/" TargetMode="External"/><Relationship Id="rId9" Type="http://schemas.openxmlformats.org/officeDocument/2006/relationships/hyperlink" Target="https://www.bloomberg.com/news/audio/2018-02-28/luis-perez-breva-explains-how-to-be-productively-wrong" TargetMode="External"/><Relationship Id="rId15" Type="http://schemas.openxmlformats.org/officeDocument/2006/relationships/hyperlink" Target="http://math.mit.edu/~gs/linearalgebra/" TargetMode="External"/><Relationship Id="rId14" Type="http://schemas.openxmlformats.org/officeDocument/2006/relationships/hyperlink" Target="http://www.dipmat.univpm.it/~demeio/public/the_c_programming_language_2.pdf" TargetMode="External"/><Relationship Id="rId17" Type="http://schemas.openxmlformats.org/officeDocument/2006/relationships/vmlDrawing" Target="../drawings/vmlDrawing1.vml"/><Relationship Id="rId16" Type="http://schemas.openxmlformats.org/officeDocument/2006/relationships/drawing" Target="../drawings/drawing1.xml"/><Relationship Id="rId5" Type="http://schemas.openxmlformats.org/officeDocument/2006/relationships/hyperlink" Target="https://arxiv.org/" TargetMode="External"/><Relationship Id="rId6" Type="http://schemas.openxmlformats.org/officeDocument/2006/relationships/hyperlink" Target="http://mebfaber.com/2017/11/22/episode-82-vineer-bhansali-market-severely-underpricing-probability-sharp-catastrophic-loss-downside/" TargetMode="External"/><Relationship Id="rId7" Type="http://schemas.openxmlformats.org/officeDocument/2006/relationships/hyperlink" Target="http://mebfaber.2.cavendoclient.com/2016/06/29/podcast-episode-4-guest-wes-gray-even-god-get-fired-active-investor/" TargetMode="External"/><Relationship Id="rId8" Type="http://schemas.openxmlformats.org/officeDocument/2006/relationships/hyperlink" Target="http://mebfaber.com/2018/02/21/episode-94-michelle-leder-companies-know-sort-bad-egg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4" width="8.71"/>
  </cols>
  <sheetData>
    <row r="1">
      <c r="A1" s="1" t="s">
        <v>0</v>
      </c>
      <c r="B1" s="2"/>
      <c r="C1" s="2"/>
      <c r="D1" s="2"/>
      <c r="E1" s="3"/>
      <c r="F1" s="3"/>
      <c r="G1" s="4"/>
      <c r="H1" s="4"/>
      <c r="I1" s="4"/>
      <c r="J1" s="4"/>
      <c r="K1" s="4"/>
      <c r="L1" s="4"/>
      <c r="M1" s="4"/>
      <c r="N1" s="4"/>
      <c r="O1" s="4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4"/>
      <c r="B2" s="4"/>
      <c r="C2" s="4"/>
      <c r="D2" s="6"/>
      <c r="E2" s="7"/>
      <c r="F2" s="7"/>
      <c r="G2" s="4"/>
      <c r="H2" s="4"/>
      <c r="I2" s="4"/>
      <c r="J2" s="4"/>
      <c r="K2" s="4"/>
      <c r="L2" s="4"/>
      <c r="M2" s="4"/>
      <c r="N2" s="4"/>
      <c r="O2" s="4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8" t="s">
        <v>1</v>
      </c>
      <c r="B3" s="9"/>
      <c r="C3" s="10"/>
      <c r="D3" s="11" t="s">
        <v>2</v>
      </c>
      <c r="E3" s="12"/>
      <c r="F3" s="13" t="s">
        <v>3</v>
      </c>
      <c r="G3" s="14"/>
      <c r="H3" s="15" t="s">
        <v>4</v>
      </c>
      <c r="I3" s="16"/>
      <c r="J3" s="16"/>
      <c r="K3" s="17" t="s">
        <v>5</v>
      </c>
      <c r="L3" s="18"/>
      <c r="M3" s="5"/>
      <c r="N3" s="5"/>
      <c r="O3" s="4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7"/>
      <c r="B4" s="7"/>
      <c r="C4" s="7"/>
      <c r="D4" s="19"/>
      <c r="E4" s="7"/>
      <c r="F4" s="7"/>
      <c r="G4" s="4"/>
      <c r="H4" s="4"/>
      <c r="I4" s="4"/>
      <c r="J4" s="4"/>
      <c r="K4" s="4"/>
      <c r="L4" s="4"/>
      <c r="M4" s="4"/>
      <c r="N4" s="4"/>
      <c r="O4" s="4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20" t="s">
        <v>6</v>
      </c>
      <c r="B5" s="21"/>
      <c r="C5" s="21"/>
      <c r="D5" s="21"/>
      <c r="E5" s="21"/>
      <c r="F5" s="21"/>
      <c r="G5" s="6"/>
      <c r="H5" s="22" t="s">
        <v>7</v>
      </c>
      <c r="I5" s="21"/>
      <c r="J5" s="21"/>
      <c r="K5" s="21"/>
      <c r="L5" s="21"/>
      <c r="M5" s="21"/>
      <c r="N5" s="6"/>
      <c r="O5" s="4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23" t="str">
        <f>HYPERLINK("https://corporatefinanceinstitute.com/","Corporate Finance Institute")</f>
        <v>Corporate Finance Institute</v>
      </c>
      <c r="B6" s="24"/>
      <c r="C6" s="18"/>
      <c r="D6" s="25" t="str">
        <f>HYPERLINK("https://www.cfp.net/","CFP Board")</f>
        <v>CFP Board</v>
      </c>
      <c r="E6" s="4"/>
      <c r="F6" s="25" t="str">
        <f>HYPERLINK("https://cmtassociation.org/chartered-market-technician/","CMT")</f>
        <v>CMT</v>
      </c>
      <c r="G6" s="4"/>
      <c r="H6" s="26" t="str">
        <f>HYPERLINK("https://www.datacamp.com/","DataCamp")</f>
        <v>DataCamp</v>
      </c>
      <c r="I6" s="4"/>
      <c r="J6" s="25" t="str">
        <f>HYPERLINK("https://socrata.com/","Socrata")</f>
        <v>Socrata</v>
      </c>
      <c r="K6" s="4"/>
      <c r="L6" s="27" t="str">
        <f>HYPERLINK("https://www.wiley.com/en-us/search?pq=javascript%7Crelevance","Wiley JavaScript")</f>
        <v>Wiley JavaScript</v>
      </c>
      <c r="M6" s="4"/>
      <c r="N6" s="4"/>
      <c r="O6" s="4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27" t="str">
        <f>HYPERLINK("https://www.wallstreetprep.com/","Wall Street Prep")</f>
        <v>Wall Street Prep</v>
      </c>
      <c r="B7" s="4"/>
      <c r="C7" s="4"/>
      <c r="D7" s="25" t="str">
        <f>HYPERLINK("http://www.finra.org/industry/series65","Series 65")</f>
        <v>Series 65</v>
      </c>
      <c r="E7" s="4"/>
      <c r="F7" s="25" t="str">
        <f>HYPERLINK("http://www.nasaa.org/","NASAA")</f>
        <v>NASAA</v>
      </c>
      <c r="G7" s="4"/>
      <c r="H7" s="27" t="str">
        <f>HYPERLINK("https://www.quantopian.com/","Quantopian  ")</f>
        <v>Quantopian  </v>
      </c>
      <c r="I7" s="4"/>
      <c r="J7" s="25" t="str">
        <f>HYPERLINK("https://www.docker.com/","Docker")</f>
        <v>Docker</v>
      </c>
      <c r="K7" s="4"/>
      <c r="L7" s="27" t="str">
        <f>HYPERLINK("https://www.wiley.com/en-us/search?pq=Python%7Crelevance","Wiley Python")</f>
        <v>Wiley Python</v>
      </c>
      <c r="M7" s="4"/>
      <c r="N7" s="4"/>
      <c r="O7" s="4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27" t="str">
        <f>HYPERLINK("https://www.bloomberg.com/professional/product/bloomberg-market-concepts/","Bloomberg Market Concepts ")</f>
        <v>Bloomberg Market Concepts </v>
      </c>
      <c r="B8" s="6"/>
      <c r="C8" s="4"/>
      <c r="D8" s="25" t="str">
        <f>HYPERLINK("http://www.finra.org/industry/series3","Series 3")</f>
        <v>Series 3</v>
      </c>
      <c r="E8" s="4"/>
      <c r="F8" s="25" t="str">
        <f>HYPERLINK("https://www.nfa.futures.org/","NFA")</f>
        <v>NFA</v>
      </c>
      <c r="G8" s="4"/>
      <c r="H8" s="27" t="str">
        <f>HYPERLINK("https://powerbi.microsoft.com/en-us/","Microsoft Power BI")</f>
        <v>Microsoft Power BI</v>
      </c>
      <c r="I8" s="4"/>
      <c r="J8" s="25" t="str">
        <f>HYPERLINK("https://www.mapd.com/","MapD")</f>
        <v>MapD</v>
      </c>
      <c r="K8" s="4"/>
      <c r="L8" s="25" t="str">
        <f>HYPERLINK("https://www.wiley.com/en-us/search?pq=c%2B%2B%7Crelevance","Wiley C++")</f>
        <v>Wiley C++</v>
      </c>
      <c r="M8" s="4"/>
      <c r="N8" s="4"/>
      <c r="O8" s="4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27" t="str">
        <f>HYPERLINK("https://www.cfainstitute.org/","CFA Institute")</f>
        <v>CFA Institute</v>
      </c>
      <c r="B9" s="4"/>
      <c r="C9" s="4"/>
      <c r="D9" s="4"/>
      <c r="E9" s="4"/>
      <c r="F9" s="4"/>
      <c r="G9" s="4"/>
      <c r="H9" s="27" t="str">
        <f>HYPERLINK("https://visualstudio.microsoft.com/","Microsoft Visual Studio")</f>
        <v>Microsoft Visual Studio</v>
      </c>
      <c r="I9" s="4"/>
      <c r="J9" s="25" t="str">
        <f>HYPERLINK("https://www.kinetica.com/","Kinetica")</f>
        <v>Kinetica</v>
      </c>
      <c r="K9" s="4"/>
      <c r="L9" s="25" t="str">
        <f>HYPERLINK("https://www.wiley.com/en-us/search?pq=R%7Crelevance","Wiley R")</f>
        <v>Wiley R</v>
      </c>
      <c r="M9" s="4"/>
      <c r="N9" s="4"/>
      <c r="O9" s="4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6"/>
      <c r="B10" s="4"/>
      <c r="C10" s="4"/>
      <c r="D10" s="4"/>
      <c r="E10" s="4"/>
      <c r="F10" s="4"/>
      <c r="G10" s="4"/>
      <c r="H10" s="25" t="str">
        <f>HYPERLINK("https://github.com/","Github")</f>
        <v>Github</v>
      </c>
      <c r="I10" s="4"/>
      <c r="J10" s="4"/>
      <c r="K10" s="4"/>
      <c r="L10" s="27" t="str">
        <f>HYPERLINK("http://mba.tuck.dartmouth.edu/pages/faculty/ken.french/data_library.html","Ken French Data")</f>
        <v>Ken French Data</v>
      </c>
      <c r="M10" s="4"/>
      <c r="N10" s="4"/>
      <c r="O10" s="4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22" t="s">
        <v>8</v>
      </c>
      <c r="B11" s="21"/>
      <c r="C11" s="21"/>
      <c r="D11" s="21"/>
      <c r="E11" s="21"/>
      <c r="F11" s="21"/>
      <c r="G11" s="4"/>
      <c r="H11" s="25" t="str">
        <f>HYPERLINK("https://data.world/","DataWorld")</f>
        <v>DataWorld</v>
      </c>
      <c r="I11" s="4"/>
      <c r="J11" s="27" t="str">
        <f>HYPERLINK("https://www.tableau.com/products/prep","Tableau Prep")</f>
        <v>Tableau Prep</v>
      </c>
      <c r="K11" s="4"/>
      <c r="L11" s="27" t="s">
        <v>9</v>
      </c>
      <c r="M11" s="6"/>
      <c r="N11" s="4"/>
      <c r="O11" s="4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25" t="str">
        <f>HYPERLINK("https://www.coursera.org/","Coursera")</f>
        <v>Coursera</v>
      </c>
      <c r="B12" s="4"/>
      <c r="C12" s="25" t="str">
        <f>HYPERLINK("https://www.udacity.com/","Udacity")</f>
        <v>Udacity</v>
      </c>
      <c r="D12" s="4"/>
      <c r="E12" s="27" t="str">
        <f>HYPERLINK("https://www.quantopian.com/lectures","Quantopian Lectures")</f>
        <v>Quantopian Lectures</v>
      </c>
      <c r="F12" s="4"/>
      <c r="G12" s="4"/>
      <c r="H12" s="25" t="str">
        <f>HYPERLINK("https://www.quandl.com/","Quandl")</f>
        <v>Quandl</v>
      </c>
      <c r="I12" s="4"/>
      <c r="J12" s="27" t="str">
        <f>HYPERLINK("https://www.tableau.com/products/reader","Tableau Reader")</f>
        <v>Tableau Reader</v>
      </c>
      <c r="K12" s="4"/>
      <c r="L12" s="27" t="str">
        <f>HYPERLINK("https://www.microsoft.com/en-us/sql-server/sql-server-2017","Microsoft SQL")</f>
        <v>Microsoft SQL</v>
      </c>
      <c r="M12" s="4"/>
      <c r="N12" s="4"/>
      <c r="O12" s="4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25" t="str">
        <f>HYPERLINK("https://www.edx.org/","EdX")</f>
        <v>EdX</v>
      </c>
      <c r="B13" s="4"/>
      <c r="C13" s="27" t="str">
        <f>HYPERLINK("https://innovationlabs.harvard.edu/","Harvard Inn. Labs")</f>
        <v>Harvard Inn. Labs</v>
      </c>
      <c r="D13" s="6"/>
      <c r="E13" s="28" t="str">
        <f>HYPERLINK("https://www.datacamp.com/","DataCamp")</f>
        <v>DataCamp</v>
      </c>
      <c r="F13" s="4"/>
      <c r="G13" s="4"/>
      <c r="H13" s="27" t="str">
        <f>HYPERLINK("https://stackoverflow.com/","Stack Overflow")</f>
        <v>Stack Overflow</v>
      </c>
      <c r="I13" s="4"/>
      <c r="J13" s="25" t="str">
        <f>HYPERLINK("https://www.tableau.com/","Tableau")</f>
        <v>Tableau</v>
      </c>
      <c r="K13" s="4"/>
      <c r="L13" s="25" t="str">
        <f>HYPERLINK("https://www.mysql.com/","MySQL")</f>
        <v>MySQL</v>
      </c>
      <c r="M13" s="4"/>
      <c r="N13" s="4"/>
      <c r="O13" s="4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29" t="str">
        <f>HYPERLINK("http://www.cboe.com/education/","CBOE")</f>
        <v>CBOE</v>
      </c>
      <c r="B14" s="4"/>
      <c r="C14" s="29" t="str">
        <f>HYPERLINK("https://www.cmegroup.com/education.html","CME")</f>
        <v>CME</v>
      </c>
      <c r="D14" s="4"/>
      <c r="E14" s="4"/>
      <c r="F14" s="4"/>
      <c r="G14" s="4"/>
      <c r="H14" s="25" t="str">
        <f>HYPERLINK("https://www.kaggle.com/","Kaggle")</f>
        <v>Kaggle</v>
      </c>
      <c r="I14" s="4"/>
      <c r="J14" s="27" t="str">
        <f>HYPERLINK("http://www.wolframalpha.com/","Wolfram Alpha")</f>
        <v>Wolfram Alpha</v>
      </c>
      <c r="K14" s="4"/>
      <c r="L14" s="27" t="str">
        <f>HYPERLINK("https://azure.microsoft.com/en-us/","Microsoft Azure")</f>
        <v>Microsoft Azure</v>
      </c>
      <c r="M14" s="4"/>
      <c r="N14" s="4"/>
      <c r="O14" s="4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4"/>
      <c r="B15" s="4"/>
      <c r="C15" s="4"/>
      <c r="D15" s="4"/>
      <c r="E15" s="4"/>
      <c r="F15" s="4"/>
      <c r="G15" s="4"/>
      <c r="H15" s="25" t="str">
        <f>HYPERLINK("https://www.mathworks.com/products/matlab.html","Matlab")</f>
        <v>Matlab</v>
      </c>
      <c r="I15" s="4"/>
      <c r="J15" s="30" t="str">
        <f>HYPERLINK("https://www.latex-project.org/","LaTex")</f>
        <v>LaTex</v>
      </c>
      <c r="K15" s="4"/>
      <c r="L15" s="31" t="s">
        <v>10</v>
      </c>
      <c r="M15" s="4"/>
      <c r="N15" s="4"/>
      <c r="O15" s="4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22" t="s">
        <v>11</v>
      </c>
      <c r="B16" s="21"/>
      <c r="C16" s="21"/>
      <c r="D16" s="21"/>
      <c r="E16" s="21"/>
      <c r="F16" s="21"/>
      <c r="G16" s="4"/>
      <c r="H16" s="4"/>
      <c r="I16" s="4"/>
      <c r="J16" s="4"/>
      <c r="K16" s="4"/>
      <c r="L16" s="4"/>
      <c r="M16" s="4"/>
      <c r="N16" s="4"/>
      <c r="O16" s="4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27" t="str">
        <f>HYPERLINK("https://www.bu.edu/questrom/degree-programs/ms-in-mathematical-finance/suggested-reading-online-courses/","Boston Questrom M.Fin")</f>
        <v>Boston Questrom M.Fin</v>
      </c>
      <c r="B17" s="6"/>
      <c r="C17" s="4"/>
      <c r="D17" s="27" t="str">
        <f>HYPERLINK("https://bcf.princeton.edu/master-in-finance/","Princeton M.Fin")</f>
        <v>Princeton M.Fin</v>
      </c>
      <c r="E17" s="4"/>
      <c r="F17" s="6"/>
      <c r="G17" s="6"/>
      <c r="H17" s="22" t="s">
        <v>12</v>
      </c>
      <c r="I17" s="21"/>
      <c r="J17" s="21"/>
      <c r="K17" s="21"/>
      <c r="L17" s="21"/>
      <c r="M17" s="21"/>
      <c r="N17" s="4"/>
      <c r="O17" s="4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27" t="str">
        <f>HYPERLINK("http://mitsloan.mit.edu/mfin/apply/suggested-background/","MIT M.Fin Prep")</f>
        <v>MIT M.Fin Prep</v>
      </c>
      <c r="B18" s="4"/>
      <c r="C18" s="4"/>
      <c r="D18" s="25" t="str">
        <f>HYPERLINK("http://www.cms.caltech.edu/","Cal Tech")</f>
        <v>Cal Tech</v>
      </c>
      <c r="E18" s="4"/>
      <c r="F18" s="4"/>
      <c r="G18" s="4"/>
      <c r="H18" s="25" t="str">
        <f>HYPERLINK("https://github.com/d3/d3","D3 GitHub")</f>
        <v>D3 GitHub</v>
      </c>
      <c r="I18" s="4"/>
      <c r="J18" s="30" t="str">
        <f>HYPERLINK("https://github.com/plotly/dash","Dash")</f>
        <v>Dash</v>
      </c>
      <c r="K18" s="4"/>
      <c r="L18" s="32" t="str">
        <f>HYPERLINK("http://mba.tuck.dartmouth.edu/pages/faculty/ken.french/data_library.html","Dr. French Data")</f>
        <v>Dr. French Data</v>
      </c>
      <c r="M18" s="33"/>
      <c r="N18" s="4"/>
      <c r="O18" s="4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25" t="str">
        <f>HYPERLINK("https://business.fau.edu/masters-phd/master-of-science/msfinance/index.php","FAU MSF")</f>
        <v>FAU MSF</v>
      </c>
      <c r="B19" s="4"/>
      <c r="C19" s="4"/>
      <c r="D19" s="27" t="str">
        <f>HYPERLINK("http://www.math.fau.edu/amst.php","FAU mathematical finance")</f>
        <v>FAU mathematical finance</v>
      </c>
      <c r="E19" s="6"/>
      <c r="F19" s="4"/>
      <c r="G19" s="4"/>
      <c r="H19" s="25" t="str">
        <f>HYPERLINK("https://github.com/alpacahq/roboadvisor","Alpaca")</f>
        <v>Alpaca</v>
      </c>
      <c r="I19" s="4"/>
      <c r="J19" s="34" t="str">
        <f>HYPERLINK("https://github.com/stanfordnlp/stanza","Stanford NLP")</f>
        <v>Stanford NLP</v>
      </c>
      <c r="K19" s="4"/>
      <c r="L19" s="35" t="str">
        <f>HYPERLINK("http://www.econ.yale.edu/~shiller/data.htm","Dr. Shiller Data")</f>
        <v>Dr. Shiller Data</v>
      </c>
      <c r="M19" s="33"/>
      <c r="N19" s="4"/>
      <c r="O19" s="4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25" t="str">
        <f>HYPERLINK("https://business.fau.edu/executive-education/open-enrollment/course-offerings/finance/fau-financial-analyst-program/index.php","FAU FAP")</f>
        <v>FAU FAP</v>
      </c>
      <c r="B20" s="4"/>
      <c r="C20" s="4"/>
      <c r="D20" s="36" t="str">
        <f>HYPERLINK("https://wqu.org/","WorldQuant")</f>
        <v>WorldQuant</v>
      </c>
      <c r="E20" s="4"/>
      <c r="F20" s="4"/>
      <c r="G20" s="4"/>
      <c r="H20" s="34" t="str">
        <f>HYPERLINK("https://github.com/JustinG2FR","My Github Repos &amp; Forks")</f>
        <v>My Github Repos &amp; Forks</v>
      </c>
      <c r="I20" s="6"/>
      <c r="J20" s="4"/>
      <c r="K20" s="4"/>
      <c r="L20" s="37" t="str">
        <f>HYPERLINK("https://www.aqr.com/Insights/Datasets","AQR Data Sets")</f>
        <v>AQR Data Sets</v>
      </c>
      <c r="M20" s="4"/>
      <c r="N20" s="4"/>
      <c r="O20" s="4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7"/>
      <c r="B21" s="7"/>
      <c r="C21" s="7"/>
      <c r="D21" s="7"/>
      <c r="E21" s="7"/>
      <c r="F21" s="7"/>
      <c r="G21" s="4"/>
      <c r="H21" s="4"/>
      <c r="I21" s="4"/>
      <c r="J21" s="4"/>
      <c r="K21" s="4"/>
      <c r="L21" s="4"/>
      <c r="M21" s="4"/>
      <c r="N21" s="4"/>
      <c r="O21" s="4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20" t="s">
        <v>13</v>
      </c>
      <c r="B22" s="21"/>
      <c r="C22" s="21"/>
      <c r="D22" s="21"/>
      <c r="E22" s="21"/>
      <c r="F22" s="21"/>
      <c r="G22" s="4"/>
      <c r="H22" s="4"/>
      <c r="I22" s="4"/>
      <c r="J22" s="4"/>
      <c r="K22" s="4"/>
      <c r="L22" s="4"/>
      <c r="M22" s="4"/>
      <c r="N22" s="4"/>
      <c r="O22" s="4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27" t="str">
        <f>HYPERLINK("https://www.researchaffiliates.com/","Research Affiliates")</f>
        <v>Research Affiliates</v>
      </c>
      <c r="B23" s="4"/>
      <c r="C23" s="4"/>
      <c r="D23" s="27" t="s">
        <v>14</v>
      </c>
      <c r="E23" s="6"/>
      <c r="F23" s="6"/>
      <c r="G23" s="4"/>
      <c r="H23" s="38" t="s">
        <v>15</v>
      </c>
      <c r="I23" s="21"/>
      <c r="J23" s="21"/>
      <c r="K23" s="21"/>
      <c r="L23" s="21"/>
      <c r="M23" s="21"/>
      <c r="N23" s="4"/>
      <c r="O23" s="4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27" t="str">
        <f>HYPERLINK("https://www.yardeni.com/","Ed Yardeni Research")</f>
        <v>Ed Yardeni Research</v>
      </c>
      <c r="B24" s="4"/>
      <c r="C24" s="4"/>
      <c r="D24" s="25" t="str">
        <f>HYPERLINK("https://orats.com/","ORATS")</f>
        <v>ORATS</v>
      </c>
      <c r="E24" s="4"/>
      <c r="F24" s="4"/>
      <c r="G24" s="4"/>
      <c r="H24" s="25" t="str">
        <f>HYPERLINK("https://www.otcmarkets.com/","OTC")</f>
        <v>OTC</v>
      </c>
      <c r="I24" s="25" t="str">
        <f>HYPERLINK("http://www.cboe.com/","CBOE")</f>
        <v>CBOE</v>
      </c>
      <c r="J24" s="25" t="str">
        <f>HYPERLINK("http://business.nasdaq.com/trade/US-Options/PHLX.html","PHLX")</f>
        <v>PHLX</v>
      </c>
      <c r="K24" s="4"/>
      <c r="L24" s="4"/>
      <c r="M24" s="4"/>
      <c r="N24" s="4"/>
      <c r="O24" s="4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25" t="str">
        <f>HYPERLINK("https://www.footnoted.com/","Footnoted")</f>
        <v>Footnoted</v>
      </c>
      <c r="B25" s="4"/>
      <c r="C25" s="4"/>
      <c r="D25" s="32" t="str">
        <f>HYPERLINK("https://www.quantopian.com/","Quantopian  ")</f>
        <v>Quantopian  </v>
      </c>
      <c r="E25" s="33"/>
      <c r="F25" s="4"/>
      <c r="G25" s="4"/>
      <c r="H25" s="25" t="str">
        <f>HYPERLINK("https://www.nasdaq.com/","NASDAQ")</f>
        <v>NASDAQ</v>
      </c>
      <c r="I25" s="25" t="str">
        <f>HYPERLINK("http://www.cmegroup.com/","CME")</f>
        <v>CME</v>
      </c>
      <c r="J25" s="4"/>
      <c r="K25" s="4"/>
      <c r="L25" s="4"/>
      <c r="M25" s="4"/>
      <c r="N25" s="4"/>
      <c r="O25" s="4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25" t="str">
        <f>HYPERLINK("https://www.riskalyze.com/","Riskalyze")</f>
        <v>Riskalyze</v>
      </c>
      <c r="B26" s="4"/>
      <c r="C26" s="4"/>
      <c r="D26" s="27" t="str">
        <f>HYPERLINK("https://www.wiley.com/WileyCDA/Section/id-406837.html","Wiley Finance")</f>
        <v>Wiley Finance</v>
      </c>
      <c r="E26" s="4"/>
      <c r="F26" s="4"/>
      <c r="G26" s="4"/>
      <c r="H26" s="25" t="str">
        <f>HYPERLINK("https://www.nyse.com/","NYSE")</f>
        <v>NYSE</v>
      </c>
      <c r="I26" s="25" t="str">
        <f>HYPERLINK("http://www.cmegroup.com/company/nymex.html","NYMEX")</f>
        <v>NYMEX</v>
      </c>
      <c r="J26" s="4"/>
      <c r="K26" s="4"/>
      <c r="L26" s="4"/>
      <c r="M26" s="4"/>
      <c r="N26" s="4"/>
      <c r="O26" s="4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27" t="str">
        <f>HYPERLINK("https://www.blackrock.com/us/financial-professionals","Black Rock Advisor tools")</f>
        <v>Black Rock Advisor tools</v>
      </c>
      <c r="B27" s="6"/>
      <c r="C27" s="4"/>
      <c r="D27" s="25" t="str">
        <f>HYPERLINK("https://www.ssrn.com/en/","SSRN")</f>
        <v>SSRN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27" t="str">
        <f>HYPERLINK("https://alphaarchitect.com/tools/","Alpha Architect Tools")</f>
        <v>Alpha Architect Tools</v>
      </c>
      <c r="B28" s="6"/>
      <c r="C28" s="4"/>
      <c r="D28" s="4"/>
      <c r="E28" s="4"/>
      <c r="F28" s="4"/>
      <c r="G28" s="4"/>
      <c r="H28" s="22" t="s">
        <v>16</v>
      </c>
      <c r="I28" s="21"/>
      <c r="J28" s="21"/>
      <c r="K28" s="21"/>
      <c r="L28" s="21"/>
      <c r="M28" s="21"/>
      <c r="N28" s="4"/>
      <c r="O28" s="4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27" t="str">
        <f>HYPERLINK("http://www.morningstar.com/","Morningstar")</f>
        <v>Morningstar</v>
      </c>
      <c r="B29" s="4"/>
      <c r="C29" s="4"/>
      <c r="D29" s="36" t="str">
        <f>HYPERLINK("http://www.valueline.com/","Value Line")</f>
        <v>Value Line</v>
      </c>
      <c r="E29" s="4"/>
      <c r="F29" s="4"/>
      <c r="G29" s="4"/>
      <c r="H29" s="15" t="s">
        <v>17</v>
      </c>
      <c r="I29" s="39"/>
      <c r="J29" s="39"/>
      <c r="K29" s="16"/>
      <c r="L29" s="40" t="s">
        <v>18</v>
      </c>
      <c r="M29" s="41"/>
      <c r="N29" s="4"/>
      <c r="O29" s="4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27" t="str">
        <f>HYPERLINK("http://lfe.mit.edu/","MIT Fin.Eng Lab")</f>
        <v>MIT Fin.Eng Lab</v>
      </c>
      <c r="B30" s="4"/>
      <c r="C30" s="4"/>
      <c r="D30" s="23" t="str">
        <f>HYPERLINK("https://www.portfoliovisualizer.com/","Portfolio Visualizer")</f>
        <v>Portfolio Visualizer</v>
      </c>
      <c r="E30" s="24"/>
      <c r="F30" s="4"/>
      <c r="G30" s="4"/>
      <c r="H30" s="42" t="s">
        <v>19</v>
      </c>
      <c r="I30" s="6"/>
      <c r="J30" s="6"/>
      <c r="K30" s="4"/>
      <c r="L30" s="40" t="s">
        <v>20</v>
      </c>
      <c r="M30" s="41"/>
      <c r="N30" s="4"/>
      <c r="O30" s="4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43" t="str">
        <f>HYPERLINK("https://koyfin.com/","Koyfin.com")</f>
        <v>Koyfin.com</v>
      </c>
      <c r="B31" s="4"/>
      <c r="C31" s="4"/>
      <c r="D31" s="44" t="str">
        <f>HYPERLINK("https://finra-markets.morningstar.com/MarketData/Default.jsp","Finra Markets")</f>
        <v>Finra Markets</v>
      </c>
      <c r="E31" s="18"/>
      <c r="F31" s="4"/>
      <c r="G31" s="4"/>
      <c r="H31" s="42" t="s">
        <v>21</v>
      </c>
      <c r="I31" s="6"/>
      <c r="J31" s="6"/>
      <c r="K31" s="4"/>
      <c r="L31" s="45" t="s">
        <v>22</v>
      </c>
      <c r="M31" s="41"/>
      <c r="N31" s="4"/>
      <c r="O31" s="4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4"/>
      <c r="B32" s="4"/>
      <c r="C32" s="4"/>
      <c r="D32" s="4"/>
      <c r="E32" s="4"/>
      <c r="F32" s="4"/>
      <c r="G32" s="4"/>
      <c r="H32" s="46" t="str">
        <f>HYPERLINK("https://papers.ssrn.com/sol3/papers.c...act_id=2089463","Time Series Momentum")</f>
        <v>Time Series Momentum</v>
      </c>
      <c r="I32" s="39"/>
      <c r="J32" s="4"/>
      <c r="K32" s="4"/>
      <c r="L32" s="40" t="s">
        <v>23</v>
      </c>
      <c r="M32" s="41"/>
      <c r="N32" s="4"/>
      <c r="O32" s="4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47" t="s">
        <v>24</v>
      </c>
      <c r="B33" s="21"/>
      <c r="C33" s="21"/>
      <c r="D33" s="21"/>
      <c r="E33" s="21"/>
      <c r="F33" s="21"/>
      <c r="G33" s="4"/>
      <c r="H33" s="13" t="s">
        <v>25</v>
      </c>
      <c r="I33" s="48"/>
      <c r="J33" s="48"/>
      <c r="K33" s="14"/>
      <c r="L33" s="40" t="s">
        <v>26</v>
      </c>
      <c r="M33" s="41"/>
      <c r="N33" s="4"/>
      <c r="O33" s="4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27" t="str">
        <f>HYPERLINK("https://www.bloomberg.com/series/bloomberg-surveillance","Bloomberg Surveillance")</f>
        <v>Bloomberg Surveillance</v>
      </c>
      <c r="B34" s="6"/>
      <c r="C34" s="6"/>
      <c r="D34" s="25" t="str">
        <f>HYPERLINK("https://www.kinetica.com/podcast/","Kinetica ")</f>
        <v>Kinetica </v>
      </c>
      <c r="E34" s="4"/>
      <c r="F34" s="4"/>
      <c r="G34" s="4"/>
      <c r="H34" s="42" t="s">
        <v>27</v>
      </c>
      <c r="I34" s="6"/>
      <c r="J34" s="6"/>
      <c r="K34" s="4"/>
      <c r="L34" s="49" t="s">
        <v>28</v>
      </c>
      <c r="M34" s="41"/>
      <c r="N34" s="4"/>
      <c r="O34" s="4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27" t="str">
        <f>HYPERLINK("https://www.bloomberg.com/podcasts/masters_in_business","Masters in Business")</f>
        <v>Masters in Business</v>
      </c>
      <c r="B35" s="6"/>
      <c r="C35" s="6"/>
      <c r="D35" s="4"/>
      <c r="E35" s="4"/>
      <c r="F35" s="4"/>
      <c r="G35" s="4"/>
      <c r="H35" s="15" t="s">
        <v>29</v>
      </c>
      <c r="I35" s="39"/>
      <c r="J35" s="39"/>
      <c r="K35" s="16"/>
      <c r="L35" s="50" t="s">
        <v>30</v>
      </c>
      <c r="M35" s="41"/>
      <c r="N35" s="4"/>
      <c r="O35" s="4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32" t="str">
        <f>HYPERLINK("http://mebfaber.com/podcast/","The Meb Faber Show")</f>
        <v>The Meb Faber Show</v>
      </c>
      <c r="B36" s="33"/>
      <c r="C36" s="4"/>
      <c r="D36" s="4"/>
      <c r="E36" s="4"/>
      <c r="F36" s="4"/>
      <c r="G36" s="4"/>
      <c r="H36" s="42" t="s">
        <v>31</v>
      </c>
      <c r="I36" s="6"/>
      <c r="J36" s="6"/>
      <c r="K36" s="4"/>
      <c r="L36" s="49" t="s">
        <v>32</v>
      </c>
      <c r="M36" s="41"/>
      <c r="N36" s="4"/>
      <c r="O36" s="4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27" t="str">
        <f>HYPERLINK("http://investorfieldguide.com/podcast/","Invest with The Best")</f>
        <v>Invest with The Best</v>
      </c>
      <c r="B37" s="6"/>
      <c r="C37" s="4"/>
      <c r="D37" s="4"/>
      <c r="E37" s="4"/>
      <c r="F37" s="4"/>
      <c r="G37" s="4"/>
      <c r="H37" s="34" t="s">
        <v>33</v>
      </c>
      <c r="I37" s="4"/>
      <c r="J37" s="4"/>
      <c r="K37" s="4"/>
      <c r="L37" s="4"/>
      <c r="M37" s="4"/>
      <c r="N37" s="4"/>
      <c r="O37" s="4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27" t="str">
        <f>HYPERLINK("http://capitalallocatorspodcast.com/podcast/","Capital Allocators")</f>
        <v>Capital Allocators</v>
      </c>
      <c r="B38" s="6"/>
      <c r="C38" s="4"/>
      <c r="D38" s="4"/>
      <c r="E38" s="4"/>
      <c r="F38" s="4"/>
      <c r="G38" s="4"/>
      <c r="H38" s="22" t="s">
        <v>34</v>
      </c>
      <c r="I38" s="21"/>
      <c r="J38" s="21"/>
      <c r="K38" s="21"/>
      <c r="L38" s="21"/>
      <c r="M38" s="21"/>
      <c r="N38" s="4"/>
      <c r="O38" s="4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36" t="str">
        <f>HYPERLINK("https://www.datacamp.com/community/podcast","DataFramed")</f>
        <v>DataFramed</v>
      </c>
      <c r="B39" s="4"/>
      <c r="C39" s="4"/>
      <c r="D39" s="4"/>
      <c r="E39" s="4"/>
      <c r="F39" s="4"/>
      <c r="G39" s="4"/>
      <c r="H39" s="27" t="str">
        <f>HYPERLINK("https://www.bollingerbands.com/","John Bollinger")</f>
        <v>John Bollinger</v>
      </c>
      <c r="I39" s="4"/>
      <c r="J39" s="27" t="str">
        <f>HYPERLINK("https://bost.ocks.org/mike/","Mike Bostock")</f>
        <v>Mike Bostock</v>
      </c>
      <c r="K39" s="4"/>
      <c r="L39" s="27" t="str">
        <f>HYPERLINK("https://www.chicagobooth.edu/faculty/directory/f/eugene-f-fama","Dr. Eugene Fama")</f>
        <v>Dr. Eugene Fama</v>
      </c>
      <c r="M39" s="4"/>
      <c r="N39" s="4"/>
      <c r="O39" s="4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27" t="str">
        <f>HYPERLINK("https://businessradio.wharton.upenn.edu/programs/behind-the-markets","Behind the Markets")</f>
        <v>Behind the Markets</v>
      </c>
      <c r="B40" s="4"/>
      <c r="C40" s="4"/>
      <c r="D40" s="4"/>
      <c r="E40" s="4"/>
      <c r="F40" s="4"/>
      <c r="G40" s="4"/>
      <c r="H40" s="51" t="str">
        <f>HYPERLINK("https://jackschwager.com/","Jack Schwager")</f>
        <v>Jack Schwager</v>
      </c>
      <c r="I40" s="4"/>
      <c r="J40" s="52" t="s">
        <v>35</v>
      </c>
      <c r="K40" s="4"/>
      <c r="L40" s="27" t="str">
        <f>HYPERLINK("https://www.aqr.com/Insights/Perspectives","Clifford Asness")</f>
        <v>Clifford Asness</v>
      </c>
      <c r="M40" s="4"/>
      <c r="N40" s="4"/>
      <c r="O40" s="4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4"/>
      <c r="B41" s="4"/>
      <c r="C41" s="4"/>
      <c r="D41" s="4"/>
      <c r="E41" s="4"/>
      <c r="F41" s="4"/>
      <c r="G41" s="4"/>
      <c r="H41" s="27" t="str">
        <f>HYPERLINK("https://www.peterlbrandt.com/","Peter Brandt")</f>
        <v>Peter Brandt</v>
      </c>
      <c r="I41" s="4"/>
      <c r="J41" s="53" t="s">
        <v>36</v>
      </c>
      <c r="K41" s="4"/>
      <c r="L41" s="27" t="str">
        <f>HYPERLINK("http://mba.tuck.dartmouth.edu/pages/faculty/ken.french/","Dr. Ken French")</f>
        <v>Dr. Ken French</v>
      </c>
      <c r="M41" s="4"/>
      <c r="N41" s="4"/>
      <c r="O41" s="4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22" t="s">
        <v>37</v>
      </c>
      <c r="B42" s="21"/>
      <c r="C42" s="21"/>
      <c r="D42" s="21"/>
      <c r="E42" s="21"/>
      <c r="F42" s="21"/>
      <c r="G42" s="4"/>
      <c r="H42" s="27" t="str">
        <f>HYPERLINK("https://www.chicagobooth.edu/faculty/directory/t/richard-h-thaler","Richard Thaler")</f>
        <v>Richard Thaler</v>
      </c>
      <c r="I42" s="4"/>
      <c r="J42" s="54" t="s">
        <v>38</v>
      </c>
      <c r="K42" s="4"/>
      <c r="L42" s="41" t="s">
        <v>39</v>
      </c>
      <c r="M42" s="4"/>
      <c r="N42" s="4"/>
      <c r="O42" s="4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5" t="s">
        <v>40</v>
      </c>
      <c r="G43" s="4"/>
      <c r="H43" s="51" t="str">
        <f>HYPERLINK("https://alphaarchitect.com/","Dr. Wes Gray")</f>
        <v>Dr. Wes Gray</v>
      </c>
      <c r="I43" s="4"/>
      <c r="J43" s="27" t="str">
        <f>HYPERLINK("https://www.elder.com/","Alexander Elder")</f>
        <v>Alexander Elder</v>
      </c>
      <c r="K43" s="4"/>
      <c r="L43" s="27" t="str">
        <f>HYPERLINK("https://www.perceptualedge.com/about.php","Stephen Few")</f>
        <v>Stephen Few</v>
      </c>
      <c r="M43" s="4"/>
      <c r="N43" s="4"/>
      <c r="O43" s="4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25" t="s">
        <v>41</v>
      </c>
      <c r="G44" s="4"/>
      <c r="H44" s="36" t="str">
        <f>HYPERLINK("https://alphaarchitect.com/user/jack.vogel%2C.phd/","Jack Vogel")</f>
        <v>Jack Vogel</v>
      </c>
      <c r="I44" s="4"/>
      <c r="J44" s="27" t="str">
        <f>HYPERLINK("https://www.britannica.com/biography/Leonhard-Euler","Leonhard Euhler")</f>
        <v>Leonhard Euhler</v>
      </c>
      <c r="K44" s="4"/>
      <c r="L44" s="27" t="str">
        <f>HYPERLINK("https://www.edwardtufte.com/","Edward Tufte")</f>
        <v>Edward Tufte</v>
      </c>
      <c r="M44" s="4"/>
      <c r="N44" s="4"/>
      <c r="O44" s="4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25" t="s">
        <v>42</v>
      </c>
      <c r="G45" s="4"/>
      <c r="H45" s="34" t="str">
        <f>HYPERLINK("http://damianmingle.com/","Damian Mingle")</f>
        <v>Damian Mingle</v>
      </c>
      <c r="I45" s="4"/>
      <c r="J45" s="56" t="str">
        <f>HYPERLINK("http://mebfaber.com/","Meb Faber")</f>
        <v>Meb Faber</v>
      </c>
      <c r="K45" s="4"/>
      <c r="L45" s="57" t="str">
        <f>HYPERLINK("http://www.epchan.com/","Ernie Chan")</f>
        <v>Ernie Chan</v>
      </c>
      <c r="M45" s="4"/>
      <c r="N45" s="4"/>
      <c r="O45" s="4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25" t="s">
        <v>43</v>
      </c>
      <c r="G46" s="4"/>
      <c r="H46" s="4" t="s">
        <v>44</v>
      </c>
      <c r="I46" s="4"/>
      <c r="J46" s="30" t="str">
        <f>HYPERLINK("https://www.bloombergmedia.com/talent/people/pimm-fox/","Pim Fox")</f>
        <v>Pim Fox</v>
      </c>
      <c r="K46" s="4"/>
      <c r="L46" s="58" t="str">
        <f>HYPERLINK("http://ritholtz.com/","Barry Ritholz")</f>
        <v>Barry Ritholz</v>
      </c>
      <c r="M46" s="4"/>
      <c r="N46" s="4"/>
      <c r="O46" s="4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27" t="s">
        <v>45</v>
      </c>
      <c r="B47" s="6"/>
      <c r="C47" s="6"/>
      <c r="D47" s="4"/>
      <c r="E47" s="4"/>
      <c r="F47" s="4"/>
      <c r="G47" s="4"/>
      <c r="H47" s="42" t="s">
        <v>46</v>
      </c>
      <c r="I47" s="4"/>
      <c r="J47" s="42" t="s">
        <v>47</v>
      </c>
      <c r="K47" s="4"/>
      <c r="L47" s="59" t="s">
        <v>48</v>
      </c>
      <c r="M47" s="4"/>
      <c r="N47" s="4"/>
      <c r="O47" s="4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4"/>
      <c r="B48" s="4"/>
      <c r="C48" s="4"/>
      <c r="D48" s="4"/>
      <c r="E48" s="4"/>
      <c r="F48" s="4"/>
      <c r="G48" s="4"/>
      <c r="H48" s="11" t="s">
        <v>49</v>
      </c>
      <c r="I48" s="60"/>
      <c r="J48" s="12"/>
      <c r="K48" s="4"/>
      <c r="L48" s="4"/>
      <c r="M48" s="4"/>
      <c r="N48" s="4"/>
      <c r="O48" s="4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22" t="s">
        <v>50</v>
      </c>
      <c r="B49" s="21"/>
      <c r="C49" s="21"/>
      <c r="D49" s="21"/>
      <c r="E49" s="21"/>
      <c r="F49" s="21"/>
      <c r="G49" s="4"/>
      <c r="H49" s="4"/>
      <c r="I49" s="4"/>
      <c r="J49" s="4"/>
      <c r="K49" s="4"/>
      <c r="L49" s="4"/>
      <c r="M49" s="4"/>
      <c r="N49" s="4"/>
      <c r="O49" s="4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25" t="str">
        <f>HYPERLINK("https://www.aqr.com/","AQR")</f>
        <v>AQR</v>
      </c>
      <c r="B50" s="61"/>
      <c r="C50" s="61"/>
      <c r="D50" s="36" t="str">
        <f>HYPERLINK("https://www.betterment.com/","Betterment")</f>
        <v>Betterment</v>
      </c>
      <c r="E50" s="61"/>
      <c r="F50" s="61"/>
      <c r="G50" s="4"/>
      <c r="H50" s="22" t="s">
        <v>51</v>
      </c>
      <c r="I50" s="21"/>
      <c r="J50" s="21"/>
      <c r="K50" s="21"/>
      <c r="L50" s="21"/>
      <c r="M50" s="21"/>
      <c r="N50" s="4"/>
      <c r="O50" s="4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27" t="str">
        <f>HYPERLINK("https://us.dimensional.com/","Dimensional Fund Advisors")</f>
        <v>Dimensional Fund Advisors</v>
      </c>
      <c r="B51" s="54"/>
      <c r="C51" s="61"/>
      <c r="D51" s="27" t="str">
        <f>HYPERLINK("https://www.wealthfront.com/","Wealthfront")</f>
        <v>Wealthfront</v>
      </c>
      <c r="E51" s="61"/>
      <c r="F51" s="61"/>
      <c r="G51" s="4"/>
      <c r="H51" s="27" t="str">
        <f>HYPERLINK("https://www.claritas.com/mybestsegments/Default.jsp?ID=20&amp;pageName=ZIPCodeLookup","Nielsen Claritas")</f>
        <v>Nielsen Claritas</v>
      </c>
      <c r="I51" s="4"/>
      <c r="J51" s="27" t="str">
        <f>HYPERLINK("https://innovationlabs.harvard.edu/","Harvard Innovation Labs")</f>
        <v>Harvard Innovation Labs</v>
      </c>
      <c r="K51" s="6"/>
      <c r="L51" s="4"/>
      <c r="M51" s="4"/>
      <c r="N51" s="4"/>
      <c r="O51" s="4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25" t="str">
        <f>HYPERLINK("https://www.twosigma.com/","Two Sigma")</f>
        <v>Two Sigma</v>
      </c>
      <c r="B52" s="61"/>
      <c r="C52" s="61"/>
      <c r="D52" s="27" t="str">
        <f>HYPERLINK("https://www.wisdomtree.com/","Wisdom Tree")</f>
        <v>Wisdom Tree</v>
      </c>
      <c r="E52" s="61"/>
      <c r="F52" s="61"/>
      <c r="G52" s="4"/>
      <c r="H52" s="27" t="str">
        <f>HYPERLINK("https://spark.adobe.com/","Adobe Spark")</f>
        <v>Adobe Spark</v>
      </c>
      <c r="I52" s="4"/>
      <c r="J52" s="25" t="str">
        <f>HYPERLINK("https://www.wix.com/","Wix")</f>
        <v>Wix</v>
      </c>
      <c r="K52" s="4"/>
      <c r="L52" s="4"/>
      <c r="M52" s="4"/>
      <c r="N52" s="6"/>
      <c r="O52" s="6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25" t="str">
        <f>HYPERLINK("https://www.citadel.com/","Citadel")</f>
        <v>Citadel</v>
      </c>
      <c r="B53" s="61"/>
      <c r="C53" s="61"/>
      <c r="D53" s="27" t="str">
        <f>HYPERLINK("http://ritholtzwealth.com/","Ritholz Wealth Managment")</f>
        <v>Ritholz Wealth Managment</v>
      </c>
      <c r="E53" s="54"/>
      <c r="F53" s="61"/>
      <c r="G53" s="4"/>
      <c r="H53" s="27" t="str">
        <f>HYPERLINK("https://products.office.com/en-us/business/office-365-enterprise-e3-business-software","Office 365 Enterprise")</f>
        <v>Office 365 Enterprise</v>
      </c>
      <c r="I53" s="6"/>
      <c r="J53" s="4"/>
      <c r="K53" s="4"/>
      <c r="L53" s="4"/>
      <c r="M53" s="4"/>
      <c r="N53" s="4"/>
      <c r="O53" s="4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27" t="str">
        <f>HYPERLINK("http://www.goldmansachs.com/our-thinking/macroeconomic-insights/","Goldman Sachs Insight")</f>
        <v>Goldman Sachs Insight</v>
      </c>
      <c r="B54" s="54"/>
      <c r="C54" s="61"/>
      <c r="D54" s="27" t="str">
        <f>HYPERLINK("http://carbonbeacham.com/","Carbon Beach Asset Management")</f>
        <v>Carbon Beach Asset Management</v>
      </c>
      <c r="E54" s="54"/>
      <c r="F54" s="54"/>
      <c r="G54" s="4"/>
      <c r="H54" s="4"/>
      <c r="I54" s="4"/>
      <c r="J54" s="4"/>
      <c r="K54" s="4"/>
      <c r="L54" s="4"/>
      <c r="M54" s="4"/>
      <c r="N54" s="4"/>
      <c r="O54" s="4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3" t="s">
        <v>52</v>
      </c>
      <c r="B55" s="61"/>
      <c r="C55" s="61"/>
      <c r="D55" s="53" t="s">
        <v>53</v>
      </c>
      <c r="E55" s="61"/>
      <c r="F55" s="61"/>
      <c r="G55" s="4"/>
      <c r="H55" s="4"/>
      <c r="I55" s="4"/>
      <c r="J55" s="4"/>
      <c r="K55" s="4"/>
      <c r="L55" s="4"/>
      <c r="M55" s="4"/>
      <c r="N55" s="4"/>
      <c r="O55" s="4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3" t="s">
        <v>54</v>
      </c>
      <c r="B56" s="61"/>
      <c r="C56" s="61"/>
      <c r="D56" s="53" t="s">
        <v>55</v>
      </c>
      <c r="E56" s="54"/>
      <c r="F56" s="61"/>
      <c r="G56" s="4"/>
      <c r="H56" s="4"/>
      <c r="I56" s="4"/>
      <c r="J56" s="4"/>
      <c r="K56" s="4"/>
      <c r="L56" s="4"/>
      <c r="M56" s="4"/>
      <c r="N56" s="4"/>
      <c r="O56" s="4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3" t="s">
        <v>56</v>
      </c>
      <c r="B57" s="61"/>
      <c r="C57" s="61"/>
      <c r="D57" s="53" t="s">
        <v>57</v>
      </c>
      <c r="E57" s="61"/>
      <c r="F57" s="61"/>
      <c r="G57" s="4"/>
      <c r="H57" s="4"/>
      <c r="I57" s="4"/>
      <c r="J57" s="4"/>
      <c r="K57" s="4"/>
      <c r="L57" s="4"/>
      <c r="M57" s="4"/>
      <c r="N57" s="4"/>
      <c r="O57" s="4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62" t="str">
        <f>HYPERLINK("https://a16z.com/","Andreessen Horowitz")</f>
        <v>Andreessen Horowitz</v>
      </c>
      <c r="B58" s="63"/>
      <c r="C58" s="63"/>
      <c r="D58" s="64" t="str">
        <f>HYPERLINK("https://www.bvp.com/","Bessemer")</f>
        <v>Bessemer</v>
      </c>
      <c r="E58" s="63"/>
      <c r="F58" s="63"/>
      <c r="G58" s="4"/>
      <c r="H58" s="4"/>
      <c r="I58" s="4"/>
      <c r="J58" s="4"/>
      <c r="K58" s="4"/>
      <c r="L58" s="4"/>
      <c r="M58" s="4"/>
      <c r="N58" s="4"/>
      <c r="O58" s="4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25" t="str">
        <f>HYPERLINK("https://www.khoslaventures.com/","Khosla")</f>
        <v>Khosla</v>
      </c>
      <c r="B59" s="61"/>
      <c r="C59" s="61"/>
      <c r="D59" s="27" t="str">
        <f>HYPERLINK("https://www.socialleverage.com/","Social Leverage")</f>
        <v>Social Leverage</v>
      </c>
      <c r="E59" s="61"/>
      <c r="F59" s="61"/>
      <c r="G59" s="4"/>
      <c r="H59" s="4"/>
      <c r="I59" s="4"/>
      <c r="J59" s="4"/>
      <c r="K59" s="4"/>
      <c r="L59" s="4"/>
      <c r="M59" s="4"/>
      <c r="N59" s="4"/>
      <c r="O59" s="4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65" t="s">
        <v>58</v>
      </c>
      <c r="B60" s="61"/>
      <c r="C60" s="61"/>
      <c r="D60" s="54"/>
      <c r="E60" s="61"/>
      <c r="F60" s="61"/>
      <c r="G60" s="4"/>
      <c r="H60" s="4"/>
      <c r="I60" s="4"/>
      <c r="J60" s="4"/>
      <c r="K60" s="4"/>
      <c r="L60" s="4"/>
      <c r="M60" s="4"/>
      <c r="N60" s="4"/>
      <c r="O60" s="4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65" t="s">
        <v>59</v>
      </c>
      <c r="B61" s="61"/>
      <c r="C61" s="61"/>
      <c r="D61" s="54"/>
      <c r="E61" s="61"/>
      <c r="F61" s="61"/>
      <c r="G61" s="4"/>
      <c r="H61" s="4"/>
      <c r="I61" s="4"/>
      <c r="J61" s="4"/>
      <c r="K61" s="4"/>
      <c r="L61" s="4"/>
      <c r="M61" s="4"/>
      <c r="N61" s="4"/>
      <c r="O61" s="4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65" t="s">
        <v>60</v>
      </c>
      <c r="B62" s="61"/>
      <c r="C62" s="61"/>
      <c r="D62" s="54"/>
      <c r="E62" s="61"/>
      <c r="F62" s="61"/>
      <c r="G62" s="4"/>
      <c r="H62" s="4"/>
      <c r="I62" s="4"/>
      <c r="J62" s="4"/>
      <c r="K62" s="4"/>
      <c r="L62" s="4"/>
      <c r="M62" s="4"/>
      <c r="N62" s="4"/>
      <c r="O62" s="4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61"/>
      <c r="B63" s="61"/>
      <c r="C63" s="61"/>
      <c r="D63" s="54"/>
      <c r="E63" s="61"/>
      <c r="F63" s="61"/>
      <c r="G63" s="4"/>
      <c r="H63" s="4"/>
      <c r="I63" s="4"/>
      <c r="J63" s="4"/>
      <c r="K63" s="4"/>
      <c r="L63" s="4"/>
      <c r="M63" s="4"/>
      <c r="N63" s="4"/>
      <c r="O63" s="4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66" t="s">
        <v>61</v>
      </c>
      <c r="B64" s="21"/>
      <c r="C64" s="21"/>
      <c r="D64" s="21"/>
      <c r="E64" s="21"/>
      <c r="F64" s="19"/>
      <c r="G64" s="4"/>
      <c r="H64" s="4"/>
      <c r="I64" s="4"/>
      <c r="J64" s="4"/>
      <c r="K64" s="4"/>
      <c r="L64" s="4"/>
      <c r="M64" s="4"/>
      <c r="N64" s="4"/>
      <c r="O64" s="4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27" t="str">
        <f>HYPERLINK("https://www.wiley.com/WileyCDA/Section/id-406837.html","Wiley Finance")</f>
        <v>Wiley Finance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6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67" t="str">
        <f>HYPERLINK("https://alphaarchitect.com/","Dr. Wes Gray")</f>
        <v>Dr. Wes Gray</v>
      </c>
      <c r="B67" s="68"/>
      <c r="C67" s="4"/>
      <c r="D67" s="67" t="str">
        <f>HYPERLINK("http://carbonbeacham.com/about-us/","Tobias Carlisle")</f>
        <v>Tobias Carlisle</v>
      </c>
      <c r="E67" s="68"/>
      <c r="F67" s="4"/>
      <c r="G67" s="4"/>
      <c r="H67" s="4"/>
      <c r="I67" s="4"/>
      <c r="J67" s="4"/>
      <c r="K67" s="4"/>
      <c r="L67" s="4"/>
      <c r="M67" s="4"/>
      <c r="N67" s="4"/>
      <c r="O67" s="4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69" t="str">
        <f>HYPERLINK("https://www.amazon.com/DIY-Financial-Advisor-Solution-Protect/dp/111907150X","DIY Financial Advisor")</f>
        <v>DIY Financial Advisor</v>
      </c>
      <c r="B68" s="48"/>
      <c r="C68" s="4"/>
      <c r="D68" s="36" t="str">
        <f>HYPERLINK("https://www.amazon.com/Deep-Value-Investors-Contrarians-Corporations/dp/1118747968","Deep Value")</f>
        <v>Deep Value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69" t="str">
        <f>HYPERLINK("https://www.amazon.com/Quantitative-Momentum-Practitioners-Momentum-Based-Selection/dp/111923719X","Quantitative Momentum")</f>
        <v>Quantitative Momentum</v>
      </c>
      <c r="B69" s="48"/>
      <c r="C69" s="4"/>
      <c r="D69" s="27" t="str">
        <f>HYPERLINK("https://www.amazon.com/Acquirers-Multiple-Billionaire-Contrarians-Market-ebook/dp/B076GS7WF9","The Acquirer's Multiple")</f>
        <v>The Acquirer's Multiple</v>
      </c>
      <c r="E69" s="6"/>
      <c r="F69" s="4"/>
      <c r="G69" s="4"/>
      <c r="H69" s="4"/>
      <c r="I69" s="4"/>
      <c r="J69" s="4"/>
      <c r="K69" s="4"/>
      <c r="L69" s="4"/>
      <c r="M69" s="4"/>
      <c r="N69" s="4"/>
      <c r="O69" s="4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69" t="str">
        <f>HYPERLINK("https://www.amazon.com/Quantitative-Value-Web-Site-Practitioners/dp/1118328078","Quantitative Value")</f>
        <v>Quantitative Value</v>
      </c>
      <c r="B70" s="1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67" t="str">
        <f>HYPERLINK("http://www.princeton.edu/~kahneman/","Daniel Kahneman")</f>
        <v>Daniel Kahneman</v>
      </c>
      <c r="B72" s="68"/>
      <c r="C72" s="4"/>
      <c r="D72" s="67" t="str">
        <f>HYPERLINK("http://www.fooledbyrandomness.com/","Nassim Taleb")</f>
        <v>Nassim Taleb</v>
      </c>
      <c r="E72" s="68"/>
      <c r="F72" s="4"/>
      <c r="G72" s="4"/>
      <c r="H72" s="4"/>
      <c r="I72" s="4"/>
      <c r="J72" s="4"/>
      <c r="K72" s="4"/>
      <c r="L72" s="4"/>
      <c r="M72" s="4"/>
      <c r="N72" s="4"/>
      <c r="O72" s="4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27" t="str">
        <f>HYPERLINK("https://www.amazon.com/Thinking-Fast-Slow-Daniel-Kahneman/dp/0374533555","Thinking Fast and Slow")</f>
        <v>Thinking Fast and Slow</v>
      </c>
      <c r="B73" s="6"/>
      <c r="C73" s="4"/>
      <c r="D73" s="27" t="str">
        <f>HYPERLINK("https://www.amazon.com/Fooled-Randomness-Hidden-Markets-Incerto/dp/0812975219","Fooled by Randomness")</f>
        <v>Fooled by Randomness</v>
      </c>
      <c r="E73" s="6"/>
      <c r="F73" s="4"/>
      <c r="G73" s="4"/>
      <c r="H73" s="4"/>
      <c r="I73" s="4"/>
      <c r="J73" s="4"/>
      <c r="K73" s="4"/>
      <c r="L73" s="4"/>
      <c r="M73" s="4"/>
      <c r="N73" s="4"/>
      <c r="O73" s="4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27" t="str">
        <f>HYPERLINK("https://www.amazon.com/Heuristics-Biases-Psychology-Intuitive-Judgment/dp/0521796792","Heuristics and Biases")</f>
        <v>Heuristics and Biases</v>
      </c>
      <c r="B74" s="6"/>
      <c r="C74" s="4"/>
      <c r="D74" s="27" t="str">
        <f>HYPERLINK("https://www.amazon.com/Black-Swan-Improbable-Robustness-Fragility/dp/081297381X","The Black Swan")</f>
        <v>The Black Swan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4"/>
      <c r="B75" s="4"/>
      <c r="C75" s="4"/>
      <c r="D75" s="27" t="str">
        <f>HYPERLINK("https://www.amazon.com/Antifragile-Things-That-Disorder-Incerto/dp/0812979680","Antifragile")</f>
        <v>Antifragile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4"/>
      <c r="B76" s="4"/>
      <c r="C76" s="4"/>
      <c r="D76" s="27" t="str">
        <f>HYPERLINK("https://www.amazon.com/Skin-Game-Hidden-Asymmetries-Daily/dp/042528462X","Skin in the Game")</f>
        <v>Skin in the Game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4"/>
      <c r="B77" s="4"/>
      <c r="C77" s="4"/>
      <c r="D77" s="34" t="s">
        <v>62</v>
      </c>
      <c r="E77" s="6"/>
      <c r="F77" s="6"/>
      <c r="G77" s="6"/>
      <c r="H77" s="6"/>
      <c r="I77" s="4"/>
      <c r="J77" s="4"/>
      <c r="K77" s="4"/>
      <c r="L77" s="4"/>
      <c r="M77" s="4"/>
      <c r="N77" s="4"/>
      <c r="O77" s="4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42" t="s">
        <v>63</v>
      </c>
      <c r="B78" s="6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69" t="str">
        <f>HYPERLINK("https://www.amazon.com/Complete-TurtleTrader-Investors-Overnight-Millionaires/dp/0061241717","The Complete Turtle Trader")</f>
        <v>The Complete Turtle Trader</v>
      </c>
      <c r="B79" s="48"/>
      <c r="C79" s="14"/>
      <c r="D79" s="4"/>
      <c r="E79" s="49" t="s">
        <v>64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34" t="str">
        <f>HYPERLINK("https://www.amazon.com/Trend-Following-5th-Fortune-Markets/dp/1119371872/ref=dp_ob_title_bk","Trend Following")</f>
        <v>Trend Following</v>
      </c>
      <c r="B80" s="4"/>
      <c r="C80" s="4"/>
      <c r="D80" s="4"/>
      <c r="E80" s="49" t="s">
        <v>64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27" t="str">
        <f>HYPERLINK("https://www.amazon.com/Reminiscences-Stock-Operator-Edwin-Lef%C3%A8vre/dp/0471770884","Reminiscences of a Stock Operator")</f>
        <v>Reminiscences of a Stock Operator</v>
      </c>
      <c r="B81" s="6"/>
      <c r="C81" s="6"/>
      <c r="D81" s="4"/>
      <c r="E81" s="49" t="s">
        <v>65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15" t="s">
        <v>66</v>
      </c>
      <c r="B82" s="39"/>
      <c r="C82" s="39"/>
      <c r="D82" s="16"/>
      <c r="E82" s="49" t="s">
        <v>67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34" t="str">
        <f>HYPERLINK("https://www.amazon.com/Complete-Guide-Futures-Markets-Fundamental/dp/0471893765","A Complete Guide to Futures Markets")</f>
        <v>A Complete Guide to Futures Markets</v>
      </c>
      <c r="B83" s="6"/>
      <c r="C83" s="6"/>
      <c r="D83" s="4"/>
      <c r="E83" s="49" t="s">
        <v>68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27" t="str">
        <f>HYPERLINK("https://www.amazon.com/Microsoft-Excel-Analysis-Business-Modeling/dp/1509304215","Official Microsoft Excel 2016")</f>
        <v>Official Microsoft Excel 2016</v>
      </c>
      <c r="B84" s="6"/>
      <c r="C84" s="6"/>
      <c r="D84" s="4"/>
      <c r="E84" s="49"/>
      <c r="F84" s="4"/>
      <c r="G84" s="4"/>
      <c r="H84" s="4"/>
      <c r="I84" s="4"/>
      <c r="J84" s="4"/>
      <c r="K84" s="4"/>
      <c r="L84" s="4"/>
      <c r="M84" s="4"/>
      <c r="N84" s="4"/>
      <c r="O84" s="4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13" t="s">
        <v>69</v>
      </c>
      <c r="B85" s="48"/>
      <c r="C85" s="14"/>
      <c r="D85" s="4"/>
      <c r="E85" s="49" t="s">
        <v>68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27" t="str">
        <f>HYPERLINK("http://fac.ksu.edu.sa/sites/default/files/howard_anton_chris_rorres_elementary_linear_algebra_applications_version_11th_edition.pdf","Matrix Theory Textbook PDF")</f>
        <v>Matrix Theory Textbook PDF</v>
      </c>
      <c r="B86" s="6"/>
      <c r="C86" s="4"/>
      <c r="D86" s="4"/>
      <c r="E86" s="49"/>
      <c r="F86" s="4"/>
      <c r="G86" s="4"/>
      <c r="H86" s="4"/>
      <c r="I86" s="4"/>
      <c r="J86" s="4"/>
      <c r="K86" s="4"/>
      <c r="L86" s="4"/>
      <c r="M86" s="4"/>
      <c r="N86" s="4"/>
      <c r="O86" s="4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27" t="str">
        <f>HYPERLINK("https://www.amazon.com/Principles-Financial-Engineering-Academic-Advanced/dp/0123735742","The Principles of Financial Engineering")</f>
        <v>The Principles of Financial Engineering</v>
      </c>
      <c r="B87" s="6"/>
      <c r="C87" s="6"/>
      <c r="D87" s="4"/>
      <c r="E87" s="49" t="s">
        <v>70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27" t="str">
        <f>HYPERLINK("https://www.amazon.com/Stochastic-Calculus-Finance-Binomial-Springer/dp/0387249680","Stochastic Calculus for Finance 1")</f>
        <v>Stochastic Calculus for Finance 1</v>
      </c>
      <c r="B88" s="6"/>
      <c r="C88" s="6"/>
      <c r="D88" s="4"/>
      <c r="E88" s="49" t="s">
        <v>71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27" t="str">
        <f>HYPERLINK("https://www.amazon.com/Stochastic-Calculus-Finance-II-Continuous-Time/dp/144192311X","Stochastic Calculus for Finance 2")</f>
        <v>Stochastic Calculus for Finance 2</v>
      </c>
      <c r="B89" s="6"/>
      <c r="C89" s="6"/>
      <c r="D89" s="4"/>
      <c r="E89" s="49" t="s">
        <v>71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27" t="str">
        <f>HYPERLINK("https://www.amazon.com/Den-Thieves-James-B-Stewart/dp/067179227X","Den of Thieves ")</f>
        <v>Den of Thieves </v>
      </c>
      <c r="B90" s="4"/>
      <c r="C90" s="4"/>
      <c r="D90" s="4"/>
      <c r="E90" s="49"/>
      <c r="F90" s="4"/>
      <c r="G90" s="4"/>
      <c r="H90" s="4"/>
      <c r="I90" s="4"/>
      <c r="J90" s="4"/>
      <c r="K90" s="4"/>
      <c r="L90" s="4"/>
      <c r="M90" s="4"/>
      <c r="N90" s="4"/>
      <c r="O90" s="4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46" t="str">
        <f>HYPERLINK("https://www.amazon.com/Python-Finance-Analyze-Financial-Data/dp/1491945281","Python for Finance")</f>
        <v>Python for Finance</v>
      </c>
      <c r="B91" s="16"/>
      <c r="C91" s="4"/>
      <c r="D91" s="4"/>
      <c r="E91" s="49" t="s">
        <v>72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36" t="str">
        <f>HYPERLINK("http://shop.oreilly.com/product/9780596809164.do","R Cookbook")</f>
        <v>R Cookbook</v>
      </c>
      <c r="B92" s="4"/>
      <c r="C92" s="4"/>
      <c r="D92" s="4"/>
      <c r="E92" s="49" t="s">
        <v>73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27" t="str">
        <f>HYPERLINK("https://www.amazon.com/Introduction-Financial-Engineers-Object-Oriented-Approach/dp/0470015381","Intro to C++ for Financial Engineers ")</f>
        <v>Intro to C++ for Financial Engineers </v>
      </c>
      <c r="B93" s="6"/>
      <c r="C93" s="6"/>
      <c r="D93" s="4"/>
      <c r="E93" s="49" t="s">
        <v>74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27" t="str">
        <f>HYPERLINK("https://www.amazon.com/Thinking-Bets-Making-Smarter-Decisions/dp/0735216355","Thinking in Bets ")</f>
        <v>Thinking in Bets </v>
      </c>
      <c r="B94" s="4"/>
      <c r="C94" s="4"/>
      <c r="D94" s="4"/>
      <c r="E94" s="50" t="s">
        <v>75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27" t="str">
        <f>HYPERLINK("https://www.amazon.com/Predators-Ball-Burnham-JunkBond-Raiders/dp/0140120904","The Predators Ball")</f>
        <v>The Predators Ball</v>
      </c>
      <c r="B95" s="4"/>
      <c r="C95" s="4"/>
      <c r="D95" s="4"/>
      <c r="E95" s="49"/>
      <c r="F95" s="4"/>
      <c r="G95" s="4"/>
      <c r="H95" s="4"/>
      <c r="I95" s="4"/>
      <c r="J95" s="4"/>
      <c r="K95" s="4"/>
      <c r="L95" s="4"/>
      <c r="M95" s="4"/>
      <c r="N95" s="4"/>
      <c r="O95" s="4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27" t="str">
        <f>HYPERLINK("https://www.amazon.com/Intelligent-Investor-Definitive-Investing-Essentials/dp/0060555661","The Intelligent Investor")</f>
        <v>The Intelligent Investor</v>
      </c>
      <c r="B96" s="6"/>
      <c r="C96" s="4"/>
      <c r="D96" s="4"/>
      <c r="E96" s="49"/>
      <c r="F96" s="4"/>
      <c r="G96" s="4"/>
      <c r="H96" s="4"/>
      <c r="I96" s="4"/>
      <c r="J96" s="4"/>
      <c r="K96" s="4"/>
      <c r="L96" s="4"/>
      <c r="M96" s="4"/>
      <c r="N96" s="4"/>
      <c r="O96" s="4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70" t="s">
        <v>76</v>
      </c>
      <c r="B97" s="14"/>
      <c r="C97" s="4"/>
      <c r="D97" s="4"/>
      <c r="E97" s="49" t="s">
        <v>77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27" t="str">
        <f>HYPERLINK("https://www.amazon.com/Adaptive-Markets-Financial-Evolution-Thought/dp/0691135142","Adaptive Markets")</f>
        <v>Adaptive Markets</v>
      </c>
      <c r="B98" s="4"/>
      <c r="C98" s="4"/>
      <c r="D98" s="4"/>
      <c r="E98" s="71" t="str">
        <f>HYPERLINK("http://mitsloan.mit.edu/faculty-and-research/faculty-directory/detail/?id=41207","Dr. Andrew Lo")</f>
        <v>Dr. Andrew Lo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70" t="s">
        <v>78</v>
      </c>
      <c r="B99" s="14"/>
      <c r="C99" s="4"/>
      <c r="D99" s="4"/>
      <c r="E99" s="49" t="s">
        <v>79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46" t="str">
        <f>HYPERLINK("https://www.amazon.com/Fama-Portfolio-Selected-Papers-Eugene/dp/022642684X","The Fama Portfolio")</f>
        <v>The Fama Portfolio</v>
      </c>
      <c r="B100" s="16"/>
      <c r="C100" s="4"/>
      <c r="D100" s="4"/>
      <c r="E100" s="49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46" t="str">
        <f>HYPERLINK("https://onlinelibrary.wiley.com/journal/14679965","Mathematical Finance")</f>
        <v>Mathematical Finance</v>
      </c>
      <c r="B101" s="39"/>
      <c r="C101" s="4"/>
      <c r="D101" s="4"/>
      <c r="E101" s="49" t="s">
        <v>80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25" t="str">
        <f>HYPERLINK("https://www.amazon.com/Nudge-Improving-Decisions-Health-Happiness/dp/014311526X","Nudge")</f>
        <v>Nudge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27" t="str">
        <f>HYPERLINK("https://www.amazon.com/Random-Walk-Down-Wall-Street/dp/0393330338","A Random Walk Down Wall Street")</f>
        <v>A Random Walk Down Wall Street</v>
      </c>
      <c r="B103" s="6"/>
      <c r="C103" s="6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27" t="str">
        <f>HYPERLINK("https://www.amazon.com/Commodities-Every-Portfolio-Long-Term-Commodity/dp/0470112506","Commodities for Every Portfolio")</f>
        <v>Commodities for Every Portfolio</v>
      </c>
      <c r="B104" s="6"/>
      <c r="C104" s="6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46" t="str">
        <f>HYPERLINK("https://zodml.org/sites/default/files/Financial_Engineering_and_Computation_Principles%2C_Mathematics%2C_and_Algorithms.pdf","Financial Engineering and Computation")</f>
        <v>Financial Engineering and Computation</v>
      </c>
      <c r="B105" s="39"/>
      <c r="C105" s="39"/>
      <c r="D105" s="16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34" t="str">
        <f>HYPERLINK("http://algo.inria.fr/flajolet/Publications/book.pdf","Analytic Combinatorics")</f>
        <v>Analytic Combinatorics</v>
      </c>
      <c r="B106" s="6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72" t="str">
        <f>HYPERLINK("https://github.com/weiyialanchen/probability/blob/master/Shreve%20Stochastic%20Calculus%20for%20Finance%20I%20%26%20II%20(2004).pdf","Stoch.Calc 1 &amp; 2 PDF")</f>
        <v>Stoch.Calc 1 &amp; 2 PDF</v>
      </c>
      <c r="B107" s="16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34" t="str">
        <f>HYPERLINK("https://www.amazon.com/Web-Scraping-Python-Collecting-Modern/dp/1491910291","Web Scraping with Python")</f>
        <v>Web Scraping with Python</v>
      </c>
      <c r="B108" s="6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34" t="str">
        <f>HYPERLINK("https://www.amazon.com/Introduction-Machine-Learning-Python-Scientists/dp/1449369413","Introduction to Machine Learning With Python")</f>
        <v>Introduction to Machine Learning With Python</v>
      </c>
      <c r="B109" s="6"/>
      <c r="C109" s="6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34" t="str">
        <f>HYPERLINK("https://www.amazon.com/Advances-Financial-Machine-Learning-Marcos-ebook/dp/B079KLDW21","Advances in Financial Machine Learning")</f>
        <v>Advances in Financial Machine Learning</v>
      </c>
      <c r="B110" s="6"/>
      <c r="C110" s="6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34" t="str">
        <f>HYPERLINK("https://www.amazon.com/Natural-Language-Processing-Python-Analyzing/dp/0596516495","Natural Language Processing with Python")</f>
        <v>Natural Language Processing with Python</v>
      </c>
      <c r="B111" s="6"/>
      <c r="C111" s="6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73" t="str">
        <f>HYPERLINK("https://www.amazon.com/Fusion-Analysis-Fundamental-Technical-Risk-Adjusted/dp/0071629386","Fusion Analysis")</f>
        <v>Fusion Analysis</v>
      </c>
      <c r="B112" s="6"/>
      <c r="C112" s="7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34" t="s">
        <v>81</v>
      </c>
      <c r="B113" s="6"/>
      <c r="C113" s="6"/>
      <c r="D113" s="6"/>
      <c r="E113" s="6"/>
      <c r="F113" s="6"/>
      <c r="G113" s="4"/>
      <c r="H113" s="4"/>
      <c r="I113" s="4"/>
      <c r="J113" s="4"/>
      <c r="K113" s="4"/>
      <c r="L113" s="4"/>
      <c r="M113" s="4"/>
      <c r="N113" s="4"/>
      <c r="O113" s="4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34" t="s">
        <v>82</v>
      </c>
      <c r="B114" s="6"/>
      <c r="C114" s="6"/>
      <c r="D114" s="6"/>
      <c r="E114" s="6"/>
      <c r="F114" s="6"/>
      <c r="G114" s="6"/>
      <c r="H114" s="4"/>
      <c r="I114" s="4"/>
      <c r="J114" s="4"/>
      <c r="K114" s="4"/>
      <c r="L114" s="4"/>
      <c r="M114" s="4"/>
      <c r="N114" s="4"/>
      <c r="O114" s="4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34" t="s">
        <v>83</v>
      </c>
      <c r="B115" s="6"/>
      <c r="C115" s="6"/>
      <c r="D115" s="6"/>
      <c r="E115" s="6"/>
      <c r="F115" s="6"/>
      <c r="G115" s="4"/>
      <c r="H115" s="4"/>
      <c r="I115" s="4"/>
      <c r="J115" s="4"/>
      <c r="K115" s="4"/>
      <c r="L115" s="4"/>
      <c r="M115" s="4"/>
      <c r="N115" s="4"/>
      <c r="O115" s="4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34" t="s">
        <v>84</v>
      </c>
      <c r="B116" s="6"/>
      <c r="C116" s="6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</sheetData>
  <mergeCells count="4">
    <mergeCell ref="A43:F43"/>
    <mergeCell ref="A44:F44"/>
    <mergeCell ref="A45:F45"/>
    <mergeCell ref="A46:F46"/>
  </mergeCells>
  <hyperlinks>
    <hyperlink r:id="rId2" ref="L11"/>
    <hyperlink r:id="rId3" ref="L15"/>
    <hyperlink r:id="rId4" ref="D23"/>
    <hyperlink r:id="rId5" ref="H37"/>
    <hyperlink r:id="rId6" ref="A43"/>
    <hyperlink r:id="rId7" ref="A44"/>
    <hyperlink r:id="rId8" ref="A45"/>
    <hyperlink r:id="rId9" ref="A46"/>
    <hyperlink r:id="rId10" ref="A47"/>
    <hyperlink r:id="rId11" ref="D77"/>
    <hyperlink r:id="rId12" ref="A113"/>
    <hyperlink r:id="rId13" ref="A114"/>
    <hyperlink r:id="rId14" ref="A115"/>
    <hyperlink r:id="rId15" ref="A116"/>
  </hyperlinks>
  <drawing r:id="rId16"/>
  <legacyDrawing r:id="rId17"/>
</worksheet>
</file>