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ANSHENBIN\Desktop\EPGP\分装制度文件\"/>
    </mc:Choice>
  </mc:AlternateContent>
  <bookViews>
    <workbookView xWindow="0" yWindow="0" windowWidth="10725" windowHeight="9315" activeTab="5"/>
  </bookViews>
  <sheets>
    <sheet name="分裝流程圖" sheetId="1" r:id="rId1"/>
    <sheet name="分裝規則說明" sheetId="2" r:id="rId2"/>
    <sheet name="MC黑龍裝備分配表" sheetId="3" r:id="rId3"/>
    <sheet name="MC黑龍裝備GP表" sheetId="4" r:id="rId4"/>
    <sheet name="GP計算公式" sheetId="5" r:id="rId5"/>
    <sheet name="Change Log" sheetId="6" r:id="rId6"/>
  </sheets>
  <calcPr calcId="162913"/>
</workbook>
</file>

<file path=xl/calcChain.xml><?xml version="1.0" encoding="utf-8"?>
<calcChain xmlns="http://schemas.openxmlformats.org/spreadsheetml/2006/main">
  <c r="G40" i="5" l="1"/>
  <c r="F40" i="5"/>
  <c r="E40" i="5"/>
  <c r="D40" i="5"/>
  <c r="C40" i="5"/>
  <c r="G39" i="5"/>
  <c r="F39" i="5"/>
  <c r="E39" i="5"/>
  <c r="D39" i="5"/>
  <c r="C39" i="5"/>
  <c r="R38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R28" i="5"/>
  <c r="Q28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C84" i="3"/>
  <c r="C83" i="3"/>
  <c r="C82" i="3"/>
  <c r="C81" i="3"/>
  <c r="C80" i="3"/>
  <c r="C79" i="3"/>
  <c r="C78" i="3"/>
  <c r="C77" i="3"/>
  <c r="C76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</calcChain>
</file>

<file path=xl/comments1.xml><?xml version="1.0" encoding="utf-8"?>
<comments xmlns="http://schemas.openxmlformats.org/spreadsheetml/2006/main">
  <authors>
    <author/>
  </authors>
  <commentList>
    <comment ref="E14" authorId="0" shapeId="0">
      <text>
        <r>
          <rPr>
            <sz val="11"/>
            <color theme="1"/>
            <rFont val="Arial"/>
            <family val="2"/>
          </rPr>
          <t>T1腿</t>
        </r>
      </text>
    </comment>
    <comment ref="D22" authorId="0" shapeId="0">
      <text>
        <r>
          <rPr>
            <sz val="11"/>
            <color theme="1"/>
            <rFont val="Arial"/>
            <family val="2"/>
          </rPr>
          <t>黑龍頭</t>
        </r>
      </text>
    </comment>
    <comment ref="D23" authorId="0" shapeId="0">
      <text>
        <r>
          <rPr>
            <sz val="11"/>
            <color theme="1"/>
            <rFont val="Arial"/>
            <family val="2"/>
          </rPr>
          <t>神眼，葉子，肌腱</t>
        </r>
      </text>
    </comment>
    <comment ref="E24" authorId="0" shapeId="0">
      <text>
        <r>
          <rPr>
            <sz val="11"/>
            <color theme="1"/>
            <rFont val="Arial"/>
            <family val="2"/>
          </rPr>
          <t>T2腿</t>
        </r>
      </text>
    </comment>
    <comment ref="Q28" authorId="0" shapeId="0">
      <text>
        <r>
          <rPr>
            <sz val="11"/>
            <color theme="1"/>
            <rFont val="Arial"/>
            <family val="2"/>
          </rPr>
          <t>作者:
風劍</t>
        </r>
      </text>
    </comment>
    <comment ref="R28" authorId="0" shapeId="0">
      <text>
        <r>
          <rPr>
            <sz val="11"/>
            <color theme="1"/>
            <rFont val="Arial"/>
            <family val="2"/>
          </rPr>
          <t>作者:
橙錘</t>
        </r>
      </text>
    </comment>
    <comment ref="R38" authorId="0" shapeId="0">
      <text>
        <r>
          <rPr>
            <sz val="11"/>
            <color theme="1"/>
            <rFont val="Arial"/>
            <family val="2"/>
          </rPr>
          <t>作者:
橙杖</t>
        </r>
      </text>
    </comment>
  </commentList>
</comments>
</file>

<file path=xl/sharedStrings.xml><?xml version="1.0" encoding="utf-8"?>
<sst xmlns="http://schemas.openxmlformats.org/spreadsheetml/2006/main" count="1010" uniqueCount="241">
  <si>
    <t>說明：具體"需求/貪婪/放棄"的含義見表格[分裝規則說明]內開始部分的說明。</t>
  </si>
  <si>
    <t>裝備分配流程圖：</t>
  </si>
  <si>
    <t>裝備分配表說明：（和表格:[MC黑龍裝備分配表]配合看）</t>
  </si>
  <si>
    <t>裝備分配表</t>
  </si>
  <si>
    <t>拾取規則</t>
  </si>
  <si>
    <t>MC</t>
  </si>
  <si>
    <t>需求：需求的裝備算100%GP值。主動打"1"視爲“主動需求”，強X視爲“被動需求”。多人”主動需求“時優先級判定順序：1.Min_EP 2.優先級 3.PR大小</t>
  </si>
  <si>
    <t>物品名稱</t>
  </si>
  <si>
    <t>Min_PE</t>
  </si>
  <si>
    <t>貪婪：貪婪的裝備算10%GP值。貪婪沒有任何優先權區分，多人採用Roll點決定。（10%計算後結果向下取整，最小GP值爲1）</t>
  </si>
  <si>
    <t>放棄：表示可以不需求/不貪婪此裝備。放棄Raid天賦工作裝，需要職業隊長確認。</t>
  </si>
  <si>
    <t>防戰</t>
  </si>
  <si>
    <t>狂暴戰</t>
  </si>
  <si>
    <t>盜賊</t>
  </si>
  <si>
    <t>物品等級
ilvl</t>
  </si>
  <si>
    <t>GP值</t>
  </si>
  <si>
    <t>獵人</t>
  </si>
  <si>
    <t>分裝順序：1.主動需求 2.被動需求 3.貪婪</t>
  </si>
  <si>
    <t>白牧</t>
  </si>
  <si>
    <t>優先級</t>
  </si>
  <si>
    <r>
      <t>跨職業多天賦同時“</t>
    </r>
    <r>
      <rPr>
        <b/>
        <sz val="11"/>
        <rFont val="Arial"/>
        <family val="2"/>
      </rPr>
      <t>主動需求</t>
    </r>
    <r>
      <rPr>
        <sz val="11"/>
        <color theme="1"/>
        <rFont val="Arial"/>
        <family val="2"/>
      </rPr>
      <t>”下的分裝優先級。優先級數值</t>
    </r>
    <r>
      <rPr>
        <b/>
        <sz val="11"/>
        <rFont val="Arial"/>
        <family val="2"/>
      </rPr>
      <t>越小</t>
    </r>
    <r>
      <rPr>
        <sz val="11"/>
        <color theme="1"/>
        <rFont val="Arial"/>
        <family val="2"/>
      </rPr>
      <t>，裝備獲取的優先權</t>
    </r>
    <r>
      <rPr>
        <b/>
        <sz val="11"/>
        <rFont val="Arial"/>
        <family val="2"/>
      </rPr>
      <t>越高</t>
    </r>
    <r>
      <rPr>
        <sz val="11"/>
        <color theme="1"/>
        <rFont val="Arial"/>
        <family val="2"/>
      </rPr>
      <t>。</t>
    </r>
    <r>
      <rPr>
        <b/>
        <sz val="11"/>
        <rFont val="Arial"/>
        <family val="2"/>
      </rPr>
      <t>0</t>
    </r>
    <r>
      <rPr>
        <sz val="11"/>
        <color theme="1"/>
        <rFont val="Arial"/>
        <family val="2"/>
      </rPr>
      <t>爲</t>
    </r>
    <r>
      <rPr>
        <b/>
        <sz val="11"/>
        <rFont val="Arial"/>
        <family val="2"/>
      </rPr>
      <t>最高</t>
    </r>
    <r>
      <rPr>
        <sz val="11"/>
        <color theme="1"/>
        <rFont val="Arial"/>
        <family val="2"/>
      </rPr>
      <t>優先級，</t>
    </r>
    <r>
      <rPr>
        <b/>
        <sz val="11"/>
        <rFont val="Arial"/>
        <family val="2"/>
      </rPr>
      <t>不設置</t>
    </r>
    <r>
      <rPr>
        <sz val="11"/>
        <color theme="1"/>
        <rFont val="Arial"/>
        <family val="2"/>
      </rPr>
      <t>表示</t>
    </r>
    <r>
      <rPr>
        <b/>
        <sz val="11"/>
        <rFont val="Arial"/>
        <family val="2"/>
      </rPr>
      <t>最低</t>
    </r>
    <r>
      <rPr>
        <sz val="11"/>
        <color theme="1"/>
        <rFont val="Arial"/>
        <family val="2"/>
      </rPr>
      <t>優先級。同一優先級的團員，由PR值高低決定獲取資格。</t>
    </r>
  </si>
  <si>
    <t>法師</t>
  </si>
  <si>
    <t>團長/職業隊長 如何制定天賦“優先級”和“拾取規則”：（一般團員可以跳過這塊不看）</t>
  </si>
  <si>
    <t>黑龍</t>
  </si>
  <si>
    <t>術士</t>
  </si>
  <si>
    <t>補薩</t>
  </si>
  <si>
    <t>0. 大原則：A.BIS裝備必須全分強X（BOE裝可放棄）。
                 B.要獲取Raid天賦的裝備，必須算“需求”，不可“貪婪”。
                 C.不會在Raid中穿戴使用的裝備，第二天賦裝備，特殊工作裝等，可做“貪婪”處理。
                 D.Raid天賦非BIS裝備，可以不強X，由職業隊長決定是否強X，看做“被動需求”，優先於“貪婪”。</t>
  </si>
  <si>
    <t>套裝</t>
  </si>
  <si>
    <t>補德</t>
  </si>
  <si>
    <t>1.單一個"需求":必須強X的裝備，只要沒有就必須拿（沒有貪婪和放棄選項），比如BIS裝備或者必須要拿的裝，比如T2等。BIS裝備由各職業隊長參考BIS表和團員的意見來決定。（BIS表：wowclassicbis.com，威利NGA發帖[https://ngabbs.com/read.php?tid=18226231&amp;fav=40fc30c8]等）</t>
  </si>
  <si>
    <t>T1護腕</t>
  </si>
  <si>
    <t>2."需求/放棄":不一定強X，但是拿了就要算全分的裝備，比如非BIS但是是Raid天賦的工作裝，或者BIS BOE散件。</t>
  </si>
  <si>
    <t>3."需求/貪婪/放棄":一般是非Raid天賦的裝備，若其他高優先級的天賦沒有需求，可以選擇出分需求比PR值或者貪婪。或者是某些沒有什麼Raid作用的玩具裝備。</t>
  </si>
  <si>
    <t>4."需求/貪婪":比如戰士隊長要求DD戰需要收集防禦裝，由隊長分配或者Roll點，可看做低分強X。</t>
  </si>
  <si>
    <t>5. 看具體需要，可以產生其他拾取規則組合。有特殊情況說明，各職業欄最下方加備註。</t>
  </si>
  <si>
    <t>根據Raid工作天賦優先制，BIS優先制，坦克裝優先制（比如黑龍頭）等。有“需求”的裝備前面都需要設置優先級，不設置代表最低。個職業長請先自己決定，個別裝備的優先級要多職業隊長/團長一起商議。</t>
  </si>
  <si>
    <t>布甲散件</t>
  </si>
  <si>
    <t>波動長袍</t>
  </si>
  <si>
    <t>裝備分配流程：</t>
  </si>
  <si>
    <t>T2頭</t>
  </si>
  <si>
    <t>T1手套</t>
  </si>
  <si>
    <t>法力風暴護腿</t>
  </si>
  <si>
    <t>職業物品
slot:0.75</t>
  </si>
  <si>
    <r>
      <rPr>
        <b/>
        <sz val="11"/>
        <rFont val="Arial"/>
        <family val="2"/>
      </rPr>
      <t>P1</t>
    </r>
    <r>
      <rPr>
        <sz val="11"/>
        <color theme="1"/>
        <rFont val="Arial"/>
        <family val="2"/>
      </rPr>
      <t>（主動需求）：主動需求裝備的團員，請打:"1"，裝備分配人員在天賦“優先級”最高的團員中（EP&gt;Min_EP），把裝備分配給PR值最高的團員。只要有一人主動需求，就不再考慮其他人是否強X的問題，皆可放棄。戰士防禦裝由戰士隊長直接分配。</t>
    </r>
  </si>
  <si>
    <t>成年黑龍的肌腱</t>
  </si>
  <si>
    <r>
      <rPr>
        <b/>
        <sz val="11"/>
        <rFont val="Arial"/>
        <family val="2"/>
      </rPr>
      <t>P2</t>
    </r>
    <r>
      <rPr>
        <sz val="11"/>
        <color theme="1"/>
        <rFont val="Arial"/>
        <family val="2"/>
      </rPr>
      <t>（被動需求）：若無人需求，查看裝備分配表，若此裝備有職業是有“需求”但是不能“貪婪”的，由各職業長來決定：不能“放棄”的強X。可以”放棄“的視團員身上裝備來決定，原則上有巨大提升的應該強X，其他情況以團員意願優先。（"需求/放棄"裝備的強X問題，各職業應事先內部商議好，可在此表內</t>
    </r>
    <r>
      <rPr>
        <b/>
        <sz val="11"/>
        <rFont val="Arial"/>
        <family val="2"/>
      </rPr>
      <t>備註</t>
    </r>
    <r>
      <rPr>
        <sz val="11"/>
        <color theme="1"/>
        <rFont val="Arial"/>
        <family val="2"/>
      </rPr>
      <t>，但是</t>
    </r>
    <r>
      <rPr>
        <b/>
        <sz val="11"/>
        <rFont val="Arial"/>
        <family val="2"/>
      </rPr>
      <t>僅做參考</t>
    </r>
    <r>
      <rPr>
        <sz val="11"/>
        <color theme="1"/>
        <rFont val="Arial"/>
        <family val="2"/>
      </rPr>
      <t>，最後判斷由現場職業長確定）
        各職業長將最後結果告知裝備分配人員，沒有則打Pass。
        （若多職業隊長同時Po出強X團員名字，判定方法:1.同“需求”,Roll點比小。2.“需求”優先於“需求/放棄“。3.同“需求/放棄“，有職業隊長讓步改Pass或者Roll點比小。）</t>
    </r>
  </si>
  <si>
    <r>
      <rPr>
        <b/>
        <sz val="11"/>
        <rFont val="Arial"/>
        <family val="2"/>
      </rPr>
      <t>P3</t>
    </r>
    <r>
      <rPr>
        <sz val="11"/>
        <color theme="1"/>
        <rFont val="Arial"/>
        <family val="2"/>
      </rPr>
      <t>（貪婪）：無人需求/強X，則有“貪婪”規則的團員，可打:"2"，表示貪婪。多人Roll點，最大者獲取，計10%GP值。一但Roll點開始，所有人不可再”主動需求“。</t>
    </r>
  </si>
  <si>
    <r>
      <rPr>
        <b/>
        <sz val="11"/>
        <rFont val="Arial"/>
        <family val="2"/>
      </rPr>
      <t>P4</t>
    </r>
    <r>
      <rPr>
        <sz val="11"/>
        <color theme="1"/>
        <rFont val="Arial"/>
        <family val="2"/>
      </rPr>
      <t>（放棄）：無人“貪婪”，分解/入庫/爛屍體。</t>
    </r>
  </si>
  <si>
    <t>需求</t>
  </si>
  <si>
    <t>T1腰帶</t>
  </si>
  <si>
    <t>燃魔腰帶</t>
  </si>
  <si>
    <t>需求/貪婪</t>
  </si>
  <si>
    <t>需求/放棄</t>
  </si>
  <si>
    <t>其他分裝規則：</t>
  </si>
  <si>
    <t>T1鞋子</t>
  </si>
  <si>
    <t>催眠烈焰手套</t>
  </si>
  <si>
    <t>BOSS頭
slot:0.75</t>
  </si>
  <si>
    <t>1. 裝備有Min_EP的設定，團員的EP值需要達到Min_EP才有競爭此裝備的資格，即EP&gt;Min_EP的優先權永遠高於EP&lt;Min_EP，此後再判定 優先級 和PR。</t>
  </si>
  <si>
    <t>需求/放棄(註1)</t>
  </si>
  <si>
    <t>奧妮克希亞的頭顱</t>
  </si>
  <si>
    <t>2. 裝備分配順序由BOSS的Loot表由高到低依次分配，防止出現因不同分裝順序而導致不同分裝結果的情況發生。</t>
  </si>
  <si>
    <t>3. 被職業長強X“需求/放棄"裝備的團員，最後請自己打"1"表示認可。若不接受，由團長定奪。</t>
  </si>
  <si>
    <t>T1肩膀</t>
  </si>
  <si>
    <t>4. PR值的計算結果，以CEPGP插件顯示的爲準，只看至小數點後2位，完全相同則Roll點決定，不再比較後面的小數位。</t>
  </si>
  <si>
    <t>耳語秘言腰帶</t>
  </si>
  <si>
    <t>5. 一旦拿裝計分，必須當即穿上（包括BOE），不得換裝更改分數。</t>
  </si>
  <si>
    <t>T1頭</t>
  </si>
  <si>
    <t>6. BOSS打完，先加EP，後分裝。</t>
  </si>
  <si>
    <t>皮甲散件</t>
  </si>
  <si>
    <t>7. 橘裝由團長根據情況決定分配。</t>
  </si>
  <si>
    <t>穩固護腕</t>
  </si>
  <si>
    <t>黑M
其他
散件</t>
  </si>
  <si>
    <t>需求/放棄(註2)</t>
  </si>
  <si>
    <t>艾斯卡達爾的項圈</t>
  </si>
  <si>
    <t>需求（註1）</t>
  </si>
  <si>
    <t>T1胸</t>
  </si>
  <si>
    <t>火蜥蜴鱗片短褲</t>
  </si>
  <si>
    <t>薩菲隆斗篷</t>
  </si>
  <si>
    <t>T1腿</t>
  </si>
  <si>
    <t>古代熔火皮手套</t>
  </si>
  <si>
    <t>禁錮之戒</t>
  </si>
  <si>
    <t>T2腿</t>
  </si>
  <si>
    <t>狂野肩鎧</t>
  </si>
  <si>
    <t>龍鱗碎片</t>
  </si>
  <si>
    <t>遠古石葉</t>
  </si>
  <si>
    <t>火焰衛士護肩</t>
  </si>
  <si>
    <t>上古角石魔典</t>
  </si>
  <si>
    <t>神聖之眼</t>
  </si>
  <si>
    <t>鎖甲散件</t>
  </si>
  <si>
    <t>生命賜予者頭盔</t>
  </si>
  <si>
    <t>死亡召喚者</t>
  </si>
  <si>
    <t>需求/放棄（註2)</t>
  </si>
  <si>
    <t>地核護肩</t>
  </si>
  <si>
    <t>需求/放棄(註3)</t>
  </si>
  <si>
    <t>放血者維斯卡格</t>
  </si>
  <si>
    <t>烈焰行者重靴</t>
  </si>
  <si>
    <t>項鍊</t>
  </si>
  <si>
    <t>啟示項鏈</t>
  </si>
  <si>
    <t>真龍護腕</t>
  </si>
  <si>
    <t>火焰之王的項圈</t>
  </si>
  <si>
    <t>毀滅王冠</t>
  </si>
  <si>
    <t>穩固之力勳章</t>
  </si>
  <si>
    <t>鎧甲散件</t>
  </si>
  <si>
    <t>召火腿甲</t>
  </si>
  <si>
    <t>披風</t>
  </si>
  <si>
    <t>防火披風</t>
  </si>
  <si>
    <t>烈焰守衛護手</t>
  </si>
  <si>
    <t>職業物品</t>
  </si>
  <si>
    <t>環霧披風</t>
  </si>
  <si>
    <t>熔火脛甲</t>
  </si>
  <si>
    <t>龍血斗篷</t>
  </si>
  <si>
    <t>衝擊腰帶</t>
  </si>
  <si>
    <t>NA</t>
  </si>
  <si>
    <t>戒指</t>
  </si>
  <si>
    <t>需求(註4)</t>
  </si>
  <si>
    <t>法術能量之戒</t>
  </si>
  <si>
    <t>魔法導師的封印</t>
  </si>
  <si>
    <t>薩弗拉斯指環</t>
  </si>
  <si>
    <t>單雙手
武器</t>
  </si>
  <si>
    <t>巫術匕首</t>
  </si>
  <si>
    <t>灼燒指環</t>
  </si>
  <si>
    <t>碧空之歌</t>
  </si>
  <si>
    <t>沉重的黑鐵戒指</t>
  </si>
  <si>
    <t>統御法杖</t>
  </si>
  <si>
    <t>迅擊戒指</t>
  </si>
  <si>
    <t>光環石錘</t>
  </si>
  <si>
    <t>需求/放棄(註4)</t>
  </si>
  <si>
    <t>埃古雷亞指環</t>
  </si>
  <si>
    <t>芬克的熔岩挖掘器</t>
  </si>
  <si>
    <t>需求/放棄（註2）</t>
  </si>
  <si>
    <t>副手</t>
  </si>
  <si>
    <t>火焰符文魔典</t>
  </si>
  <si>
    <t>血腥撕裂者</t>
  </si>
  <si>
    <t>瑪利斯達爾防禦者</t>
  </si>
  <si>
    <t>殘忍利刃</t>
  </si>
  <si>
    <t>鑽孔蟲之碟</t>
  </si>
  <si>
    <t>熔火犬牙</t>
  </si>
  <si>
    <t>飾品</t>
  </si>
  <si>
    <t>短暫能量護符</t>
  </si>
  <si>
    <t>毀滅之刃</t>
  </si>
  <si>
    <t>需求/貪婪/放棄</t>
  </si>
  <si>
    <t>烈焰碎片</t>
  </si>
  <si>
    <t>艾斯卡達爾的右爪</t>
  </si>
  <si>
    <t>純焰精華</t>
  </si>
  <si>
    <t>震地者</t>
  </si>
  <si>
    <t>黑曜石之刃</t>
  </si>
  <si>
    <t>暗影之擊</t>
  </si>
  <si>
    <t>橘色物品</t>
  </si>
  <si>
    <t>薩弗拉斯之眼</t>
  </si>
  <si>
    <t>貪婪/放棄</t>
  </si>
  <si>
    <t>脊骨收割者</t>
  </si>
  <si>
    <t>逐風者禁錮之顱</t>
  </si>
  <si>
    <t>削骨之刃</t>
  </si>
  <si>
    <t>遠程位</t>
  </si>
  <si>
    <t>赤紅震盪者</t>
  </si>
  <si>
    <t>速射強弓</t>
  </si>
  <si>
    <t>爆擊獵槍</t>
  </si>
  <si>
    <t>需求/放棄(註5)</t>
  </si>
  <si>
    <t>需求/放棄（註3）</t>
  </si>
  <si>
    <t>需求/放棄（註1）</t>
  </si>
  <si>
    <t>BOSS頭</t>
  </si>
  <si>
    <t>黑龍
其他
散件</t>
  </si>
  <si>
    <t>需求/放棄（注4）</t>
  </si>
  <si>
    <t>註：
570=1CD後
1100=2CD後
1550=3CD後
1960=4CD後
（以上只考慮了每CD一次黑龍）</t>
  </si>
  <si>
    <t>註1：有削骨可放棄，其他職業長確定</t>
  </si>
  <si>
    <t>註1:有古代熔火皮手套，可放棄</t>
  </si>
  <si>
    <t>註1:有真龍護腕/或已滿三件套效果可放棄</t>
  </si>
  <si>
    <t>註1：湊滿8件特效為最終目標 不可放棄</t>
  </si>
  <si>
    <t>註1：有T2可放棄</t>
  </si>
  <si>
    <t>註2:有T2，可放棄</t>
  </si>
  <si>
    <t>註2:滿三件套或已上效果可放棄</t>
  </si>
  <si>
    <t>注2：無【秘術之行】，不可放棄</t>
  </si>
  <si>
    <t>註3:有T1手套，可放棄</t>
  </si>
  <si>
    <t>註3:有T2裝或已滿T1三件套可放棄</t>
  </si>
  <si>
    <t>注3：無【奧科索爾腰帶】，不可放棄</t>
  </si>
  <si>
    <t>註4:主手有毀滅或血腥，可放棄</t>
  </si>
  <si>
    <t>注4：無同等或更高法傷，不可放棄</t>
  </si>
  <si>
    <t>GP公式 =</t>
  </si>
  <si>
    <r>
      <rPr>
        <b/>
        <sz val="10"/>
        <color rgb="FF10273F"/>
        <rFont val="Verdana"/>
        <family val="2"/>
      </rPr>
      <t>COEF</t>
    </r>
    <r>
      <rPr>
        <sz val="10"/>
        <color rgb="FF10273F"/>
        <rFont val="Verdana"/>
        <family val="2"/>
      </rPr>
      <t xml:space="preserve"> * (</t>
    </r>
    <r>
      <rPr>
        <b/>
        <sz val="10"/>
        <color rgb="FF10273F"/>
        <rFont val="Verdana"/>
        <family val="2"/>
      </rPr>
      <t>MOD_COEF</t>
    </r>
    <r>
      <rPr>
        <sz val="10"/>
        <color rgb="FF10273F"/>
        <rFont val="Verdana"/>
        <family val="2"/>
      </rPr>
      <t>^((</t>
    </r>
    <r>
      <rPr>
        <b/>
        <sz val="10"/>
        <color rgb="FF10273F"/>
        <rFont val="Verdana"/>
        <family val="2"/>
      </rPr>
      <t>ilvl</t>
    </r>
    <r>
      <rPr>
        <sz val="10"/>
        <color rgb="FF10273F"/>
        <rFont val="Verdana"/>
        <family val="2"/>
      </rPr>
      <t>/26) + (</t>
    </r>
    <r>
      <rPr>
        <b/>
        <sz val="10"/>
        <color rgb="FF10273F"/>
        <rFont val="Verdana"/>
        <family val="2"/>
      </rPr>
      <t>rarity</t>
    </r>
    <r>
      <rPr>
        <sz val="10"/>
        <color rgb="FF10273F"/>
        <rFont val="Verdana"/>
        <family val="2"/>
      </rPr>
      <t xml:space="preserve">-4))) * </t>
    </r>
    <r>
      <rPr>
        <b/>
        <sz val="10"/>
        <color rgb="FF10273F"/>
        <rFont val="Verdana"/>
        <family val="2"/>
      </rPr>
      <t>slot</t>
    </r>
  </si>
  <si>
    <t>rarity</t>
  </si>
  <si>
    <t>GP值最終數值全部向下取整數，沒有進位</t>
  </si>
  <si>
    <t>紫色物品</t>
  </si>
  <si>
    <t>藍色物品</t>
  </si>
  <si>
    <t>COEF</t>
  </si>
  <si>
    <t>MOD_COEF</t>
  </si>
  <si>
    <r>
      <t xml:space="preserve">物品等級
</t>
    </r>
    <r>
      <rPr>
        <b/>
        <sz val="11"/>
        <color theme="1"/>
        <rFont val="等线"/>
        <family val="3"/>
        <charset val="134"/>
      </rPr>
      <t>ilvl</t>
    </r>
  </si>
  <si>
    <t>slot</t>
  </si>
  <si>
    <r>
      <t xml:space="preserve">物品等級
</t>
    </r>
    <r>
      <rPr>
        <b/>
        <sz val="11"/>
        <color theme="1"/>
        <rFont val="等线"/>
        <family val="3"/>
        <charset val="134"/>
      </rPr>
      <t>ilvl</t>
    </r>
  </si>
  <si>
    <t>項鍊 | 披風 | 手腕 | 戒指 | 副手位 | 遠程位</t>
  </si>
  <si>
    <t xml:space="preserve">MC
黑龍 </t>
  </si>
  <si>
    <t>肩 | 手 | 鞋 | 腰帶 | 飾品 | BOSS頭 | 職業物品</t>
  </si>
  <si>
    <t>頭 | 胸 | 腿</t>
  </si>
  <si>
    <t>主手/單手武器</t>
  </si>
  <si>
    <t>雙手武器</t>
  </si>
  <si>
    <t>備註：</t>
  </si>
  <si>
    <t>1.葉子,神眼,肌腱,龍頭的物等按照所兌換的物品的物等來級算，slot：0.75。（葉子,眼睛,肌腱物等:75,黑龍頭物等:74）</t>
  </si>
  <si>
    <t>BWL</t>
  </si>
  <si>
    <t>TAQ</t>
  </si>
  <si>
    <t>NAXX</t>
  </si>
  <si>
    <t>日期</t>
  </si>
  <si>
    <t>版本</t>
  </si>
  <si>
    <t>更新內容</t>
  </si>
  <si>
    <t>參與者遊戲ID</t>
  </si>
  <si>
    <t>v1.0</t>
  </si>
  <si>
    <t>第一版</t>
  </si>
  <si>
    <t>沉睡之境,大牛比較懒,妖獸嘻狼,活著就是死,Yicc,Epicrit,娜娜亞,小小包子,Vela</t>
  </si>
  <si>
    <t>v1.1</t>
  </si>
  <si>
    <t>戰士</t>
  </si>
  <si>
    <t>[爆擊獵槍]補上。</t>
  </si>
  <si>
    <t>沉睡之境,大牛比較懒,Epicrit</t>
  </si>
  <si>
    <t>防戰[穩固護腕]補上。</t>
  </si>
  <si>
    <t>DD戰全部算狂暴天賦，單手劍優先於匕首賊。狂暴戰內部[需求/放棄]有[獸人/非獸人]之區別。</t>
  </si>
  <si>
    <t>薩滿</t>
  </si>
  <si>
    <t>[瑪利斯達爾防禦者]，布甲元素裝 補上。</t>
  </si>
  <si>
    <t>牧師</t>
  </si>
  <si>
    <t>神眼MinEP調整到3CD，和獵人葉子一致。[魔法導師的封印][薩弗拉斯指環]可以貪婪，和其他補職業一致。</t>
  </si>
  <si>
    <t>法師，術士</t>
  </si>
  <si>
    <t>[法力風暴護腿]可以貪婪</t>
  </si>
  <si>
    <t>匕首賊：需求/放棄（註1）
劍賊：   需求</t>
    <phoneticPr fontId="30" type="noConversion"/>
  </si>
  <si>
    <t>匕首賊：需求/放棄（註3）
劍賊：   需求/放棄</t>
    <phoneticPr fontId="30" type="noConversion"/>
  </si>
  <si>
    <t>匕首賊 - 0
劍賊 - 1</t>
    <phoneticPr fontId="30" type="noConversion"/>
  </si>
  <si>
    <t>匕首賊：需求/放棄（註4）
劍賊：   需求/放棄</t>
    <phoneticPr fontId="30" type="noConversion"/>
  </si>
  <si>
    <t>匕首賊 - 0
劍賊 - 1</t>
    <phoneticPr fontId="30" type="noConversion"/>
  </si>
  <si>
    <t>匕首賊 - 0
劍賊 - 1</t>
    <phoneticPr fontId="30" type="noConversion"/>
  </si>
  <si>
    <t>匕首賊 - 2
劍賊 - 0</t>
    <phoneticPr fontId="30" type="noConversion"/>
  </si>
  <si>
    <t>匕首賊：需求/放棄
劍賊：   需求</t>
    <phoneticPr fontId="30" type="noConversion"/>
  </si>
  <si>
    <t>匕首賊 - 0
劍賊 - 1</t>
    <phoneticPr fontId="30" type="noConversion"/>
  </si>
  <si>
    <t>匕首賊：需求
劍賊：   需求/放棄</t>
    <phoneticPr fontId="30" type="noConversion"/>
  </si>
  <si>
    <t>匕首賊：需求
劍賊：   需求/放棄</t>
    <phoneticPr fontId="30" type="noConversion"/>
  </si>
  <si>
    <t>匕首賊 - 2
劍賊 - 0</t>
    <phoneticPr fontId="30" type="noConversion"/>
  </si>
  <si>
    <t>獸人：需求
非獸人：需求/放棄</t>
    <phoneticPr fontId="30" type="noConversion"/>
  </si>
  <si>
    <t>獸人：需求/放棄
非獸人：需求</t>
    <phoneticPr fontId="30" type="noConversion"/>
  </si>
  <si>
    <t>匕首賊：需求/放棄
劍賊：   需求</t>
    <phoneticPr fontId="30" type="noConversion"/>
  </si>
  <si>
    <t>獸人：需求/放棄
非獸人：需求</t>
    <phoneticPr fontId="30" type="noConversion"/>
  </si>
  <si>
    <t>註4:需求肌腱者EP須達3CD全勤分以上/古葉配發順序為肌腱取得順序/如無人選則交由團隊處理</t>
    <phoneticPr fontId="30" type="noConversion"/>
  </si>
  <si>
    <t>註1：無[火蜥蜴鱗片短褲]或T2腿，不可放棄</t>
    <phoneticPr fontId="30" type="noConversion"/>
  </si>
  <si>
    <t>註2：過差的藍綠裝，不可放棄</t>
    <phoneticPr fontId="30" type="noConversion"/>
  </si>
  <si>
    <t>註1：無[血紅氈帽]或[卡珊德拉的恩賜]或T2頭，不可放棄</t>
    <phoneticPr fontId="30" type="noConversion"/>
  </si>
  <si>
    <t>註2：無[虔誠外衣]，不可放棄</t>
    <phoneticPr fontId="30" type="noConversion"/>
  </si>
  <si>
    <t>註3：無[主設計師的長褲]或[教士長褲]或T2腿，不可放棄</t>
    <phoneticPr fontId="30" type="noConversion"/>
  </si>
  <si>
    <t>註4：無[生命項鏈]，不可放棄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</si>
</sst>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5">
    <font>
      <sz val="11"/>
      <color theme="1"/>
      <name val="Arial"/>
    </font>
    <font>
      <b/>
      <sz val="11"/>
      <color rgb="FF000000"/>
      <name val="Microsoft Yahei"/>
      <family val="2"/>
      <charset val="134"/>
    </font>
    <font>
      <b/>
      <sz val="11"/>
      <color rgb="FF000000"/>
      <name val="Docs-Calibri"/>
    </font>
    <font>
      <b/>
      <sz val="12"/>
      <color theme="1"/>
      <name val="Microsoft Yahei"/>
      <family val="2"/>
      <charset val="134"/>
    </font>
    <font>
      <sz val="11"/>
      <name val="Arial"/>
      <family val="2"/>
    </font>
    <font>
      <b/>
      <sz val="12"/>
      <color rgb="FF000000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11"/>
      <color rgb="FFFFFFFF"/>
      <name val="Microsoft Yahei"/>
      <family val="2"/>
      <charset val="134"/>
    </font>
    <font>
      <sz val="11"/>
      <color rgb="FF0563C1"/>
      <name val="Arial"/>
      <family val="2"/>
    </font>
    <font>
      <sz val="11"/>
      <color rgb="FFAEABAB"/>
      <name val="Microsoft Yahei"/>
      <family val="2"/>
      <charset val="134"/>
    </font>
    <font>
      <sz val="8"/>
      <color rgb="FF000000"/>
      <name val="Microsoft Yahei"/>
      <family val="2"/>
      <charset val="134"/>
    </font>
    <font>
      <sz val="11"/>
      <color theme="1"/>
      <name val="SimSun"/>
      <family val="3"/>
      <charset val="134"/>
    </font>
    <font>
      <sz val="11"/>
      <color rgb="FF000000"/>
      <name val="SimSun"/>
      <charset val="134"/>
    </font>
    <font>
      <sz val="8"/>
      <color theme="1"/>
      <name val="Microsoft Yahei"/>
      <family val="2"/>
      <charset val="134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rgb="FF10273F"/>
      <name val="Verdana"/>
      <family val="2"/>
    </font>
    <font>
      <b/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name val="Arial"/>
      <family val="2"/>
    </font>
    <font>
      <b/>
      <sz val="10"/>
      <color rgb="FF10273F"/>
      <name val="Verdana"/>
      <family val="2"/>
    </font>
    <font>
      <b/>
      <sz val="11"/>
      <color theme="1"/>
      <name val="等线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66FF"/>
        <bgColor rgb="FF9966FF"/>
      </patternFill>
    </fill>
    <fill>
      <patternFill patternType="solid">
        <fgColor rgb="FF93C47D"/>
        <bgColor rgb="FF93C47D"/>
      </patternFill>
    </fill>
    <fill>
      <patternFill patternType="solid">
        <fgColor rgb="FFC69B6D"/>
        <bgColor rgb="FFC69B6D"/>
      </patternFill>
    </fill>
    <fill>
      <patternFill patternType="solid">
        <fgColor rgb="FFFFF468"/>
        <bgColor rgb="FFFFF468"/>
      </patternFill>
    </fill>
    <fill>
      <patternFill patternType="solid">
        <fgColor rgb="FFAAD372"/>
        <bgColor rgb="FFAAD372"/>
      </patternFill>
    </fill>
    <fill>
      <patternFill patternType="solid">
        <fgColor rgb="FFFFC000"/>
        <bgColor rgb="FFFFC000"/>
      </patternFill>
    </fill>
    <fill>
      <patternFill patternType="solid">
        <fgColor rgb="FFF0EBE0"/>
        <bgColor rgb="FFF0EBE0"/>
      </patternFill>
    </fill>
    <fill>
      <patternFill patternType="solid">
        <fgColor rgb="FF68CCEF"/>
        <bgColor rgb="FF68CCEF"/>
      </patternFill>
    </fill>
    <fill>
      <patternFill patternType="solid">
        <fgColor rgb="FF171616"/>
        <bgColor rgb="FF171616"/>
      </patternFill>
    </fill>
    <fill>
      <patternFill patternType="solid">
        <fgColor rgb="FF9382C9"/>
        <bgColor rgb="FF9382C9"/>
      </patternFill>
    </fill>
    <fill>
      <patternFill patternType="solid">
        <fgColor rgb="FF2359FF"/>
        <bgColor rgb="FF2359FF"/>
      </patternFill>
    </fill>
    <fill>
      <patternFill patternType="solid">
        <fgColor rgb="FFFF7C0A"/>
        <bgColor rgb="FFFF7C0A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rgb="FFD9D9D9"/>
        <bgColor rgb="FFD9D9D9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rgb="FF595959"/>
        <bgColor rgb="FF595959"/>
      </patternFill>
    </fill>
    <fill>
      <patternFill patternType="solid">
        <fgColor rgb="FFFFD965"/>
        <bgColor rgb="FFFFD965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Font="1" applyAlignment="1">
      <alignment vertical="center"/>
    </xf>
    <xf numFmtId="0" fontId="7" fillId="0" borderId="0" xfId="0" applyFont="1"/>
    <xf numFmtId="0" fontId="6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10" fillId="0" borderId="0" xfId="0" applyFont="1" applyAlignment="1"/>
    <xf numFmtId="0" fontId="7" fillId="0" borderId="7" xfId="0" applyFont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10" borderId="7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5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7" fillId="18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/>
    </xf>
    <xf numFmtId="0" fontId="7" fillId="17" borderId="7" xfId="0" applyFont="1" applyFill="1" applyBorder="1" applyAlignment="1">
      <alignment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2" fillId="19" borderId="7" xfId="0" applyFont="1" applyFill="1" applyBorder="1" applyAlignment="1"/>
    <xf numFmtId="0" fontId="23" fillId="0" borderId="0" xfId="0" applyFont="1"/>
    <xf numFmtId="0" fontId="24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20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/>
    <xf numFmtId="0" fontId="17" fillId="22" borderId="7" xfId="0" applyFont="1" applyFill="1" applyBorder="1" applyAlignment="1">
      <alignment horizontal="center" vertical="center"/>
    </xf>
    <xf numFmtId="0" fontId="17" fillId="0" borderId="12" xfId="0" applyFont="1" applyBorder="1"/>
    <xf numFmtId="0" fontId="17" fillId="9" borderId="7" xfId="0" applyFont="1" applyFill="1" applyBorder="1"/>
    <xf numFmtId="0" fontId="26" fillId="0" borderId="12" xfId="0" applyFont="1" applyBorder="1"/>
    <xf numFmtId="0" fontId="17" fillId="0" borderId="0" xfId="0" applyFont="1"/>
    <xf numFmtId="0" fontId="17" fillId="24" borderId="7" xfId="0" applyFont="1" applyFill="1" applyBorder="1" applyAlignment="1">
      <alignment horizontal="center" vertical="center"/>
    </xf>
    <xf numFmtId="0" fontId="17" fillId="25" borderId="7" xfId="0" applyFont="1" applyFill="1" applyBorder="1" applyAlignment="1">
      <alignment horizontal="center" vertical="center"/>
    </xf>
    <xf numFmtId="0" fontId="24" fillId="4" borderId="7" xfId="0" applyFont="1" applyFill="1" applyBorder="1"/>
    <xf numFmtId="1" fontId="17" fillId="0" borderId="7" xfId="0" applyNumberFormat="1" applyFont="1" applyBorder="1"/>
    <xf numFmtId="0" fontId="24" fillId="9" borderId="7" xfId="0" applyFont="1" applyFill="1" applyBorder="1"/>
    <xf numFmtId="1" fontId="17" fillId="26" borderId="7" xfId="0" applyNumberFormat="1" applyFont="1" applyFill="1" applyBorder="1"/>
    <xf numFmtId="0" fontId="17" fillId="0" borderId="18" xfId="0" applyFont="1" applyBorder="1" applyAlignment="1">
      <alignment vertical="center"/>
    </xf>
    <xf numFmtId="1" fontId="17" fillId="9" borderId="7" xfId="0" applyNumberFormat="1" applyFont="1" applyFill="1" applyBorder="1"/>
    <xf numFmtId="0" fontId="17" fillId="0" borderId="0" xfId="0" applyFont="1" applyAlignment="1">
      <alignment vertical="center"/>
    </xf>
    <xf numFmtId="0" fontId="21" fillId="0" borderId="7" xfId="0" applyFont="1" applyBorder="1" applyAlignment="1">
      <alignment horizontal="center" vertical="center"/>
    </xf>
    <xf numFmtId="176" fontId="21" fillId="0" borderId="7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left"/>
    </xf>
    <xf numFmtId="0" fontId="12" fillId="7" borderId="7" xfId="0" applyFont="1" applyFill="1" applyBorder="1" applyAlignment="1">
      <alignment horizontal="left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0" fillId="0" borderId="0" xfId="0" applyFont="1" applyAlignment="1"/>
    <xf numFmtId="0" fontId="8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/>
    </xf>
    <xf numFmtId="0" fontId="8" fillId="17" borderId="4" xfId="0" applyFont="1" applyFill="1" applyBorder="1" applyAlignment="1">
      <alignment horizontal="center" vertical="center" wrapText="1"/>
    </xf>
    <xf numFmtId="0" fontId="34" fillId="0" borderId="9" xfId="0" applyFont="1" applyBorder="1" applyAlignment="1">
      <alignment horizontal="left" vertical="top" wrapText="1"/>
    </xf>
    <xf numFmtId="0" fontId="34" fillId="0" borderId="19" xfId="0" applyFont="1" applyBorder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7" fillId="9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24" fillId="24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17" fillId="9" borderId="4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3" fillId="19" borderId="1" xfId="0" applyFont="1" applyFill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4" fillId="0" borderId="9" xfId="0" applyFont="1" applyBorder="1"/>
    <xf numFmtId="0" fontId="24" fillId="0" borderId="0" xfId="0" applyFont="1"/>
    <xf numFmtId="0" fontId="24" fillId="21" borderId="10" xfId="0" applyFont="1" applyFill="1" applyBorder="1"/>
    <xf numFmtId="0" fontId="4" fillId="0" borderId="11" xfId="0" applyFont="1" applyBorder="1"/>
    <xf numFmtId="0" fontId="24" fillId="23" borderId="10" xfId="0" applyFont="1" applyFill="1" applyBorder="1"/>
    <xf numFmtId="0" fontId="20" fillId="3" borderId="13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17" xfId="0" applyFont="1" applyBorder="1"/>
    <xf numFmtId="0" fontId="17" fillId="27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19" xfId="0" applyFont="1" applyBorder="1"/>
    <xf numFmtId="0" fontId="17" fillId="28" borderId="15" xfId="0" applyFont="1" applyFill="1" applyBorder="1" applyAlignment="1">
      <alignment horizontal="center" vertical="center"/>
    </xf>
    <xf numFmtId="0" fontId="17" fillId="20" borderId="1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/>
    <xf numFmtId="176" fontId="21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left" vertical="center"/>
    </xf>
    <xf numFmtId="0" fontId="21" fillId="0" borderId="20" xfId="0" applyFont="1" applyBorder="1" applyAlignment="1">
      <alignment vertical="center"/>
    </xf>
    <xf numFmtId="0" fontId="4" fillId="0" borderId="21" xfId="0" applyFont="1" applyBorder="1"/>
    <xf numFmtId="0" fontId="4" fillId="0" borderId="18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12" xfId="0" applyFont="1" applyBorder="1"/>
    <xf numFmtId="0" fontId="4" fillId="0" borderId="24" xfId="0" applyFont="1" applyBorder="1"/>
    <xf numFmtId="0" fontId="21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2</xdr:row>
      <xdr:rowOff>9525</xdr:rowOff>
    </xdr:from>
    <xdr:ext cx="9248775" cy="4391025"/>
    <xdr:pic>
      <xdr:nvPicPr>
        <xdr:cNvPr id="2" name="image1.png" title="图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2:C2"/>
  <sheetViews>
    <sheetView workbookViewId="0"/>
  </sheetViews>
  <sheetFormatPr defaultColWidth="12.625" defaultRowHeight="15" customHeight="1"/>
  <sheetData>
    <row r="2" spans="2:3">
      <c r="B2" s="91" t="s">
        <v>1</v>
      </c>
      <c r="C2" s="92"/>
    </row>
  </sheetData>
  <mergeCells count="1">
    <mergeCell ref="B2:C2"/>
  </mergeCells>
  <phoneticPr fontId="30" type="noConversion"/>
  <printOptions horizontalCentered="1"/>
  <pageMargins left="0.70866141732283472" right="0.70866141732283472" top="0.74803149606299213" bottom="0.74803149606299213" header="0" footer="0"/>
  <pageSetup paperSize="9" scale="86" pageOrder="overThenDown" orientation="landscape" r:id="rId1"/>
  <headerFooter>
    <oddHeader>&amp;A</oddHeader>
    <oddFooter>第 &amp;P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87"/>
  <sheetViews>
    <sheetView workbookViewId="0">
      <selection activeCell="F34" sqref="F34"/>
    </sheetView>
  </sheetViews>
  <sheetFormatPr defaultColWidth="12.625" defaultRowHeight="15" customHeight="1"/>
  <cols>
    <col min="1" max="1" width="10.5" customWidth="1"/>
    <col min="2" max="2" width="9.875" customWidth="1"/>
    <col min="3" max="3" width="16" customWidth="1"/>
    <col min="4" max="4" width="9.875" customWidth="1"/>
    <col min="5" max="5" width="15.375" customWidth="1"/>
    <col min="6" max="6" width="8" customWidth="1"/>
    <col min="7" max="7" width="18.125" customWidth="1"/>
    <col min="8" max="8" width="12.5" customWidth="1"/>
    <col min="9" max="9" width="13.625" customWidth="1"/>
    <col min="10" max="10" width="9.875" customWidth="1"/>
    <col min="11" max="11" width="16.25" customWidth="1"/>
    <col min="12" max="12" width="13" customWidth="1"/>
    <col min="13" max="13" width="15" customWidth="1"/>
    <col min="14" max="14" width="9.875" customWidth="1"/>
    <col min="15" max="17" width="13.125" customWidth="1"/>
    <col min="18" max="18" width="9.875" customWidth="1"/>
    <col min="19" max="19" width="13.25" customWidth="1"/>
    <col min="20" max="20" width="12.75" customWidth="1"/>
    <col min="21" max="22" width="7.625" customWidth="1"/>
    <col min="23" max="23" width="19.875" customWidth="1"/>
  </cols>
  <sheetData>
    <row r="1" spans="1:23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</row>
    <row r="2" spans="1:23" ht="18">
      <c r="B2" s="96" t="s">
        <v>2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5"/>
    </row>
    <row r="3" spans="1:23" ht="16.5">
      <c r="B3" s="99" t="s">
        <v>4</v>
      </c>
      <c r="C3" s="93" t="s">
        <v>6</v>
      </c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/>
    </row>
    <row r="4" spans="1:23" ht="16.5">
      <c r="B4" s="100"/>
      <c r="C4" s="93" t="s">
        <v>9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5"/>
    </row>
    <row r="5" spans="1:23" ht="16.5">
      <c r="B5" s="100"/>
      <c r="C5" s="93" t="s">
        <v>10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5"/>
      <c r="T5" s="6"/>
    </row>
    <row r="6" spans="1:23" ht="16.5">
      <c r="A6" s="1"/>
      <c r="B6" s="101"/>
      <c r="C6" s="93" t="s">
        <v>17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  <c r="T6" s="6"/>
      <c r="U6" s="1"/>
      <c r="V6" s="1"/>
      <c r="W6" s="1"/>
    </row>
    <row r="7" spans="1:23" ht="16.5">
      <c r="B7" s="8" t="s">
        <v>19</v>
      </c>
      <c r="C7" s="93" t="s">
        <v>20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1:23" ht="14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3" ht="18">
      <c r="B9" s="102" t="s">
        <v>22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5"/>
    </row>
    <row r="10" spans="1:23" ht="14.25">
      <c r="B10" s="99" t="s">
        <v>4</v>
      </c>
      <c r="C10" s="103" t="s">
        <v>26</v>
      </c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5"/>
    </row>
    <row r="11" spans="1:23" ht="16.5">
      <c r="B11" s="100"/>
      <c r="C11" s="93" t="s">
        <v>29</v>
      </c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5"/>
      <c r="T11" s="11"/>
    </row>
    <row r="12" spans="1:23" ht="16.5">
      <c r="B12" s="100"/>
      <c r="C12" s="93" t="s">
        <v>31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5"/>
    </row>
    <row r="13" spans="1:23" ht="16.5">
      <c r="B13" s="100"/>
      <c r="C13" s="93" t="s">
        <v>32</v>
      </c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5"/>
    </row>
    <row r="14" spans="1:23" ht="16.5">
      <c r="B14" s="100"/>
      <c r="C14" s="104" t="s">
        <v>33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5"/>
    </row>
    <row r="15" spans="1:23" ht="16.5">
      <c r="B15" s="101"/>
      <c r="C15" s="104" t="s">
        <v>34</v>
      </c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5"/>
    </row>
    <row r="16" spans="1:23" ht="16.5">
      <c r="B16" s="8" t="s">
        <v>19</v>
      </c>
      <c r="C16" s="93" t="s">
        <v>35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5"/>
    </row>
    <row r="17" spans="1:23" ht="16.5">
      <c r="A17" s="1"/>
      <c r="B17" s="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"/>
      <c r="U17" s="1"/>
      <c r="V17" s="1"/>
      <c r="W17" s="1"/>
    </row>
    <row r="18" spans="1:23" ht="18">
      <c r="A18" s="1"/>
      <c r="B18" s="96" t="s">
        <v>38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5"/>
      <c r="T18" s="1"/>
      <c r="U18" s="1"/>
      <c r="V18" s="1"/>
      <c r="W18" s="1"/>
    </row>
    <row r="19" spans="1:23" ht="16.5">
      <c r="A19" s="1"/>
      <c r="B19" s="93" t="s">
        <v>43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5"/>
      <c r="T19" s="1"/>
      <c r="U19" s="1"/>
      <c r="V19" s="1"/>
      <c r="W19" s="1"/>
    </row>
    <row r="20" spans="1:23" ht="14.25">
      <c r="A20" s="1"/>
      <c r="B20" s="97" t="s">
        <v>45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5"/>
      <c r="T20" s="1"/>
      <c r="U20" s="1"/>
      <c r="V20" s="1"/>
      <c r="W20" s="1"/>
    </row>
    <row r="21" spans="1:23" ht="16.5">
      <c r="A21" s="1"/>
      <c r="B21" s="93" t="s">
        <v>46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5"/>
      <c r="T21" s="1"/>
      <c r="U21" s="1"/>
      <c r="V21" s="1"/>
      <c r="W21" s="1"/>
    </row>
    <row r="22" spans="1:23" ht="16.5">
      <c r="A22" s="1"/>
      <c r="B22" s="93" t="s">
        <v>47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5"/>
      <c r="T22" s="1"/>
      <c r="U22" s="1"/>
      <c r="V22" s="1"/>
      <c r="W22" s="1"/>
    </row>
    <row r="23" spans="1:23" ht="16.5">
      <c r="A23" s="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"/>
      <c r="U23" s="1"/>
      <c r="V23" s="1"/>
      <c r="W23" s="1"/>
    </row>
    <row r="24" spans="1:23" ht="18">
      <c r="A24" s="1"/>
      <c r="B24" s="98" t="s">
        <v>53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5"/>
      <c r="T24" s="1"/>
      <c r="U24" s="1"/>
      <c r="V24" s="1"/>
      <c r="W24" s="1"/>
    </row>
    <row r="25" spans="1:23" ht="16.5">
      <c r="A25" s="1"/>
      <c r="B25" s="93" t="s">
        <v>57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5"/>
      <c r="T25" s="1"/>
      <c r="U25" s="1"/>
      <c r="V25" s="1"/>
      <c r="W25" s="1"/>
    </row>
    <row r="26" spans="1:23" ht="16.5">
      <c r="A26" s="1"/>
      <c r="B26" s="93" t="s">
        <v>60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5"/>
      <c r="T26" s="1"/>
      <c r="U26" s="1"/>
      <c r="V26" s="1"/>
      <c r="W26" s="1"/>
    </row>
    <row r="27" spans="1:23" ht="16.5">
      <c r="A27" s="1"/>
      <c r="B27" s="93" t="s">
        <v>61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5"/>
      <c r="T27" s="1"/>
      <c r="U27" s="1"/>
      <c r="V27" s="1"/>
      <c r="W27" s="1"/>
    </row>
    <row r="28" spans="1:23" ht="16.5">
      <c r="B28" s="93" t="s">
        <v>63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5"/>
    </row>
    <row r="29" spans="1:23" ht="16.5">
      <c r="B29" s="93" t="s">
        <v>65</v>
      </c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5"/>
    </row>
    <row r="30" spans="1:23" ht="16.5">
      <c r="B30" s="93" t="s">
        <v>67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5"/>
    </row>
    <row r="31" spans="1:23" ht="16.5">
      <c r="B31" s="93" t="s">
        <v>69</v>
      </c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5"/>
    </row>
    <row r="32" spans="1:23" ht="14.2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ht="14.2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ht="14.2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ht="14.2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ht="14.2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ht="14.2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ht="14.2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2:19" ht="14.2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19" ht="14.2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19" ht="14.2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19" ht="14.2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ht="14.2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19" ht="14.2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19" ht="14.2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19" ht="14.2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19" ht="14.2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19" ht="14.2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2:19" ht="14.2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2:19" ht="14.2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2:19" ht="14.2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2:19" ht="14.2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2:19" ht="14.2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2:19" ht="14.2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2:19" ht="14.2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2:19" ht="14.2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2:19" ht="14.2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2:19" ht="14.2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2:19" ht="14.2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2:19" ht="14.2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2:19" ht="14.2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2:19" ht="14.2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19" ht="14.2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2:19" ht="14.2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2:19" ht="14.2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2:19" ht="14.2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2:19" ht="14.2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2:19" ht="14.2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2:19" ht="14.2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2:19" ht="14.2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2:19" ht="14.2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2:19" ht="14.2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2:19" ht="14.2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2:19" ht="14.2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2:19" ht="14.2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2:19" ht="14.2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2:19" ht="14.2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2:19" ht="14.2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2:19" ht="14.2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2:19" ht="14.2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2:19" ht="14.2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2:19" ht="14.2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2:19" ht="14.2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2:19" ht="14.2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2:19" ht="14.2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2:19" ht="14.2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2:19" ht="14.2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2:19" ht="14.2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2:19" ht="14.2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2:19" ht="14.2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2:19" ht="14.2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2:19" ht="14.2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2:19" ht="14.2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2:19" ht="14.2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2:19" ht="14.2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2:19" ht="14.2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2:19" ht="14.2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2:19" ht="14.2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2:19" ht="14.2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2:19" ht="14.2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2:19" ht="14.2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2:19" ht="14.2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2:19" ht="14.2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2:19" ht="14.2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2:19" ht="14.2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2:19" ht="14.2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2:19" ht="14.2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2:19" ht="14.2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2:19" ht="14.2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2:19" ht="14.2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2:19" ht="14.2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2:19" ht="14.2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2:19" ht="14.2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2:19" ht="14.2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2:19" ht="14.2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2:19" ht="14.2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2:19" ht="14.2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2:19" ht="14.2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2:19" ht="14.2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2:19" ht="14.2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2:19" ht="14.2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2:19" ht="14.2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2:19" ht="14.2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2:19" ht="14.2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2:19" ht="14.2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2:19" ht="14.2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2:19" ht="14.2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2:19" ht="14.2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2:19" ht="14.2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2:19" ht="14.2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2:19" ht="14.2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2:19" ht="14.2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2:19" ht="14.2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2:19" ht="14.2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2:19" ht="14.2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2:19" ht="14.2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2:19" ht="14.2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2:19" ht="14.2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2:19" ht="14.2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2:19" ht="14.2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2:19" ht="14.2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2:19" ht="14.2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2:19" ht="14.2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2:19" ht="14.2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2:19" ht="14.2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2:19" ht="14.2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2:19" ht="14.2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2:19" ht="14.2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2:19" ht="14.2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2:19" ht="14.2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2:19" ht="14.2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2:19" ht="14.2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2:19" ht="14.2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2:19" ht="14.2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2:19" ht="14.2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2:19" ht="14.2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2:19" ht="14.2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2:19" ht="14.2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2:19" ht="14.2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2:19" ht="14.2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2:19" ht="14.2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2:19" ht="14.2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2:19" ht="14.2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2:19" ht="14.2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2:19" ht="14.2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2:19" ht="14.2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2:19" ht="14.2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2:19" ht="14.2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2:19" ht="14.2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2:19" ht="14.2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2:19" ht="14.2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2:19" ht="14.2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2:19" ht="14.2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2:19" ht="14.2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2:19" ht="14.2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2:19" ht="14.2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2:19" ht="14.2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2:19" ht="14.2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2:19" ht="14.2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2:19" ht="14.2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2:19" ht="14.2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2:19" ht="14.2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2:19" ht="14.2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2:19" ht="14.2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2:19" ht="14.2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2:19" ht="14.2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2:19" ht="14.2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2:19" ht="14.2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2:19" ht="14.2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2:19" ht="14.2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2:19" ht="14.2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2:19" ht="14.2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2:19" ht="14.2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2:19" ht="14.2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2:19" ht="14.2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2:19" ht="14.2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2:19" ht="14.2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2:19" ht="14.2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2:19" ht="14.2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2:19" ht="14.2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2:19" ht="14.2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2:19" ht="14.2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2:19" ht="14.2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2:19" ht="14.2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2:19" ht="14.2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2:19" ht="14.2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2:19" ht="14.2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2:19" ht="14.2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2:19" ht="14.2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2:19" ht="14.2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2:19" ht="14.2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2:19" ht="14.2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2:19" ht="14.2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2:19" ht="14.2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2:19" ht="14.2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2:19" ht="14.2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2:19" ht="14.2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2:19" ht="14.2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2:19" ht="14.2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2:19" ht="14.2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2:19" ht="14.2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2:19" ht="14.2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2:19" ht="14.2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2:19" ht="14.2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2:19" ht="14.2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2:19" ht="14.2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2:19" ht="14.2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2:19" ht="14.2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2:19" ht="14.2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2:19" ht="14.2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2:19" ht="14.2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2:19" ht="14.2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2:19" ht="14.2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2:19" ht="14.2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2:19" ht="14.2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2:19" ht="14.2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2:19" ht="14.2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2:19" ht="14.2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2:19" ht="14.2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2:19" ht="14.2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2:19" ht="14.2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2:19" ht="14.2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2:19" ht="14.2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2:19" ht="14.2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2:19" ht="14.2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2:19" ht="14.2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2:19" ht="14.2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2:19" ht="14.2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2:19" ht="14.2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2:19" ht="14.2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2:19" ht="14.2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2:19" ht="14.2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2:19" ht="14.2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2:19" ht="14.2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2:19" ht="14.2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2:19" ht="14.2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2:19" ht="14.2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2:19" ht="14.2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2:19" ht="14.2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2:19" ht="14.2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2:19" ht="14.2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2:19" ht="14.2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2:19" ht="14.2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2:19" ht="14.2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2:19" ht="14.2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2:19" ht="14.2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2:19" ht="14.2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2:19" ht="14.2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2:19" ht="14.2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2:19" ht="14.2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2:19" ht="14.2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2:19" ht="14.2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2:19" ht="14.2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2:19" ht="14.2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2:19" ht="14.2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2:19" ht="14.2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2:19" ht="14.2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2:19" ht="14.2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2:19" ht="14.2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2:19" ht="14.2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2:19" ht="14.2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2:19" ht="14.2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2:19" ht="14.2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2:19" ht="14.2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2:19" ht="14.2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2:19" ht="14.2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2:19" ht="14.2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2:19" ht="14.2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2:19" ht="14.2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2:19" ht="14.2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2:19" ht="14.2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2:19" ht="14.2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2:19" ht="14.2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2:19" ht="14.2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2:19" ht="14.2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2:19" ht="14.2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2:19" ht="14.2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2:19" ht="14.2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2:19" ht="14.2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2:19" ht="14.2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2:19" ht="14.2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2:19" ht="14.2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2:19" ht="14.2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2:19" ht="14.2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2:19" ht="14.2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2:19" ht="14.2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2:19" ht="14.2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2:19" ht="14.2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2:19" ht="14.2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2:19" ht="14.2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2:19" ht="14.2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2:19" ht="14.2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2:19" ht="14.2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2:19" ht="14.2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2:19" ht="14.2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2:19" ht="14.2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2:19" ht="14.2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2:19" ht="14.2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2:19" ht="14.2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2:19" ht="14.2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2:19" ht="14.2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2:19" ht="14.2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2:19" ht="14.2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2:19" ht="14.2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2:19" ht="14.2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2:19" ht="14.2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2:19" ht="14.2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2:19" ht="14.2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2:19" ht="14.2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2:19" ht="14.2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2:19" ht="14.2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2:19" ht="14.2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2:19" ht="14.2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2:19" ht="14.2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2:19" ht="14.2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2:19" ht="14.2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2:19" ht="14.2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2:19" ht="14.2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2:19" ht="14.2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2:19" ht="14.2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2:19" ht="14.2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2:19" ht="14.2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2:19" ht="14.2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2:19" ht="14.2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2:19" ht="14.2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2:19" ht="14.2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2:19" ht="14.2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2:19" ht="14.2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2:19" ht="14.2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2:19" ht="14.2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2:19" ht="14.2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2:19" ht="14.2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2:19" ht="14.2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2:19" ht="14.2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2:19" ht="14.2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2:19" ht="14.2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2:19" ht="14.2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2:19" ht="14.2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2:19" ht="14.2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2:19" ht="14.2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2:19" ht="14.2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2:19" ht="14.2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2:19" ht="14.2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2:19" ht="14.2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2:19" ht="14.2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2:19" ht="14.2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2:19" ht="14.2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2:19" ht="14.2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2:19" ht="14.2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2:19" ht="14.2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2:19" ht="14.2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2:19" ht="14.2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2:19" ht="14.2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2:19" ht="14.2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2:19" ht="14.2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2:19" ht="14.2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2:19" ht="14.2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2:19" ht="14.2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2:19" ht="14.2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2:19" ht="14.2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2:19" ht="14.2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2:19" ht="14.2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2:19" ht="14.2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2:19" ht="14.2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2:19" ht="14.2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2:19" ht="14.2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2:19" ht="14.2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2:19" ht="14.2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2:19" ht="14.2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2:19" ht="14.2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2:19" ht="14.2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2:19" ht="14.2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2:19" ht="14.2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2:19" ht="14.2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2:19" ht="14.2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2:19" ht="14.2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2:19" ht="14.2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2:19" ht="14.2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2:19" ht="14.2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2:19" ht="14.2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2:19" ht="14.2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2:19" ht="14.2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2:19" ht="14.2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2:19" ht="14.2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2:19" ht="14.2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2:19" ht="14.2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2:19" ht="14.2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2:19" ht="14.2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2:19" ht="14.2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2:19" ht="14.2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2:19" ht="14.2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2:19" ht="14.2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2:19" ht="14.2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2:19" ht="14.2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2:19" ht="14.2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2:19" ht="14.2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2:19" ht="14.2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2:19" ht="14.2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2:19" ht="14.2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2:19" ht="14.2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2:19" ht="14.2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2:19" ht="14.2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2:19" ht="14.2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2:19" ht="14.2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2:19" ht="14.2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2:19" ht="14.2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2:19" ht="14.2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2:19" ht="14.2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2:19" ht="14.2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2:19" ht="14.2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2:19" ht="14.2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2:19" ht="14.2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2:19" ht="14.2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2:19" ht="14.2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2:19" ht="14.2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2:19" ht="14.2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2:19" ht="14.2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2:19" ht="14.2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2:19" ht="14.2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2:19" ht="14.2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2:19" ht="14.2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2:19" ht="14.2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2:19" ht="14.2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2:19" ht="14.2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2:19" ht="14.2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2:19" ht="14.2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2:19" ht="14.2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2:19" ht="14.2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2:19" ht="14.2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2:19" ht="14.2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2:19" ht="14.2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2:19" ht="14.2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2:19" ht="14.2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2:19" ht="14.2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2:19" ht="14.2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2:19" ht="14.2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2:19" ht="14.2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2:19" ht="14.2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2:19" ht="14.2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2:19" ht="14.2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2:19" ht="14.2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2:19" ht="14.2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2:19" ht="14.2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2:19" ht="14.2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2:19" ht="14.2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2:19" ht="14.2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2:19" ht="14.2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2:19" ht="14.2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2:19" ht="14.2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2:19" ht="14.2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2:19" ht="14.2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2:19" ht="14.2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2:19" ht="14.2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2:19" ht="14.2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2:19" ht="14.2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2:19" ht="14.2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2:19" ht="14.2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2:19" ht="14.2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2:19" ht="14.2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2:19" ht="14.2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2:19" ht="14.2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2:19" ht="14.2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2:19" ht="14.2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2:19" ht="14.2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2:19" ht="14.2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2:19" ht="14.2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2:19" ht="14.2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2:19" ht="14.2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2:19" ht="14.2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2:19" ht="14.2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2:19" ht="14.2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2:19" ht="14.2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2:19" ht="14.2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2:19" ht="14.2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2:19" ht="14.2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2:19" ht="14.2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2:19" ht="14.2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2:19" ht="14.2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2:19" ht="14.2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2:19" ht="14.2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2:19" ht="14.2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2:19" ht="14.2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2:19" ht="14.2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2:19" ht="14.2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2:19" ht="14.2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2:19" ht="14.2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2:19" ht="14.2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2:19" ht="14.2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2:19" ht="14.2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2:19" ht="14.2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2:19" ht="14.2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2:19" ht="14.2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2:19" ht="14.2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2:19" ht="14.2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2:19" ht="14.2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2:19" ht="14.2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2:19" ht="14.2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2:19" ht="14.2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2:19" ht="14.2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2:19" ht="14.2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2:19" ht="14.2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2:19" ht="14.2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2:19" ht="14.2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2:19" ht="14.2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2:19" ht="14.2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2:19" ht="14.2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2:19" ht="14.2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2:19" ht="14.2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2:19" ht="14.2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2:19" ht="14.2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2:19" ht="14.2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2:19" ht="14.2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2:19" ht="14.2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2:19" ht="14.2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2:19" ht="14.2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2:19" ht="14.2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2:19" ht="14.2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2:19" ht="14.2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2:19" ht="14.2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2:19" ht="14.2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2:19" ht="14.2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2:19" ht="14.2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2:19" ht="14.2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2:19" ht="14.2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2:19" ht="14.2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2:19" ht="14.2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2:19" ht="14.2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2:19" ht="14.2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2:19" ht="14.2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2:19" ht="14.2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2:19" ht="14.2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2:19" ht="14.2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2:19" ht="14.2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2:19" ht="14.2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2:19" ht="14.2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2:19" ht="14.2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2:19" ht="14.2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2:19" ht="14.2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2:19" ht="14.2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2:19" ht="14.2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2:19" ht="14.2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2:19" ht="14.2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2:19" ht="14.2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2:19" ht="14.2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2:19" ht="14.2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2:19" ht="14.2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2:19" ht="14.2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2:19" ht="14.2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2:19" ht="14.2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2:19" ht="14.2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2:19" ht="14.2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2:19" ht="14.2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2:19" ht="14.2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2:19" ht="14.2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2:19" ht="14.2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2:19" ht="14.2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2:19" ht="14.2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2:19" ht="14.2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2:19" ht="14.2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2:19" ht="14.2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2:19" ht="14.2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2:19" ht="14.2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2:19" ht="14.2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2:19" ht="14.2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2:19" ht="14.2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2:19" ht="14.2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2:19" ht="14.2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2:19" ht="14.2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2:19" ht="14.2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2:19" ht="14.2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2:19" ht="14.2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2:19" ht="14.2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2:19" ht="14.2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2:19" ht="14.2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2:19" ht="14.2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2:19" ht="14.2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2:19" ht="14.2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2:19" ht="14.2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2:19" ht="14.2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2:19" ht="14.2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2:19" ht="14.2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2:19" ht="14.2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2:19" ht="14.2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2:19" ht="14.2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2:19" ht="14.2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2:19" ht="14.2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2:19" ht="14.2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2:19" ht="14.2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2:19" ht="14.2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2:19" ht="14.2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2:19" ht="14.2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2:19" ht="14.2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2:19" ht="14.2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2:19" ht="14.2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2:19" ht="14.2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2:19" ht="14.2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2:19" ht="14.2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2:19" ht="14.2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2:19" ht="14.2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2:19" ht="14.2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2:19" ht="14.2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2:19" ht="14.2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2:19" ht="14.2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2:19" ht="14.2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2:19" ht="14.2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2:19" ht="14.2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2:19" ht="14.2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2:19" ht="14.2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2:19" ht="14.2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2:19" ht="14.2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2:19" ht="14.2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2:19" ht="14.2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2:19" ht="14.2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2:19" ht="14.2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2:19" ht="14.2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2:19" ht="14.2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2:19" ht="14.2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2:19" ht="14.2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2:19" ht="14.2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2:19" ht="14.2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2:19" ht="14.2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2:19" ht="14.2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2:19" ht="14.2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2:19" ht="14.2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2:19" ht="14.2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2:19" ht="14.2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2:19" ht="14.2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2:19" ht="14.2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2:19" ht="14.2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2:19" ht="14.2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2:19" ht="14.2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2:19" ht="14.2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2:19" ht="14.2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2:19" ht="14.2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2:19" ht="14.2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2:19" ht="14.2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2:19" ht="14.2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2:19" ht="14.2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2:19" ht="14.2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2:19" ht="14.2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2:19" ht="14.2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2:19" ht="14.2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2:19" ht="14.2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2:19" ht="14.2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2:19" ht="14.2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2:19" ht="14.2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2:19" ht="14.2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2:19" ht="14.2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2:19" ht="14.2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2:19" ht="14.2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2:19" ht="14.2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2:19" ht="14.2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2:19" ht="14.2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2:19" ht="14.2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2:19" ht="14.2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2:19" ht="14.2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2:19" ht="14.2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2:19" ht="14.2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2:19" ht="14.2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2:19" ht="14.2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2:19" ht="14.2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2:19" ht="14.2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2:19" ht="14.2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2:19" ht="14.2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2:19" ht="14.2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2:19" ht="14.2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2:19" ht="14.2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2:19" ht="14.2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2:19" ht="14.2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2:19" ht="14.2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2:19" ht="14.2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2:19" ht="14.2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2:19" ht="14.2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2:19" ht="14.2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2:19" ht="14.2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2:19" ht="14.2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2:19" ht="14.2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2:19" ht="14.2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2:19" ht="14.2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2:19" ht="14.2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2:19" ht="14.2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2:19" ht="14.2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2:19" ht="14.2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2:19" ht="14.2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2:19" ht="14.2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2:19" ht="14.2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2:19" ht="14.2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2:19" ht="14.2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2:19" ht="14.2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2:19" ht="14.2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2:19" ht="14.2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2:19" ht="14.2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2:19" ht="14.2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2:19" ht="14.2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2:19" ht="14.2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2:19" ht="14.2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2:19" ht="14.2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2:19" ht="14.2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2:19" ht="14.2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2:19" ht="14.2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2:19" ht="14.2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2:19" ht="14.2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2:19" ht="14.2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2:19" ht="14.2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2:19" ht="14.2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2:19" ht="14.2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2:19" ht="14.2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2:19" ht="14.2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2:19" ht="14.2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2:19" ht="14.2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2:19" ht="14.2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2:19" ht="14.2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2:19" ht="14.2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2:19" ht="14.2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2:19" ht="14.2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2:19" ht="14.2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2:19" ht="14.2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2:19" ht="14.2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2:19" ht="14.2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2:19" ht="14.2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2:19" ht="14.2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2:19" ht="14.2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2:19" ht="14.2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2:19" ht="14.2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2:19" ht="14.2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2:19" ht="14.2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2:19" ht="14.2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2:19" ht="14.2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2:19" ht="14.2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2:19" ht="14.2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2:19" ht="14.2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2:19" ht="14.2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2:19" ht="14.2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2:19" ht="14.2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2:19" ht="14.2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2:19" ht="14.2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2:19" ht="14.2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2:19" ht="14.2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2:19" ht="14.2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2:19" ht="14.2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2:19" ht="14.2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2:19" ht="14.2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2:19" ht="14.2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2:19" ht="14.2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2:19" ht="14.2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2:19" ht="14.2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2:19" ht="14.2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2:19" ht="14.2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2:19" ht="14.2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2:19" ht="14.2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2:19" ht="14.2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2:19" ht="14.2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2:19" ht="14.2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2:19" ht="14.2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2:19" ht="14.2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2:19" ht="14.2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2:19" ht="14.2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2:19" ht="14.2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2:19" ht="14.2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2:19" ht="14.2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2:19" ht="14.2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2:19" ht="14.2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2:19" ht="14.2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2:19" ht="14.2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2:19" ht="14.2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2:19" ht="14.2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2:19" ht="14.2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2:19" ht="14.2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2:19" ht="14.2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2:19" ht="14.2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2:19" ht="14.2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2:19" ht="14.2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2:19" ht="14.2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2:19" ht="14.2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2:19" ht="14.2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2:19" ht="14.2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2:19" ht="14.2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2:19" ht="14.2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2:19" ht="14.2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2:19" ht="14.2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2:19" ht="14.2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2:19" ht="14.2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2:19" ht="14.2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2:19" ht="14.2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2:19" ht="14.2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2:19" ht="14.2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2:19" ht="14.2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2:19" ht="14.2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2:19" ht="14.2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2:19" ht="14.2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2:19" ht="14.2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2:19" ht="14.2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2:19" ht="14.2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2:19" ht="14.2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2:19" ht="14.2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2:19" ht="14.2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2:19" ht="14.2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2:19" ht="14.2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2:19" ht="14.2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2:19" ht="14.2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2:19" ht="14.2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2:19" ht="14.2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2:19" ht="14.2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2:19" ht="14.2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2:19" ht="14.2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2:19" ht="14.2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2:19" ht="14.2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2:19" ht="14.2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2:19" ht="14.2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2:19" ht="14.2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2:19" ht="14.2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2:19" ht="14.2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2:19" ht="14.2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2:19" ht="14.2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2:19" ht="14.2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2:19" ht="14.2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2:19" ht="14.2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2:19" ht="14.2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2:19" ht="14.2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2:19" ht="14.2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2:19" ht="14.2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2:19" ht="14.2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2:19" ht="14.2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2:19" ht="14.2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2:19" ht="14.2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2:19" ht="14.2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2:19" ht="14.2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2:19" ht="14.2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2:19" ht="14.2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2:19" ht="14.2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2:19" ht="14.2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2:19" ht="14.2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2:19" ht="14.2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2:19" ht="14.2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2:19" ht="14.2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2:19" ht="14.2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2:19" ht="14.2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2:19" ht="14.2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2:19" ht="14.2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2:19" ht="14.2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2:19" ht="14.2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2:19" ht="14.2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2:19" ht="14.2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2:19" ht="14.2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2:19" ht="14.2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2:19" ht="14.2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2:19" ht="14.2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2:19" ht="14.2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2:19" ht="14.2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2:19" ht="14.2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2:19" ht="14.2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2:19" ht="14.2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2:19" ht="14.2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2:19" ht="14.2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2:19" ht="14.2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2:19" ht="14.2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2:19" ht="14.2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2:19" ht="14.2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2:19" ht="14.2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2:19" ht="14.2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2:19" ht="14.2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2:19" ht="14.2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2:19" ht="14.2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2:19" ht="14.2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2:19" ht="14.2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2:19" ht="14.2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2:19" ht="14.2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</sheetData>
  <mergeCells count="29">
    <mergeCell ref="B3:B6"/>
    <mergeCell ref="B10:B15"/>
    <mergeCell ref="B2:S2"/>
    <mergeCell ref="C3:S3"/>
    <mergeCell ref="C4:S4"/>
    <mergeCell ref="C5:S5"/>
    <mergeCell ref="C6:S6"/>
    <mergeCell ref="C7:S7"/>
    <mergeCell ref="B9:S9"/>
    <mergeCell ref="C10:S10"/>
    <mergeCell ref="C11:S11"/>
    <mergeCell ref="C12:S12"/>
    <mergeCell ref="C13:S13"/>
    <mergeCell ref="C14:S14"/>
    <mergeCell ref="C15:S15"/>
    <mergeCell ref="C16:S16"/>
    <mergeCell ref="B26:S26"/>
    <mergeCell ref="B27:S27"/>
    <mergeCell ref="B28:S28"/>
    <mergeCell ref="B29:S29"/>
    <mergeCell ref="B30:S30"/>
    <mergeCell ref="B31:S31"/>
    <mergeCell ref="B18:S18"/>
    <mergeCell ref="B19:S19"/>
    <mergeCell ref="B20:S20"/>
    <mergeCell ref="B21:S21"/>
    <mergeCell ref="B22:S22"/>
    <mergeCell ref="B24:S24"/>
    <mergeCell ref="B25:S25"/>
  </mergeCells>
  <phoneticPr fontId="30" type="noConversion"/>
  <pageMargins left="0.70866141732283472" right="0.70866141732283472" top="0.74803149606299213" bottom="0.74803149606299213" header="0" footer="0"/>
  <pageSetup paperSize="9" scale="50" orientation="landscape" r:id="rId1"/>
  <headerFooter>
    <oddHeader>&amp;A</oddHeader>
    <oddFooter>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72"/>
  <sheetViews>
    <sheetView topLeftCell="A64" workbookViewId="0">
      <pane xSplit="4" topLeftCell="E1" activePane="topRight" state="frozen"/>
      <selection pane="topRight" activeCell="F95" sqref="F95"/>
    </sheetView>
  </sheetViews>
  <sheetFormatPr defaultColWidth="12.625" defaultRowHeight="15" customHeight="1"/>
  <cols>
    <col min="1" max="1" width="7.625" customWidth="1"/>
    <col min="2" max="2" width="9.25" bestFit="1" customWidth="1"/>
    <col min="3" max="3" width="17.5" bestFit="1" customWidth="1"/>
    <col min="4" max="4" width="12.375" customWidth="1"/>
    <col min="5" max="5" width="7.375" bestFit="1" customWidth="1"/>
    <col min="6" max="6" width="15" bestFit="1" customWidth="1"/>
    <col min="7" max="7" width="7.375" bestFit="1" customWidth="1"/>
    <col min="8" max="8" width="17.5" bestFit="1" customWidth="1"/>
    <col min="9" max="9" width="7.75" bestFit="1" customWidth="1"/>
    <col min="10" max="10" width="18.875" bestFit="1" customWidth="1"/>
    <col min="11" max="11" width="7.375" bestFit="1" customWidth="1"/>
    <col min="12" max="12" width="15" bestFit="1" customWidth="1"/>
    <col min="13" max="13" width="7.375" bestFit="1" customWidth="1"/>
    <col min="14" max="14" width="15" bestFit="1" customWidth="1"/>
    <col min="15" max="15" width="7.375" bestFit="1" customWidth="1"/>
    <col min="16" max="16" width="17.5" bestFit="1" customWidth="1"/>
    <col min="17" max="17" width="7.375" bestFit="1" customWidth="1"/>
    <col min="18" max="18" width="15" bestFit="1" customWidth="1"/>
    <col min="19" max="19" width="7.375" bestFit="1" customWidth="1"/>
    <col min="20" max="20" width="15" bestFit="1" customWidth="1"/>
    <col min="21" max="21" width="7.375" bestFit="1" customWidth="1"/>
    <col min="22" max="22" width="15" bestFit="1" customWidth="1"/>
    <col min="23" max="23" width="12.75" customWidth="1"/>
    <col min="24" max="25" width="7.625" customWidth="1"/>
    <col min="26" max="26" width="19.875" customWidth="1"/>
  </cols>
  <sheetData>
    <row r="1" spans="2:22" ht="14.25" customHeight="1">
      <c r="E1" s="119" t="s">
        <v>0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2:22" ht="14.25"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2:22" ht="18">
      <c r="B3" s="3"/>
      <c r="C3" s="4"/>
      <c r="D3" s="5"/>
      <c r="E3" s="120" t="s">
        <v>3</v>
      </c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</row>
    <row r="4" spans="2:22" ht="16.5">
      <c r="B4" s="121" t="s">
        <v>5</v>
      </c>
      <c r="C4" s="111" t="s">
        <v>7</v>
      </c>
      <c r="D4" s="112" t="s">
        <v>8</v>
      </c>
      <c r="E4" s="105" t="s">
        <v>11</v>
      </c>
      <c r="F4" s="95"/>
      <c r="G4" s="105" t="s">
        <v>12</v>
      </c>
      <c r="H4" s="95"/>
      <c r="I4" s="106" t="s">
        <v>13</v>
      </c>
      <c r="J4" s="95"/>
      <c r="K4" s="113" t="s">
        <v>16</v>
      </c>
      <c r="L4" s="95"/>
      <c r="M4" s="114" t="s">
        <v>18</v>
      </c>
      <c r="N4" s="95"/>
      <c r="O4" s="115" t="s">
        <v>21</v>
      </c>
      <c r="P4" s="95"/>
      <c r="Q4" s="116" t="s">
        <v>24</v>
      </c>
      <c r="R4" s="95"/>
      <c r="S4" s="117" t="s">
        <v>25</v>
      </c>
      <c r="T4" s="95"/>
      <c r="U4" s="122" t="s">
        <v>28</v>
      </c>
      <c r="V4" s="95"/>
    </row>
    <row r="5" spans="2:22" ht="16.5">
      <c r="B5" s="101"/>
      <c r="C5" s="101"/>
      <c r="D5" s="101"/>
      <c r="E5" s="10" t="s">
        <v>19</v>
      </c>
      <c r="F5" s="10" t="s">
        <v>4</v>
      </c>
      <c r="G5" s="10" t="s">
        <v>19</v>
      </c>
      <c r="H5" s="10" t="s">
        <v>4</v>
      </c>
      <c r="I5" s="13" t="s">
        <v>19</v>
      </c>
      <c r="J5" s="13" t="s">
        <v>4</v>
      </c>
      <c r="K5" s="15" t="s">
        <v>19</v>
      </c>
      <c r="L5" s="15" t="s">
        <v>4</v>
      </c>
      <c r="M5" s="18" t="s">
        <v>19</v>
      </c>
      <c r="N5" s="18" t="s">
        <v>4</v>
      </c>
      <c r="O5" s="20" t="s">
        <v>19</v>
      </c>
      <c r="P5" s="20" t="s">
        <v>4</v>
      </c>
      <c r="Q5" s="21" t="s">
        <v>19</v>
      </c>
      <c r="R5" s="21" t="s">
        <v>4</v>
      </c>
      <c r="S5" s="22" t="s">
        <v>19</v>
      </c>
      <c r="T5" s="22" t="s">
        <v>4</v>
      </c>
      <c r="U5" s="23" t="s">
        <v>19</v>
      </c>
      <c r="V5" s="23" t="s">
        <v>4</v>
      </c>
    </row>
    <row r="6" spans="2:22" ht="16.5">
      <c r="B6" s="108" t="s">
        <v>27</v>
      </c>
      <c r="C6" s="12" t="s">
        <v>30</v>
      </c>
      <c r="D6" s="12"/>
      <c r="E6" s="10">
        <v>0</v>
      </c>
      <c r="F6" s="24" t="s">
        <v>48</v>
      </c>
      <c r="G6" s="24">
        <v>1</v>
      </c>
      <c r="H6" s="10" t="s">
        <v>51</v>
      </c>
      <c r="I6" s="13"/>
      <c r="J6" s="25" t="s">
        <v>52</v>
      </c>
      <c r="K6" s="26"/>
      <c r="L6" s="26" t="s">
        <v>58</v>
      </c>
      <c r="M6" s="27"/>
      <c r="N6" s="28" t="s">
        <v>52</v>
      </c>
      <c r="O6" s="29"/>
      <c r="P6" s="29" t="s">
        <v>48</v>
      </c>
      <c r="Q6" s="21"/>
      <c r="R6" s="30" t="s">
        <v>48</v>
      </c>
      <c r="S6" s="22"/>
      <c r="T6" s="22" t="s">
        <v>52</v>
      </c>
      <c r="U6" s="23"/>
      <c r="V6" s="31" t="s">
        <v>52</v>
      </c>
    </row>
    <row r="7" spans="2:22" ht="27">
      <c r="B7" s="100"/>
      <c r="C7" s="12" t="s">
        <v>40</v>
      </c>
      <c r="D7" s="12"/>
      <c r="E7" s="10">
        <v>0</v>
      </c>
      <c r="F7" s="10" t="s">
        <v>48</v>
      </c>
      <c r="G7" s="24">
        <v>1</v>
      </c>
      <c r="H7" s="10" t="s">
        <v>51</v>
      </c>
      <c r="I7" s="13"/>
      <c r="J7" s="83" t="s">
        <v>218</v>
      </c>
      <c r="K7" s="26"/>
      <c r="L7" s="26" t="s">
        <v>72</v>
      </c>
      <c r="M7" s="27"/>
      <c r="N7" s="18" t="s">
        <v>48</v>
      </c>
      <c r="O7" s="29"/>
      <c r="P7" s="29" t="s">
        <v>74</v>
      </c>
      <c r="Q7" s="21"/>
      <c r="R7" s="30" t="s">
        <v>48</v>
      </c>
      <c r="S7" s="22"/>
      <c r="T7" s="22" t="s">
        <v>52</v>
      </c>
      <c r="U7" s="23"/>
      <c r="V7" s="31" t="s">
        <v>52</v>
      </c>
    </row>
    <row r="8" spans="2:22" ht="16.5">
      <c r="B8" s="100"/>
      <c r="C8" s="12" t="s">
        <v>49</v>
      </c>
      <c r="D8" s="12"/>
      <c r="E8" s="10">
        <v>0</v>
      </c>
      <c r="F8" s="10" t="s">
        <v>48</v>
      </c>
      <c r="G8" s="24">
        <v>1</v>
      </c>
      <c r="H8" s="10" t="s">
        <v>51</v>
      </c>
      <c r="I8" s="13"/>
      <c r="J8" s="25" t="s">
        <v>52</v>
      </c>
      <c r="K8" s="26"/>
      <c r="L8" s="26" t="s">
        <v>72</v>
      </c>
      <c r="M8" s="27"/>
      <c r="N8" s="28" t="s">
        <v>52</v>
      </c>
      <c r="O8" s="29"/>
      <c r="P8" s="29" t="s">
        <v>74</v>
      </c>
      <c r="Q8" s="21"/>
      <c r="R8" s="30" t="s">
        <v>48</v>
      </c>
      <c r="S8" s="22"/>
      <c r="T8" s="22" t="s">
        <v>52</v>
      </c>
      <c r="U8" s="23"/>
      <c r="V8" s="31" t="s">
        <v>52</v>
      </c>
    </row>
    <row r="9" spans="2:22" ht="16.5">
      <c r="B9" s="100"/>
      <c r="C9" s="12" t="s">
        <v>54</v>
      </c>
      <c r="D9" s="12"/>
      <c r="E9" s="10">
        <v>0</v>
      </c>
      <c r="F9" s="10" t="s">
        <v>48</v>
      </c>
      <c r="G9" s="24">
        <v>1</v>
      </c>
      <c r="H9" s="10" t="s">
        <v>51</v>
      </c>
      <c r="I9" s="13"/>
      <c r="J9" s="32" t="s">
        <v>48</v>
      </c>
      <c r="K9" s="26"/>
      <c r="L9" s="26" t="s">
        <v>72</v>
      </c>
      <c r="M9" s="27"/>
      <c r="N9" s="18" t="s">
        <v>48</v>
      </c>
      <c r="O9" s="29"/>
      <c r="P9" s="29" t="s">
        <v>48</v>
      </c>
      <c r="Q9" s="21"/>
      <c r="R9" s="30" t="s">
        <v>48</v>
      </c>
      <c r="S9" s="22"/>
      <c r="T9" s="22" t="s">
        <v>52</v>
      </c>
      <c r="U9" s="23"/>
      <c r="V9" s="31" t="s">
        <v>48</v>
      </c>
    </row>
    <row r="10" spans="2:22" ht="16.5">
      <c r="B10" s="100"/>
      <c r="C10" s="12" t="s">
        <v>62</v>
      </c>
      <c r="D10" s="12"/>
      <c r="E10" s="10">
        <v>0</v>
      </c>
      <c r="F10" s="24" t="s">
        <v>48</v>
      </c>
      <c r="G10" s="24">
        <v>1</v>
      </c>
      <c r="H10" s="24" t="s">
        <v>51</v>
      </c>
      <c r="I10" s="13"/>
      <c r="J10" s="32" t="s">
        <v>48</v>
      </c>
      <c r="K10" s="26"/>
      <c r="L10" s="26" t="s">
        <v>72</v>
      </c>
      <c r="M10" s="27"/>
      <c r="N10" s="18" t="s">
        <v>48</v>
      </c>
      <c r="O10" s="29"/>
      <c r="P10" s="29" t="s">
        <v>74</v>
      </c>
      <c r="Q10" s="21"/>
      <c r="R10" s="30" t="s">
        <v>48</v>
      </c>
      <c r="S10" s="22"/>
      <c r="T10" s="22" t="s">
        <v>48</v>
      </c>
      <c r="U10" s="23"/>
      <c r="V10" s="31" t="s">
        <v>48</v>
      </c>
    </row>
    <row r="11" spans="2:22" ht="16.5">
      <c r="B11" s="100"/>
      <c r="C11" s="12" t="s">
        <v>66</v>
      </c>
      <c r="D11" s="12"/>
      <c r="E11" s="24">
        <v>0</v>
      </c>
      <c r="F11" s="24" t="s">
        <v>48</v>
      </c>
      <c r="G11" s="24">
        <v>1</v>
      </c>
      <c r="H11" s="24" t="s">
        <v>51</v>
      </c>
      <c r="I11" s="13"/>
      <c r="J11" s="25" t="s">
        <v>91</v>
      </c>
      <c r="K11" s="26"/>
      <c r="L11" s="26" t="s">
        <v>93</v>
      </c>
      <c r="M11" s="27"/>
      <c r="N11" s="18" t="s">
        <v>58</v>
      </c>
      <c r="O11" s="29"/>
      <c r="P11" s="29" t="s">
        <v>74</v>
      </c>
      <c r="Q11" s="21"/>
      <c r="R11" s="30" t="s">
        <v>58</v>
      </c>
      <c r="S11" s="22"/>
      <c r="T11" s="22" t="s">
        <v>52</v>
      </c>
      <c r="U11" s="23"/>
      <c r="V11" s="31" t="s">
        <v>52</v>
      </c>
    </row>
    <row r="12" spans="2:22" ht="16.5">
      <c r="B12" s="100"/>
      <c r="C12" s="12" t="s">
        <v>75</v>
      </c>
      <c r="D12" s="12"/>
      <c r="E12" s="10">
        <v>0</v>
      </c>
      <c r="F12" s="10" t="s">
        <v>48</v>
      </c>
      <c r="G12" s="24">
        <v>1</v>
      </c>
      <c r="H12" s="10" t="s">
        <v>51</v>
      </c>
      <c r="I12" s="13"/>
      <c r="J12" s="32" t="s">
        <v>48</v>
      </c>
      <c r="K12" s="26"/>
      <c r="L12" s="26" t="s">
        <v>72</v>
      </c>
      <c r="M12" s="27"/>
      <c r="N12" s="18" t="s">
        <v>72</v>
      </c>
      <c r="O12" s="29"/>
      <c r="P12" s="29" t="s">
        <v>74</v>
      </c>
      <c r="Q12" s="21"/>
      <c r="R12" s="30" t="s">
        <v>48</v>
      </c>
      <c r="S12" s="22"/>
      <c r="T12" s="22" t="s">
        <v>48</v>
      </c>
      <c r="U12" s="23"/>
      <c r="V12" s="31" t="s">
        <v>52</v>
      </c>
    </row>
    <row r="13" spans="2:22" ht="16.5">
      <c r="B13" s="100"/>
      <c r="C13" s="12" t="s">
        <v>78</v>
      </c>
      <c r="D13" s="12"/>
      <c r="E13" s="24">
        <v>0</v>
      </c>
      <c r="F13" s="24" t="s">
        <v>48</v>
      </c>
      <c r="G13" s="24">
        <v>1</v>
      </c>
      <c r="H13" s="24" t="s">
        <v>51</v>
      </c>
      <c r="I13" s="13"/>
      <c r="J13" s="25" t="s">
        <v>91</v>
      </c>
      <c r="K13" s="26"/>
      <c r="L13" s="26" t="s">
        <v>93</v>
      </c>
      <c r="M13" s="27"/>
      <c r="N13" s="18" t="s">
        <v>93</v>
      </c>
      <c r="O13" s="29"/>
      <c r="P13" s="29" t="s">
        <v>74</v>
      </c>
      <c r="Q13" s="21"/>
      <c r="R13" s="30" t="s">
        <v>58</v>
      </c>
      <c r="S13" s="22"/>
      <c r="T13" s="22" t="s">
        <v>52</v>
      </c>
      <c r="U13" s="23"/>
      <c r="V13" s="31" t="s">
        <v>58</v>
      </c>
    </row>
    <row r="14" spans="2:22" ht="16.5">
      <c r="B14" s="101"/>
      <c r="C14" s="33" t="s">
        <v>81</v>
      </c>
      <c r="D14" s="33"/>
      <c r="E14" s="10">
        <v>0</v>
      </c>
      <c r="F14" s="24" t="s">
        <v>48</v>
      </c>
      <c r="G14" s="24">
        <v>1</v>
      </c>
      <c r="H14" s="24" t="s">
        <v>51</v>
      </c>
      <c r="I14" s="13"/>
      <c r="J14" s="32" t="s">
        <v>48</v>
      </c>
      <c r="K14" s="26"/>
      <c r="L14" s="26" t="s">
        <v>48</v>
      </c>
      <c r="M14" s="27"/>
      <c r="N14" s="18" t="s">
        <v>48</v>
      </c>
      <c r="O14" s="29"/>
      <c r="P14" s="29" t="s">
        <v>48</v>
      </c>
      <c r="Q14" s="21"/>
      <c r="R14" s="30" t="s">
        <v>48</v>
      </c>
      <c r="S14" s="22"/>
      <c r="T14" s="22" t="s">
        <v>48</v>
      </c>
      <c r="U14" s="23"/>
      <c r="V14" s="31" t="s">
        <v>48</v>
      </c>
    </row>
    <row r="15" spans="2:22" ht="16.5">
      <c r="B15" s="118" t="s">
        <v>107</v>
      </c>
      <c r="C15" s="34" t="str">
        <f>HYPERLINK("https://cn.classic.wowhead.com/item=18703","遠古石葉")</f>
        <v>遠古石葉</v>
      </c>
      <c r="D15" s="35">
        <v>1550</v>
      </c>
      <c r="E15" s="10"/>
      <c r="F15" s="24" t="s">
        <v>112</v>
      </c>
      <c r="G15" s="10"/>
      <c r="H15" s="24" t="s">
        <v>112</v>
      </c>
      <c r="I15" s="13"/>
      <c r="J15" s="25" t="s">
        <v>112</v>
      </c>
      <c r="K15" s="26"/>
      <c r="L15" s="26" t="s">
        <v>114</v>
      </c>
      <c r="M15" s="18"/>
      <c r="N15" s="28" t="s">
        <v>112</v>
      </c>
      <c r="O15" s="20"/>
      <c r="P15" s="29" t="s">
        <v>112</v>
      </c>
      <c r="Q15" s="21"/>
      <c r="R15" s="30" t="s">
        <v>112</v>
      </c>
      <c r="S15" s="22"/>
      <c r="T15" s="36" t="s">
        <v>112</v>
      </c>
      <c r="U15" s="23"/>
      <c r="V15" s="31" t="s">
        <v>112</v>
      </c>
    </row>
    <row r="16" spans="2:22" ht="16.5">
      <c r="B16" s="101"/>
      <c r="C16" s="34" t="str">
        <f>HYPERLINK("https://cn.classic.wowhead.com/item=18646","神聖之眼")</f>
        <v>神聖之眼</v>
      </c>
      <c r="D16" s="35">
        <v>1550</v>
      </c>
      <c r="E16" s="10"/>
      <c r="F16" s="24" t="s">
        <v>112</v>
      </c>
      <c r="G16" s="10"/>
      <c r="H16" s="24" t="s">
        <v>112</v>
      </c>
      <c r="I16" s="13"/>
      <c r="J16" s="25" t="s">
        <v>112</v>
      </c>
      <c r="K16" s="15"/>
      <c r="L16" s="26" t="s">
        <v>112</v>
      </c>
      <c r="M16" s="27"/>
      <c r="N16" s="18" t="s">
        <v>48</v>
      </c>
      <c r="O16" s="20"/>
      <c r="P16" s="29" t="s">
        <v>112</v>
      </c>
      <c r="Q16" s="21"/>
      <c r="R16" s="30" t="s">
        <v>112</v>
      </c>
      <c r="S16" s="22"/>
      <c r="T16" s="36" t="s">
        <v>112</v>
      </c>
      <c r="U16" s="23"/>
      <c r="V16" s="31" t="s">
        <v>112</v>
      </c>
    </row>
    <row r="17" spans="2:22" ht="16.5">
      <c r="B17" s="109" t="s">
        <v>96</v>
      </c>
      <c r="C17" s="34" t="str">
        <f>HYPERLINK("https://cn.classic.wowhead.com/item=17109","啟示項鏈")</f>
        <v>啟示項鏈</v>
      </c>
      <c r="D17" s="34"/>
      <c r="E17" s="10"/>
      <c r="F17" s="24" t="s">
        <v>112</v>
      </c>
      <c r="G17" s="10"/>
      <c r="H17" s="24" t="s">
        <v>112</v>
      </c>
      <c r="I17" s="13"/>
      <c r="J17" s="25" t="s">
        <v>112</v>
      </c>
      <c r="K17" s="15"/>
      <c r="L17" s="26" t="s">
        <v>112</v>
      </c>
      <c r="M17" s="27">
        <v>0</v>
      </c>
      <c r="N17" s="18" t="s">
        <v>126</v>
      </c>
      <c r="O17" s="20">
        <v>1</v>
      </c>
      <c r="P17" s="29" t="s">
        <v>129</v>
      </c>
      <c r="Q17" s="21">
        <v>1</v>
      </c>
      <c r="R17" s="30" t="s">
        <v>52</v>
      </c>
      <c r="S17" s="37">
        <v>0</v>
      </c>
      <c r="T17" s="22" t="s">
        <v>52</v>
      </c>
      <c r="U17" s="38">
        <v>0</v>
      </c>
      <c r="V17" s="23" t="s">
        <v>52</v>
      </c>
    </row>
    <row r="18" spans="2:22" ht="16.5">
      <c r="B18" s="100"/>
      <c r="C18" s="34" t="str">
        <f>HYPERLINK("https://cn.classic.wowhead.com/item=18814","火焰之王的項圈")</f>
        <v>火焰之王的項圈</v>
      </c>
      <c r="D18" s="35">
        <v>1550</v>
      </c>
      <c r="E18" s="10"/>
      <c r="F18" s="24" t="s">
        <v>112</v>
      </c>
      <c r="G18" s="10"/>
      <c r="H18" s="24" t="s">
        <v>112</v>
      </c>
      <c r="I18" s="13"/>
      <c r="J18" s="25" t="s">
        <v>112</v>
      </c>
      <c r="K18" s="15"/>
      <c r="L18" s="26" t="s">
        <v>112</v>
      </c>
      <c r="M18" s="18"/>
      <c r="N18" s="28" t="s">
        <v>140</v>
      </c>
      <c r="O18" s="20">
        <v>0</v>
      </c>
      <c r="P18" s="29" t="s">
        <v>48</v>
      </c>
      <c r="Q18" s="21">
        <v>0</v>
      </c>
      <c r="R18" s="21" t="s">
        <v>48</v>
      </c>
      <c r="S18" s="22"/>
      <c r="T18" s="22" t="s">
        <v>140</v>
      </c>
      <c r="U18" s="23"/>
      <c r="V18" s="23" t="s">
        <v>140</v>
      </c>
    </row>
    <row r="19" spans="2:22" ht="16.5">
      <c r="B19" s="101"/>
      <c r="C19" s="34" t="str">
        <f>HYPERLINK("https://cn.classic.wowhead.com/item=17065","穩固之力勳章")</f>
        <v>穩固之力勳章</v>
      </c>
      <c r="D19" s="34"/>
      <c r="E19" s="24">
        <v>0</v>
      </c>
      <c r="F19" s="24" t="s">
        <v>48</v>
      </c>
      <c r="G19" s="24">
        <v>1</v>
      </c>
      <c r="H19" s="24" t="s">
        <v>51</v>
      </c>
      <c r="I19" s="13"/>
      <c r="J19" s="25" t="s">
        <v>112</v>
      </c>
      <c r="K19" s="15"/>
      <c r="L19" s="26" t="s">
        <v>112</v>
      </c>
      <c r="M19" s="18"/>
      <c r="N19" s="28" t="s">
        <v>112</v>
      </c>
      <c r="O19" s="20"/>
      <c r="P19" s="29" t="s">
        <v>112</v>
      </c>
      <c r="Q19" s="21"/>
      <c r="R19" s="30" t="s">
        <v>112</v>
      </c>
      <c r="S19" s="22"/>
      <c r="T19" s="36" t="s">
        <v>112</v>
      </c>
      <c r="U19" s="31">
        <v>2</v>
      </c>
      <c r="V19" s="23" t="s">
        <v>140</v>
      </c>
    </row>
    <row r="20" spans="2:22" ht="16.5">
      <c r="B20" s="107" t="s">
        <v>104</v>
      </c>
      <c r="C20" s="40" t="str">
        <f>HYPERLINK("https://cn.classic.wowhead.com/item=18811","防火披風")</f>
        <v>防火披風</v>
      </c>
      <c r="D20" s="34"/>
      <c r="E20" s="24">
        <v>1</v>
      </c>
      <c r="F20" s="24" t="s">
        <v>140</v>
      </c>
      <c r="G20" s="24"/>
      <c r="H20" s="24" t="s">
        <v>149</v>
      </c>
      <c r="I20" s="13"/>
      <c r="J20" s="25" t="s">
        <v>112</v>
      </c>
      <c r="K20" s="15"/>
      <c r="L20" s="26" t="s">
        <v>112</v>
      </c>
      <c r="M20" s="18"/>
      <c r="N20" s="28" t="s">
        <v>112</v>
      </c>
      <c r="O20" s="20"/>
      <c r="P20" s="29" t="s">
        <v>112</v>
      </c>
      <c r="Q20" s="21"/>
      <c r="R20" s="30" t="s">
        <v>112</v>
      </c>
      <c r="S20" s="22"/>
      <c r="T20" s="36" t="s">
        <v>112</v>
      </c>
      <c r="U20" s="23"/>
      <c r="V20" s="31" t="s">
        <v>112</v>
      </c>
    </row>
    <row r="21" spans="2:22" ht="16.5">
      <c r="B21" s="100"/>
      <c r="C21" s="34" t="str">
        <f>HYPERLINK("https://cn.classic.wowhead.com/item=17102","環霧披風")</f>
        <v>環霧披風</v>
      </c>
      <c r="D21" s="34"/>
      <c r="E21" s="10"/>
      <c r="F21" s="24" t="s">
        <v>112</v>
      </c>
      <c r="G21" s="10"/>
      <c r="H21" s="24" t="s">
        <v>112</v>
      </c>
      <c r="I21" s="25">
        <v>0</v>
      </c>
      <c r="J21" s="25" t="s">
        <v>52</v>
      </c>
      <c r="K21" s="26">
        <v>0</v>
      </c>
      <c r="L21" s="26" t="s">
        <v>52</v>
      </c>
      <c r="M21" s="18"/>
      <c r="N21" s="28" t="s">
        <v>112</v>
      </c>
      <c r="O21" s="20"/>
      <c r="P21" s="29" t="s">
        <v>112</v>
      </c>
      <c r="Q21" s="21"/>
      <c r="R21" s="30" t="s">
        <v>112</v>
      </c>
      <c r="S21" s="36">
        <v>2</v>
      </c>
      <c r="T21" s="22" t="s">
        <v>140</v>
      </c>
      <c r="U21" s="31">
        <v>2</v>
      </c>
      <c r="V21" s="23" t="s">
        <v>140</v>
      </c>
    </row>
    <row r="22" spans="2:22" ht="16.5">
      <c r="B22" s="101"/>
      <c r="C22" s="34" t="str">
        <f>HYPERLINK("https://cn.classic.wowhead.com/item=17107","龍血斗篷")</f>
        <v>龍血斗篷</v>
      </c>
      <c r="D22" s="34"/>
      <c r="E22" s="24">
        <v>0</v>
      </c>
      <c r="F22" s="24" t="s">
        <v>48</v>
      </c>
      <c r="G22" s="24">
        <v>1</v>
      </c>
      <c r="H22" s="24" t="s">
        <v>140</v>
      </c>
      <c r="I22" s="13"/>
      <c r="J22" s="25" t="s">
        <v>112</v>
      </c>
      <c r="K22" s="15"/>
      <c r="L22" s="26" t="s">
        <v>112</v>
      </c>
      <c r="M22" s="18"/>
      <c r="N22" s="28" t="s">
        <v>112</v>
      </c>
      <c r="O22" s="20"/>
      <c r="P22" s="29" t="s">
        <v>112</v>
      </c>
      <c r="Q22" s="21"/>
      <c r="R22" s="30" t="s">
        <v>112</v>
      </c>
      <c r="S22" s="22"/>
      <c r="T22" s="36" t="s">
        <v>112</v>
      </c>
      <c r="U22" s="31">
        <v>2</v>
      </c>
      <c r="V22" s="23" t="s">
        <v>140</v>
      </c>
    </row>
    <row r="23" spans="2:22" ht="16.5">
      <c r="B23" s="108" t="s">
        <v>113</v>
      </c>
      <c r="C23" s="34" t="str">
        <f>HYPERLINK("https://cn.classic.wowhead.com/item=19147","法術能量之戒")</f>
        <v>法術能量之戒</v>
      </c>
      <c r="D23" s="34"/>
      <c r="E23" s="10"/>
      <c r="F23" s="24" t="s">
        <v>112</v>
      </c>
      <c r="G23" s="10"/>
      <c r="H23" s="24" t="s">
        <v>112</v>
      </c>
      <c r="I23" s="13"/>
      <c r="J23" s="25" t="s">
        <v>112</v>
      </c>
      <c r="K23" s="15"/>
      <c r="L23" s="26" t="s">
        <v>112</v>
      </c>
      <c r="M23" s="43"/>
      <c r="N23" s="18" t="s">
        <v>140</v>
      </c>
      <c r="O23" s="29">
        <v>0</v>
      </c>
      <c r="P23" s="29" t="s">
        <v>48</v>
      </c>
      <c r="Q23" s="30">
        <v>0</v>
      </c>
      <c r="R23" s="30" t="s">
        <v>52</v>
      </c>
      <c r="S23" s="22"/>
      <c r="T23" s="36" t="s">
        <v>140</v>
      </c>
      <c r="U23" s="23"/>
      <c r="V23" s="31" t="s">
        <v>140</v>
      </c>
    </row>
    <row r="24" spans="2:22" ht="16.5">
      <c r="B24" s="100"/>
      <c r="C24" s="40" t="str">
        <f>HYPERLINK("https://cn.classic.wowhead.com/item=17110","魔法導師的封印")</f>
        <v>魔法導師的封印</v>
      </c>
      <c r="D24" s="34"/>
      <c r="E24" s="10"/>
      <c r="F24" s="24" t="s">
        <v>112</v>
      </c>
      <c r="G24" s="10"/>
      <c r="H24" s="24" t="s">
        <v>112</v>
      </c>
      <c r="I24" s="13"/>
      <c r="J24" s="25" t="s">
        <v>112</v>
      </c>
      <c r="K24" s="15"/>
      <c r="L24" s="26" t="s">
        <v>112</v>
      </c>
      <c r="M24" s="44">
        <v>0</v>
      </c>
      <c r="N24" s="28" t="s">
        <v>140</v>
      </c>
      <c r="O24" s="20"/>
      <c r="P24" s="29" t="s">
        <v>140</v>
      </c>
      <c r="Q24" s="21"/>
      <c r="R24" s="30" t="s">
        <v>140</v>
      </c>
      <c r="S24" s="36">
        <v>0</v>
      </c>
      <c r="T24" s="36" t="s">
        <v>140</v>
      </c>
      <c r="U24" s="31">
        <v>0</v>
      </c>
      <c r="V24" s="23" t="s">
        <v>140</v>
      </c>
    </row>
    <row r="25" spans="2:22" ht="16.5">
      <c r="B25" s="100"/>
      <c r="C25" s="40" t="str">
        <f>HYPERLINK("https://cn.classic.wowhead.com/item=19138","薩弗拉斯指環")</f>
        <v>薩弗拉斯指環</v>
      </c>
      <c r="D25" s="34"/>
      <c r="E25" s="10"/>
      <c r="F25" s="24" t="s">
        <v>112</v>
      </c>
      <c r="G25" s="10"/>
      <c r="H25" s="24" t="s">
        <v>112</v>
      </c>
      <c r="I25" s="13"/>
      <c r="J25" s="25" t="s">
        <v>112</v>
      </c>
      <c r="K25" s="15"/>
      <c r="L25" s="26" t="s">
        <v>112</v>
      </c>
      <c r="M25" s="44">
        <v>0</v>
      </c>
      <c r="N25" s="28" t="s">
        <v>140</v>
      </c>
      <c r="O25" s="20"/>
      <c r="P25" s="29" t="s">
        <v>140</v>
      </c>
      <c r="Q25" s="21"/>
      <c r="R25" s="30" t="s">
        <v>140</v>
      </c>
      <c r="S25" s="36">
        <v>0</v>
      </c>
      <c r="T25" s="36" t="s">
        <v>140</v>
      </c>
      <c r="U25" s="31">
        <v>0</v>
      </c>
      <c r="V25" s="23" t="s">
        <v>140</v>
      </c>
    </row>
    <row r="26" spans="2:22" ht="16.5">
      <c r="B26" s="100"/>
      <c r="C26" s="34" t="str">
        <f>HYPERLINK("https://cn.classic.wowhead.com/item=19140","灼燒指環")</f>
        <v>灼燒指環</v>
      </c>
      <c r="D26" s="34"/>
      <c r="E26" s="10"/>
      <c r="F26" s="24" t="s">
        <v>112</v>
      </c>
      <c r="G26" s="10"/>
      <c r="H26" s="24" t="s">
        <v>112</v>
      </c>
      <c r="I26" s="13"/>
      <c r="J26" s="25" t="s">
        <v>112</v>
      </c>
      <c r="K26" s="15"/>
      <c r="L26" s="26" t="s">
        <v>112</v>
      </c>
      <c r="M26" s="18"/>
      <c r="N26" s="18" t="s">
        <v>48</v>
      </c>
      <c r="O26" s="20"/>
      <c r="P26" s="29" t="s">
        <v>112</v>
      </c>
      <c r="Q26" s="21"/>
      <c r="R26" s="30" t="s">
        <v>112</v>
      </c>
      <c r="S26" s="22"/>
      <c r="T26" s="36" t="s">
        <v>48</v>
      </c>
      <c r="U26" s="23"/>
      <c r="V26" s="31" t="s">
        <v>48</v>
      </c>
    </row>
    <row r="27" spans="2:22" ht="16.5">
      <c r="B27" s="100"/>
      <c r="C27" s="34" t="str">
        <f>HYPERLINK("https://cn.classic.wowhead.com/item=18879","沉重的黑鐵戒指")</f>
        <v>沉重的黑鐵戒指</v>
      </c>
      <c r="D27" s="34"/>
      <c r="E27" s="24">
        <v>0</v>
      </c>
      <c r="F27" s="24" t="s">
        <v>48</v>
      </c>
      <c r="G27" s="24">
        <v>1</v>
      </c>
      <c r="H27" s="24" t="s">
        <v>140</v>
      </c>
      <c r="I27" s="13"/>
      <c r="J27" s="25" t="s">
        <v>112</v>
      </c>
      <c r="K27" s="15"/>
      <c r="L27" s="26" t="s">
        <v>112</v>
      </c>
      <c r="M27" s="18"/>
      <c r="N27" s="28" t="s">
        <v>112</v>
      </c>
      <c r="O27" s="20"/>
      <c r="P27" s="29" t="s">
        <v>112</v>
      </c>
      <c r="Q27" s="21"/>
      <c r="R27" s="30" t="s">
        <v>112</v>
      </c>
      <c r="S27" s="22"/>
      <c r="T27" s="36" t="s">
        <v>112</v>
      </c>
      <c r="U27" s="31">
        <v>2</v>
      </c>
      <c r="V27" s="23" t="s">
        <v>140</v>
      </c>
    </row>
    <row r="28" spans="2:22" ht="16.5">
      <c r="B28" s="100"/>
      <c r="C28" s="34" t="str">
        <f>HYPERLINK("https://cn.classic.wowhead.com/item=18821","迅擊戒指")</f>
        <v>迅擊戒指</v>
      </c>
      <c r="D28" s="34"/>
      <c r="E28" s="24">
        <v>2</v>
      </c>
      <c r="F28" s="24" t="s">
        <v>140</v>
      </c>
      <c r="G28" s="24">
        <v>0</v>
      </c>
      <c r="H28" s="24" t="s">
        <v>48</v>
      </c>
      <c r="I28" s="25">
        <v>0</v>
      </c>
      <c r="J28" s="25" t="s">
        <v>52</v>
      </c>
      <c r="K28" s="26">
        <v>1</v>
      </c>
      <c r="L28" s="26" t="s">
        <v>52</v>
      </c>
      <c r="M28" s="18"/>
      <c r="N28" s="28" t="s">
        <v>112</v>
      </c>
      <c r="O28" s="20"/>
      <c r="P28" s="29" t="s">
        <v>112</v>
      </c>
      <c r="Q28" s="21"/>
      <c r="R28" s="30" t="s">
        <v>112</v>
      </c>
      <c r="S28" s="36">
        <v>2</v>
      </c>
      <c r="T28" s="36" t="s">
        <v>140</v>
      </c>
      <c r="U28" s="31">
        <v>2</v>
      </c>
      <c r="V28" s="23" t="s">
        <v>140</v>
      </c>
    </row>
    <row r="29" spans="2:22" ht="16.5">
      <c r="B29" s="101"/>
      <c r="C29" s="34" t="str">
        <f>HYPERLINK("https://cn.classic.wowhead.com/item=17063","埃古雷亞指環")</f>
        <v>埃古雷亞指環</v>
      </c>
      <c r="D29" s="35">
        <v>1550</v>
      </c>
      <c r="E29" s="24">
        <v>2</v>
      </c>
      <c r="F29" s="24" t="s">
        <v>140</v>
      </c>
      <c r="G29" s="24">
        <v>0</v>
      </c>
      <c r="H29" s="24" t="s">
        <v>48</v>
      </c>
      <c r="I29" s="25">
        <v>0</v>
      </c>
      <c r="J29" s="32" t="s">
        <v>48</v>
      </c>
      <c r="K29" s="26">
        <v>1</v>
      </c>
      <c r="L29" s="26" t="s">
        <v>52</v>
      </c>
      <c r="M29" s="18"/>
      <c r="N29" s="28" t="s">
        <v>112</v>
      </c>
      <c r="O29" s="20"/>
      <c r="P29" s="29" t="s">
        <v>112</v>
      </c>
      <c r="Q29" s="21"/>
      <c r="R29" s="30" t="s">
        <v>112</v>
      </c>
      <c r="S29" s="36">
        <v>2</v>
      </c>
      <c r="T29" s="36" t="s">
        <v>140</v>
      </c>
      <c r="U29" s="31">
        <v>2</v>
      </c>
      <c r="V29" s="23" t="s">
        <v>140</v>
      </c>
    </row>
    <row r="30" spans="2:22" ht="16.5">
      <c r="B30" s="107" t="s">
        <v>130</v>
      </c>
      <c r="C30" s="34" t="str">
        <f>HYPERLINK("https://cn.classic.wowhead.com/item=19142","火焰符文魔典")</f>
        <v>火焰符文魔典</v>
      </c>
      <c r="D30" s="34"/>
      <c r="E30" s="10"/>
      <c r="F30" s="24" t="s">
        <v>112</v>
      </c>
      <c r="G30" s="10"/>
      <c r="H30" s="24" t="s">
        <v>112</v>
      </c>
      <c r="I30" s="13"/>
      <c r="J30" s="25" t="s">
        <v>112</v>
      </c>
      <c r="K30" s="15"/>
      <c r="L30" s="26" t="s">
        <v>112</v>
      </c>
      <c r="M30" s="18"/>
      <c r="N30" s="18" t="s">
        <v>140</v>
      </c>
      <c r="O30" s="29">
        <v>0</v>
      </c>
      <c r="P30" s="29" t="s">
        <v>52</v>
      </c>
      <c r="Q30" s="30">
        <v>0</v>
      </c>
      <c r="R30" s="30" t="s">
        <v>52</v>
      </c>
      <c r="S30" s="22"/>
      <c r="T30" s="36" t="s">
        <v>140</v>
      </c>
      <c r="U30" s="23"/>
      <c r="V30" s="23" t="s">
        <v>140</v>
      </c>
    </row>
    <row r="31" spans="2:22" ht="16.5">
      <c r="B31" s="100"/>
      <c r="C31" s="34" t="str">
        <f>HYPERLINK("https://cn.classic.wowhead.com/item=17106","瑪利斯達爾防禦者")</f>
        <v>瑪利斯達爾防禦者</v>
      </c>
      <c r="D31" s="34"/>
      <c r="E31" s="10"/>
      <c r="F31" s="24" t="s">
        <v>112</v>
      </c>
      <c r="G31" s="10"/>
      <c r="H31" s="24" t="s">
        <v>112</v>
      </c>
      <c r="I31" s="13"/>
      <c r="J31" s="25" t="s">
        <v>112</v>
      </c>
      <c r="K31" s="15"/>
      <c r="L31" s="26" t="s">
        <v>112</v>
      </c>
      <c r="M31" s="18"/>
      <c r="N31" s="28" t="s">
        <v>112</v>
      </c>
      <c r="O31" s="20"/>
      <c r="P31" s="29" t="s">
        <v>112</v>
      </c>
      <c r="Q31" s="21"/>
      <c r="R31" s="30" t="s">
        <v>112</v>
      </c>
      <c r="S31" s="22"/>
      <c r="T31" s="36" t="s">
        <v>48</v>
      </c>
      <c r="U31" s="23"/>
      <c r="V31" s="31" t="s">
        <v>112</v>
      </c>
    </row>
    <row r="32" spans="2:22" ht="16.5">
      <c r="B32" s="101"/>
      <c r="C32" s="34" t="str">
        <f>HYPERLINK("https://cn.classic.wowhead.com/item=17066","鑽孔蟲之碟")</f>
        <v>鑽孔蟲之碟</v>
      </c>
      <c r="D32" s="34"/>
      <c r="E32" s="24">
        <v>0</v>
      </c>
      <c r="F32" s="24" t="s">
        <v>48</v>
      </c>
      <c r="G32" s="24">
        <v>1</v>
      </c>
      <c r="H32" s="24" t="s">
        <v>51</v>
      </c>
      <c r="I32" s="13"/>
      <c r="J32" s="25" t="s">
        <v>112</v>
      </c>
      <c r="K32" s="15"/>
      <c r="L32" s="26" t="s">
        <v>112</v>
      </c>
      <c r="M32" s="18"/>
      <c r="N32" s="28" t="s">
        <v>112</v>
      </c>
      <c r="O32" s="20"/>
      <c r="P32" s="29" t="s">
        <v>112</v>
      </c>
      <c r="Q32" s="21"/>
      <c r="R32" s="30" t="s">
        <v>112</v>
      </c>
      <c r="S32" s="22"/>
      <c r="T32" s="36" t="s">
        <v>112</v>
      </c>
      <c r="U32" s="23"/>
      <c r="V32" s="31" t="s">
        <v>112</v>
      </c>
    </row>
    <row r="33" spans="2:22" ht="16.5">
      <c r="B33" s="108" t="s">
        <v>137</v>
      </c>
      <c r="C33" s="34" t="str">
        <f>HYPERLINK("https://cn.classic.wowhead.com/item=18820","短暫能量護符")</f>
        <v>短暫能量護符</v>
      </c>
      <c r="D33" s="34"/>
      <c r="E33" s="10"/>
      <c r="F33" s="24" t="s">
        <v>112</v>
      </c>
      <c r="G33" s="10"/>
      <c r="H33" s="24" t="s">
        <v>112</v>
      </c>
      <c r="I33" s="13"/>
      <c r="J33" s="25" t="s">
        <v>112</v>
      </c>
      <c r="K33" s="15"/>
      <c r="L33" s="26" t="s">
        <v>112</v>
      </c>
      <c r="M33" s="43"/>
      <c r="N33" s="18" t="s">
        <v>140</v>
      </c>
      <c r="O33" s="29">
        <v>0</v>
      </c>
      <c r="P33" s="29" t="s">
        <v>48</v>
      </c>
      <c r="Q33" s="30">
        <v>0</v>
      </c>
      <c r="R33" s="30" t="s">
        <v>52</v>
      </c>
      <c r="S33" s="22"/>
      <c r="T33" s="36" t="s">
        <v>140</v>
      </c>
      <c r="U33" s="23"/>
      <c r="V33" s="23" t="s">
        <v>140</v>
      </c>
    </row>
    <row r="34" spans="2:22" ht="16.5">
      <c r="B34" s="100"/>
      <c r="C34" s="40" t="str">
        <f>HYPERLINK("https://cn.classic.wowhead.com/item=17082","烈焰碎片")</f>
        <v>烈焰碎片</v>
      </c>
      <c r="D34" s="34"/>
      <c r="E34" s="10"/>
      <c r="F34" s="24" t="s">
        <v>140</v>
      </c>
      <c r="G34" s="10"/>
      <c r="H34" s="24" t="s">
        <v>140</v>
      </c>
      <c r="I34" s="13"/>
      <c r="J34" s="25" t="s">
        <v>140</v>
      </c>
      <c r="K34" s="15"/>
      <c r="L34" s="26" t="s">
        <v>140</v>
      </c>
      <c r="M34" s="43"/>
      <c r="N34" s="18" t="s">
        <v>140</v>
      </c>
      <c r="O34" s="20"/>
      <c r="P34" s="29" t="s">
        <v>140</v>
      </c>
      <c r="Q34" s="21"/>
      <c r="R34" s="30" t="s">
        <v>140</v>
      </c>
      <c r="S34" s="22"/>
      <c r="T34" s="36" t="s">
        <v>140</v>
      </c>
      <c r="U34" s="23"/>
      <c r="V34" s="23" t="s">
        <v>140</v>
      </c>
    </row>
    <row r="35" spans="2:22" ht="16.5">
      <c r="B35" s="101"/>
      <c r="C35" s="40" t="str">
        <f>HYPERLINK("https://cn.classic.wowhead.com/item=18815","純焰精華")</f>
        <v>純焰精華</v>
      </c>
      <c r="D35" s="34"/>
      <c r="E35" s="10"/>
      <c r="F35" s="24" t="s">
        <v>140</v>
      </c>
      <c r="G35" s="10"/>
      <c r="H35" s="24" t="s">
        <v>140</v>
      </c>
      <c r="I35" s="13"/>
      <c r="J35" s="25" t="s">
        <v>140</v>
      </c>
      <c r="K35" s="15"/>
      <c r="L35" s="26" t="s">
        <v>140</v>
      </c>
      <c r="M35" s="43"/>
      <c r="N35" s="18" t="s">
        <v>140</v>
      </c>
      <c r="O35" s="20"/>
      <c r="P35" s="29" t="s">
        <v>140</v>
      </c>
      <c r="Q35" s="21"/>
      <c r="R35" s="30" t="s">
        <v>140</v>
      </c>
      <c r="S35" s="22"/>
      <c r="T35" s="36" t="s">
        <v>140</v>
      </c>
      <c r="U35" s="23"/>
      <c r="V35" s="23" t="s">
        <v>140</v>
      </c>
    </row>
    <row r="36" spans="2:22" ht="16.5">
      <c r="B36" s="108" t="s">
        <v>36</v>
      </c>
      <c r="C36" s="34" t="str">
        <f>HYPERLINK("https://cn.classic.wowhead.com/item=19145","波動長袍")</f>
        <v>波動長袍</v>
      </c>
      <c r="D36" s="34"/>
      <c r="E36" s="10"/>
      <c r="F36" s="24" t="s">
        <v>112</v>
      </c>
      <c r="G36" s="10"/>
      <c r="H36" s="24" t="s">
        <v>112</v>
      </c>
      <c r="I36" s="13"/>
      <c r="J36" s="25" t="s">
        <v>112</v>
      </c>
      <c r="K36" s="15"/>
      <c r="L36" s="26" t="s">
        <v>112</v>
      </c>
      <c r="M36" s="43"/>
      <c r="N36" s="18" t="s">
        <v>140</v>
      </c>
      <c r="O36" s="29">
        <v>0</v>
      </c>
      <c r="P36" s="29" t="s">
        <v>52</v>
      </c>
      <c r="Q36" s="30">
        <v>0</v>
      </c>
      <c r="R36" s="30" t="s">
        <v>52</v>
      </c>
      <c r="S36" s="22"/>
      <c r="T36" s="36" t="s">
        <v>140</v>
      </c>
      <c r="U36" s="23"/>
      <c r="V36" s="23" t="s">
        <v>140</v>
      </c>
    </row>
    <row r="37" spans="2:22" ht="16.5">
      <c r="B37" s="100"/>
      <c r="C37" s="34" t="str">
        <f>HYPERLINK("https://cn.classic.wowhead.com/item=18872","法力風暴護腿")</f>
        <v>法力風暴護腿</v>
      </c>
      <c r="D37" s="34"/>
      <c r="E37" s="10"/>
      <c r="F37" s="24" t="s">
        <v>112</v>
      </c>
      <c r="G37" s="10"/>
      <c r="H37" s="24" t="s">
        <v>112</v>
      </c>
      <c r="I37" s="13"/>
      <c r="J37" s="25" t="s">
        <v>112</v>
      </c>
      <c r="K37" s="15"/>
      <c r="L37" s="26" t="s">
        <v>112</v>
      </c>
      <c r="M37" s="44">
        <v>0</v>
      </c>
      <c r="N37" s="18" t="s">
        <v>157</v>
      </c>
      <c r="O37" s="29">
        <v>2</v>
      </c>
      <c r="P37" s="29" t="s">
        <v>140</v>
      </c>
      <c r="Q37" s="30">
        <v>2</v>
      </c>
      <c r="R37" s="30" t="s">
        <v>140</v>
      </c>
      <c r="S37" s="36">
        <v>1</v>
      </c>
      <c r="T37" s="36" t="s">
        <v>52</v>
      </c>
      <c r="U37" s="31">
        <v>1</v>
      </c>
      <c r="V37" s="31" t="s">
        <v>72</v>
      </c>
    </row>
    <row r="38" spans="2:22" ht="16.5">
      <c r="B38" s="100"/>
      <c r="C38" s="34" t="str">
        <f>HYPERLINK("https://cn.classic.wowhead.com/item=19136","燃魔腰帶")</f>
        <v>燃魔腰帶</v>
      </c>
      <c r="D38" s="34"/>
      <c r="E38" s="10"/>
      <c r="F38" s="24" t="s">
        <v>112</v>
      </c>
      <c r="G38" s="10"/>
      <c r="H38" s="24" t="s">
        <v>112</v>
      </c>
      <c r="I38" s="13"/>
      <c r="J38" s="25" t="s">
        <v>112</v>
      </c>
      <c r="K38" s="15"/>
      <c r="L38" s="26" t="s">
        <v>112</v>
      </c>
      <c r="M38" s="43"/>
      <c r="N38" s="18" t="s">
        <v>140</v>
      </c>
      <c r="O38" s="29">
        <v>0</v>
      </c>
      <c r="P38" s="29" t="s">
        <v>158</v>
      </c>
      <c r="Q38" s="30">
        <v>0</v>
      </c>
      <c r="R38" s="30" t="s">
        <v>52</v>
      </c>
      <c r="S38" s="22"/>
      <c r="T38" s="36" t="s">
        <v>140</v>
      </c>
      <c r="U38" s="23"/>
      <c r="V38" s="23" t="s">
        <v>140</v>
      </c>
    </row>
    <row r="39" spans="2:22" ht="16.5">
      <c r="B39" s="100"/>
      <c r="C39" s="40" t="str">
        <f>HYPERLINK("https://cn.classic.wowhead.com/item=18808","催眠烈焰手套")</f>
        <v>催眠烈焰手套</v>
      </c>
      <c r="D39" s="34"/>
      <c r="E39" s="10"/>
      <c r="F39" s="24" t="s">
        <v>112</v>
      </c>
      <c r="G39" s="10"/>
      <c r="H39" s="24" t="s">
        <v>112</v>
      </c>
      <c r="I39" s="13"/>
      <c r="J39" s="25" t="s">
        <v>112</v>
      </c>
      <c r="K39" s="15"/>
      <c r="L39" s="26" t="s">
        <v>112</v>
      </c>
      <c r="M39" s="43"/>
      <c r="N39" s="28" t="s">
        <v>112</v>
      </c>
      <c r="O39" s="20"/>
      <c r="P39" s="29" t="s">
        <v>140</v>
      </c>
      <c r="Q39" s="21"/>
      <c r="R39" s="30" t="s">
        <v>140</v>
      </c>
      <c r="S39" s="22"/>
      <c r="T39" s="36" t="s">
        <v>112</v>
      </c>
      <c r="U39" s="23"/>
      <c r="V39" s="31" t="s">
        <v>112</v>
      </c>
    </row>
    <row r="40" spans="2:22" ht="16.5">
      <c r="B40" s="101"/>
      <c r="C40" s="34" t="str">
        <f>HYPERLINK("https://cn.classic.wowhead.com/item=18809","耳語秘言腰帶")</f>
        <v>耳語秘言腰帶</v>
      </c>
      <c r="D40" s="34"/>
      <c r="E40" s="10"/>
      <c r="F40" s="24" t="s">
        <v>112</v>
      </c>
      <c r="G40" s="10"/>
      <c r="H40" s="24" t="s">
        <v>112</v>
      </c>
      <c r="I40" s="13"/>
      <c r="J40" s="25" t="s">
        <v>112</v>
      </c>
      <c r="K40" s="15"/>
      <c r="L40" s="26" t="s">
        <v>112</v>
      </c>
      <c r="M40" s="43"/>
      <c r="N40" s="18" t="s">
        <v>140</v>
      </c>
      <c r="O40" s="20"/>
      <c r="P40" s="29" t="s">
        <v>112</v>
      </c>
      <c r="Q40" s="30">
        <v>0</v>
      </c>
      <c r="R40" s="30" t="s">
        <v>52</v>
      </c>
      <c r="S40" s="22"/>
      <c r="T40" s="36" t="s">
        <v>112</v>
      </c>
      <c r="U40" s="23"/>
      <c r="V40" s="31" t="s">
        <v>112</v>
      </c>
    </row>
    <row r="41" spans="2:22" ht="16.5">
      <c r="B41" s="107" t="s">
        <v>68</v>
      </c>
      <c r="C41" s="34" t="str">
        <f>HYPERLINK("https://cn.classic.wowhead.com/item=19146","穩固護腕")</f>
        <v>穩固護腕</v>
      </c>
      <c r="D41" s="34"/>
      <c r="E41" s="24">
        <v>1</v>
      </c>
      <c r="F41" s="24" t="s">
        <v>140</v>
      </c>
      <c r="G41" s="24">
        <v>0</v>
      </c>
      <c r="H41" s="24" t="s">
        <v>48</v>
      </c>
      <c r="I41" s="25"/>
      <c r="J41" s="25" t="s">
        <v>112</v>
      </c>
      <c r="K41" s="15"/>
      <c r="L41" s="26" t="s">
        <v>112</v>
      </c>
      <c r="M41" s="18"/>
      <c r="N41" s="28" t="s">
        <v>112</v>
      </c>
      <c r="O41" s="20"/>
      <c r="P41" s="29" t="s">
        <v>112</v>
      </c>
      <c r="Q41" s="21"/>
      <c r="R41" s="30" t="s">
        <v>112</v>
      </c>
      <c r="S41" s="36">
        <v>1</v>
      </c>
      <c r="T41" s="22" t="s">
        <v>140</v>
      </c>
      <c r="U41" s="31">
        <v>1</v>
      </c>
      <c r="V41" s="23" t="s">
        <v>140</v>
      </c>
    </row>
    <row r="42" spans="2:22" ht="16.5">
      <c r="B42" s="100"/>
      <c r="C42" s="34" t="str">
        <f>HYPERLINK("https://cn.classic.wowhead.com/item=18875","火蜥蜴鱗片短褲")</f>
        <v>火蜥蜴鱗片短褲</v>
      </c>
      <c r="D42" s="34"/>
      <c r="E42" s="10"/>
      <c r="F42" s="24" t="s">
        <v>112</v>
      </c>
      <c r="G42" s="10"/>
      <c r="H42" s="24" t="s">
        <v>112</v>
      </c>
      <c r="I42" s="13"/>
      <c r="J42" s="25" t="s">
        <v>112</v>
      </c>
      <c r="K42" s="15"/>
      <c r="L42" s="26" t="s">
        <v>112</v>
      </c>
      <c r="M42" s="18"/>
      <c r="N42" s="28" t="s">
        <v>112</v>
      </c>
      <c r="O42" s="20"/>
      <c r="P42" s="29" t="s">
        <v>112</v>
      </c>
      <c r="Q42" s="21"/>
      <c r="R42" s="30" t="s">
        <v>112</v>
      </c>
      <c r="S42" s="36">
        <v>1</v>
      </c>
      <c r="T42" s="36" t="s">
        <v>52</v>
      </c>
      <c r="U42" s="31">
        <v>0</v>
      </c>
      <c r="V42" s="31" t="s">
        <v>48</v>
      </c>
    </row>
    <row r="43" spans="2:22" ht="27">
      <c r="B43" s="100"/>
      <c r="C43" s="34" t="str">
        <f>HYPERLINK("https://cn.classic.wowhead.com/item=18823","古代熔火皮手套")</f>
        <v>古代熔火皮手套</v>
      </c>
      <c r="D43" s="34"/>
      <c r="E43" s="10"/>
      <c r="F43" s="24" t="s">
        <v>112</v>
      </c>
      <c r="G43" s="10"/>
      <c r="H43" s="24" t="s">
        <v>112</v>
      </c>
      <c r="I43" s="84" t="s">
        <v>220</v>
      </c>
      <c r="J43" s="83" t="s">
        <v>219</v>
      </c>
      <c r="K43" s="15"/>
      <c r="L43" s="26" t="s">
        <v>112</v>
      </c>
      <c r="M43" s="18"/>
      <c r="N43" s="28" t="s">
        <v>112</v>
      </c>
      <c r="O43" s="20"/>
      <c r="P43" s="29" t="s">
        <v>112</v>
      </c>
      <c r="Q43" s="21"/>
      <c r="R43" s="30" t="s">
        <v>112</v>
      </c>
      <c r="S43" s="22"/>
      <c r="T43" s="36" t="s">
        <v>112</v>
      </c>
      <c r="U43" s="23"/>
      <c r="V43" s="23" t="s">
        <v>140</v>
      </c>
    </row>
    <row r="44" spans="2:22" ht="16.5">
      <c r="B44" s="100"/>
      <c r="C44" s="34" t="str">
        <f>HYPERLINK("https://cn.classic.wowhead.com/item=18810","狂野肩鎧")</f>
        <v>狂野肩鎧</v>
      </c>
      <c r="D44" s="34"/>
      <c r="E44" s="10"/>
      <c r="F44" s="24" t="s">
        <v>112</v>
      </c>
      <c r="G44" s="10"/>
      <c r="H44" s="24" t="s">
        <v>112</v>
      </c>
      <c r="I44" s="13"/>
      <c r="J44" s="25" t="s">
        <v>112</v>
      </c>
      <c r="K44" s="15"/>
      <c r="L44" s="26" t="s">
        <v>112</v>
      </c>
      <c r="M44" s="18"/>
      <c r="N44" s="28" t="s">
        <v>112</v>
      </c>
      <c r="O44" s="20"/>
      <c r="P44" s="29" t="s">
        <v>112</v>
      </c>
      <c r="Q44" s="21"/>
      <c r="R44" s="30" t="s">
        <v>112</v>
      </c>
      <c r="S44" s="36">
        <v>1</v>
      </c>
      <c r="T44" s="36" t="s">
        <v>52</v>
      </c>
      <c r="U44" s="31">
        <v>0</v>
      </c>
      <c r="V44" s="31" t="s">
        <v>48</v>
      </c>
    </row>
    <row r="45" spans="2:22" ht="16.5">
      <c r="B45" s="101"/>
      <c r="C45" s="40" t="str">
        <f>HYPERLINK("https://cn.classic.wowhead.com/item=19139","火焰衛士護肩")</f>
        <v>火焰衛士護肩</v>
      </c>
      <c r="D45" s="34"/>
      <c r="E45" s="10"/>
      <c r="F45" s="24" t="s">
        <v>112</v>
      </c>
      <c r="G45" s="10"/>
      <c r="H45" s="24" t="s">
        <v>112</v>
      </c>
      <c r="I45" s="13"/>
      <c r="J45" s="25" t="s">
        <v>112</v>
      </c>
      <c r="K45" s="15"/>
      <c r="L45" s="26" t="s">
        <v>112</v>
      </c>
      <c r="M45" s="18"/>
      <c r="N45" s="28" t="s">
        <v>112</v>
      </c>
      <c r="O45" s="20"/>
      <c r="P45" s="29" t="s">
        <v>112</v>
      </c>
      <c r="Q45" s="21"/>
      <c r="R45" s="30" t="s">
        <v>112</v>
      </c>
      <c r="S45" s="22"/>
      <c r="T45" s="36" t="s">
        <v>112</v>
      </c>
      <c r="U45" s="23"/>
      <c r="V45" s="23" t="s">
        <v>140</v>
      </c>
    </row>
    <row r="46" spans="2:22" ht="16.5">
      <c r="B46" s="108" t="s">
        <v>88</v>
      </c>
      <c r="C46" s="34" t="str">
        <f>HYPERLINK("https://cn.classic.wowhead.com/item=18870","生命賜予者頭盔")</f>
        <v>生命賜予者頭盔</v>
      </c>
      <c r="D46" s="34"/>
      <c r="E46" s="10"/>
      <c r="F46" s="24" t="s">
        <v>112</v>
      </c>
      <c r="G46" s="10"/>
      <c r="H46" s="24" t="s">
        <v>112</v>
      </c>
      <c r="I46" s="13"/>
      <c r="J46" s="25" t="s">
        <v>112</v>
      </c>
      <c r="K46" s="15"/>
      <c r="L46" s="26" t="s">
        <v>112</v>
      </c>
      <c r="M46" s="18"/>
      <c r="N46" s="28" t="s">
        <v>112</v>
      </c>
      <c r="O46" s="20"/>
      <c r="P46" s="29" t="s">
        <v>112</v>
      </c>
      <c r="Q46" s="21"/>
      <c r="R46" s="30" t="s">
        <v>112</v>
      </c>
      <c r="S46" s="22"/>
      <c r="T46" s="36" t="s">
        <v>52</v>
      </c>
      <c r="U46" s="23"/>
      <c r="V46" s="31" t="s">
        <v>112</v>
      </c>
    </row>
    <row r="47" spans="2:22" ht="16.5">
      <c r="B47" s="100"/>
      <c r="C47" s="40" t="str">
        <f>HYPERLINK("https://cn.classic.wowhead.com/item=18829","地核護肩")</f>
        <v>地核護肩</v>
      </c>
      <c r="D47" s="34"/>
      <c r="E47" s="10"/>
      <c r="F47" s="24" t="s">
        <v>112</v>
      </c>
      <c r="G47" s="10"/>
      <c r="H47" s="24" t="s">
        <v>112</v>
      </c>
      <c r="I47" s="13"/>
      <c r="J47" s="25" t="s">
        <v>112</v>
      </c>
      <c r="K47" s="15"/>
      <c r="L47" s="26" t="s">
        <v>112</v>
      </c>
      <c r="M47" s="18"/>
      <c r="N47" s="28" t="s">
        <v>112</v>
      </c>
      <c r="O47" s="20"/>
      <c r="P47" s="29" t="s">
        <v>112</v>
      </c>
      <c r="Q47" s="21"/>
      <c r="R47" s="30" t="s">
        <v>112</v>
      </c>
      <c r="S47" s="22"/>
      <c r="T47" s="22" t="s">
        <v>140</v>
      </c>
      <c r="U47" s="23"/>
      <c r="V47" s="31" t="s">
        <v>112</v>
      </c>
    </row>
    <row r="48" spans="2:22" ht="16.5">
      <c r="B48" s="100"/>
      <c r="C48" s="40" t="str">
        <f>HYPERLINK("https://cn.classic.wowhead.com/item=19144","烈焰行者重靴")</f>
        <v>烈焰行者重靴</v>
      </c>
      <c r="D48" s="34"/>
      <c r="E48" s="10"/>
      <c r="F48" s="24" t="s">
        <v>112</v>
      </c>
      <c r="G48" s="10"/>
      <c r="H48" s="24" t="s">
        <v>112</v>
      </c>
      <c r="I48" s="13"/>
      <c r="J48" s="25" t="s">
        <v>112</v>
      </c>
      <c r="K48" s="15"/>
      <c r="L48" s="26" t="s">
        <v>112</v>
      </c>
      <c r="M48" s="18"/>
      <c r="N48" s="28" t="s">
        <v>112</v>
      </c>
      <c r="O48" s="20"/>
      <c r="P48" s="29" t="s">
        <v>112</v>
      </c>
      <c r="Q48" s="21"/>
      <c r="R48" s="30" t="s">
        <v>112</v>
      </c>
      <c r="S48" s="22"/>
      <c r="T48" s="22" t="s">
        <v>140</v>
      </c>
      <c r="U48" s="23"/>
      <c r="V48" s="31" t="s">
        <v>112</v>
      </c>
    </row>
    <row r="49" spans="2:22" ht="16.5">
      <c r="B49" s="100"/>
      <c r="C49" s="34" t="str">
        <f>HYPERLINK("https://cn.classic.wowhead.com/item=18812","真龍護腕")</f>
        <v>真龍護腕</v>
      </c>
      <c r="D49" s="34"/>
      <c r="E49" s="10"/>
      <c r="F49" s="24" t="s">
        <v>112</v>
      </c>
      <c r="G49" s="10"/>
      <c r="H49" s="24" t="s">
        <v>112</v>
      </c>
      <c r="I49" s="13"/>
      <c r="J49" s="25" t="s">
        <v>112</v>
      </c>
      <c r="K49" s="26">
        <v>0</v>
      </c>
      <c r="L49" s="26" t="s">
        <v>48</v>
      </c>
      <c r="M49" s="18"/>
      <c r="N49" s="28" t="s">
        <v>112</v>
      </c>
      <c r="O49" s="20"/>
      <c r="P49" s="29" t="s">
        <v>112</v>
      </c>
      <c r="Q49" s="21"/>
      <c r="R49" s="30" t="s">
        <v>112</v>
      </c>
      <c r="S49" s="22"/>
      <c r="T49" s="22" t="s">
        <v>140</v>
      </c>
      <c r="U49" s="23"/>
      <c r="V49" s="31" t="s">
        <v>112</v>
      </c>
    </row>
    <row r="50" spans="2:22" ht="16.5">
      <c r="B50" s="101"/>
      <c r="C50" s="34" t="str">
        <f>HYPERLINK("https://cn.classic.wowhead.com/item=18817","毀滅王冠")</f>
        <v>毀滅王冠</v>
      </c>
      <c r="D50" s="34"/>
      <c r="E50" s="10"/>
      <c r="F50" s="24" t="s">
        <v>112</v>
      </c>
      <c r="G50" s="10"/>
      <c r="H50" s="24" t="s">
        <v>112</v>
      </c>
      <c r="I50" s="13"/>
      <c r="J50" s="25" t="s">
        <v>112</v>
      </c>
      <c r="K50" s="26">
        <v>0</v>
      </c>
      <c r="L50" s="26" t="s">
        <v>52</v>
      </c>
      <c r="M50" s="18"/>
      <c r="N50" s="28" t="s">
        <v>112</v>
      </c>
      <c r="O50" s="20"/>
      <c r="P50" s="29" t="s">
        <v>112</v>
      </c>
      <c r="Q50" s="21"/>
      <c r="R50" s="30" t="s">
        <v>112</v>
      </c>
      <c r="S50" s="22"/>
      <c r="T50" s="22" t="s">
        <v>140</v>
      </c>
      <c r="U50" s="23"/>
      <c r="V50" s="31" t="s">
        <v>112</v>
      </c>
    </row>
    <row r="51" spans="2:22" ht="16.5">
      <c r="B51" s="107" t="s">
        <v>102</v>
      </c>
      <c r="C51" s="34" t="str">
        <f>HYPERLINK("https://cn.classic.wowhead.com/item=18861","召火腿甲")</f>
        <v>召火腿甲</v>
      </c>
      <c r="D51" s="34"/>
      <c r="E51" s="24">
        <v>1</v>
      </c>
      <c r="F51" s="24" t="s">
        <v>140</v>
      </c>
      <c r="G51" s="24"/>
      <c r="H51" s="24" t="s">
        <v>149</v>
      </c>
      <c r="I51" s="13"/>
      <c r="J51" s="25" t="s">
        <v>112</v>
      </c>
      <c r="K51" s="15"/>
      <c r="L51" s="26" t="s">
        <v>112</v>
      </c>
      <c r="M51" s="18"/>
      <c r="N51" s="28" t="s">
        <v>112</v>
      </c>
      <c r="O51" s="20"/>
      <c r="P51" s="29" t="s">
        <v>112</v>
      </c>
      <c r="Q51" s="21"/>
      <c r="R51" s="30" t="s">
        <v>112</v>
      </c>
      <c r="S51" s="22"/>
      <c r="T51" s="36" t="s">
        <v>112</v>
      </c>
      <c r="U51" s="23"/>
      <c r="V51" s="31" t="s">
        <v>112</v>
      </c>
    </row>
    <row r="52" spans="2:22" ht="16.5">
      <c r="B52" s="100"/>
      <c r="C52" s="34" t="str">
        <f>HYPERLINK("https://cn.classic.wowhead.com/item=19143","烈焰守衛護手")</f>
        <v>烈焰守衛護手</v>
      </c>
      <c r="D52" s="34"/>
      <c r="E52" s="24">
        <v>1</v>
      </c>
      <c r="F52" s="24" t="s">
        <v>140</v>
      </c>
      <c r="G52" s="24">
        <v>0</v>
      </c>
      <c r="H52" s="24" t="s">
        <v>48</v>
      </c>
      <c r="I52" s="13"/>
      <c r="J52" s="25" t="s">
        <v>112</v>
      </c>
      <c r="K52" s="15"/>
      <c r="L52" s="26" t="s">
        <v>112</v>
      </c>
      <c r="M52" s="18"/>
      <c r="N52" s="28" t="s">
        <v>112</v>
      </c>
      <c r="O52" s="20"/>
      <c r="P52" s="29" t="s">
        <v>112</v>
      </c>
      <c r="Q52" s="21"/>
      <c r="R52" s="30" t="s">
        <v>112</v>
      </c>
      <c r="S52" s="22"/>
      <c r="T52" s="36" t="s">
        <v>112</v>
      </c>
      <c r="U52" s="23"/>
      <c r="V52" s="31" t="s">
        <v>112</v>
      </c>
    </row>
    <row r="53" spans="2:22" ht="16.5">
      <c r="B53" s="100"/>
      <c r="C53" s="34" t="str">
        <f>HYPERLINK("https://cn.classic.wowhead.com/item=18806","熔火脛甲")</f>
        <v>熔火脛甲</v>
      </c>
      <c r="D53" s="34"/>
      <c r="E53" s="24">
        <v>0</v>
      </c>
      <c r="F53" s="24" t="s">
        <v>48</v>
      </c>
      <c r="G53" s="24"/>
      <c r="H53" s="24" t="s">
        <v>149</v>
      </c>
      <c r="I53" s="13"/>
      <c r="J53" s="25" t="s">
        <v>112</v>
      </c>
      <c r="K53" s="15"/>
      <c r="L53" s="26" t="s">
        <v>112</v>
      </c>
      <c r="M53" s="18"/>
      <c r="N53" s="28" t="s">
        <v>112</v>
      </c>
      <c r="O53" s="20"/>
      <c r="P53" s="29" t="s">
        <v>112</v>
      </c>
      <c r="Q53" s="21"/>
      <c r="R53" s="30" t="s">
        <v>112</v>
      </c>
      <c r="S53" s="22"/>
      <c r="T53" s="36" t="s">
        <v>112</v>
      </c>
      <c r="U53" s="23"/>
      <c r="V53" s="31" t="s">
        <v>112</v>
      </c>
    </row>
    <row r="54" spans="2:22" ht="16.5">
      <c r="B54" s="101"/>
      <c r="C54" s="34" t="str">
        <f>HYPERLINK("https://cn.classic.wowhead.com/item=19137","衝擊腰帶")</f>
        <v>衝擊腰帶</v>
      </c>
      <c r="D54" s="34"/>
      <c r="E54" s="24">
        <v>1</v>
      </c>
      <c r="F54" s="24" t="s">
        <v>140</v>
      </c>
      <c r="G54" s="24">
        <v>0</v>
      </c>
      <c r="H54" s="24" t="s">
        <v>48</v>
      </c>
      <c r="I54" s="13"/>
      <c r="J54" s="25" t="s">
        <v>112</v>
      </c>
      <c r="K54" s="15"/>
      <c r="L54" s="26" t="s">
        <v>112</v>
      </c>
      <c r="M54" s="18"/>
      <c r="N54" s="28" t="s">
        <v>112</v>
      </c>
      <c r="O54" s="20"/>
      <c r="P54" s="29" t="s">
        <v>112</v>
      </c>
      <c r="Q54" s="21"/>
      <c r="R54" s="30" t="s">
        <v>112</v>
      </c>
      <c r="S54" s="22"/>
      <c r="T54" s="36" t="s">
        <v>112</v>
      </c>
      <c r="U54" s="23"/>
      <c r="V54" s="31" t="s">
        <v>112</v>
      </c>
    </row>
    <row r="55" spans="2:22" ht="16.5">
      <c r="B55" s="109" t="s">
        <v>118</v>
      </c>
      <c r="C55" s="34" t="str">
        <f>HYPERLINK("https://cn.classic.wowhead.com/item=18878","巫術匕首")</f>
        <v>巫術匕首</v>
      </c>
      <c r="D55" s="34"/>
      <c r="E55" s="10"/>
      <c r="F55" s="24" t="s">
        <v>112</v>
      </c>
      <c r="G55" s="10"/>
      <c r="H55" s="24" t="s">
        <v>112</v>
      </c>
      <c r="I55" s="13"/>
      <c r="J55" s="25" t="s">
        <v>112</v>
      </c>
      <c r="K55" s="15"/>
      <c r="L55" s="26" t="s">
        <v>112</v>
      </c>
      <c r="M55" s="43"/>
      <c r="N55" s="28" t="s">
        <v>112</v>
      </c>
      <c r="O55" s="20">
        <v>0</v>
      </c>
      <c r="P55" s="20" t="s">
        <v>52</v>
      </c>
      <c r="Q55" s="21">
        <v>0</v>
      </c>
      <c r="R55" s="21" t="s">
        <v>52</v>
      </c>
      <c r="S55" s="36">
        <v>0</v>
      </c>
      <c r="T55" s="22" t="s">
        <v>52</v>
      </c>
      <c r="U55" s="31">
        <v>0</v>
      </c>
      <c r="V55" s="31" t="s">
        <v>52</v>
      </c>
    </row>
    <row r="56" spans="2:22" ht="16.5">
      <c r="B56" s="100"/>
      <c r="C56" s="34" t="str">
        <f>HYPERLINK("https://cn.classic.wowhead.com/item=17103","碧空之歌")</f>
        <v>碧空之歌</v>
      </c>
      <c r="D56" s="35">
        <v>1550</v>
      </c>
      <c r="E56" s="10"/>
      <c r="F56" s="24" t="s">
        <v>112</v>
      </c>
      <c r="G56" s="10"/>
      <c r="H56" s="24" t="s">
        <v>112</v>
      </c>
      <c r="I56" s="13"/>
      <c r="J56" s="25" t="s">
        <v>112</v>
      </c>
      <c r="K56" s="15"/>
      <c r="L56" s="26" t="s">
        <v>112</v>
      </c>
      <c r="M56" s="18"/>
      <c r="N56" s="28" t="s">
        <v>112</v>
      </c>
      <c r="O56" s="20">
        <v>0</v>
      </c>
      <c r="P56" s="20" t="s">
        <v>48</v>
      </c>
      <c r="Q56" s="21">
        <v>0</v>
      </c>
      <c r="R56" s="21" t="s">
        <v>48</v>
      </c>
      <c r="S56" s="22"/>
      <c r="T56" s="36" t="s">
        <v>112</v>
      </c>
      <c r="U56" s="23"/>
      <c r="V56" s="31" t="s">
        <v>112</v>
      </c>
    </row>
    <row r="57" spans="2:22" ht="16.5">
      <c r="B57" s="100"/>
      <c r="C57" s="34" t="str">
        <f>HYPERLINK("https://cn.classic.wowhead.com/item=18842","統御法杖")</f>
        <v>統御法杖</v>
      </c>
      <c r="D57" s="35">
        <v>1550</v>
      </c>
      <c r="E57" s="10"/>
      <c r="F57" s="24" t="s">
        <v>112</v>
      </c>
      <c r="G57" s="10"/>
      <c r="H57" s="24" t="s">
        <v>112</v>
      </c>
      <c r="I57" s="13"/>
      <c r="J57" s="25" t="s">
        <v>112</v>
      </c>
      <c r="K57" s="15"/>
      <c r="L57" s="26" t="s">
        <v>112</v>
      </c>
      <c r="M57" s="43"/>
      <c r="N57" s="28" t="s">
        <v>112</v>
      </c>
      <c r="O57" s="20">
        <v>0</v>
      </c>
      <c r="P57" s="20" t="s">
        <v>52</v>
      </c>
      <c r="Q57" s="21">
        <v>0</v>
      </c>
      <c r="R57" s="21" t="s">
        <v>52</v>
      </c>
      <c r="S57" s="36">
        <v>1</v>
      </c>
      <c r="T57" s="22" t="s">
        <v>140</v>
      </c>
      <c r="U57" s="31">
        <v>1</v>
      </c>
      <c r="V57" s="23" t="s">
        <v>140</v>
      </c>
    </row>
    <row r="58" spans="2:22" ht="16.5">
      <c r="B58" s="100"/>
      <c r="C58" s="34" t="str">
        <f>HYPERLINK("https://cn.classic.wowhead.com/item=17105","光環石錘")</f>
        <v>光環石錘</v>
      </c>
      <c r="D58" s="34"/>
      <c r="E58" s="10"/>
      <c r="F58" s="24" t="s">
        <v>112</v>
      </c>
      <c r="G58" s="10"/>
      <c r="H58" s="24" t="s">
        <v>112</v>
      </c>
      <c r="I58" s="13"/>
      <c r="J58" s="25" t="s">
        <v>112</v>
      </c>
      <c r="K58" s="15"/>
      <c r="L58" s="26" t="s">
        <v>112</v>
      </c>
      <c r="M58" s="43"/>
      <c r="N58" s="28" t="s">
        <v>112</v>
      </c>
      <c r="O58" s="20"/>
      <c r="P58" s="29" t="s">
        <v>112</v>
      </c>
      <c r="Q58" s="21"/>
      <c r="R58" s="30" t="s">
        <v>112</v>
      </c>
      <c r="S58" s="22">
        <v>0</v>
      </c>
      <c r="T58" s="22" t="s">
        <v>48</v>
      </c>
      <c r="U58" s="23">
        <v>0</v>
      </c>
      <c r="V58" s="23" t="s">
        <v>48</v>
      </c>
    </row>
    <row r="59" spans="2:22" ht="16.5">
      <c r="B59" s="100"/>
      <c r="C59" s="40" t="str">
        <f>HYPERLINK("https://cn.classic.wowhead.com/item=18803","芬克的熔岩挖掘器")</f>
        <v>芬克的熔岩挖掘器</v>
      </c>
      <c r="D59" s="34"/>
      <c r="E59" s="10"/>
      <c r="F59" s="24" t="s">
        <v>112</v>
      </c>
      <c r="G59" s="10"/>
      <c r="H59" s="24" t="s">
        <v>112</v>
      </c>
      <c r="I59" s="13"/>
      <c r="J59" s="25" t="s">
        <v>112</v>
      </c>
      <c r="K59" s="15"/>
      <c r="L59" s="26" t="s">
        <v>112</v>
      </c>
      <c r="M59" s="18"/>
      <c r="N59" s="28" t="s">
        <v>112</v>
      </c>
      <c r="O59" s="20"/>
      <c r="P59" s="29" t="s">
        <v>112</v>
      </c>
      <c r="Q59" s="21"/>
      <c r="R59" s="30" t="s">
        <v>112</v>
      </c>
      <c r="S59" s="37">
        <v>0</v>
      </c>
      <c r="T59" s="22" t="s">
        <v>140</v>
      </c>
      <c r="U59" s="23">
        <v>0</v>
      </c>
      <c r="V59" s="23" t="s">
        <v>140</v>
      </c>
    </row>
    <row r="60" spans="2:22" ht="27">
      <c r="B60" s="100"/>
      <c r="C60" s="34" t="str">
        <f>HYPERLINK("https://cn.classic.wowhead.com/item=17071","血腥撕裂者")</f>
        <v>血腥撕裂者</v>
      </c>
      <c r="D60" s="34"/>
      <c r="E60" s="24">
        <v>3</v>
      </c>
      <c r="F60" s="24" t="s">
        <v>140</v>
      </c>
      <c r="G60" s="24">
        <v>2</v>
      </c>
      <c r="H60" s="24" t="s">
        <v>140</v>
      </c>
      <c r="I60" s="84" t="s">
        <v>222</v>
      </c>
      <c r="J60" s="83" t="s">
        <v>221</v>
      </c>
      <c r="K60" s="15"/>
      <c r="L60" s="26" t="s">
        <v>112</v>
      </c>
      <c r="M60" s="18"/>
      <c r="N60" s="28" t="s">
        <v>112</v>
      </c>
      <c r="O60" s="20"/>
      <c r="P60" s="29" t="s">
        <v>112</v>
      </c>
      <c r="Q60" s="21"/>
      <c r="R60" s="30" t="s">
        <v>112</v>
      </c>
      <c r="S60" s="22"/>
      <c r="T60" s="36" t="s">
        <v>112</v>
      </c>
      <c r="U60" s="23"/>
      <c r="V60" s="31" t="s">
        <v>112</v>
      </c>
    </row>
    <row r="61" spans="2:22" ht="27">
      <c r="B61" s="100"/>
      <c r="C61" s="34" t="str">
        <f>HYPERLINK("https://cn.classic.wowhead.com/item=18832","殘忍利刃")</f>
        <v>殘忍利刃</v>
      </c>
      <c r="D61" s="34"/>
      <c r="E61" s="24">
        <v>4</v>
      </c>
      <c r="F61" s="24" t="s">
        <v>140</v>
      </c>
      <c r="G61" s="24">
        <v>1</v>
      </c>
      <c r="H61" s="86" t="s">
        <v>233</v>
      </c>
      <c r="I61" s="84" t="s">
        <v>224</v>
      </c>
      <c r="J61" s="85" t="s">
        <v>225</v>
      </c>
      <c r="K61" s="15"/>
      <c r="L61" s="26" t="s">
        <v>112</v>
      </c>
      <c r="M61" s="18"/>
      <c r="N61" s="28" t="s">
        <v>112</v>
      </c>
      <c r="O61" s="20"/>
      <c r="P61" s="29" t="s">
        <v>112</v>
      </c>
      <c r="Q61" s="21"/>
      <c r="R61" s="30" t="s">
        <v>112</v>
      </c>
      <c r="S61" s="22"/>
      <c r="T61" s="36" t="s">
        <v>112</v>
      </c>
      <c r="U61" s="23"/>
      <c r="V61" s="31" t="s">
        <v>112</v>
      </c>
    </row>
    <row r="62" spans="2:22" ht="27">
      <c r="B62" s="100"/>
      <c r="C62" s="34" t="str">
        <f>HYPERLINK("https://cn.classic.wowhead.com/item=18805","熔火犬牙")</f>
        <v>熔火犬牙</v>
      </c>
      <c r="D62" s="35"/>
      <c r="E62" s="24">
        <v>3</v>
      </c>
      <c r="F62" s="24" t="s">
        <v>140</v>
      </c>
      <c r="G62" s="24">
        <v>2</v>
      </c>
      <c r="H62" s="24" t="s">
        <v>140</v>
      </c>
      <c r="I62" s="84" t="s">
        <v>226</v>
      </c>
      <c r="J62" s="83" t="s">
        <v>228</v>
      </c>
      <c r="K62" s="15"/>
      <c r="L62" s="26" t="s">
        <v>112</v>
      </c>
      <c r="M62" s="18"/>
      <c r="N62" s="28" t="s">
        <v>112</v>
      </c>
      <c r="O62" s="20"/>
      <c r="P62" s="29" t="s">
        <v>112</v>
      </c>
      <c r="Q62" s="21"/>
      <c r="R62" s="30" t="s">
        <v>112</v>
      </c>
      <c r="S62" s="22"/>
      <c r="T62" s="36" t="s">
        <v>112</v>
      </c>
      <c r="U62" s="23"/>
      <c r="V62" s="31" t="s">
        <v>112</v>
      </c>
    </row>
    <row r="63" spans="2:22" ht="27">
      <c r="B63" s="100"/>
      <c r="C63" s="34" t="str">
        <f>HYPERLINK("https://cn.classic.wowhead.com/item=18816","毀滅之刃")</f>
        <v>毀滅之刃</v>
      </c>
      <c r="D63" s="35">
        <v>1550</v>
      </c>
      <c r="E63" s="24">
        <v>3</v>
      </c>
      <c r="F63" s="24" t="s">
        <v>140</v>
      </c>
      <c r="G63" s="24">
        <v>2</v>
      </c>
      <c r="H63" s="24" t="s">
        <v>140</v>
      </c>
      <c r="I63" s="84" t="s">
        <v>223</v>
      </c>
      <c r="J63" s="83" t="s">
        <v>227</v>
      </c>
      <c r="K63" s="15"/>
      <c r="L63" s="26" t="s">
        <v>112</v>
      </c>
      <c r="M63" s="18"/>
      <c r="N63" s="28" t="s">
        <v>112</v>
      </c>
      <c r="O63" s="20"/>
      <c r="P63" s="29" t="s">
        <v>112</v>
      </c>
      <c r="Q63" s="21"/>
      <c r="R63" s="30" t="s">
        <v>112</v>
      </c>
      <c r="S63" s="22"/>
      <c r="T63" s="36" t="s">
        <v>112</v>
      </c>
      <c r="U63" s="23"/>
      <c r="V63" s="31" t="s">
        <v>112</v>
      </c>
    </row>
    <row r="64" spans="2:22" ht="16.5">
      <c r="B64" s="100"/>
      <c r="C64" s="34" t="str">
        <f>HYPERLINK("https://cn.classic.wowhead.com/item=18203","艾斯卡達爾的右爪")</f>
        <v>艾斯卡達爾的右爪</v>
      </c>
      <c r="D64" s="34"/>
      <c r="E64" s="24">
        <v>1</v>
      </c>
      <c r="F64" s="24" t="s">
        <v>52</v>
      </c>
      <c r="G64" s="24">
        <v>1</v>
      </c>
      <c r="H64" s="24" t="s">
        <v>140</v>
      </c>
      <c r="I64" s="13"/>
      <c r="J64" s="25" t="s">
        <v>112</v>
      </c>
      <c r="K64" s="15"/>
      <c r="L64" s="26" t="s">
        <v>112</v>
      </c>
      <c r="M64" s="18"/>
      <c r="N64" s="28" t="s">
        <v>112</v>
      </c>
      <c r="O64" s="20"/>
      <c r="P64" s="29" t="s">
        <v>112</v>
      </c>
      <c r="Q64" s="21"/>
      <c r="R64" s="30" t="s">
        <v>112</v>
      </c>
      <c r="S64" s="22"/>
      <c r="T64" s="36" t="s">
        <v>112</v>
      </c>
      <c r="U64" s="23"/>
      <c r="V64" s="31" t="s">
        <v>112</v>
      </c>
    </row>
    <row r="65" spans="1:26" ht="16.5">
      <c r="B65" s="100"/>
      <c r="C65" s="34" t="str">
        <f>HYPERLINK("https://cn.classic.wowhead.com/item=17073","震地者")</f>
        <v>震地者</v>
      </c>
      <c r="D65" s="34"/>
      <c r="E65" s="24">
        <v>2</v>
      </c>
      <c r="F65" s="24" t="s">
        <v>140</v>
      </c>
      <c r="G65" s="24">
        <v>0</v>
      </c>
      <c r="H65" s="24" t="s">
        <v>159</v>
      </c>
      <c r="I65" s="13"/>
      <c r="J65" s="25" t="s">
        <v>112</v>
      </c>
      <c r="K65" s="15"/>
      <c r="L65" s="26" t="s">
        <v>112</v>
      </c>
      <c r="M65" s="18"/>
      <c r="N65" s="28" t="s">
        <v>112</v>
      </c>
      <c r="O65" s="20"/>
      <c r="P65" s="29" t="s">
        <v>112</v>
      </c>
      <c r="Q65" s="21"/>
      <c r="R65" s="30" t="s">
        <v>112</v>
      </c>
      <c r="S65" s="36">
        <v>1</v>
      </c>
      <c r="T65" s="22" t="s">
        <v>140</v>
      </c>
      <c r="U65" s="23"/>
      <c r="V65" s="31" t="s">
        <v>112</v>
      </c>
    </row>
    <row r="66" spans="1:26" ht="16.5">
      <c r="B66" s="100"/>
      <c r="C66" s="34" t="str">
        <f>HYPERLINK("https://cn.classic.wowhead.com/item=18822","黑曜石之刃")</f>
        <v>黑曜石之刃</v>
      </c>
      <c r="D66" s="34"/>
      <c r="E66" s="24">
        <v>1</v>
      </c>
      <c r="F66" s="24" t="s">
        <v>140</v>
      </c>
      <c r="G66" s="24">
        <v>0</v>
      </c>
      <c r="H66" s="24" t="s">
        <v>159</v>
      </c>
      <c r="I66" s="13"/>
      <c r="J66" s="25" t="s">
        <v>112</v>
      </c>
      <c r="K66" s="15"/>
      <c r="L66" s="26" t="s">
        <v>112</v>
      </c>
      <c r="M66" s="18"/>
      <c r="N66" s="28" t="s">
        <v>112</v>
      </c>
      <c r="O66" s="20"/>
      <c r="P66" s="29" t="s">
        <v>112</v>
      </c>
      <c r="Q66" s="21"/>
      <c r="R66" s="30" t="s">
        <v>112</v>
      </c>
      <c r="S66" s="22"/>
      <c r="T66" s="36" t="s">
        <v>112</v>
      </c>
      <c r="U66" s="23"/>
      <c r="V66" s="31" t="s">
        <v>112</v>
      </c>
    </row>
    <row r="67" spans="1:26" ht="16.5">
      <c r="B67" s="100"/>
      <c r="C67" s="40" t="str">
        <f>HYPERLINK("https://cn.classic.wowhead.com/item=17074","暗影之擊")</f>
        <v>暗影之擊</v>
      </c>
      <c r="D67" s="34"/>
      <c r="E67" s="24">
        <v>2</v>
      </c>
      <c r="F67" s="24" t="s">
        <v>140</v>
      </c>
      <c r="G67" s="24">
        <v>1</v>
      </c>
      <c r="H67" s="24" t="s">
        <v>140</v>
      </c>
      <c r="I67" s="13"/>
      <c r="J67" s="25" t="s">
        <v>112</v>
      </c>
      <c r="K67" s="15"/>
      <c r="L67" s="26" t="s">
        <v>112</v>
      </c>
      <c r="M67" s="18"/>
      <c r="N67" s="28" t="s">
        <v>112</v>
      </c>
      <c r="O67" s="20"/>
      <c r="P67" s="29" t="s">
        <v>112</v>
      </c>
      <c r="Q67" s="21"/>
      <c r="R67" s="30" t="s">
        <v>112</v>
      </c>
      <c r="S67" s="22"/>
      <c r="T67" s="36" t="s">
        <v>112</v>
      </c>
      <c r="U67" s="23"/>
      <c r="V67" s="31" t="s">
        <v>112</v>
      </c>
    </row>
    <row r="68" spans="1:26" ht="16.5">
      <c r="B68" s="100"/>
      <c r="C68" s="34" t="str">
        <f>HYPERLINK("https://cn.classic.wowhead.com/item=17104","脊骨收割者")</f>
        <v>脊骨收割者</v>
      </c>
      <c r="D68" s="34"/>
      <c r="E68" s="24">
        <v>2</v>
      </c>
      <c r="F68" s="24" t="s">
        <v>140</v>
      </c>
      <c r="G68" s="24">
        <v>0</v>
      </c>
      <c r="H68" s="24" t="s">
        <v>159</v>
      </c>
      <c r="I68" s="13"/>
      <c r="J68" s="25" t="s">
        <v>112</v>
      </c>
      <c r="K68" s="15"/>
      <c r="L68" s="26" t="s">
        <v>112</v>
      </c>
      <c r="M68" s="18"/>
      <c r="N68" s="28" t="s">
        <v>112</v>
      </c>
      <c r="O68" s="20"/>
      <c r="P68" s="29" t="s">
        <v>112</v>
      </c>
      <c r="Q68" s="21"/>
      <c r="R68" s="30" t="s">
        <v>112</v>
      </c>
      <c r="S68" s="36">
        <v>1</v>
      </c>
      <c r="T68" s="22" t="s">
        <v>140</v>
      </c>
      <c r="U68" s="23"/>
      <c r="V68" s="31" t="s">
        <v>112</v>
      </c>
    </row>
    <row r="69" spans="1:26" ht="16.5">
      <c r="B69" s="101"/>
      <c r="C69" s="34" t="str">
        <f>HYPERLINK("https://cn.classic.wowhead.com/item=17076","削骨之刃")</f>
        <v>削骨之刃</v>
      </c>
      <c r="D69" s="35">
        <v>1550</v>
      </c>
      <c r="E69" s="24">
        <v>1</v>
      </c>
      <c r="F69" s="24" t="s">
        <v>140</v>
      </c>
      <c r="G69" s="24">
        <v>0</v>
      </c>
      <c r="H69" s="24" t="s">
        <v>48</v>
      </c>
      <c r="I69" s="13"/>
      <c r="J69" s="25" t="s">
        <v>112</v>
      </c>
      <c r="K69" s="15"/>
      <c r="L69" s="26" t="s">
        <v>112</v>
      </c>
      <c r="M69" s="18"/>
      <c r="N69" s="28" t="s">
        <v>112</v>
      </c>
      <c r="O69" s="20"/>
      <c r="P69" s="29" t="s">
        <v>112</v>
      </c>
      <c r="Q69" s="21"/>
      <c r="R69" s="30" t="s">
        <v>112</v>
      </c>
      <c r="S69" s="22"/>
      <c r="T69" s="36" t="s">
        <v>112</v>
      </c>
      <c r="U69" s="23"/>
      <c r="V69" s="31" t="s">
        <v>112</v>
      </c>
    </row>
    <row r="70" spans="1:26" ht="16.5">
      <c r="B70" s="107" t="s">
        <v>153</v>
      </c>
      <c r="C70" s="40" t="str">
        <f>HYPERLINK("https://cn.classic.wowhead.com/item=17077","赤紅震盪者")</f>
        <v>赤紅震盪者</v>
      </c>
      <c r="D70" s="34"/>
      <c r="E70" s="10"/>
      <c r="F70" s="24" t="s">
        <v>112</v>
      </c>
      <c r="G70" s="10"/>
      <c r="H70" s="24" t="s">
        <v>112</v>
      </c>
      <c r="I70" s="13"/>
      <c r="J70" s="25" t="s">
        <v>112</v>
      </c>
      <c r="K70" s="15"/>
      <c r="L70" s="26" t="s">
        <v>112</v>
      </c>
      <c r="M70" s="43"/>
      <c r="N70" s="18" t="s">
        <v>140</v>
      </c>
      <c r="O70" s="45"/>
      <c r="P70" s="29" t="s">
        <v>140</v>
      </c>
      <c r="Q70" s="21"/>
      <c r="R70" s="30" t="s">
        <v>140</v>
      </c>
      <c r="S70" s="22"/>
      <c r="T70" s="36" t="s">
        <v>112</v>
      </c>
      <c r="U70" s="23"/>
      <c r="V70" s="31" t="s">
        <v>112</v>
      </c>
    </row>
    <row r="71" spans="1:26" ht="16.5">
      <c r="B71" s="100"/>
      <c r="C71" s="34" t="str">
        <f>HYPERLINK("https://cn.classic.wowhead.com/item=17069","速射強弓")</f>
        <v>速射強弓</v>
      </c>
      <c r="D71" s="34"/>
      <c r="E71" s="24">
        <v>1</v>
      </c>
      <c r="F71" s="24" t="s">
        <v>140</v>
      </c>
      <c r="G71" s="24">
        <v>0</v>
      </c>
      <c r="H71" s="24" t="s">
        <v>48</v>
      </c>
      <c r="I71" s="25">
        <v>0</v>
      </c>
      <c r="J71" s="25" t="s">
        <v>48</v>
      </c>
      <c r="K71" s="26">
        <v>2</v>
      </c>
      <c r="L71" s="26" t="s">
        <v>140</v>
      </c>
      <c r="M71" s="18"/>
      <c r="N71" s="28" t="s">
        <v>112</v>
      </c>
      <c r="O71" s="20"/>
      <c r="P71" s="29" t="s">
        <v>112</v>
      </c>
      <c r="Q71" s="21"/>
      <c r="R71" s="30" t="s">
        <v>112</v>
      </c>
      <c r="S71" s="22"/>
      <c r="T71" s="36" t="s">
        <v>112</v>
      </c>
      <c r="U71" s="23"/>
      <c r="V71" s="31" t="s">
        <v>112</v>
      </c>
    </row>
    <row r="72" spans="1:26" ht="16.5">
      <c r="B72" s="101"/>
      <c r="C72" s="34" t="str">
        <f>HYPERLINK("https://cn.classic.wowhead.com/item=17072","爆擊獵槍")</f>
        <v>爆擊獵槍</v>
      </c>
      <c r="D72" s="34"/>
      <c r="E72" s="24">
        <v>1</v>
      </c>
      <c r="F72" s="24" t="s">
        <v>140</v>
      </c>
      <c r="G72" s="24">
        <v>0</v>
      </c>
      <c r="H72" s="24" t="s">
        <v>52</v>
      </c>
      <c r="I72" s="25">
        <v>0</v>
      </c>
      <c r="J72" s="25" t="s">
        <v>52</v>
      </c>
      <c r="K72" s="26">
        <v>2</v>
      </c>
      <c r="L72" s="26" t="s">
        <v>140</v>
      </c>
      <c r="M72" s="18"/>
      <c r="N72" s="28" t="s">
        <v>112</v>
      </c>
      <c r="O72" s="20"/>
      <c r="P72" s="29" t="s">
        <v>112</v>
      </c>
      <c r="Q72" s="21"/>
      <c r="R72" s="30" t="s">
        <v>112</v>
      </c>
      <c r="S72" s="22"/>
      <c r="T72" s="36" t="s">
        <v>112</v>
      </c>
      <c r="U72" s="23"/>
      <c r="V72" s="31" t="s">
        <v>112</v>
      </c>
    </row>
    <row r="73" spans="1:26" ht="16.5">
      <c r="B73" s="110" t="s">
        <v>23</v>
      </c>
      <c r="C73" s="111" t="s">
        <v>7</v>
      </c>
      <c r="D73" s="112" t="s">
        <v>8</v>
      </c>
      <c r="E73" s="105" t="s">
        <v>11</v>
      </c>
      <c r="F73" s="95"/>
      <c r="G73" s="105" t="s">
        <v>12</v>
      </c>
      <c r="H73" s="95"/>
      <c r="I73" s="106" t="s">
        <v>13</v>
      </c>
      <c r="J73" s="95"/>
      <c r="K73" s="113" t="s">
        <v>16</v>
      </c>
      <c r="L73" s="95"/>
      <c r="M73" s="114" t="s">
        <v>18</v>
      </c>
      <c r="N73" s="95"/>
      <c r="O73" s="115" t="s">
        <v>21</v>
      </c>
      <c r="P73" s="95"/>
      <c r="Q73" s="116" t="s">
        <v>24</v>
      </c>
      <c r="R73" s="95"/>
      <c r="S73" s="117" t="s">
        <v>25</v>
      </c>
      <c r="T73" s="95"/>
      <c r="U73" s="122" t="s">
        <v>28</v>
      </c>
      <c r="V73" s="95"/>
    </row>
    <row r="74" spans="1:26" ht="16.5">
      <c r="B74" s="101"/>
      <c r="C74" s="101"/>
      <c r="D74" s="101"/>
      <c r="E74" s="10" t="s">
        <v>19</v>
      </c>
      <c r="F74" s="10" t="s">
        <v>4</v>
      </c>
      <c r="G74" s="10" t="s">
        <v>19</v>
      </c>
      <c r="H74" s="10" t="s">
        <v>4</v>
      </c>
      <c r="I74" s="13" t="s">
        <v>19</v>
      </c>
      <c r="J74" s="13" t="s">
        <v>4</v>
      </c>
      <c r="K74" s="15" t="s">
        <v>19</v>
      </c>
      <c r="L74" s="15" t="s">
        <v>4</v>
      </c>
      <c r="M74" s="18" t="s">
        <v>19</v>
      </c>
      <c r="N74" s="18" t="s">
        <v>4</v>
      </c>
      <c r="O74" s="20" t="s">
        <v>19</v>
      </c>
      <c r="P74" s="20" t="s">
        <v>4</v>
      </c>
      <c r="Q74" s="21" t="s">
        <v>19</v>
      </c>
      <c r="R74" s="21" t="s">
        <v>4</v>
      </c>
      <c r="S74" s="22" t="s">
        <v>19</v>
      </c>
      <c r="T74" s="22" t="s">
        <v>4</v>
      </c>
      <c r="U74" s="23" t="s">
        <v>19</v>
      </c>
      <c r="V74" s="23" t="s">
        <v>4</v>
      </c>
    </row>
    <row r="75" spans="1:26" ht="16.5">
      <c r="B75" s="19" t="s">
        <v>27</v>
      </c>
      <c r="C75" s="33" t="s">
        <v>39</v>
      </c>
      <c r="D75" s="33"/>
      <c r="E75" s="24">
        <v>0</v>
      </c>
      <c r="F75" s="46" t="s">
        <v>48</v>
      </c>
      <c r="G75" s="24">
        <v>1</v>
      </c>
      <c r="H75" s="24" t="s">
        <v>51</v>
      </c>
      <c r="I75" s="13"/>
      <c r="J75" s="25" t="s">
        <v>48</v>
      </c>
      <c r="K75" s="26">
        <v>0</v>
      </c>
      <c r="L75" s="26" t="s">
        <v>48</v>
      </c>
      <c r="M75" s="18"/>
      <c r="N75" s="18" t="s">
        <v>48</v>
      </c>
      <c r="O75" s="20"/>
      <c r="P75" s="29" t="s">
        <v>48</v>
      </c>
      <c r="Q75" s="21"/>
      <c r="R75" s="30" t="s">
        <v>48</v>
      </c>
      <c r="S75" s="22"/>
      <c r="T75" s="36" t="s">
        <v>48</v>
      </c>
      <c r="U75" s="23"/>
      <c r="V75" s="23" t="s">
        <v>48</v>
      </c>
    </row>
    <row r="76" spans="1:26" ht="16.5">
      <c r="B76" s="47" t="s">
        <v>107</v>
      </c>
      <c r="C76" s="34" t="str">
        <f>HYPERLINK("https://cn.classic.wowhead.com/item=18705","成年黑龍的肌腱")</f>
        <v>成年黑龍的肌腱</v>
      </c>
      <c r="D76" s="35">
        <v>1550</v>
      </c>
      <c r="E76" s="10"/>
      <c r="F76" s="24" t="s">
        <v>112</v>
      </c>
      <c r="G76" s="10"/>
      <c r="H76" s="24" t="s">
        <v>112</v>
      </c>
      <c r="I76" s="13"/>
      <c r="J76" s="25" t="s">
        <v>112</v>
      </c>
      <c r="K76" s="26">
        <v>0</v>
      </c>
      <c r="L76" s="26" t="s">
        <v>114</v>
      </c>
      <c r="M76" s="18"/>
      <c r="N76" s="28" t="s">
        <v>112</v>
      </c>
      <c r="O76" s="20"/>
      <c r="P76" s="29" t="s">
        <v>112</v>
      </c>
      <c r="Q76" s="21"/>
      <c r="R76" s="30" t="s">
        <v>112</v>
      </c>
      <c r="S76" s="22"/>
      <c r="T76" s="36" t="s">
        <v>112</v>
      </c>
      <c r="U76" s="23"/>
      <c r="V76" s="31" t="s">
        <v>112</v>
      </c>
    </row>
    <row r="77" spans="1:26" ht="16.5">
      <c r="A77" s="9"/>
      <c r="B77" s="48" t="s">
        <v>160</v>
      </c>
      <c r="C77" s="34" t="str">
        <f>HYPERLINK("https://cn.classic.wowhead.com/item=18423","奧妮克希亞的頭顱")</f>
        <v>奧妮克希亞的頭顱</v>
      </c>
      <c r="D77" s="34"/>
      <c r="E77" s="10">
        <v>0</v>
      </c>
      <c r="F77" s="24" t="s">
        <v>48</v>
      </c>
      <c r="G77" s="10">
        <v>1</v>
      </c>
      <c r="H77" s="49" t="s">
        <v>48</v>
      </c>
      <c r="I77" s="13">
        <v>1</v>
      </c>
      <c r="J77" s="25" t="s">
        <v>48</v>
      </c>
      <c r="K77" s="15">
        <v>1</v>
      </c>
      <c r="L77" s="26" t="s">
        <v>52</v>
      </c>
      <c r="M77" s="18"/>
      <c r="N77" s="18" t="s">
        <v>140</v>
      </c>
      <c r="O77" s="20">
        <v>1</v>
      </c>
      <c r="P77" s="29" t="s">
        <v>52</v>
      </c>
      <c r="Q77" s="21">
        <v>1</v>
      </c>
      <c r="R77" s="30" t="s">
        <v>52</v>
      </c>
      <c r="S77" s="22"/>
      <c r="T77" s="22" t="s">
        <v>140</v>
      </c>
      <c r="U77" s="23"/>
      <c r="V77" s="23" t="s">
        <v>140</v>
      </c>
      <c r="W77" s="9"/>
      <c r="X77" s="9"/>
      <c r="Y77" s="9"/>
      <c r="Z77" s="9"/>
    </row>
    <row r="78" spans="1:26" ht="16.5">
      <c r="B78" s="125" t="s">
        <v>161</v>
      </c>
      <c r="C78" s="40" t="str">
        <f>HYPERLINK("https://cn.classic.wowhead.com/item=18205","艾斯卡達爾的項圈")</f>
        <v>艾斯卡達爾的項圈</v>
      </c>
      <c r="D78" s="34"/>
      <c r="E78" s="24">
        <v>1</v>
      </c>
      <c r="F78" s="24" t="s">
        <v>140</v>
      </c>
      <c r="G78" s="24">
        <v>1</v>
      </c>
      <c r="H78" s="24" t="s">
        <v>140</v>
      </c>
      <c r="I78" s="25">
        <v>1</v>
      </c>
      <c r="J78" s="25" t="s">
        <v>140</v>
      </c>
      <c r="K78" s="15"/>
      <c r="L78" s="26" t="s">
        <v>112</v>
      </c>
      <c r="M78" s="18"/>
      <c r="N78" s="28" t="s">
        <v>112</v>
      </c>
      <c r="O78" s="20"/>
      <c r="P78" s="29" t="s">
        <v>112</v>
      </c>
      <c r="Q78" s="21"/>
      <c r="R78" s="30" t="s">
        <v>112</v>
      </c>
      <c r="S78" s="22"/>
      <c r="T78" s="36" t="s">
        <v>112</v>
      </c>
      <c r="U78" s="23"/>
      <c r="V78" s="23" t="s">
        <v>140</v>
      </c>
    </row>
    <row r="79" spans="1:26" ht="16.5">
      <c r="B79" s="100"/>
      <c r="C79" s="34" t="str">
        <f>HYPERLINK("https://cn.classic.wowhead.com/item=17078","薩菲隆斗篷")</f>
        <v>薩菲隆斗篷</v>
      </c>
      <c r="D79" s="34"/>
      <c r="E79" s="10"/>
      <c r="F79" s="46" t="s">
        <v>112</v>
      </c>
      <c r="G79" s="10"/>
      <c r="H79" s="24" t="s">
        <v>112</v>
      </c>
      <c r="I79" s="13"/>
      <c r="J79" s="25" t="s">
        <v>112</v>
      </c>
      <c r="K79" s="15"/>
      <c r="L79" s="26" t="s">
        <v>112</v>
      </c>
      <c r="M79" s="43"/>
      <c r="N79" s="28" t="s">
        <v>140</v>
      </c>
      <c r="O79" s="29">
        <v>0</v>
      </c>
      <c r="P79" s="29" t="s">
        <v>162</v>
      </c>
      <c r="Q79" s="30">
        <v>0</v>
      </c>
      <c r="R79" s="30" t="s">
        <v>52</v>
      </c>
      <c r="S79" s="22"/>
      <c r="T79" s="22" t="s">
        <v>140</v>
      </c>
      <c r="U79" s="23"/>
      <c r="V79" s="23" t="s">
        <v>140</v>
      </c>
    </row>
    <row r="80" spans="1:26" ht="16.5">
      <c r="B80" s="100"/>
      <c r="C80" s="34" t="str">
        <f>HYPERLINK("https://cn.classic.wowhead.com/item=18813","禁錮之戒")</f>
        <v>禁錮之戒</v>
      </c>
      <c r="D80" s="34"/>
      <c r="E80" s="24">
        <v>0</v>
      </c>
      <c r="F80" s="24" t="s">
        <v>48</v>
      </c>
      <c r="G80" s="24">
        <v>1</v>
      </c>
      <c r="H80" s="24" t="s">
        <v>140</v>
      </c>
      <c r="I80" s="13"/>
      <c r="J80" s="25" t="s">
        <v>112</v>
      </c>
      <c r="K80" s="15"/>
      <c r="L80" s="26" t="s">
        <v>112</v>
      </c>
      <c r="M80" s="18"/>
      <c r="N80" s="28" t="s">
        <v>112</v>
      </c>
      <c r="O80" s="20"/>
      <c r="P80" s="29" t="s">
        <v>112</v>
      </c>
      <c r="Q80" s="21"/>
      <c r="R80" s="30" t="s">
        <v>112</v>
      </c>
      <c r="S80" s="22"/>
      <c r="T80" s="36" t="s">
        <v>112</v>
      </c>
      <c r="U80" s="23"/>
      <c r="V80" s="23" t="s">
        <v>140</v>
      </c>
    </row>
    <row r="81" spans="1:26" ht="16.5">
      <c r="B81" s="100"/>
      <c r="C81" s="34" t="str">
        <f>HYPERLINK("https://cn.classic.wowhead.com/item=17064","龍鱗碎片")</f>
        <v>龍鱗碎片</v>
      </c>
      <c r="D81" s="35">
        <v>1550</v>
      </c>
      <c r="E81" s="10"/>
      <c r="F81" s="24" t="s">
        <v>112</v>
      </c>
      <c r="G81" s="10"/>
      <c r="H81" s="24" t="s">
        <v>112</v>
      </c>
      <c r="I81" s="13"/>
      <c r="J81" s="25" t="s">
        <v>112</v>
      </c>
      <c r="K81" s="15"/>
      <c r="L81" s="26" t="s">
        <v>112</v>
      </c>
      <c r="M81" s="18"/>
      <c r="N81" s="18" t="s">
        <v>48</v>
      </c>
      <c r="O81" s="20"/>
      <c r="P81" s="29" t="s">
        <v>112</v>
      </c>
      <c r="Q81" s="21"/>
      <c r="R81" s="30" t="s">
        <v>112</v>
      </c>
      <c r="S81" s="22"/>
      <c r="T81" s="36" t="s">
        <v>48</v>
      </c>
      <c r="U81" s="23"/>
      <c r="V81" s="31" t="s">
        <v>52</v>
      </c>
    </row>
    <row r="82" spans="1:26" ht="16.5">
      <c r="B82" s="100"/>
      <c r="C82" s="40" t="str">
        <f>HYPERLINK("https://cn.classic.wowhead.com/item=17067","上古角石魔典")</f>
        <v>上古角石魔典</v>
      </c>
      <c r="D82" s="34"/>
      <c r="E82" s="10"/>
      <c r="F82" s="24" t="s">
        <v>112</v>
      </c>
      <c r="G82" s="10"/>
      <c r="H82" s="24" t="s">
        <v>112</v>
      </c>
      <c r="I82" s="25"/>
      <c r="J82" s="25" t="s">
        <v>140</v>
      </c>
      <c r="K82" s="15"/>
      <c r="L82" s="26" t="s">
        <v>112</v>
      </c>
      <c r="M82" s="43"/>
      <c r="N82" s="28" t="s">
        <v>140</v>
      </c>
      <c r="O82" s="20"/>
      <c r="P82" s="29" t="s">
        <v>140</v>
      </c>
      <c r="Q82" s="21"/>
      <c r="R82" s="30" t="s">
        <v>140</v>
      </c>
      <c r="S82" s="22"/>
      <c r="T82" s="36" t="s">
        <v>140</v>
      </c>
      <c r="U82" s="23"/>
      <c r="V82" s="23" t="s">
        <v>140</v>
      </c>
    </row>
    <row r="83" spans="1:26" ht="27">
      <c r="B83" s="100"/>
      <c r="C83" s="34" t="str">
        <f>HYPERLINK("https://cn.classic.wowhead.com/item=17068","死亡召喚者")</f>
        <v>死亡召喚者</v>
      </c>
      <c r="D83" s="34"/>
      <c r="E83" s="24">
        <v>2</v>
      </c>
      <c r="F83" s="24" t="s">
        <v>140</v>
      </c>
      <c r="G83" s="24">
        <v>0</v>
      </c>
      <c r="H83" s="86" t="s">
        <v>230</v>
      </c>
      <c r="I83" s="13"/>
      <c r="J83" s="25" t="s">
        <v>112</v>
      </c>
      <c r="K83" s="15"/>
      <c r="L83" s="26" t="s">
        <v>112</v>
      </c>
      <c r="M83" s="18"/>
      <c r="N83" s="28" t="s">
        <v>112</v>
      </c>
      <c r="O83" s="20"/>
      <c r="P83" s="29" t="s">
        <v>112</v>
      </c>
      <c r="Q83" s="21"/>
      <c r="R83" s="30" t="s">
        <v>112</v>
      </c>
      <c r="S83" s="22"/>
      <c r="T83" s="36" t="s">
        <v>112</v>
      </c>
      <c r="U83" s="23"/>
      <c r="V83" s="31" t="s">
        <v>112</v>
      </c>
    </row>
    <row r="84" spans="1:26" ht="27">
      <c r="B84" s="101"/>
      <c r="C84" s="34" t="str">
        <f>HYPERLINK("https://cn.classic.wowhead.com/item=17075","放血者維斯卡格")</f>
        <v>放血者維斯卡格</v>
      </c>
      <c r="D84" s="35">
        <v>1550</v>
      </c>
      <c r="E84" s="24">
        <v>4</v>
      </c>
      <c r="F84" s="24" t="s">
        <v>140</v>
      </c>
      <c r="G84" s="24">
        <v>1</v>
      </c>
      <c r="H84" s="86" t="s">
        <v>231</v>
      </c>
      <c r="I84" s="84" t="s">
        <v>229</v>
      </c>
      <c r="J84" s="83" t="s">
        <v>232</v>
      </c>
      <c r="K84" s="15"/>
      <c r="L84" s="26" t="s">
        <v>112</v>
      </c>
      <c r="M84" s="18"/>
      <c r="N84" s="28" t="s">
        <v>112</v>
      </c>
      <c r="O84" s="20"/>
      <c r="P84" s="29" t="s">
        <v>112</v>
      </c>
      <c r="Q84" s="21"/>
      <c r="R84" s="30" t="s">
        <v>112</v>
      </c>
      <c r="S84" s="22"/>
      <c r="T84" s="36" t="s">
        <v>112</v>
      </c>
      <c r="U84" s="23"/>
      <c r="V84" s="31" t="s">
        <v>112</v>
      </c>
    </row>
    <row r="85" spans="1:26" s="87" customFormat="1" ht="51" customHeight="1">
      <c r="B85" s="88"/>
      <c r="C85" s="88"/>
      <c r="D85" s="126" t="s">
        <v>163</v>
      </c>
      <c r="E85" s="89"/>
      <c r="F85" s="89"/>
      <c r="G85" s="123" t="s">
        <v>164</v>
      </c>
      <c r="H85" s="124"/>
      <c r="I85" s="89"/>
      <c r="J85" s="90" t="s">
        <v>165</v>
      </c>
      <c r="K85" s="123" t="s">
        <v>166</v>
      </c>
      <c r="L85" s="124"/>
      <c r="M85" s="123" t="s">
        <v>237</v>
      </c>
      <c r="N85" s="124"/>
      <c r="O85" s="123" t="s">
        <v>167</v>
      </c>
      <c r="P85" s="124"/>
      <c r="Q85" s="123" t="s">
        <v>168</v>
      </c>
      <c r="R85" s="124"/>
      <c r="S85" s="89"/>
      <c r="T85" s="89"/>
      <c r="U85" s="123" t="s">
        <v>235</v>
      </c>
      <c r="V85" s="124"/>
    </row>
    <row r="86" spans="1:26" s="87" customFormat="1" ht="33.75" customHeight="1">
      <c r="B86" s="88"/>
      <c r="C86" s="88"/>
      <c r="D86" s="127"/>
      <c r="E86" s="89"/>
      <c r="F86" s="89"/>
      <c r="G86" s="89"/>
      <c r="H86" s="89"/>
      <c r="I86" s="89"/>
      <c r="J86" s="90" t="s">
        <v>169</v>
      </c>
      <c r="K86" s="123" t="s">
        <v>170</v>
      </c>
      <c r="L86" s="124"/>
      <c r="M86" s="128" t="s">
        <v>238</v>
      </c>
      <c r="N86" s="124"/>
      <c r="O86" s="123" t="s">
        <v>171</v>
      </c>
      <c r="P86" s="124"/>
      <c r="Q86" s="89"/>
      <c r="R86" s="89"/>
      <c r="S86" s="89"/>
      <c r="T86" s="89"/>
      <c r="U86" s="123" t="s">
        <v>236</v>
      </c>
      <c r="V86" s="124"/>
    </row>
    <row r="87" spans="1:26" s="87" customFormat="1" ht="48.75" customHeight="1">
      <c r="B87" s="88"/>
      <c r="C87" s="88"/>
      <c r="D87" s="127"/>
      <c r="E87" s="89"/>
      <c r="F87" s="89"/>
      <c r="G87" s="89"/>
      <c r="H87" s="89"/>
      <c r="I87" s="89"/>
      <c r="J87" s="90" t="s">
        <v>172</v>
      </c>
      <c r="K87" s="123" t="s">
        <v>173</v>
      </c>
      <c r="L87" s="124"/>
      <c r="M87" s="123" t="s">
        <v>239</v>
      </c>
      <c r="N87" s="124"/>
      <c r="O87" s="123" t="s">
        <v>174</v>
      </c>
      <c r="P87" s="124"/>
      <c r="Q87" s="89"/>
      <c r="R87" s="89"/>
      <c r="S87" s="89"/>
      <c r="T87" s="89"/>
      <c r="U87" s="89"/>
      <c r="V87" s="89"/>
    </row>
    <row r="88" spans="1:26" s="87" customFormat="1" ht="31.5" customHeight="1">
      <c r="B88" s="88"/>
      <c r="C88" s="88"/>
      <c r="D88" s="127"/>
      <c r="E88" s="89"/>
      <c r="F88" s="89"/>
      <c r="G88" s="89"/>
      <c r="H88" s="89"/>
      <c r="I88" s="89"/>
      <c r="J88" s="90" t="s">
        <v>175</v>
      </c>
      <c r="K88" s="123" t="s">
        <v>234</v>
      </c>
      <c r="L88" s="123"/>
      <c r="M88" s="128" t="s">
        <v>240</v>
      </c>
      <c r="N88" s="124"/>
      <c r="O88" s="123" t="s">
        <v>176</v>
      </c>
      <c r="P88" s="124"/>
      <c r="Q88" s="89"/>
      <c r="R88" s="89"/>
      <c r="S88" s="89"/>
      <c r="T88" s="89"/>
      <c r="U88" s="89"/>
      <c r="V88" s="89"/>
    </row>
    <row r="89" spans="1:26" s="87" customFormat="1" ht="33.75" customHeight="1">
      <c r="B89" s="88"/>
      <c r="C89" s="88"/>
      <c r="D89" s="127"/>
      <c r="E89" s="89"/>
      <c r="F89" s="89"/>
      <c r="G89" s="89"/>
      <c r="H89" s="89"/>
      <c r="I89" s="89"/>
      <c r="J89" s="89"/>
      <c r="K89" s="123"/>
      <c r="L89" s="123"/>
      <c r="M89" s="90"/>
      <c r="N89" s="89"/>
      <c r="O89" s="89"/>
      <c r="P89" s="89"/>
      <c r="Q89" s="89"/>
      <c r="R89" s="89"/>
      <c r="S89" s="89"/>
      <c r="T89" s="89"/>
      <c r="U89" s="89"/>
      <c r="V89" s="89"/>
    </row>
    <row r="90" spans="1:26" ht="14.25" customHeight="1">
      <c r="A90" s="50"/>
      <c r="B90" s="51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0"/>
      <c r="X90" s="50"/>
      <c r="Y90" s="50"/>
      <c r="Z90" s="50"/>
    </row>
    <row r="91" spans="1:26" ht="14.25" customHeight="1">
      <c r="A91" s="50"/>
      <c r="B91" s="51"/>
      <c r="C91" s="51"/>
      <c r="D91" s="51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0"/>
      <c r="X91" s="50"/>
      <c r="Y91" s="50"/>
      <c r="Z91" s="50"/>
    </row>
    <row r="92" spans="1:26" ht="14.25" customHeight="1">
      <c r="B92" s="54"/>
      <c r="C92" s="54"/>
      <c r="D92" s="54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</row>
    <row r="93" spans="1:26" ht="14.25" customHeight="1">
      <c r="B93" s="54"/>
      <c r="C93" s="54"/>
      <c r="D93" s="54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</row>
    <row r="94" spans="1:26" ht="14.25" customHeight="1">
      <c r="B94" s="54"/>
      <c r="C94" s="54"/>
      <c r="D94" s="54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</row>
    <row r="95" spans="1:26" ht="14.25" customHeight="1">
      <c r="B95" s="54"/>
      <c r="C95" s="54"/>
      <c r="D95" s="54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</row>
    <row r="96" spans="1:26" ht="14.25" customHeight="1">
      <c r="B96" s="54"/>
      <c r="C96" s="54"/>
      <c r="D96" s="54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</row>
    <row r="97" spans="2:22" ht="14.25" customHeight="1">
      <c r="B97" s="54"/>
      <c r="C97" s="54"/>
      <c r="D97" s="54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</row>
    <row r="98" spans="2:22" ht="14.25" customHeight="1">
      <c r="B98" s="54"/>
      <c r="C98" s="54"/>
      <c r="D98" s="54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</row>
    <row r="99" spans="2:22" ht="14.25" customHeight="1">
      <c r="B99" s="54"/>
      <c r="C99" s="54"/>
      <c r="D99" s="54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</row>
    <row r="100" spans="2:22" ht="14.25" customHeight="1">
      <c r="B100" s="54"/>
      <c r="C100" s="54"/>
      <c r="D100" s="54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</row>
    <row r="101" spans="2:22" ht="14.25" customHeight="1">
      <c r="B101" s="54"/>
      <c r="C101" s="54"/>
      <c r="D101" s="54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</row>
    <row r="102" spans="2:22" ht="14.25" customHeight="1">
      <c r="B102" s="54"/>
      <c r="C102" s="54"/>
      <c r="D102" s="54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</row>
    <row r="103" spans="2:22" ht="14.25" customHeight="1">
      <c r="B103" s="54"/>
      <c r="C103" s="54"/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</row>
    <row r="104" spans="2:22" ht="14.25" customHeight="1">
      <c r="B104" s="54"/>
      <c r="C104" s="54"/>
      <c r="D104" s="54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</row>
    <row r="105" spans="2:22" ht="14.25" customHeight="1">
      <c r="B105" s="54"/>
      <c r="C105" s="54"/>
      <c r="D105" s="54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</row>
    <row r="106" spans="2:22" ht="14.25" customHeight="1">
      <c r="B106" s="54"/>
      <c r="C106" s="54"/>
      <c r="D106" s="54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</row>
    <row r="107" spans="2:22" ht="14.25" customHeight="1">
      <c r="B107" s="54"/>
      <c r="C107" s="54"/>
      <c r="D107" s="54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</row>
    <row r="108" spans="2:22" ht="14.25" customHeight="1">
      <c r="B108" s="54"/>
      <c r="C108" s="54"/>
      <c r="D108" s="54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</row>
    <row r="109" spans="2:22" ht="14.25" customHeight="1">
      <c r="B109" s="54"/>
      <c r="C109" s="54"/>
      <c r="D109" s="54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</row>
    <row r="110" spans="2:22" ht="14.25" customHeight="1">
      <c r="B110" s="54"/>
      <c r="C110" s="54"/>
      <c r="D110" s="54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</row>
    <row r="111" spans="2:22" ht="14.25" customHeight="1">
      <c r="B111" s="54"/>
      <c r="C111" s="54"/>
      <c r="D111" s="54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</row>
    <row r="112" spans="2:22" ht="14.25" customHeight="1">
      <c r="B112" s="54"/>
      <c r="C112" s="54"/>
      <c r="D112" s="54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</row>
    <row r="113" spans="2:22" ht="14.25" customHeight="1">
      <c r="B113" s="54"/>
      <c r="C113" s="54"/>
      <c r="D113" s="54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</row>
    <row r="114" spans="2:22" ht="14.25" customHeight="1">
      <c r="B114" s="54"/>
      <c r="C114" s="54"/>
      <c r="D114" s="54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</row>
    <row r="115" spans="2:22" ht="14.25" customHeight="1">
      <c r="B115" s="54"/>
      <c r="C115" s="54"/>
      <c r="D115" s="54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</row>
    <row r="116" spans="2:22" ht="14.25" customHeight="1">
      <c r="B116" s="54"/>
      <c r="C116" s="54"/>
      <c r="D116" s="54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</row>
    <row r="117" spans="2:22" ht="14.25" customHeight="1">
      <c r="B117" s="54"/>
      <c r="C117" s="54"/>
      <c r="D117" s="54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</row>
    <row r="118" spans="2:22" ht="14.25" customHeight="1">
      <c r="B118" s="54"/>
      <c r="C118" s="54"/>
      <c r="D118" s="54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</row>
    <row r="119" spans="2:22" ht="14.25" customHeight="1">
      <c r="B119" s="54"/>
      <c r="C119" s="54"/>
      <c r="D119" s="54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</row>
    <row r="120" spans="2:22" ht="14.25" customHeight="1">
      <c r="B120" s="54"/>
      <c r="C120" s="54"/>
      <c r="D120" s="54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</row>
    <row r="121" spans="2:22" ht="14.25" customHeight="1">
      <c r="B121" s="54"/>
      <c r="C121" s="54"/>
      <c r="D121" s="54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</row>
    <row r="122" spans="2:22" ht="14.25" customHeight="1">
      <c r="B122" s="54"/>
      <c r="C122" s="54"/>
      <c r="D122" s="54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</row>
    <row r="123" spans="2:22" ht="14.25" customHeight="1">
      <c r="B123" s="54"/>
      <c r="C123" s="54"/>
      <c r="D123" s="54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</row>
    <row r="124" spans="2:22" ht="14.25" customHeight="1">
      <c r="B124" s="54"/>
      <c r="C124" s="54"/>
      <c r="D124" s="54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</row>
    <row r="125" spans="2:22" ht="14.25" customHeight="1">
      <c r="B125" s="54"/>
      <c r="C125" s="54"/>
      <c r="D125" s="54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</row>
    <row r="126" spans="2:22" ht="14.25" customHeight="1">
      <c r="B126" s="54"/>
      <c r="C126" s="54"/>
      <c r="D126" s="54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</row>
    <row r="127" spans="2:22" ht="14.25" customHeight="1">
      <c r="B127" s="54"/>
      <c r="C127" s="54"/>
      <c r="D127" s="54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</row>
    <row r="128" spans="2:22" ht="14.25" customHeight="1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5:22" ht="14.25" customHeight="1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5:22" ht="14.25" customHeight="1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5:22" ht="14.25" customHeight="1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5:22" ht="14.25" customHeight="1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5:22" ht="14.25" customHeight="1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5:22" ht="14.25" customHeight="1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5:22" ht="14.25" customHeight="1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5:22" ht="14.25" customHeight="1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5:22" ht="14.25" customHeight="1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5:22" ht="14.25" customHeight="1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5:22" ht="14.25" customHeight="1"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5:22" ht="14.25" customHeight="1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5:22" ht="14.25" customHeight="1"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5:22" ht="14.25" customHeight="1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5:22" ht="14.25" customHeight="1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5:22" ht="14.25" customHeight="1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5:22" ht="14.25" customHeight="1"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5:22" ht="14.25" customHeight="1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5:22" ht="14.25" customHeight="1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5:22" ht="14.25" customHeight="1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5:22" ht="14.25" customHeight="1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5:22" ht="14.25" customHeight="1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5:22" ht="14.25" customHeight="1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5:22" ht="14.25" customHeight="1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5:22" ht="14.25" customHeight="1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5:22" ht="14.25" customHeight="1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5:22" ht="14.25" customHeight="1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5:22" ht="14.25" customHeight="1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5:22" ht="14.25" customHeight="1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5:22" ht="14.25" customHeight="1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5:22" ht="14.25" customHeight="1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5:22" ht="14.25" customHeight="1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5:22" ht="14.25" customHeight="1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5:22" ht="14.25" customHeight="1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5:22" ht="14.25" customHeight="1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5:22" ht="14.25" customHeight="1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5:22" ht="14.25" customHeight="1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5:22" ht="14.25" customHeight="1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5:22" ht="14.25" customHeight="1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5:22" ht="14.25" customHeight="1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5:22" ht="14.25" customHeight="1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5:22" ht="14.25" customHeight="1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5:22" ht="14.25" customHeight="1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5:22" ht="14.25" customHeight="1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5:22" ht="14.25" customHeight="1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5:22" ht="14.25" customHeight="1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5:22" ht="14.25" customHeight="1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5:22" ht="14.25" customHeight="1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5:22" ht="14.25" customHeight="1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5:22" ht="14.25" customHeight="1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5:22" ht="14.25" customHeight="1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5:22" ht="14.25" customHeight="1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5:22" ht="14.25" customHeight="1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5:22" ht="14.25" customHeight="1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5:22" ht="14.25" customHeight="1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5:22" ht="14.25" customHeight="1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5:22" ht="14.25" customHeight="1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5:22" ht="14.25" customHeight="1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5:22" ht="14.25" customHeight="1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5:22" ht="14.25" customHeight="1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5:22" ht="14.25" customHeight="1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5:22" ht="14.25" customHeight="1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5:22" ht="14.25" customHeight="1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5:22" ht="14.25" customHeight="1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5:22" ht="14.25" customHeight="1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5:22" ht="14.25" customHeight="1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5:22" ht="14.25" customHeight="1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5:22" ht="14.25" customHeight="1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5:22" ht="14.25" customHeight="1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5:22" ht="14.25" customHeight="1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5:22" ht="14.25" customHeight="1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5:22" ht="14.25" customHeight="1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5:22" ht="14.25" customHeight="1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5:22" ht="14.25" customHeight="1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5:22" ht="14.25" customHeight="1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5:22" ht="14.25" customHeight="1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5:22" ht="14.25" customHeight="1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5:22" ht="14.25" customHeight="1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5:22" ht="14.25" customHeight="1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5:22" ht="14.25" customHeight="1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5:22" ht="14.25" customHeight="1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5:22" ht="14.25" customHeight="1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5:22" ht="14.25" customHeight="1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5:22" ht="14.25" customHeight="1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5:22" ht="14.25" customHeight="1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5:22" ht="14.25" customHeight="1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5:22" ht="14.25" customHeight="1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5:22" ht="14.25" customHeight="1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5:22" ht="14.25" customHeight="1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5:22" ht="14.25" customHeight="1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5:22" ht="14.25" customHeight="1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5:22" ht="14.25" customHeight="1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5:22" ht="14.25" customHeight="1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5:22" ht="14.25" customHeight="1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5:22" ht="14.25" customHeight="1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5:22" ht="14.25" customHeight="1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5:22" ht="14.25" customHeight="1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5:22" ht="14.25" customHeight="1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5:22" ht="14.25" customHeight="1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5:22" ht="14.25" customHeight="1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5:22" ht="14.25" customHeight="1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5:22" ht="14.25" customHeight="1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5:22" ht="14.25" customHeight="1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5:22" ht="14.25" customHeight="1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5:22" ht="14.25" customHeight="1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5:22" ht="14.25" customHeight="1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5:22" ht="14.25" customHeight="1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5:22" ht="14.25" customHeight="1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5:22" ht="14.25" customHeight="1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5:22" ht="14.25" customHeight="1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5:22" ht="14.25" customHeight="1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5:22" ht="14.25" customHeight="1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5:22" ht="14.25" customHeight="1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5:22" ht="14.25" customHeight="1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5:22" ht="14.25" customHeight="1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5:22" ht="14.25" customHeight="1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5:22" ht="14.25" customHeight="1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5:22" ht="14.25" customHeight="1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5:22" ht="14.25" customHeight="1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5:22" ht="14.2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5:22" ht="14.2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5:22" ht="14.2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5:22" ht="14.2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5:22" ht="14.2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5:22" ht="14.2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5:22" ht="14.2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5:22" ht="14.2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5:22" ht="14.2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5:22" ht="14.2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5:22" ht="14.2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5:22" ht="14.2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5:22" ht="14.2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5:22" ht="14.2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5:22" ht="14.2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5:22" ht="14.2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5:22" ht="14.2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5:22" ht="14.2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5:22" ht="14.2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5:22" ht="14.2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5:22" ht="14.2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5:22" ht="14.2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5:22" ht="14.2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5:22" ht="14.2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5:22" ht="14.2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5:22" ht="14.2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5:22" ht="14.2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5:22" ht="14.2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5:22" ht="14.2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5:22" ht="14.25" customHeight="1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5:22" ht="14.25" customHeight="1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5:22" ht="14.25" customHeight="1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5:22" ht="14.25" customHeight="1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5:22" ht="14.25" customHeight="1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5:22" ht="14.25" customHeight="1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5:22" ht="14.25" customHeight="1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5:22" ht="14.25" customHeight="1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5:22" ht="14.25" customHeight="1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5:22" ht="14.25" customHeight="1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5:22" ht="14.25" customHeight="1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5:22" ht="14.25" customHeight="1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5:22" ht="14.25" customHeight="1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5:22" ht="14.25" customHeight="1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5:22" ht="14.25" customHeight="1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5:22" ht="14.25" customHeight="1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5:22" ht="14.25" customHeight="1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5:22" ht="14.25" customHeight="1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5:22" ht="14.25" customHeight="1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5:22" ht="14.25" customHeight="1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5:22" ht="14.25" customHeight="1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5:22" ht="14.25" customHeight="1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5:22" ht="14.25" customHeight="1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5:22" ht="14.25" customHeight="1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5:22" ht="14.25" customHeight="1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5:22" ht="14.25" customHeight="1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5:22" ht="14.25" customHeight="1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5:22" ht="14.25" customHeight="1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5:22" ht="14.25" customHeight="1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5:22" ht="14.25" customHeight="1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5:22" ht="14.25" customHeight="1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5:22" ht="14.25" customHeight="1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5:22" ht="14.25" customHeight="1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5:22" ht="14.25" customHeight="1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5:22" ht="14.25" customHeight="1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5:22" ht="14.25" customHeight="1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5:22" ht="14.25" customHeight="1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5:22" ht="14.25" customHeight="1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5:22" ht="14.25" customHeight="1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5:22" ht="14.25" customHeight="1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5:22" ht="14.25" customHeight="1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5:22" ht="14.25" customHeight="1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5:22" ht="14.25" customHeight="1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5:22" ht="14.25" customHeight="1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5:22" ht="14.25" customHeight="1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5:22" ht="14.25" customHeight="1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5:22" ht="14.25" customHeight="1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5:22" ht="14.25" customHeight="1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5:22" ht="14.25" customHeight="1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5:22" ht="14.25" customHeight="1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5:22" ht="14.25" customHeight="1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5:22" ht="14.25" customHeight="1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5:22" ht="14.25" customHeight="1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5:22" ht="14.25" customHeight="1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5:22" ht="14.25" customHeight="1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5:22" ht="14.25" customHeight="1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5:22" ht="14.25" customHeight="1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5:22" ht="14.25" customHeight="1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5:22" ht="14.25" customHeight="1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5:22" ht="14.25" customHeight="1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5:22" ht="14.25" customHeight="1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5:22" ht="14.25" customHeight="1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5:22" ht="14.25" customHeight="1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5:22" ht="14.25" customHeight="1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5:22" ht="14.25" customHeight="1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5:22" ht="14.25" customHeight="1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5:22" ht="14.25" customHeight="1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5:22" ht="14.25" customHeight="1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5:22" ht="14.25" customHeight="1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5:22" ht="14.25" customHeight="1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5:22" ht="14.25" customHeight="1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5:22" ht="14.25" customHeight="1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5:22" ht="14.25" customHeight="1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5:22" ht="14.25" customHeight="1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5:22" ht="14.25" customHeight="1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5:22" ht="14.25" customHeight="1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5:22" ht="14.25" customHeight="1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5:22" ht="14.25" customHeight="1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5:22" ht="14.25" customHeight="1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5:22" ht="14.25" customHeight="1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5:22" ht="14.25" customHeight="1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5:22" ht="14.25" customHeight="1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5:22" ht="14.25" customHeight="1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5:22" ht="14.25" customHeight="1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5:22" ht="14.25" customHeight="1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5:22" ht="14.25" customHeight="1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5:22" ht="14.25" customHeight="1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5:22" ht="14.25" customHeight="1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5:22" ht="14.25" customHeight="1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5:22" ht="14.25" customHeight="1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5:22" ht="14.25" customHeight="1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5:22" ht="14.25" customHeight="1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5:22" ht="14.25" customHeight="1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5:22" ht="14.25" customHeight="1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5:22" ht="14.25" customHeight="1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5:22" ht="14.25" customHeight="1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5:22" ht="14.25" customHeight="1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5:22" ht="14.25" customHeight="1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5:22" ht="14.25" customHeight="1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5:22" ht="14.25" customHeight="1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5:22" ht="14.25" customHeight="1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5:22" ht="14.25" customHeight="1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5:22" ht="14.25" customHeight="1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5:22" ht="14.25" customHeight="1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5:22" ht="14.25" customHeight="1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5:22" ht="14.25" customHeight="1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5:22" ht="14.25" customHeight="1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5:22" ht="14.25" customHeight="1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5:22" ht="14.25" customHeight="1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5:22" ht="14.25" customHeight="1"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5:22" ht="14.25" customHeight="1"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5:22" ht="14.25" customHeight="1"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5:22" ht="14.25" customHeight="1"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5:22" ht="14.25" customHeight="1"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5:22" ht="14.25" customHeight="1"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5:22" ht="14.25" customHeight="1"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5:22" ht="14.25" customHeight="1"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5:22" ht="14.25" customHeight="1"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5:22" ht="14.25" customHeight="1"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5:22" ht="14.25" customHeight="1"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5:22" ht="14.25" customHeight="1"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5:22" ht="14.25" customHeight="1"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5:22" ht="14.25" customHeight="1"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5:22" ht="14.25" customHeight="1"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5:22" ht="14.25" customHeight="1"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5:22" ht="14.25" customHeight="1"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5:22" ht="14.25" customHeight="1"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5:22" ht="14.25" customHeight="1"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5:22" ht="14.25" customHeight="1"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5:22" ht="14.25" customHeight="1"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5:22" ht="14.25" customHeight="1"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5:22" ht="14.25" customHeight="1"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5:22" ht="14.25" customHeight="1"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5:22" ht="14.25" customHeight="1"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5:22" ht="14.25" customHeight="1"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5:22" ht="14.25" customHeight="1"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5:22" ht="14.25" customHeight="1"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5:22" ht="14.25" customHeight="1"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5:22" ht="14.25" customHeight="1"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5:22" ht="14.25" customHeight="1"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5:22" ht="14.25" customHeight="1"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5:22" ht="14.25" customHeight="1"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5:22" ht="14.25" customHeight="1"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5:22" ht="14.25" customHeight="1"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5:22" ht="14.25" customHeight="1"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5:22" ht="14.25" customHeight="1"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5:22" ht="14.25" customHeight="1"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5:22" ht="14.25" customHeight="1"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5:22" ht="14.25" customHeight="1"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5:22" ht="14.25" customHeight="1"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5:22" ht="14.25" customHeight="1"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5:22" ht="14.25" customHeight="1"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5:22" ht="14.25" customHeight="1"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5:22" ht="14.25" customHeight="1"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5:22" ht="14.25" customHeight="1"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5:22" ht="14.25" customHeight="1"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5:22" ht="14.25" customHeight="1"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5:22" ht="14.25" customHeight="1"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5:22" ht="14.25" customHeight="1"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5:22" ht="14.25" customHeight="1"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5:22" ht="14.25" customHeight="1"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5:22" ht="14.25" customHeight="1"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5:22" ht="14.25" customHeight="1"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5:22" ht="14.25" customHeight="1"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5:22" ht="14.25" customHeight="1"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5:22" ht="14.25" customHeight="1"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5:22" ht="14.25" customHeight="1"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5:22" ht="14.25" customHeight="1"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5:22" ht="14.25" customHeight="1"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5:22" ht="14.25" customHeight="1"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5:22" ht="14.25" customHeight="1"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5:22" ht="14.25" customHeight="1"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5:22" ht="14.25" customHeight="1"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5:22" ht="14.25" customHeight="1"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5:22" ht="14.25" customHeight="1"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5:22" ht="14.25" customHeight="1"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5:22" ht="14.25" customHeight="1"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5:22" ht="14.25" customHeight="1"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5:22" ht="14.25" customHeight="1"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5:22" ht="14.25" customHeight="1"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5:22" ht="14.25" customHeight="1"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5:22" ht="14.25" customHeight="1"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5:22" ht="14.25" customHeight="1"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5:22" ht="14.25" customHeight="1"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5:22" ht="14.25" customHeight="1"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5:22" ht="14.25" customHeight="1"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5:22" ht="14.25" customHeight="1"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5:22" ht="14.25" customHeight="1"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5:22" ht="14.25" customHeight="1"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5:22" ht="14.25" customHeight="1"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5:22" ht="14.25" customHeight="1"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5:22" ht="14.25" customHeight="1"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5:22" ht="14.25" customHeight="1"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5:22" ht="14.25" customHeight="1"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5:22" ht="14.25" customHeight="1"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5:22" ht="14.25" customHeight="1"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5:22" ht="14.25" customHeight="1"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5:22" ht="14.25" customHeight="1"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5:22" ht="14.25" customHeight="1"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5:22" ht="14.25" customHeight="1"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5:22" ht="14.25" customHeight="1"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5:22" ht="14.25" customHeight="1"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5:22" ht="14.25" customHeight="1"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5:22" ht="14.25" customHeight="1"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5:22" ht="14.25" customHeight="1"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5:22" ht="14.25" customHeight="1"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5:22" ht="14.25" customHeight="1"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5:22" ht="14.25" customHeight="1"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5:22" ht="14.25" customHeight="1"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5:22" ht="14.25" customHeight="1"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5:22" ht="14.25" customHeight="1"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5:22" ht="14.25" customHeight="1"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5:22" ht="14.25" customHeight="1"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5:22" ht="14.25" customHeight="1"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5:22" ht="14.25" customHeight="1"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5:22" ht="14.25" customHeight="1"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5:22" ht="14.25" customHeight="1"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5:22" ht="14.25" customHeight="1"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5:22" ht="14.25" customHeight="1"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5:22" ht="14.25" customHeight="1"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5:22" ht="14.25" customHeight="1"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5:22" ht="14.25" customHeight="1"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5:22" ht="14.25" customHeight="1"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5:22" ht="14.25" customHeight="1"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5:22" ht="14.25" customHeight="1"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5:22" ht="14.25" customHeight="1"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5:22" ht="14.25" customHeight="1"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5:22" ht="14.25" customHeight="1"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5:22" ht="14.25" customHeight="1"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5:22" ht="14.25" customHeight="1"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5:22" ht="14.25" customHeight="1"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5:22" ht="14.25" customHeight="1"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5:22" ht="14.25" customHeight="1"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5:22" ht="14.25" customHeight="1"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5:22" ht="14.25" customHeight="1"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5:22" ht="14.25" customHeight="1"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5:22" ht="14.25" customHeight="1"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5:22" ht="14.25" customHeight="1"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5:22" ht="14.25" customHeight="1"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5:22" ht="14.25" customHeight="1"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5:22" ht="14.25" customHeight="1"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5:22" ht="14.25" customHeight="1"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5:22" ht="14.25" customHeight="1"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5:22" ht="14.25" customHeight="1"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5:22" ht="14.25" customHeight="1"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5:22" ht="14.25" customHeight="1"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5:22" ht="14.25" customHeight="1"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5:22" ht="14.25" customHeight="1"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5:22" ht="14.25" customHeight="1"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5:22" ht="14.25" customHeight="1"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5:22" ht="14.25" customHeight="1"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5:22" ht="14.25" customHeight="1"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5:22" ht="14.25" customHeight="1"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5:22" ht="14.25" customHeight="1"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5:22" ht="14.25" customHeight="1"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5:22" ht="14.25" customHeight="1"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5:22" ht="14.25" customHeight="1"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5:22" ht="14.25" customHeight="1"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5:22" ht="14.25" customHeight="1"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5:22" ht="14.25" customHeight="1"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5:22" ht="14.25" customHeight="1"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5:22" ht="14.25" customHeight="1"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5:22" ht="14.25" customHeight="1"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5:22" ht="14.25" customHeight="1"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5:22" ht="14.25" customHeight="1"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5:22" ht="14.25" customHeight="1"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5:22" ht="14.25" customHeight="1"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5:22" ht="14.25" customHeight="1"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5:22" ht="14.25" customHeight="1"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5:22" ht="14.25" customHeight="1"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5:22" ht="14.25" customHeight="1"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5:22" ht="14.25" customHeight="1"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5:22" ht="14.25" customHeight="1"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5:22" ht="14.25" customHeight="1"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5:22" ht="14.25" customHeight="1"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5:22" ht="14.25" customHeight="1"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5:22" ht="14.25" customHeight="1"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5:22" ht="14.25" customHeight="1"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5:22" ht="14.25" customHeight="1"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5:22" ht="14.25" customHeight="1"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5:22" ht="14.25" customHeight="1"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5:22" ht="14.25" customHeight="1"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5:22" ht="14.25" customHeight="1"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5:22" ht="14.25" customHeight="1"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5:22" ht="14.25" customHeight="1"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5:22" ht="14.25" customHeight="1"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5:22" ht="14.25" customHeight="1"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5:22" ht="14.25" customHeight="1"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5:22" ht="14.25" customHeight="1"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5:22" ht="14.25" customHeight="1"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5:22" ht="14.25" customHeight="1"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5:22" ht="14.25" customHeight="1"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5:22" ht="14.25" customHeight="1"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5:22" ht="14.25" customHeight="1"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5:22" ht="14.25" customHeight="1"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5:22" ht="14.25" customHeight="1"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5:22" ht="14.25" customHeight="1"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5:22" ht="14.25" customHeight="1"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5:22" ht="14.25" customHeight="1"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5:22" ht="14.25" customHeight="1"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5:22" ht="14.25" customHeight="1"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5:22" ht="14.25" customHeight="1"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5:22" ht="14.25" customHeight="1"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5:22" ht="14.25" customHeight="1"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5:22" ht="14.25" customHeight="1"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5:22" ht="14.25" customHeight="1"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5:22" ht="14.25" customHeight="1"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5:22" ht="14.25" customHeight="1"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5:22" ht="14.25" customHeight="1"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5:22" ht="14.25" customHeight="1"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5:22" ht="14.25" customHeight="1"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5:22" ht="14.25" customHeight="1"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5:22" ht="14.25" customHeight="1"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5:22" ht="14.25" customHeight="1"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5:22" ht="14.25" customHeight="1"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5:22" ht="14.25" customHeight="1"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5:22" ht="14.25" customHeight="1"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5:22" ht="14.25" customHeight="1"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5:22" ht="14.25" customHeight="1"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5:22" ht="14.25" customHeight="1"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5:22" ht="14.25" customHeight="1"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5:22" ht="14.25" customHeight="1"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5:22" ht="14.25" customHeight="1"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5:22" ht="14.25" customHeight="1"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5:22" ht="14.25" customHeight="1"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5:22" ht="14.25" customHeight="1"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5:22" ht="14.25" customHeight="1"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5:22" ht="14.25" customHeight="1"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5:22" ht="14.25" customHeight="1"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5:22" ht="14.25" customHeight="1"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5:22" ht="14.25" customHeight="1"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5:22" ht="14.25" customHeight="1"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5:22" ht="14.25" customHeight="1"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5:22" ht="14.25" customHeight="1"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5:22" ht="14.25" customHeight="1"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5:22" ht="14.25" customHeight="1"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5:22" ht="14.25" customHeight="1"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5:22" ht="14.25" customHeight="1"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5:22" ht="14.25" customHeight="1"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5:22" ht="14.25" customHeight="1"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5:22" ht="14.25" customHeight="1"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5:22" ht="14.25" customHeight="1"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5:22" ht="14.25" customHeight="1"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5:22" ht="14.25" customHeight="1"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5:22" ht="14.25" customHeight="1"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5:22" ht="14.25" customHeight="1"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5:22" ht="14.25" customHeight="1"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5:22" ht="14.25" customHeight="1"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5:22" ht="14.25" customHeight="1"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5:22" ht="14.25" customHeight="1"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5:22" ht="14.25" customHeight="1"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5:22" ht="14.25" customHeight="1"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5:22" ht="14.25" customHeight="1"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5:22" ht="14.25" customHeight="1"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5:22" ht="14.25" customHeight="1"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5:22" ht="14.25" customHeight="1"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5:22" ht="14.25" customHeight="1"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5:22" ht="14.25" customHeight="1"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5:22" ht="14.25" customHeight="1"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5:22" ht="14.25" customHeight="1"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5:22" ht="14.25" customHeight="1"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5:22" ht="14.25" customHeight="1"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5:22" ht="14.25" customHeight="1"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5:22" ht="14.25" customHeight="1"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5:22" ht="14.25" customHeight="1"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5:22" ht="14.25" customHeight="1"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5:22" ht="14.25" customHeight="1"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5:22" ht="14.25" customHeight="1"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5:22" ht="14.25" customHeight="1"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5:22" ht="14.25" customHeight="1"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5:22" ht="14.25" customHeight="1"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5:22" ht="14.25" customHeight="1"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5:22" ht="14.25" customHeight="1"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5:22" ht="14.25" customHeight="1"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5:22" ht="14.25" customHeight="1"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5:22" ht="14.25" customHeight="1"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5:22" ht="14.25" customHeight="1"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5:22" ht="14.25" customHeight="1"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5:22" ht="14.25" customHeight="1"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5:22" ht="14.25" customHeight="1"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5:22" ht="14.25" customHeight="1"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5:22" ht="14.25" customHeight="1"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5:22" ht="14.25" customHeight="1"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5:22" ht="14.25" customHeight="1"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5:22" ht="14.25" customHeight="1"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5:22" ht="14.25" customHeight="1"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5:22" ht="14.25" customHeight="1"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5:22" ht="14.25" customHeight="1"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5:22" ht="14.25" customHeight="1"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5:22" ht="14.25" customHeight="1"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5:22" ht="14.25" customHeight="1"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5:22" ht="14.25" customHeight="1"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5:22" ht="14.25" customHeight="1"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5:22" ht="14.25" customHeight="1"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5:22" ht="14.25" customHeight="1"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5:22" ht="14.25" customHeight="1"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5:22" ht="14.25" customHeight="1"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5:22" ht="14.25" customHeight="1"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5:22" ht="14.25" customHeight="1"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5:22" ht="14.25" customHeight="1"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5:22" ht="14.25" customHeight="1"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5:22" ht="14.25" customHeight="1"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5:22" ht="14.25" customHeight="1"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5:22" ht="14.25" customHeight="1"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5:22" ht="14.25" customHeight="1"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5:22" ht="14.25" customHeight="1"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5:22" ht="14.25" customHeight="1"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5:22" ht="14.25" customHeight="1"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5:22" ht="14.25" customHeight="1"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5:22" ht="14.25" customHeight="1"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5:22" ht="14.25" customHeight="1"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5:22" ht="14.25" customHeight="1"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5:22" ht="14.25" customHeight="1"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5:22" ht="14.25" customHeight="1"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5:22" ht="14.25" customHeight="1"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5:22" ht="14.25" customHeight="1"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5:22" ht="14.25" customHeight="1"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5:22" ht="14.25" customHeight="1"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5:22" ht="14.25" customHeight="1"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5:22" ht="14.25" customHeight="1"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5:22" ht="14.25" customHeight="1"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5:22" ht="14.25" customHeight="1"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5:22" ht="14.25" customHeight="1"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5:22" ht="14.25" customHeight="1"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5:22" ht="14.25" customHeight="1"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5:22" ht="14.25" customHeight="1"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5:22" ht="14.25" customHeight="1"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5:22" ht="14.25" customHeight="1"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5:22" ht="14.25" customHeight="1"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5:22" ht="14.25" customHeight="1"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5:22" ht="14.25" customHeight="1"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5:22" ht="14.25" customHeight="1"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5:22" ht="14.25" customHeight="1"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5:22" ht="14.25" customHeight="1"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5:22" ht="14.25" customHeight="1"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5:22" ht="14.25" customHeight="1"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5:22" ht="14.25" customHeight="1"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5:22" ht="14.25" customHeight="1"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5:22" ht="14.25" customHeight="1"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5:22" ht="14.25" customHeight="1"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5:22" ht="14.25" customHeight="1"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5:22" ht="14.25" customHeight="1"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5:22" ht="14.25" customHeight="1"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5:22" ht="14.25" customHeight="1"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5:22" ht="14.25" customHeight="1"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5:22" ht="14.25" customHeight="1"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5:22" ht="14.25" customHeight="1"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5:22" ht="14.25" customHeight="1"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5:22" ht="14.25" customHeight="1"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5:22" ht="14.25" customHeight="1"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5:22" ht="14.25" customHeight="1"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5:22" ht="14.25" customHeight="1"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5:22" ht="14.25" customHeight="1"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5:22" ht="14.25" customHeight="1"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5:22" ht="14.25" customHeight="1"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5:22" ht="14.25" customHeight="1"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5:22" ht="14.25" customHeight="1"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5:22" ht="14.25" customHeight="1"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5:22" ht="14.25" customHeight="1"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5:22" ht="14.25" customHeight="1"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5:22" ht="14.25" customHeight="1"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5:22" ht="14.25" customHeight="1"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5:22" ht="14.25" customHeight="1"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5:22" ht="14.25" customHeight="1"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5:22" ht="14.25" customHeight="1"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5:22" ht="14.25" customHeight="1"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5:22" ht="14.25" customHeight="1"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5:22" ht="14.25" customHeight="1"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5:22" ht="14.25" customHeight="1"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5:22" ht="14.25" customHeight="1"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5:22" ht="14.25" customHeight="1"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5:22" ht="14.25" customHeight="1"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5:22" ht="14.25" customHeight="1"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5:22" ht="14.25" customHeight="1"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5:22" ht="14.25" customHeight="1"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5:22" ht="14.25" customHeight="1"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5:22" ht="14.25" customHeight="1"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5:22" ht="14.25" customHeight="1"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5:22" ht="14.25" customHeight="1"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5:22" ht="14.25" customHeight="1"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5:22" ht="14.25" customHeight="1"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5:22" ht="14.25" customHeight="1"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5:22" ht="14.25" customHeight="1"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5:22" ht="14.25" customHeight="1"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5:22" ht="14.25" customHeight="1"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5:22" ht="14.25" customHeight="1"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5:22" ht="14.25" customHeight="1"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5:22" ht="14.25" customHeight="1"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5:22" ht="14.25" customHeight="1"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5:22" ht="14.25" customHeight="1"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5:22" ht="14.25" customHeight="1"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5:22" ht="14.25" customHeight="1"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5:22" ht="14.25" customHeight="1"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5:22" ht="14.25" customHeight="1"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5:22" ht="14.25" customHeight="1"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5:22" ht="14.25" customHeight="1"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5:22" ht="14.25" customHeight="1"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5:22" ht="14.25" customHeight="1"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5:22" ht="14.25" customHeight="1"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5:22" ht="14.25" customHeight="1"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5:22" ht="14.25" customHeight="1"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5:22" ht="14.25" customHeight="1"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5:22" ht="14.25" customHeight="1"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5:22" ht="14.25" customHeight="1"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5:22" ht="14.25" customHeight="1"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5:22" ht="14.25" customHeight="1"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5:22" ht="14.25" customHeight="1"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5:22" ht="14.25" customHeight="1"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5:22" ht="14.25" customHeight="1"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5:22" ht="14.25" customHeight="1"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5:22" ht="14.25" customHeight="1"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5:22" ht="14.25" customHeight="1"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5:22" ht="14.25" customHeight="1"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5:22" ht="14.25" customHeight="1"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5:22" ht="14.25" customHeight="1"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5:22" ht="14.25" customHeight="1"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5:22" ht="14.25" customHeight="1"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5:22" ht="14.25" customHeight="1"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5:22" ht="14.25" customHeight="1"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5:22" ht="14.25" customHeight="1"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5:22" ht="14.25" customHeight="1"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5:22" ht="14.25" customHeight="1"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5:22" ht="14.25" customHeight="1"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5:22" ht="14.25" customHeight="1"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5:22" ht="14.25" customHeight="1"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5:22" ht="14.25" customHeight="1"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5:22" ht="14.25" customHeight="1"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5:22" ht="14.25" customHeight="1"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5:22" ht="14.25" customHeight="1"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5:22" ht="14.25" customHeight="1"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5:22" ht="14.25" customHeight="1"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5:22" ht="14.25" customHeight="1"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5:22" ht="14.25" customHeight="1"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5:22" ht="14.25" customHeight="1"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5:22" ht="14.25" customHeight="1"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5:22" ht="14.25" customHeight="1"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5:22" ht="14.25" customHeight="1"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5:22" ht="14.25" customHeight="1"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5:22" ht="14.25" customHeight="1"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5:22" ht="14.25" customHeight="1"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5:22" ht="14.25" customHeight="1"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5:22" ht="14.25" customHeight="1"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5:22" ht="14.25" customHeight="1"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5:22" ht="14.25" customHeight="1"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5:22" ht="14.25" customHeight="1"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5:22" ht="14.25" customHeight="1"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5:22" ht="14.25" customHeight="1"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5:22" ht="14.25" customHeight="1"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5:22" ht="14.25" customHeight="1"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5:22" ht="14.25" customHeight="1"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5:22" ht="14.25" customHeight="1"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5:22" ht="14.25" customHeight="1"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5:22" ht="14.25" customHeight="1"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5:22" ht="14.25" customHeight="1"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5:22" ht="14.25" customHeight="1"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5:22" ht="14.25" customHeight="1"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5:22" ht="14.25" customHeight="1"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5:22" ht="14.25" customHeight="1"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5:22" ht="14.25" customHeight="1"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5:22" ht="14.25" customHeight="1"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5:22" ht="14.25" customHeight="1"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5:22" ht="14.25" customHeight="1"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5:22" ht="14.25" customHeight="1"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5:22" ht="14.25" customHeight="1"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5:22" ht="14.25" customHeight="1"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5:22" ht="14.25" customHeight="1"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5:22" ht="14.25" customHeight="1"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5:22" ht="14.25" customHeight="1"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5:22" ht="14.25" customHeight="1"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5:22" ht="14.25" customHeight="1"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5:22" ht="14.25" customHeight="1"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5:22" ht="14.25" customHeight="1"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5:22" ht="14.25" customHeight="1"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5:22" ht="14.25" customHeight="1"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5:22" ht="14.25" customHeight="1"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5:22" ht="14.25" customHeight="1"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5:22" ht="14.25" customHeight="1"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5:22" ht="14.25" customHeight="1"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5:22" ht="14.25" customHeight="1"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5:22" ht="14.25" customHeight="1"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5:22" ht="14.25" customHeight="1"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5:22" ht="14.25" customHeight="1"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5:22" ht="14.25" customHeight="1"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5:22" ht="14.25" customHeight="1"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5:22" ht="14.25" customHeight="1"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5:22" ht="14.25" customHeight="1"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5:22" ht="14.25" customHeight="1"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5:22" ht="14.25" customHeight="1"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5:22" ht="14.25" customHeight="1"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5:22" ht="14.25" customHeight="1"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5:22" ht="14.25" customHeight="1"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5:22" ht="14.25" customHeight="1"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5:22" ht="14.25" customHeight="1"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5:22" ht="14.25" customHeight="1"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5:22" ht="14.25" customHeight="1"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5:22" ht="14.25" customHeight="1"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5:22" ht="14.25" customHeight="1"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5:22" ht="14.25" customHeight="1"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5:22" ht="14.25" customHeight="1"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5:22" ht="14.25" customHeight="1"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5:22" ht="14.25" customHeight="1"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5:22" ht="14.25" customHeight="1"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5:22" ht="14.25" customHeight="1"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5:22" ht="14.25" customHeight="1"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5:22" ht="14.25" customHeight="1"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5:22" ht="14.25" customHeight="1"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5:22" ht="14.25" customHeight="1"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5:22" ht="14.25" customHeight="1"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5:22" ht="14.25" customHeight="1"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5:22" ht="14.25" customHeight="1"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5:22" ht="14.25" customHeight="1"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5:22" ht="14.25" customHeight="1"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5:22" ht="14.25" customHeight="1"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5:22" ht="14.25" customHeight="1"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5:22" ht="14.25" customHeight="1"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5:22" ht="14.25" customHeight="1"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5:22" ht="14.25" customHeight="1"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5:22" ht="14.25" customHeight="1"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5:22" ht="14.25" customHeight="1"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5:22" ht="14.25" customHeight="1"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5:22" ht="14.25" customHeight="1"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5:22" ht="14.25" customHeight="1"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5:22" ht="14.25" customHeight="1"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5:22" ht="14.25" customHeight="1"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5:22" ht="14.25" customHeight="1"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5:22" ht="14.25" customHeight="1"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5:22" ht="14.25" customHeight="1"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5:22" ht="14.25" customHeight="1"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5:22" ht="14.25" customHeight="1"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5:22" ht="14.25" customHeight="1"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5:22" ht="14.25" customHeight="1"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5:22" ht="14.25" customHeight="1"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5:22" ht="14.25" customHeight="1"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5:22" ht="14.25" customHeight="1"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5:22" ht="14.25" customHeight="1"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5:22" ht="14.25" customHeight="1"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5:22" ht="14.25" customHeight="1"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5:22" ht="14.25" customHeight="1"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5:22" ht="14.25" customHeight="1"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5:22" ht="14.25" customHeight="1"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5:22" ht="14.25" customHeight="1"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5:22" ht="14.25" customHeight="1"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5:22" ht="14.25" customHeight="1"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5:22" ht="14.25" customHeight="1"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5:22" ht="14.25" customHeight="1"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5:22" ht="14.25" customHeight="1"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5:22" ht="14.25" customHeight="1"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5:22" ht="14.25" customHeight="1"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5:22" ht="14.25" customHeight="1"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5:22" ht="14.25" customHeight="1"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5:22" ht="14.25" customHeight="1"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5:22" ht="14.25" customHeight="1"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5:22" ht="14.25" customHeight="1"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5:22" ht="14.25" customHeight="1"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5:22" ht="14.25" customHeight="1"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5:22" ht="14.25" customHeight="1"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5:22" ht="14.25" customHeight="1"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5:22" ht="14.25" customHeight="1"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5:22" ht="14.25" customHeight="1"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5:22" ht="14.25" customHeight="1"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5:22" ht="14.25" customHeight="1"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5:22" ht="14.25" customHeight="1"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5:22" ht="14.25" customHeight="1"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5:22" ht="14.25" customHeight="1"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5:22" ht="14.25" customHeight="1"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5:22" ht="14.25" customHeight="1"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5:22" ht="14.25" customHeight="1"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5:22" ht="14.25" customHeight="1"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5:22" ht="14.25" customHeight="1"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5:22" ht="14.25" customHeight="1"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5:22" ht="14.25" customHeight="1"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5:22" ht="14.25" customHeight="1"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5:22" ht="14.25" customHeight="1"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5:22" ht="14.25" customHeight="1"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5:22" ht="14.25" customHeight="1"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5:22" ht="14.25" customHeight="1"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5:22" ht="14.25" customHeight="1"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5:22" ht="14.25" customHeight="1"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5:22" ht="14.25" customHeight="1"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5:22" ht="14.25" customHeight="1"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5:22" ht="14.25" customHeight="1"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5:22" ht="14.25" customHeight="1"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5:22" ht="14.25" customHeight="1"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5:22" ht="14.25" customHeight="1"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5:22" ht="14.25" customHeight="1"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5:22" ht="14.25" customHeight="1"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5:22" ht="14.25" customHeight="1"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5:22" ht="14.25" customHeight="1"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5:22" ht="14.25" customHeight="1"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5:22" ht="14.25" customHeight="1"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5:22" ht="14.25" customHeight="1"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5:22" ht="14.25" customHeight="1"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5:22" ht="14.25" customHeight="1"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5:22" ht="14.25" customHeight="1"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5:22" ht="14.25" customHeight="1"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5:22" ht="14.25" customHeight="1"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</sheetData>
  <mergeCells count="57">
    <mergeCell ref="B78:B84"/>
    <mergeCell ref="G85:H85"/>
    <mergeCell ref="O85:P85"/>
    <mergeCell ref="K88:L89"/>
    <mergeCell ref="D85:D89"/>
    <mergeCell ref="K87:L87"/>
    <mergeCell ref="M87:N87"/>
    <mergeCell ref="O87:P87"/>
    <mergeCell ref="M88:N88"/>
    <mergeCell ref="O88:P88"/>
    <mergeCell ref="K85:L85"/>
    <mergeCell ref="K86:L86"/>
    <mergeCell ref="M86:N86"/>
    <mergeCell ref="O86:P86"/>
    <mergeCell ref="M85:N85"/>
    <mergeCell ref="Q85:R85"/>
    <mergeCell ref="U85:V85"/>
    <mergeCell ref="U86:V86"/>
    <mergeCell ref="M4:N4"/>
    <mergeCell ref="O4:P4"/>
    <mergeCell ref="Q4:R4"/>
    <mergeCell ref="S4:T4"/>
    <mergeCell ref="U73:V73"/>
    <mergeCell ref="E1:V2"/>
    <mergeCell ref="E3:V3"/>
    <mergeCell ref="B4:B5"/>
    <mergeCell ref="C4:C5"/>
    <mergeCell ref="D4:D5"/>
    <mergeCell ref="E4:F4"/>
    <mergeCell ref="G4:H4"/>
    <mergeCell ref="U4:V4"/>
    <mergeCell ref="I4:J4"/>
    <mergeCell ref="K4:L4"/>
    <mergeCell ref="B6:B14"/>
    <mergeCell ref="B15:B16"/>
    <mergeCell ref="B17:B19"/>
    <mergeCell ref="B20:B22"/>
    <mergeCell ref="B23:B29"/>
    <mergeCell ref="K73:L73"/>
    <mergeCell ref="M73:N73"/>
    <mergeCell ref="O73:P73"/>
    <mergeCell ref="Q73:R73"/>
    <mergeCell ref="S73:T73"/>
    <mergeCell ref="G73:H73"/>
    <mergeCell ref="I73:J73"/>
    <mergeCell ref="B30:B32"/>
    <mergeCell ref="B33:B35"/>
    <mergeCell ref="B36:B40"/>
    <mergeCell ref="B41:B45"/>
    <mergeCell ref="B46:B50"/>
    <mergeCell ref="B51:B54"/>
    <mergeCell ref="B55:B69"/>
    <mergeCell ref="B70:B72"/>
    <mergeCell ref="B73:B74"/>
    <mergeCell ref="C73:C74"/>
    <mergeCell ref="D73:D74"/>
    <mergeCell ref="E73:F73"/>
  </mergeCells>
  <phoneticPr fontId="30" type="noConversion"/>
  <pageMargins left="0.70866141732283472" right="0.70866141732283472" top="0.74803149606299213" bottom="0.74803149606299213" header="0" footer="0"/>
  <pageSetup paperSize="9" scale="30" orientation="landscape" r:id="rId1"/>
  <headerFooter>
    <oddHeader>&amp;A</oddHeader>
    <oddFooter>第 &amp;P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8"/>
  <sheetViews>
    <sheetView workbookViewId="0"/>
  </sheetViews>
  <sheetFormatPr defaultColWidth="12.625" defaultRowHeight="15" customHeight="1"/>
  <cols>
    <col min="1" max="1" width="7.375" bestFit="1" customWidth="1"/>
    <col min="2" max="2" width="9.125" customWidth="1"/>
    <col min="3" max="3" width="15.25" customWidth="1"/>
    <col min="4" max="4" width="8.25" customWidth="1"/>
    <col min="5" max="5" width="5.375" customWidth="1"/>
    <col min="6" max="6" width="6.625" customWidth="1"/>
    <col min="7" max="7" width="8" customWidth="1"/>
    <col min="8" max="8" width="16.875" customWidth="1"/>
    <col min="9" max="9" width="8.875" customWidth="1"/>
    <col min="10" max="10" width="5.25" customWidth="1"/>
    <col min="11" max="11" width="6.625" customWidth="1"/>
    <col min="12" max="12" width="9" customWidth="1"/>
    <col min="13" max="13" width="14.875" customWidth="1"/>
    <col min="14" max="14" width="8.75" customWidth="1"/>
    <col min="15" max="15" width="5.625" customWidth="1"/>
    <col min="16" max="26" width="11" customWidth="1"/>
  </cols>
  <sheetData>
    <row r="1" spans="1:26" ht="14.25" customHeight="1">
      <c r="A1" s="7">
        <v>2.7210000000000001</v>
      </c>
      <c r="B1" s="121" t="s">
        <v>5</v>
      </c>
      <c r="C1" s="111" t="s">
        <v>7</v>
      </c>
      <c r="D1" s="111" t="s">
        <v>14</v>
      </c>
      <c r="E1" s="129" t="s">
        <v>15</v>
      </c>
      <c r="F1" s="9"/>
      <c r="G1" s="121" t="s">
        <v>5</v>
      </c>
      <c r="H1" s="111" t="s">
        <v>7</v>
      </c>
      <c r="I1" s="111" t="s">
        <v>14</v>
      </c>
      <c r="J1" s="129" t="s">
        <v>15</v>
      </c>
      <c r="K1" s="9"/>
      <c r="L1" s="110" t="s">
        <v>23</v>
      </c>
      <c r="M1" s="111" t="s">
        <v>7</v>
      </c>
      <c r="N1" s="111" t="s">
        <v>14</v>
      </c>
      <c r="O1" s="129" t="s">
        <v>15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B2" s="101"/>
      <c r="C2" s="101"/>
      <c r="D2" s="101"/>
      <c r="E2" s="101"/>
      <c r="F2" s="9"/>
      <c r="G2" s="101"/>
      <c r="H2" s="101"/>
      <c r="I2" s="101"/>
      <c r="J2" s="101"/>
      <c r="K2" s="9"/>
      <c r="L2" s="101"/>
      <c r="M2" s="101"/>
      <c r="N2" s="101"/>
      <c r="O2" s="101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"/>
      <c r="B3" s="108" t="s">
        <v>27</v>
      </c>
      <c r="C3" s="12" t="s">
        <v>30</v>
      </c>
      <c r="D3" s="14">
        <v>66</v>
      </c>
      <c r="E3" s="16">
        <v>30</v>
      </c>
      <c r="F3" s="9"/>
      <c r="G3" s="108" t="s">
        <v>36</v>
      </c>
      <c r="H3" s="12" t="s">
        <v>37</v>
      </c>
      <c r="I3" s="14">
        <v>66</v>
      </c>
      <c r="J3" s="16">
        <v>61</v>
      </c>
      <c r="K3" s="9"/>
      <c r="L3" s="19" t="s">
        <v>27</v>
      </c>
      <c r="M3" s="12" t="s">
        <v>39</v>
      </c>
      <c r="N3" s="14">
        <v>76</v>
      </c>
      <c r="O3" s="16">
        <v>90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7"/>
      <c r="B4" s="100"/>
      <c r="C4" s="12" t="s">
        <v>40</v>
      </c>
      <c r="D4" s="14">
        <v>66</v>
      </c>
      <c r="E4" s="16">
        <v>45</v>
      </c>
      <c r="F4" s="9"/>
      <c r="G4" s="100"/>
      <c r="H4" s="12" t="s">
        <v>41</v>
      </c>
      <c r="I4" s="14">
        <v>63</v>
      </c>
      <c r="J4" s="16">
        <v>54</v>
      </c>
      <c r="K4" s="9"/>
      <c r="L4" s="125" t="s">
        <v>42</v>
      </c>
      <c r="M4" s="130" t="s">
        <v>44</v>
      </c>
      <c r="N4" s="131">
        <v>75</v>
      </c>
      <c r="O4" s="132">
        <v>65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7"/>
      <c r="B5" s="100"/>
      <c r="C5" s="12" t="s">
        <v>49</v>
      </c>
      <c r="D5" s="14">
        <v>66</v>
      </c>
      <c r="E5" s="16">
        <v>45</v>
      </c>
      <c r="F5" s="9"/>
      <c r="G5" s="100"/>
      <c r="H5" s="12" t="s">
        <v>50</v>
      </c>
      <c r="I5" s="14">
        <v>71</v>
      </c>
      <c r="J5" s="16">
        <v>55</v>
      </c>
      <c r="K5" s="9"/>
      <c r="L5" s="101"/>
      <c r="M5" s="101"/>
      <c r="N5" s="101"/>
      <c r="O5" s="101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7"/>
      <c r="B6" s="100"/>
      <c r="C6" s="12" t="s">
        <v>54</v>
      </c>
      <c r="D6" s="14">
        <v>66</v>
      </c>
      <c r="E6" s="16">
        <v>45</v>
      </c>
      <c r="F6" s="9"/>
      <c r="G6" s="100"/>
      <c r="H6" s="12" t="s">
        <v>55</v>
      </c>
      <c r="I6" s="14">
        <v>70</v>
      </c>
      <c r="J6" s="16">
        <v>53</v>
      </c>
      <c r="K6" s="9"/>
      <c r="L6" s="133" t="s">
        <v>56</v>
      </c>
      <c r="M6" s="130" t="s">
        <v>59</v>
      </c>
      <c r="N6" s="131">
        <v>74</v>
      </c>
      <c r="O6" s="132">
        <v>62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7"/>
      <c r="B7" s="100"/>
      <c r="C7" s="12" t="s">
        <v>62</v>
      </c>
      <c r="D7" s="14">
        <v>66</v>
      </c>
      <c r="E7" s="16">
        <v>45</v>
      </c>
      <c r="F7" s="9"/>
      <c r="G7" s="101"/>
      <c r="H7" s="12" t="s">
        <v>64</v>
      </c>
      <c r="I7" s="14">
        <v>71</v>
      </c>
      <c r="J7" s="16">
        <v>55</v>
      </c>
      <c r="K7" s="9"/>
      <c r="L7" s="101"/>
      <c r="M7" s="101"/>
      <c r="N7" s="101"/>
      <c r="O7" s="101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7"/>
      <c r="B8" s="100"/>
      <c r="C8" s="12" t="s">
        <v>66</v>
      </c>
      <c r="D8" s="14">
        <v>66</v>
      </c>
      <c r="E8" s="16">
        <v>61</v>
      </c>
      <c r="F8" s="9"/>
      <c r="G8" s="107" t="s">
        <v>68</v>
      </c>
      <c r="H8" s="12" t="s">
        <v>70</v>
      </c>
      <c r="I8" s="14">
        <v>65</v>
      </c>
      <c r="J8" s="16">
        <v>29</v>
      </c>
      <c r="K8" s="9"/>
      <c r="L8" s="118" t="s">
        <v>71</v>
      </c>
      <c r="M8" s="12" t="s">
        <v>73</v>
      </c>
      <c r="N8" s="14">
        <v>71</v>
      </c>
      <c r="O8" s="16">
        <v>37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7"/>
      <c r="B9" s="100"/>
      <c r="C9" s="12" t="s">
        <v>75</v>
      </c>
      <c r="D9" s="14">
        <v>66</v>
      </c>
      <c r="E9" s="16">
        <v>61</v>
      </c>
      <c r="F9" s="9"/>
      <c r="G9" s="100"/>
      <c r="H9" s="12" t="s">
        <v>76</v>
      </c>
      <c r="I9" s="14">
        <v>64</v>
      </c>
      <c r="J9" s="16">
        <v>56</v>
      </c>
      <c r="K9" s="9"/>
      <c r="L9" s="100"/>
      <c r="M9" s="12" t="s">
        <v>77</v>
      </c>
      <c r="N9" s="14">
        <v>72</v>
      </c>
      <c r="O9" s="16">
        <v>38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7"/>
      <c r="B10" s="100"/>
      <c r="C10" s="12" t="s">
        <v>78</v>
      </c>
      <c r="D10" s="14">
        <v>66</v>
      </c>
      <c r="E10" s="16">
        <v>61</v>
      </c>
      <c r="F10" s="9"/>
      <c r="G10" s="100"/>
      <c r="H10" s="12" t="s">
        <v>79</v>
      </c>
      <c r="I10" s="14">
        <v>69</v>
      </c>
      <c r="J10" s="16">
        <v>51</v>
      </c>
      <c r="K10" s="9"/>
      <c r="L10" s="100"/>
      <c r="M10" s="12" t="s">
        <v>80</v>
      </c>
      <c r="N10" s="14">
        <v>73</v>
      </c>
      <c r="O10" s="16">
        <v>40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7"/>
      <c r="B11" s="101"/>
      <c r="C11" s="12" t="s">
        <v>81</v>
      </c>
      <c r="D11" s="14">
        <v>76</v>
      </c>
      <c r="E11" s="16">
        <v>90</v>
      </c>
      <c r="F11" s="9"/>
      <c r="G11" s="100"/>
      <c r="H11" s="12" t="s">
        <v>82</v>
      </c>
      <c r="I11" s="14">
        <v>71</v>
      </c>
      <c r="J11" s="16">
        <v>55</v>
      </c>
      <c r="K11" s="9"/>
      <c r="L11" s="100"/>
      <c r="M11" s="12" t="s">
        <v>83</v>
      </c>
      <c r="N11" s="14">
        <v>71</v>
      </c>
      <c r="O11" s="16">
        <v>55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7"/>
      <c r="B12" s="125" t="s">
        <v>42</v>
      </c>
      <c r="C12" s="12" t="s">
        <v>84</v>
      </c>
      <c r="D12" s="14">
        <v>75</v>
      </c>
      <c r="E12" s="16">
        <v>65</v>
      </c>
      <c r="F12" s="9"/>
      <c r="G12" s="101"/>
      <c r="H12" s="12" t="s">
        <v>85</v>
      </c>
      <c r="I12" s="14">
        <v>71</v>
      </c>
      <c r="J12" s="16">
        <v>55</v>
      </c>
      <c r="K12" s="9"/>
      <c r="L12" s="100"/>
      <c r="M12" s="12" t="s">
        <v>86</v>
      </c>
      <c r="N12" s="14">
        <v>76</v>
      </c>
      <c r="O12" s="16">
        <v>45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7"/>
      <c r="B13" s="101"/>
      <c r="C13" s="12" t="s">
        <v>87</v>
      </c>
      <c r="D13" s="14">
        <v>75</v>
      </c>
      <c r="E13" s="16">
        <v>65</v>
      </c>
      <c r="F13" s="9"/>
      <c r="G13" s="108" t="s">
        <v>88</v>
      </c>
      <c r="H13" s="12" t="s">
        <v>89</v>
      </c>
      <c r="I13" s="14">
        <v>62</v>
      </c>
      <c r="J13" s="16">
        <v>52</v>
      </c>
      <c r="K13" s="9"/>
      <c r="L13" s="100"/>
      <c r="M13" s="12" t="s">
        <v>90</v>
      </c>
      <c r="N13" s="14">
        <v>75</v>
      </c>
      <c r="O13" s="16">
        <v>130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7"/>
      <c r="B14" s="121" t="s">
        <v>5</v>
      </c>
      <c r="C14" s="111" t="s">
        <v>7</v>
      </c>
      <c r="D14" s="111" t="s">
        <v>14</v>
      </c>
      <c r="E14" s="129" t="s">
        <v>15</v>
      </c>
      <c r="F14" s="9"/>
      <c r="G14" s="100"/>
      <c r="H14" s="12" t="s">
        <v>92</v>
      </c>
      <c r="I14" s="14">
        <v>71</v>
      </c>
      <c r="J14" s="16">
        <v>55</v>
      </c>
      <c r="K14" s="9"/>
      <c r="L14" s="101"/>
      <c r="M14" s="12" t="s">
        <v>94</v>
      </c>
      <c r="N14" s="14">
        <v>74</v>
      </c>
      <c r="O14" s="16">
        <v>125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7"/>
      <c r="B15" s="101"/>
      <c r="C15" s="101"/>
      <c r="D15" s="101"/>
      <c r="E15" s="101"/>
      <c r="F15" s="9"/>
      <c r="G15" s="100"/>
      <c r="H15" s="12" t="s">
        <v>95</v>
      </c>
      <c r="I15" s="14">
        <v>68</v>
      </c>
      <c r="J15" s="16">
        <v>49</v>
      </c>
      <c r="K15" s="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7"/>
      <c r="B16" s="109" t="s">
        <v>96</v>
      </c>
      <c r="C16" s="12" t="s">
        <v>97</v>
      </c>
      <c r="D16" s="14">
        <v>65</v>
      </c>
      <c r="E16" s="16">
        <v>29</v>
      </c>
      <c r="F16" s="9"/>
      <c r="G16" s="100"/>
      <c r="H16" s="12" t="s">
        <v>98</v>
      </c>
      <c r="I16" s="14">
        <v>71</v>
      </c>
      <c r="J16" s="16">
        <v>37</v>
      </c>
      <c r="K16" s="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7"/>
      <c r="B17" s="100"/>
      <c r="C17" s="12" t="s">
        <v>99</v>
      </c>
      <c r="D17" s="14">
        <v>78</v>
      </c>
      <c r="E17" s="16">
        <v>48</v>
      </c>
      <c r="F17" s="9"/>
      <c r="G17" s="101"/>
      <c r="H17" s="12" t="s">
        <v>100</v>
      </c>
      <c r="I17" s="14">
        <v>76</v>
      </c>
      <c r="J17" s="16">
        <v>90</v>
      </c>
      <c r="K17" s="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7"/>
      <c r="B18" s="101"/>
      <c r="C18" s="12" t="s">
        <v>101</v>
      </c>
      <c r="D18" s="14">
        <v>68</v>
      </c>
      <c r="E18" s="16">
        <v>33</v>
      </c>
      <c r="F18" s="9"/>
      <c r="G18" s="107" t="s">
        <v>102</v>
      </c>
      <c r="H18" s="12" t="s">
        <v>103</v>
      </c>
      <c r="I18" s="14">
        <v>61</v>
      </c>
      <c r="J18" s="16">
        <v>50</v>
      </c>
      <c r="K18" s="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7"/>
      <c r="B19" s="107" t="s">
        <v>104</v>
      </c>
      <c r="C19" s="12" t="s">
        <v>105</v>
      </c>
      <c r="D19" s="14">
        <v>71</v>
      </c>
      <c r="E19" s="16">
        <v>37</v>
      </c>
      <c r="F19" s="9"/>
      <c r="G19" s="100"/>
      <c r="H19" s="12" t="s">
        <v>106</v>
      </c>
      <c r="I19" s="14">
        <v>69</v>
      </c>
      <c r="J19" s="16">
        <v>51</v>
      </c>
      <c r="K19" s="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7"/>
      <c r="B20" s="100"/>
      <c r="C20" s="12" t="s">
        <v>108</v>
      </c>
      <c r="D20" s="14">
        <v>74</v>
      </c>
      <c r="E20" s="16">
        <v>41</v>
      </c>
      <c r="F20" s="9"/>
      <c r="G20" s="100"/>
      <c r="H20" s="12" t="s">
        <v>109</v>
      </c>
      <c r="I20" s="14">
        <v>70</v>
      </c>
      <c r="J20" s="16">
        <v>53</v>
      </c>
      <c r="K20" s="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7"/>
      <c r="B21" s="101"/>
      <c r="C21" s="12" t="s">
        <v>110</v>
      </c>
      <c r="D21" s="14">
        <v>73</v>
      </c>
      <c r="E21" s="16">
        <v>40</v>
      </c>
      <c r="F21" s="9"/>
      <c r="G21" s="101"/>
      <c r="H21" s="12" t="s">
        <v>111</v>
      </c>
      <c r="I21" s="14">
        <v>78</v>
      </c>
      <c r="J21" s="16">
        <v>72</v>
      </c>
      <c r="K21" s="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108" t="s">
        <v>113</v>
      </c>
      <c r="C22" s="12" t="s">
        <v>115</v>
      </c>
      <c r="D22" s="14">
        <v>66</v>
      </c>
      <c r="E22" s="16">
        <v>30</v>
      </c>
      <c r="F22" s="9"/>
      <c r="G22" s="121" t="s">
        <v>5</v>
      </c>
      <c r="H22" s="111" t="s">
        <v>7</v>
      </c>
      <c r="I22" s="111" t="s">
        <v>14</v>
      </c>
      <c r="J22" s="129" t="s">
        <v>15</v>
      </c>
      <c r="K22" s="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100"/>
      <c r="C23" s="12" t="s">
        <v>116</v>
      </c>
      <c r="D23" s="14">
        <v>70</v>
      </c>
      <c r="E23" s="16">
        <v>35</v>
      </c>
      <c r="F23" s="9"/>
      <c r="G23" s="101"/>
      <c r="H23" s="101"/>
      <c r="I23" s="101"/>
      <c r="J23" s="101"/>
      <c r="K23" s="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100"/>
      <c r="C24" s="12" t="s">
        <v>117</v>
      </c>
      <c r="D24" s="14">
        <v>78</v>
      </c>
      <c r="E24" s="16">
        <v>48</v>
      </c>
      <c r="F24" s="9"/>
      <c r="G24" s="109" t="s">
        <v>118</v>
      </c>
      <c r="H24" s="12" t="s">
        <v>119</v>
      </c>
      <c r="I24" s="14">
        <v>65</v>
      </c>
      <c r="J24" s="16">
        <v>88</v>
      </c>
      <c r="K24" s="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100"/>
      <c r="C25" s="12" t="s">
        <v>120</v>
      </c>
      <c r="D25" s="14">
        <v>71</v>
      </c>
      <c r="E25" s="16">
        <v>37</v>
      </c>
      <c r="F25" s="9"/>
      <c r="G25" s="100"/>
      <c r="H25" s="12" t="s">
        <v>121</v>
      </c>
      <c r="I25" s="14">
        <v>71</v>
      </c>
      <c r="J25" s="16">
        <v>111</v>
      </c>
      <c r="K25" s="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7"/>
      <c r="B26" s="100"/>
      <c r="C26" s="12" t="s">
        <v>122</v>
      </c>
      <c r="D26" s="14">
        <v>66</v>
      </c>
      <c r="E26" s="16">
        <v>30</v>
      </c>
      <c r="F26" s="9"/>
      <c r="G26" s="100"/>
      <c r="H26" s="12" t="s">
        <v>123</v>
      </c>
      <c r="I26" s="14">
        <v>70</v>
      </c>
      <c r="J26" s="16">
        <v>143</v>
      </c>
      <c r="K26" s="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7"/>
      <c r="B27" s="100"/>
      <c r="C27" s="12" t="s">
        <v>124</v>
      </c>
      <c r="D27" s="14">
        <v>67</v>
      </c>
      <c r="E27" s="16">
        <v>31</v>
      </c>
      <c r="F27" s="9"/>
      <c r="G27" s="100"/>
      <c r="H27" s="12" t="s">
        <v>125</v>
      </c>
      <c r="I27" s="14">
        <v>69</v>
      </c>
      <c r="J27" s="16">
        <v>103</v>
      </c>
      <c r="K27" s="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101"/>
      <c r="C28" s="12" t="s">
        <v>127</v>
      </c>
      <c r="D28" s="14">
        <v>78</v>
      </c>
      <c r="E28" s="16">
        <v>48</v>
      </c>
      <c r="F28" s="7"/>
      <c r="G28" s="100"/>
      <c r="H28" s="12" t="s">
        <v>128</v>
      </c>
      <c r="I28" s="14">
        <v>70</v>
      </c>
      <c r="J28" s="16">
        <v>143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7"/>
      <c r="B29" s="107" t="s">
        <v>130</v>
      </c>
      <c r="C29" s="12" t="s">
        <v>131</v>
      </c>
      <c r="D29" s="14">
        <v>70</v>
      </c>
      <c r="E29" s="16">
        <v>35</v>
      </c>
      <c r="F29" s="7"/>
      <c r="G29" s="100"/>
      <c r="H29" s="12" t="s">
        <v>132</v>
      </c>
      <c r="I29" s="14">
        <v>69</v>
      </c>
      <c r="J29" s="16">
        <v>103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100"/>
      <c r="C30" s="12" t="s">
        <v>133</v>
      </c>
      <c r="D30" s="14">
        <v>75</v>
      </c>
      <c r="E30" s="16">
        <v>43</v>
      </c>
      <c r="F30" s="7"/>
      <c r="G30" s="100"/>
      <c r="H30" s="12" t="s">
        <v>134</v>
      </c>
      <c r="I30" s="14">
        <v>70</v>
      </c>
      <c r="J30" s="16">
        <v>107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7"/>
      <c r="B31" s="101"/>
      <c r="C31" s="12" t="s">
        <v>135</v>
      </c>
      <c r="D31" s="14">
        <v>67</v>
      </c>
      <c r="E31" s="16">
        <v>31</v>
      </c>
      <c r="F31" s="7"/>
      <c r="G31" s="100"/>
      <c r="H31" s="12" t="s">
        <v>136</v>
      </c>
      <c r="I31" s="14">
        <v>70</v>
      </c>
      <c r="J31" s="16">
        <v>107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7"/>
      <c r="B32" s="108" t="s">
        <v>137</v>
      </c>
      <c r="C32" s="12" t="s">
        <v>138</v>
      </c>
      <c r="D32" s="14">
        <v>66</v>
      </c>
      <c r="E32" s="16">
        <v>45</v>
      </c>
      <c r="F32" s="7"/>
      <c r="G32" s="100"/>
      <c r="H32" s="12" t="s">
        <v>139</v>
      </c>
      <c r="I32" s="14">
        <v>77</v>
      </c>
      <c r="J32" s="16">
        <v>140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7"/>
      <c r="B33" s="100"/>
      <c r="C33" s="12" t="s">
        <v>141</v>
      </c>
      <c r="D33" s="14">
        <v>74</v>
      </c>
      <c r="E33" s="16">
        <v>62</v>
      </c>
      <c r="F33" s="7"/>
      <c r="G33" s="100"/>
      <c r="H33" s="12" t="s">
        <v>142</v>
      </c>
      <c r="I33" s="39">
        <v>66</v>
      </c>
      <c r="J33" s="16">
        <v>91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7"/>
      <c r="B34" s="101"/>
      <c r="C34" s="12" t="s">
        <v>143</v>
      </c>
      <c r="D34" s="14">
        <v>75</v>
      </c>
      <c r="E34" s="16">
        <v>65</v>
      </c>
      <c r="F34" s="7"/>
      <c r="G34" s="100"/>
      <c r="H34" s="12" t="s">
        <v>144</v>
      </c>
      <c r="I34" s="14">
        <v>66</v>
      </c>
      <c r="J34" s="16">
        <v>122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7"/>
      <c r="B35" s="121" t="s">
        <v>5</v>
      </c>
      <c r="C35" s="111" t="s">
        <v>7</v>
      </c>
      <c r="D35" s="111" t="s">
        <v>14</v>
      </c>
      <c r="E35" s="129" t="s">
        <v>15</v>
      </c>
      <c r="F35" s="7"/>
      <c r="G35" s="100"/>
      <c r="H35" s="12" t="s">
        <v>145</v>
      </c>
      <c r="I35" s="14">
        <v>68</v>
      </c>
      <c r="J35" s="16">
        <v>132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101"/>
      <c r="C36" s="101"/>
      <c r="D36" s="101"/>
      <c r="E36" s="101"/>
      <c r="F36" s="7"/>
      <c r="G36" s="100"/>
      <c r="H36" s="12" t="s">
        <v>146</v>
      </c>
      <c r="I36" s="14">
        <v>63</v>
      </c>
      <c r="J36" s="16">
        <v>109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125" t="s">
        <v>147</v>
      </c>
      <c r="C37" s="33" t="s">
        <v>148</v>
      </c>
      <c r="D37" s="41">
        <v>80</v>
      </c>
      <c r="E37" s="42">
        <v>571</v>
      </c>
      <c r="F37" s="7"/>
      <c r="G37" s="100"/>
      <c r="H37" s="12" t="s">
        <v>150</v>
      </c>
      <c r="I37" s="14">
        <v>76</v>
      </c>
      <c r="J37" s="16">
        <v>180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7"/>
      <c r="B38" s="101"/>
      <c r="C38" s="33" t="s">
        <v>151</v>
      </c>
      <c r="D38" s="41">
        <v>80</v>
      </c>
      <c r="E38" s="42">
        <v>214</v>
      </c>
      <c r="F38" s="7"/>
      <c r="G38" s="101"/>
      <c r="H38" s="12" t="s">
        <v>152</v>
      </c>
      <c r="I38" s="14">
        <v>77</v>
      </c>
      <c r="J38" s="16">
        <v>187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F39" s="7"/>
      <c r="G39" s="107" t="s">
        <v>153</v>
      </c>
      <c r="H39" s="12" t="s">
        <v>154</v>
      </c>
      <c r="I39" s="14">
        <v>63</v>
      </c>
      <c r="J39" s="16">
        <v>27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7"/>
      <c r="F40" s="7"/>
      <c r="G40" s="100"/>
      <c r="H40" s="12" t="s">
        <v>155</v>
      </c>
      <c r="I40" s="14">
        <v>69</v>
      </c>
      <c r="J40" s="16">
        <v>34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7"/>
      <c r="B41" s="7"/>
      <c r="C41" s="7"/>
      <c r="D41" s="7"/>
      <c r="E41" s="7"/>
      <c r="F41" s="7"/>
      <c r="G41" s="101"/>
      <c r="H41" s="12" t="s">
        <v>156</v>
      </c>
      <c r="I41" s="14">
        <v>70</v>
      </c>
      <c r="J41" s="16">
        <v>35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7"/>
      <c r="C42" s="7"/>
      <c r="D42" s="7"/>
      <c r="E42" s="7"/>
      <c r="F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</sheetData>
  <mergeCells count="47">
    <mergeCell ref="G1:G2"/>
    <mergeCell ref="G3:G7"/>
    <mergeCell ref="G8:G12"/>
    <mergeCell ref="G13:G17"/>
    <mergeCell ref="G18:G21"/>
    <mergeCell ref="D14:D15"/>
    <mergeCell ref="B14:B15"/>
    <mergeCell ref="B16:B18"/>
    <mergeCell ref="B19:B21"/>
    <mergeCell ref="B22:B28"/>
    <mergeCell ref="O4:O5"/>
    <mergeCell ref="L6:L7"/>
    <mergeCell ref="M6:M7"/>
    <mergeCell ref="N6:N7"/>
    <mergeCell ref="O6:O7"/>
    <mergeCell ref="O1:O2"/>
    <mergeCell ref="L4:L5"/>
    <mergeCell ref="M4:M5"/>
    <mergeCell ref="B1:B2"/>
    <mergeCell ref="C1:C2"/>
    <mergeCell ref="D1:D2"/>
    <mergeCell ref="E1:E2"/>
    <mergeCell ref="H1:H2"/>
    <mergeCell ref="I1:I2"/>
    <mergeCell ref="B3:B11"/>
    <mergeCell ref="L8:L14"/>
    <mergeCell ref="J1:J2"/>
    <mergeCell ref="L1:L2"/>
    <mergeCell ref="M1:M2"/>
    <mergeCell ref="N1:N2"/>
    <mergeCell ref="N4:N5"/>
    <mergeCell ref="B12:B13"/>
    <mergeCell ref="E14:E15"/>
    <mergeCell ref="J22:J23"/>
    <mergeCell ref="I22:I23"/>
    <mergeCell ref="G39:G41"/>
    <mergeCell ref="G24:G38"/>
    <mergeCell ref="D35:D36"/>
    <mergeCell ref="E35:E36"/>
    <mergeCell ref="B29:B31"/>
    <mergeCell ref="B32:B34"/>
    <mergeCell ref="B37:B38"/>
    <mergeCell ref="C35:C36"/>
    <mergeCell ref="B35:B36"/>
    <mergeCell ref="H22:H23"/>
    <mergeCell ref="G22:G23"/>
    <mergeCell ref="C14:C15"/>
  </mergeCells>
  <phoneticPr fontId="30" type="noConversion"/>
  <pageMargins left="0.70866141732283472" right="0.70866141732283472" top="0.74803149606299213" bottom="0.74803149606299213" header="0" footer="0"/>
  <pageSetup paperSize="9" scale="86" orientation="landscape" r:id="rId1"/>
  <headerFooter>
    <oddHeader>&amp;A</oddHeader>
    <oddFooter>第 &amp;P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X1000"/>
  <sheetViews>
    <sheetView workbookViewId="0"/>
  </sheetViews>
  <sheetFormatPr defaultColWidth="12.625" defaultRowHeight="15" customHeight="1"/>
  <cols>
    <col min="1" max="1" width="6.625" customWidth="1"/>
    <col min="2" max="2" width="8.5" customWidth="1"/>
    <col min="3" max="3" width="4.875" customWidth="1"/>
    <col min="4" max="4" width="4.75" customWidth="1"/>
    <col min="5" max="7" width="5.625" customWidth="1"/>
    <col min="8" max="8" width="4.875" customWidth="1"/>
    <col min="9" max="11" width="4.125" customWidth="1"/>
    <col min="12" max="12" width="6.625" customWidth="1"/>
    <col min="13" max="13" width="8.75" customWidth="1"/>
    <col min="14" max="14" width="5.125" customWidth="1"/>
    <col min="15" max="15" width="5.375" customWidth="1"/>
    <col min="16" max="18" width="5.625" customWidth="1"/>
    <col min="19" max="19" width="6.125" customWidth="1"/>
    <col min="20" max="20" width="4.75" customWidth="1"/>
    <col min="21" max="21" width="1.875" customWidth="1"/>
    <col min="22" max="22" width="8.125" customWidth="1"/>
    <col min="23" max="23" width="6.625" customWidth="1"/>
    <col min="24" max="24" width="29.5" customWidth="1"/>
    <col min="25" max="26" width="11" customWidth="1"/>
  </cols>
  <sheetData>
    <row r="1" spans="2:24" ht="14.25" customHeight="1"/>
    <row r="2" spans="2:24" ht="14.25" customHeight="1">
      <c r="B2" s="56" t="s">
        <v>177</v>
      </c>
      <c r="C2" s="142" t="s">
        <v>178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5"/>
      <c r="S2" s="57"/>
      <c r="T2" s="58" t="s">
        <v>179</v>
      </c>
      <c r="U2" s="59">
        <v>5</v>
      </c>
      <c r="V2" s="60" t="s">
        <v>147</v>
      </c>
    </row>
    <row r="3" spans="2:24" ht="14.25" customHeight="1">
      <c r="B3" s="143" t="s">
        <v>180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T3" s="59"/>
      <c r="U3" s="59">
        <v>4</v>
      </c>
      <c r="V3" s="61" t="s">
        <v>181</v>
      </c>
    </row>
    <row r="4" spans="2:24" ht="14.25" customHeight="1">
      <c r="T4" s="59"/>
      <c r="U4" s="59">
        <v>3</v>
      </c>
      <c r="V4" s="62" t="s">
        <v>182</v>
      </c>
    </row>
    <row r="5" spans="2:24" ht="14.25" customHeight="1">
      <c r="C5" s="145" t="s">
        <v>183</v>
      </c>
      <c r="D5" s="92"/>
      <c r="E5" s="63">
        <v>4.83</v>
      </c>
      <c r="N5" s="145" t="s">
        <v>183</v>
      </c>
      <c r="O5" s="92"/>
      <c r="P5" s="63">
        <v>4.83</v>
      </c>
    </row>
    <row r="6" spans="2:24">
      <c r="B6" s="64" t="s">
        <v>181</v>
      </c>
      <c r="C6" s="146" t="s">
        <v>184</v>
      </c>
      <c r="D6" s="147"/>
      <c r="E6" s="65">
        <v>2.7210000000000001</v>
      </c>
      <c r="F6" s="66"/>
      <c r="G6" s="66"/>
      <c r="M6" s="67" t="s">
        <v>147</v>
      </c>
      <c r="N6" s="148" t="s">
        <v>184</v>
      </c>
      <c r="O6" s="147"/>
      <c r="P6" s="65">
        <v>2.7210000000000001</v>
      </c>
      <c r="Q6" s="68"/>
      <c r="R6" s="68"/>
      <c r="S6" s="69"/>
      <c r="T6" s="69"/>
    </row>
    <row r="7" spans="2:24" ht="14.25" customHeight="1">
      <c r="B7" s="134" t="s">
        <v>185</v>
      </c>
      <c r="C7" s="135" t="s">
        <v>186</v>
      </c>
      <c r="D7" s="94"/>
      <c r="E7" s="94"/>
      <c r="F7" s="94"/>
      <c r="G7" s="95"/>
      <c r="M7" s="139" t="s">
        <v>187</v>
      </c>
      <c r="N7" s="135" t="s">
        <v>186</v>
      </c>
      <c r="O7" s="94"/>
      <c r="P7" s="94"/>
      <c r="Q7" s="94"/>
      <c r="R7" s="95"/>
      <c r="S7" s="69"/>
      <c r="T7" s="140" t="s">
        <v>186</v>
      </c>
      <c r="U7" s="94"/>
      <c r="V7" s="94"/>
      <c r="W7" s="94"/>
      <c r="X7" s="95"/>
    </row>
    <row r="8" spans="2:24">
      <c r="B8" s="101"/>
      <c r="C8" s="70">
        <v>0.5</v>
      </c>
      <c r="D8" s="70">
        <v>0.75</v>
      </c>
      <c r="E8" s="70">
        <v>1</v>
      </c>
      <c r="F8" s="70">
        <v>1.5</v>
      </c>
      <c r="G8" s="70">
        <v>2</v>
      </c>
      <c r="M8" s="101"/>
      <c r="N8" s="70">
        <v>0.5</v>
      </c>
      <c r="O8" s="70">
        <v>0.75</v>
      </c>
      <c r="P8" s="70">
        <v>1</v>
      </c>
      <c r="Q8" s="70">
        <v>1.5</v>
      </c>
      <c r="R8" s="70">
        <v>2</v>
      </c>
      <c r="T8" s="71">
        <v>0.5</v>
      </c>
      <c r="U8" s="136" t="s">
        <v>188</v>
      </c>
      <c r="V8" s="94"/>
      <c r="W8" s="94"/>
      <c r="X8" s="95"/>
    </row>
    <row r="9" spans="2:24" ht="14.25" customHeight="1">
      <c r="B9" s="72">
        <v>61</v>
      </c>
      <c r="C9" s="73">
        <f t="shared" ref="C9:G9" si="0">ROUNDDOWN($E$5*($E$6^(($B9/26)))*C$8,0)</f>
        <v>25</v>
      </c>
      <c r="D9" s="73">
        <f t="shared" si="0"/>
        <v>37</v>
      </c>
      <c r="E9" s="73">
        <f t="shared" si="0"/>
        <v>50</v>
      </c>
      <c r="F9" s="73">
        <f t="shared" si="0"/>
        <v>75</v>
      </c>
      <c r="G9" s="73">
        <f t="shared" si="0"/>
        <v>101</v>
      </c>
      <c r="H9" s="149" t="s">
        <v>189</v>
      </c>
      <c r="I9" s="63"/>
      <c r="J9" s="63"/>
      <c r="K9" s="63"/>
      <c r="M9" s="74">
        <v>61</v>
      </c>
      <c r="N9" s="75"/>
      <c r="O9" s="75"/>
      <c r="P9" s="75"/>
      <c r="Q9" s="75"/>
      <c r="R9" s="75"/>
      <c r="T9" s="71">
        <v>0.75</v>
      </c>
      <c r="U9" s="141" t="s">
        <v>190</v>
      </c>
      <c r="V9" s="94"/>
      <c r="W9" s="94"/>
      <c r="X9" s="95"/>
    </row>
    <row r="10" spans="2:24" ht="14.25" customHeight="1">
      <c r="B10" s="72">
        <v>62</v>
      </c>
      <c r="C10" s="73">
        <f t="shared" ref="C10:G10" si="1">ROUNDDOWN($E$5*($E$6^(($B10/26)))*C$8,0)</f>
        <v>26</v>
      </c>
      <c r="D10" s="73">
        <f t="shared" si="1"/>
        <v>39</v>
      </c>
      <c r="E10" s="73">
        <f t="shared" si="1"/>
        <v>52</v>
      </c>
      <c r="F10" s="73">
        <f t="shared" si="1"/>
        <v>78</v>
      </c>
      <c r="G10" s="73">
        <f t="shared" si="1"/>
        <v>105</v>
      </c>
      <c r="H10" s="150"/>
      <c r="I10" s="63"/>
      <c r="J10" s="63"/>
      <c r="K10" s="63"/>
      <c r="M10" s="74">
        <v>62</v>
      </c>
      <c r="N10" s="75"/>
      <c r="O10" s="75"/>
      <c r="P10" s="75"/>
      <c r="Q10" s="75"/>
      <c r="R10" s="75"/>
      <c r="T10" s="71">
        <v>1</v>
      </c>
      <c r="U10" s="136" t="s">
        <v>191</v>
      </c>
      <c r="V10" s="94"/>
      <c r="W10" s="94"/>
      <c r="X10" s="95"/>
    </row>
    <row r="11" spans="2:24" ht="14.25" customHeight="1">
      <c r="B11" s="72">
        <v>63</v>
      </c>
      <c r="C11" s="73">
        <f t="shared" ref="C11:G11" si="2">ROUNDDOWN($E$5*($E$6^(($B11/26)))*C$8,0)</f>
        <v>27</v>
      </c>
      <c r="D11" s="73">
        <f t="shared" si="2"/>
        <v>40</v>
      </c>
      <c r="E11" s="73">
        <f t="shared" si="2"/>
        <v>54</v>
      </c>
      <c r="F11" s="73">
        <f t="shared" si="2"/>
        <v>81</v>
      </c>
      <c r="G11" s="73">
        <f t="shared" si="2"/>
        <v>109</v>
      </c>
      <c r="H11" s="150"/>
      <c r="I11" s="63"/>
      <c r="J11" s="63"/>
      <c r="K11" s="63"/>
      <c r="M11" s="74">
        <v>63</v>
      </c>
      <c r="N11" s="75"/>
      <c r="O11" s="75"/>
      <c r="P11" s="75"/>
      <c r="Q11" s="75"/>
      <c r="R11" s="75"/>
      <c r="T11" s="71">
        <v>1.5</v>
      </c>
      <c r="U11" s="141" t="s">
        <v>192</v>
      </c>
      <c r="V11" s="94"/>
      <c r="W11" s="94"/>
      <c r="X11" s="95"/>
    </row>
    <row r="12" spans="2:24" ht="14.25" customHeight="1">
      <c r="B12" s="72">
        <v>64</v>
      </c>
      <c r="C12" s="73">
        <f t="shared" ref="C12:G12" si="3">ROUNDDOWN($E$5*($E$6^(($B12/26)))*C$8,0)</f>
        <v>28</v>
      </c>
      <c r="D12" s="73">
        <f t="shared" si="3"/>
        <v>42</v>
      </c>
      <c r="E12" s="73">
        <f t="shared" si="3"/>
        <v>56</v>
      </c>
      <c r="F12" s="73">
        <f t="shared" si="3"/>
        <v>85</v>
      </c>
      <c r="G12" s="73">
        <f t="shared" si="3"/>
        <v>113</v>
      </c>
      <c r="H12" s="150"/>
      <c r="I12" s="63"/>
      <c r="J12" s="63"/>
      <c r="K12" s="63"/>
      <c r="M12" s="74">
        <v>64</v>
      </c>
      <c r="N12" s="75"/>
      <c r="O12" s="75"/>
      <c r="P12" s="75"/>
      <c r="Q12" s="75"/>
      <c r="R12" s="75"/>
      <c r="T12" s="71">
        <v>2</v>
      </c>
      <c r="U12" s="136" t="s">
        <v>193</v>
      </c>
      <c r="V12" s="94"/>
      <c r="W12" s="94"/>
      <c r="X12" s="95"/>
    </row>
    <row r="13" spans="2:24" ht="14.25" customHeight="1">
      <c r="B13" s="72">
        <v>65</v>
      </c>
      <c r="C13" s="73">
        <f t="shared" ref="C13:G13" si="4">ROUNDDOWN($E$5*($E$6^(($B13/26)))*C$8,0)</f>
        <v>29</v>
      </c>
      <c r="D13" s="73">
        <f t="shared" si="4"/>
        <v>44</v>
      </c>
      <c r="E13" s="73">
        <f t="shared" si="4"/>
        <v>58</v>
      </c>
      <c r="F13" s="73">
        <f t="shared" si="4"/>
        <v>88</v>
      </c>
      <c r="G13" s="73">
        <f t="shared" si="4"/>
        <v>117</v>
      </c>
      <c r="H13" s="150"/>
      <c r="I13" s="63"/>
      <c r="J13" s="63"/>
      <c r="K13" s="63"/>
      <c r="M13" s="74">
        <v>65</v>
      </c>
      <c r="N13" s="75"/>
      <c r="O13" s="75"/>
      <c r="P13" s="75"/>
      <c r="Q13" s="75"/>
      <c r="R13" s="75"/>
    </row>
    <row r="14" spans="2:24" ht="14.25" customHeight="1">
      <c r="B14" s="72">
        <v>66</v>
      </c>
      <c r="C14" s="73">
        <f t="shared" ref="C14:G14" si="5">ROUNDDOWN($E$5*($E$6^(($B14/26)))*C$8,0)</f>
        <v>30</v>
      </c>
      <c r="D14" s="73">
        <f t="shared" si="5"/>
        <v>45</v>
      </c>
      <c r="E14" s="73">
        <f t="shared" si="5"/>
        <v>61</v>
      </c>
      <c r="F14" s="73">
        <f t="shared" si="5"/>
        <v>91</v>
      </c>
      <c r="G14" s="73">
        <f t="shared" si="5"/>
        <v>122</v>
      </c>
      <c r="H14" s="150"/>
      <c r="I14" s="63"/>
      <c r="J14" s="63"/>
      <c r="K14" s="63"/>
      <c r="M14" s="74">
        <v>66</v>
      </c>
      <c r="N14" s="75"/>
      <c r="O14" s="75"/>
      <c r="P14" s="75"/>
      <c r="Q14" s="75"/>
      <c r="R14" s="75"/>
      <c r="T14" s="137" t="s">
        <v>194</v>
      </c>
      <c r="U14" s="92"/>
      <c r="V14" s="92"/>
      <c r="W14" s="92"/>
      <c r="X14" s="92"/>
    </row>
    <row r="15" spans="2:24" ht="15.75" customHeight="1">
      <c r="B15" s="72">
        <v>67</v>
      </c>
      <c r="C15" s="73">
        <f t="shared" ref="C15:G15" si="6">ROUNDDOWN($E$5*($E$6^(($B15/26)))*C$8,0)</f>
        <v>31</v>
      </c>
      <c r="D15" s="73">
        <f t="shared" si="6"/>
        <v>47</v>
      </c>
      <c r="E15" s="73">
        <f t="shared" si="6"/>
        <v>63</v>
      </c>
      <c r="F15" s="73">
        <f t="shared" si="6"/>
        <v>95</v>
      </c>
      <c r="G15" s="73">
        <f t="shared" si="6"/>
        <v>127</v>
      </c>
      <c r="H15" s="150"/>
      <c r="I15" s="63"/>
      <c r="J15" s="63"/>
      <c r="K15" s="63"/>
      <c r="M15" s="74">
        <v>67</v>
      </c>
      <c r="N15" s="75"/>
      <c r="O15" s="75"/>
      <c r="P15" s="75"/>
      <c r="Q15" s="75"/>
      <c r="R15" s="75"/>
      <c r="T15" s="138" t="s">
        <v>195</v>
      </c>
      <c r="U15" s="92"/>
      <c r="V15" s="92"/>
      <c r="W15" s="92"/>
      <c r="X15" s="92"/>
    </row>
    <row r="16" spans="2:24" ht="14.25" customHeight="1">
      <c r="B16" s="72">
        <v>68</v>
      </c>
      <c r="C16" s="73">
        <f t="shared" ref="C16:G16" si="7">ROUNDDOWN($E$5*($E$6^(($B16/26)))*C$8,0)</f>
        <v>33</v>
      </c>
      <c r="D16" s="73">
        <f t="shared" si="7"/>
        <v>49</v>
      </c>
      <c r="E16" s="73">
        <f t="shared" si="7"/>
        <v>66</v>
      </c>
      <c r="F16" s="73">
        <f t="shared" si="7"/>
        <v>99</v>
      </c>
      <c r="G16" s="73">
        <f t="shared" si="7"/>
        <v>132</v>
      </c>
      <c r="H16" s="150"/>
      <c r="I16" s="63"/>
      <c r="J16" s="63"/>
      <c r="K16" s="63"/>
      <c r="M16" s="74">
        <v>68</v>
      </c>
      <c r="N16" s="75"/>
      <c r="O16" s="75"/>
      <c r="P16" s="75"/>
      <c r="Q16" s="75"/>
      <c r="R16" s="75"/>
      <c r="T16" s="92"/>
      <c r="U16" s="92"/>
      <c r="V16" s="92"/>
      <c r="W16" s="92"/>
      <c r="X16" s="92"/>
    </row>
    <row r="17" spans="2:24" ht="14.25" customHeight="1">
      <c r="B17" s="72">
        <v>69</v>
      </c>
      <c r="C17" s="73">
        <f t="shared" ref="C17:G17" si="8">ROUNDDOWN($E$5*($E$6^(($B17/26)))*C$8,0)</f>
        <v>34</v>
      </c>
      <c r="D17" s="73">
        <f t="shared" si="8"/>
        <v>51</v>
      </c>
      <c r="E17" s="73">
        <f t="shared" si="8"/>
        <v>68</v>
      </c>
      <c r="F17" s="73">
        <f t="shared" si="8"/>
        <v>103</v>
      </c>
      <c r="G17" s="73">
        <f t="shared" si="8"/>
        <v>137</v>
      </c>
      <c r="H17" s="150"/>
      <c r="I17" s="63"/>
      <c r="J17" s="63"/>
      <c r="K17" s="63"/>
      <c r="M17" s="74">
        <v>69</v>
      </c>
      <c r="N17" s="75"/>
      <c r="O17" s="75"/>
      <c r="P17" s="75"/>
      <c r="Q17" s="75"/>
      <c r="R17" s="75"/>
      <c r="T17" s="53"/>
      <c r="U17" s="53"/>
      <c r="V17" s="53"/>
      <c r="W17" s="53"/>
      <c r="X17" s="53"/>
    </row>
    <row r="18" spans="2:24" ht="14.25" customHeight="1">
      <c r="B18" s="72">
        <v>70</v>
      </c>
      <c r="C18" s="73">
        <f t="shared" ref="C18:G18" si="9">ROUNDDOWN($E$5*($E$6^(($B18/26)))*C$8,0)</f>
        <v>35</v>
      </c>
      <c r="D18" s="73">
        <f t="shared" si="9"/>
        <v>53</v>
      </c>
      <c r="E18" s="73">
        <f t="shared" si="9"/>
        <v>71</v>
      </c>
      <c r="F18" s="73">
        <f t="shared" si="9"/>
        <v>107</v>
      </c>
      <c r="G18" s="73">
        <f t="shared" si="9"/>
        <v>143</v>
      </c>
      <c r="H18" s="150"/>
      <c r="I18" s="152" t="s">
        <v>196</v>
      </c>
      <c r="J18" s="63"/>
      <c r="K18" s="63"/>
      <c r="M18" s="74">
        <v>70</v>
      </c>
      <c r="N18" s="75"/>
      <c r="O18" s="75"/>
      <c r="P18" s="75"/>
      <c r="Q18" s="75"/>
      <c r="R18" s="75"/>
      <c r="T18" s="53"/>
      <c r="U18" s="53"/>
      <c r="V18" s="53"/>
      <c r="W18" s="53"/>
      <c r="X18" s="53"/>
    </row>
    <row r="19" spans="2:24" ht="14.25" customHeight="1">
      <c r="B19" s="72">
        <v>71</v>
      </c>
      <c r="C19" s="73">
        <f t="shared" ref="C19:G19" si="10">ROUNDDOWN($E$5*($E$6^(($B19/26)))*C$8,0)</f>
        <v>37</v>
      </c>
      <c r="D19" s="73">
        <f t="shared" si="10"/>
        <v>55</v>
      </c>
      <c r="E19" s="73">
        <f t="shared" si="10"/>
        <v>74</v>
      </c>
      <c r="F19" s="73">
        <f t="shared" si="10"/>
        <v>111</v>
      </c>
      <c r="G19" s="73">
        <f t="shared" si="10"/>
        <v>148</v>
      </c>
      <c r="H19" s="150"/>
      <c r="I19" s="153"/>
      <c r="J19" s="155" t="s">
        <v>197</v>
      </c>
      <c r="K19" s="63"/>
      <c r="M19" s="74">
        <v>71</v>
      </c>
      <c r="N19" s="75"/>
      <c r="O19" s="75"/>
      <c r="P19" s="75"/>
      <c r="Q19" s="75"/>
      <c r="R19" s="75"/>
    </row>
    <row r="20" spans="2:24" ht="14.25" customHeight="1">
      <c r="B20" s="72">
        <v>72</v>
      </c>
      <c r="C20" s="73">
        <f t="shared" ref="C20:G20" si="11">ROUNDDOWN($E$5*($E$6^(($B20/26)))*C$8,0)</f>
        <v>38</v>
      </c>
      <c r="D20" s="73">
        <f t="shared" si="11"/>
        <v>57</v>
      </c>
      <c r="E20" s="73">
        <f t="shared" si="11"/>
        <v>77</v>
      </c>
      <c r="F20" s="73">
        <f t="shared" si="11"/>
        <v>115</v>
      </c>
      <c r="G20" s="73">
        <f t="shared" si="11"/>
        <v>154</v>
      </c>
      <c r="H20" s="150"/>
      <c r="I20" s="153"/>
      <c r="J20" s="153"/>
      <c r="K20" s="63"/>
      <c r="M20" s="74">
        <v>72</v>
      </c>
      <c r="N20" s="75"/>
      <c r="O20" s="75"/>
      <c r="P20" s="75"/>
      <c r="Q20" s="75"/>
      <c r="R20" s="75"/>
    </row>
    <row r="21" spans="2:24" ht="14.25" customHeight="1">
      <c r="B21" s="72">
        <v>73</v>
      </c>
      <c r="C21" s="73">
        <f t="shared" ref="C21:G21" si="12">ROUNDDOWN($E$5*($E$6^(($B21/26)))*C$8,0)</f>
        <v>40</v>
      </c>
      <c r="D21" s="73">
        <f t="shared" si="12"/>
        <v>60</v>
      </c>
      <c r="E21" s="73">
        <f t="shared" si="12"/>
        <v>80</v>
      </c>
      <c r="F21" s="73">
        <f t="shared" si="12"/>
        <v>120</v>
      </c>
      <c r="G21" s="73">
        <f t="shared" si="12"/>
        <v>160</v>
      </c>
      <c r="H21" s="150"/>
      <c r="I21" s="153"/>
      <c r="J21" s="153"/>
      <c r="K21" s="63"/>
      <c r="M21" s="74">
        <v>73</v>
      </c>
      <c r="N21" s="75"/>
      <c r="O21" s="75"/>
      <c r="P21" s="75"/>
      <c r="Q21" s="75"/>
      <c r="R21" s="75"/>
    </row>
    <row r="22" spans="2:24" ht="14.25" customHeight="1">
      <c r="B22" s="72">
        <v>74</v>
      </c>
      <c r="C22" s="73">
        <f t="shared" ref="C22:G22" si="13">ROUNDDOWN($E$5*($E$6^(($B22/26)))*C$8,0)</f>
        <v>41</v>
      </c>
      <c r="D22" s="73">
        <f t="shared" si="13"/>
        <v>62</v>
      </c>
      <c r="E22" s="73">
        <f t="shared" si="13"/>
        <v>83</v>
      </c>
      <c r="F22" s="73">
        <f t="shared" si="13"/>
        <v>125</v>
      </c>
      <c r="G22" s="73">
        <f t="shared" si="13"/>
        <v>166</v>
      </c>
      <c r="H22" s="150"/>
      <c r="I22" s="153"/>
      <c r="J22" s="153"/>
      <c r="K22" s="63"/>
      <c r="M22" s="74">
        <v>74</v>
      </c>
      <c r="N22" s="75"/>
      <c r="O22" s="75"/>
      <c r="P22" s="75"/>
      <c r="Q22" s="75"/>
      <c r="R22" s="75"/>
    </row>
    <row r="23" spans="2:24" ht="14.25" customHeight="1">
      <c r="B23" s="72">
        <v>75</v>
      </c>
      <c r="C23" s="73">
        <f t="shared" ref="C23:G23" si="14">ROUNDDOWN($E$5*($E$6^(($B23/26)))*C$8,0)</f>
        <v>43</v>
      </c>
      <c r="D23" s="73">
        <f t="shared" si="14"/>
        <v>65</v>
      </c>
      <c r="E23" s="73">
        <f t="shared" si="14"/>
        <v>86</v>
      </c>
      <c r="F23" s="73">
        <f t="shared" si="14"/>
        <v>130</v>
      </c>
      <c r="G23" s="73">
        <f t="shared" si="14"/>
        <v>173</v>
      </c>
      <c r="H23" s="150"/>
      <c r="I23" s="153"/>
      <c r="J23" s="153"/>
      <c r="K23" s="63"/>
      <c r="M23" s="74">
        <v>75</v>
      </c>
      <c r="N23" s="75"/>
      <c r="O23" s="75"/>
      <c r="P23" s="75"/>
      <c r="Q23" s="75"/>
      <c r="R23" s="75"/>
    </row>
    <row r="24" spans="2:24" ht="14.25" customHeight="1">
      <c r="B24" s="72">
        <v>76</v>
      </c>
      <c r="C24" s="73">
        <f t="shared" ref="C24:G24" si="15">ROUNDDOWN($E$5*($E$6^(($B24/26)))*C$8,0)</f>
        <v>45</v>
      </c>
      <c r="D24" s="73">
        <f t="shared" si="15"/>
        <v>67</v>
      </c>
      <c r="E24" s="73">
        <f t="shared" si="15"/>
        <v>90</v>
      </c>
      <c r="F24" s="73">
        <f t="shared" si="15"/>
        <v>135</v>
      </c>
      <c r="G24" s="73">
        <f t="shared" si="15"/>
        <v>180</v>
      </c>
      <c r="H24" s="150"/>
      <c r="I24" s="153"/>
      <c r="J24" s="153"/>
      <c r="K24" s="63"/>
      <c r="M24" s="74">
        <v>76</v>
      </c>
      <c r="N24" s="75"/>
      <c r="O24" s="75"/>
      <c r="P24" s="75"/>
      <c r="Q24" s="75"/>
      <c r="R24" s="75"/>
    </row>
    <row r="25" spans="2:24" ht="14.25" customHeight="1">
      <c r="B25" s="72">
        <v>77</v>
      </c>
      <c r="C25" s="73">
        <f t="shared" ref="C25:G25" si="16">ROUNDDOWN($E$5*($E$6^(($B25/26)))*C$8,0)</f>
        <v>46</v>
      </c>
      <c r="D25" s="73">
        <f t="shared" si="16"/>
        <v>70</v>
      </c>
      <c r="E25" s="73">
        <f t="shared" si="16"/>
        <v>93</v>
      </c>
      <c r="F25" s="73">
        <f t="shared" si="16"/>
        <v>140</v>
      </c>
      <c r="G25" s="73">
        <f t="shared" si="16"/>
        <v>187</v>
      </c>
      <c r="H25" s="150"/>
      <c r="I25" s="153"/>
      <c r="J25" s="153"/>
      <c r="K25" s="63"/>
      <c r="M25" s="74">
        <v>77</v>
      </c>
      <c r="N25" s="75"/>
      <c r="O25" s="75"/>
      <c r="P25" s="75"/>
      <c r="Q25" s="75"/>
      <c r="R25" s="75"/>
    </row>
    <row r="26" spans="2:24" ht="14.25" customHeight="1">
      <c r="B26" s="72">
        <v>78</v>
      </c>
      <c r="C26" s="73">
        <f t="shared" ref="C26:G26" si="17">ROUNDDOWN($E$5*($E$6^(($B26/26)))*C$8,0)</f>
        <v>48</v>
      </c>
      <c r="D26" s="73">
        <f t="shared" si="17"/>
        <v>72</v>
      </c>
      <c r="E26" s="73">
        <f t="shared" si="17"/>
        <v>97</v>
      </c>
      <c r="F26" s="73">
        <f t="shared" si="17"/>
        <v>145</v>
      </c>
      <c r="G26" s="73">
        <f t="shared" si="17"/>
        <v>194</v>
      </c>
      <c r="H26" s="151"/>
      <c r="I26" s="153"/>
      <c r="J26" s="153"/>
      <c r="K26" s="63"/>
      <c r="M26" s="74">
        <v>78</v>
      </c>
      <c r="N26" s="75"/>
      <c r="O26" s="75"/>
      <c r="P26" s="75"/>
      <c r="Q26" s="75"/>
      <c r="R26" s="75"/>
    </row>
    <row r="27" spans="2:24" ht="14.25" customHeight="1">
      <c r="B27" s="72">
        <v>79</v>
      </c>
      <c r="C27" s="73">
        <f t="shared" ref="C27:G27" si="18">ROUNDDOWN($E$5*($E$6^(($B27/26)))*C$8,0)</f>
        <v>50</v>
      </c>
      <c r="D27" s="73">
        <f t="shared" si="18"/>
        <v>75</v>
      </c>
      <c r="E27" s="73">
        <f t="shared" si="18"/>
        <v>101</v>
      </c>
      <c r="F27" s="73">
        <f t="shared" si="18"/>
        <v>151</v>
      </c>
      <c r="G27" s="73">
        <f t="shared" si="18"/>
        <v>202</v>
      </c>
      <c r="H27" s="76"/>
      <c r="I27" s="153"/>
      <c r="J27" s="153"/>
      <c r="K27" s="63"/>
      <c r="M27" s="74">
        <v>79</v>
      </c>
      <c r="N27" s="75"/>
      <c r="O27" s="75"/>
      <c r="P27" s="75"/>
      <c r="Q27" s="75"/>
      <c r="R27" s="75"/>
    </row>
    <row r="28" spans="2:24" ht="14.25" customHeight="1">
      <c r="B28" s="72">
        <v>80</v>
      </c>
      <c r="C28" s="73">
        <f t="shared" ref="C28:G28" si="19">ROUNDDOWN($E$5*($E$6^(($B28/26)))*C$8,0)</f>
        <v>52</v>
      </c>
      <c r="D28" s="73">
        <f t="shared" si="19"/>
        <v>78</v>
      </c>
      <c r="E28" s="73">
        <f t="shared" si="19"/>
        <v>105</v>
      </c>
      <c r="F28" s="73">
        <f t="shared" si="19"/>
        <v>157</v>
      </c>
      <c r="G28" s="73">
        <f t="shared" si="19"/>
        <v>210</v>
      </c>
      <c r="I28" s="153"/>
      <c r="J28" s="153"/>
      <c r="M28" s="74">
        <v>80</v>
      </c>
      <c r="N28" s="75"/>
      <c r="O28" s="75"/>
      <c r="P28" s="75"/>
      <c r="Q28" s="77">
        <f>ROUNDDOWN(P$5*(P$6^((M28/26)+1))*Q$8,0)</f>
        <v>428</v>
      </c>
      <c r="R28" s="77">
        <f>ROUNDDOWN(P$5*(P$6^((M28/26)+1))*R$8,0)</f>
        <v>571</v>
      </c>
    </row>
    <row r="29" spans="2:24" ht="14.25" customHeight="1">
      <c r="B29" s="72">
        <v>81</v>
      </c>
      <c r="C29" s="73">
        <f t="shared" ref="C29:G29" si="20">ROUNDDOWN($E$5*($E$6^(($B29/26)))*C$8,0)</f>
        <v>54</v>
      </c>
      <c r="D29" s="73">
        <f t="shared" si="20"/>
        <v>81</v>
      </c>
      <c r="E29" s="73">
        <f t="shared" si="20"/>
        <v>109</v>
      </c>
      <c r="F29" s="73">
        <f t="shared" si="20"/>
        <v>163</v>
      </c>
      <c r="G29" s="73">
        <f t="shared" si="20"/>
        <v>218</v>
      </c>
      <c r="I29" s="153"/>
      <c r="J29" s="153"/>
      <c r="M29" s="74">
        <v>81</v>
      </c>
      <c r="N29" s="75"/>
      <c r="O29" s="75"/>
      <c r="P29" s="75"/>
      <c r="Q29" s="75"/>
      <c r="R29" s="75"/>
    </row>
    <row r="30" spans="2:24" ht="14.25" customHeight="1">
      <c r="B30" s="72">
        <v>82</v>
      </c>
      <c r="C30" s="73">
        <f t="shared" ref="C30:G30" si="21">ROUNDDOWN($E$5*($E$6^(($B30/26)))*C$8,0)</f>
        <v>56</v>
      </c>
      <c r="D30" s="73">
        <f t="shared" si="21"/>
        <v>85</v>
      </c>
      <c r="E30" s="73">
        <f t="shared" si="21"/>
        <v>113</v>
      </c>
      <c r="F30" s="73">
        <f t="shared" si="21"/>
        <v>170</v>
      </c>
      <c r="G30" s="73">
        <f t="shared" si="21"/>
        <v>227</v>
      </c>
      <c r="I30" s="153"/>
      <c r="J30" s="153"/>
      <c r="M30" s="74">
        <v>82</v>
      </c>
      <c r="N30" s="75"/>
      <c r="O30" s="75"/>
      <c r="P30" s="75"/>
      <c r="Q30" s="75"/>
      <c r="R30" s="75"/>
    </row>
    <row r="31" spans="2:24" ht="14.25" customHeight="1">
      <c r="B31" s="72">
        <v>83</v>
      </c>
      <c r="C31" s="73">
        <f t="shared" ref="C31:G31" si="22">ROUNDDOWN($E$5*($E$6^(($B31/26)))*C$8,0)</f>
        <v>58</v>
      </c>
      <c r="D31" s="73">
        <f t="shared" si="22"/>
        <v>88</v>
      </c>
      <c r="E31" s="73">
        <f t="shared" si="22"/>
        <v>117</v>
      </c>
      <c r="F31" s="73">
        <f t="shared" si="22"/>
        <v>176</v>
      </c>
      <c r="G31" s="73">
        <f t="shared" si="22"/>
        <v>235</v>
      </c>
      <c r="I31" s="154"/>
      <c r="J31" s="153"/>
      <c r="K31" s="156" t="s">
        <v>198</v>
      </c>
      <c r="M31" s="74">
        <v>83</v>
      </c>
      <c r="N31" s="75"/>
      <c r="O31" s="75"/>
      <c r="P31" s="75"/>
      <c r="Q31" s="75"/>
      <c r="R31" s="75"/>
    </row>
    <row r="32" spans="2:24" ht="14.25" customHeight="1">
      <c r="B32" s="72">
        <v>84</v>
      </c>
      <c r="C32" s="73">
        <f t="shared" ref="C32:G32" si="23">ROUNDDOWN($E$5*($E$6^(($B32/26)))*C$8,0)</f>
        <v>61</v>
      </c>
      <c r="D32" s="73">
        <f t="shared" si="23"/>
        <v>91</v>
      </c>
      <c r="E32" s="73">
        <f t="shared" si="23"/>
        <v>122</v>
      </c>
      <c r="F32" s="73">
        <f t="shared" si="23"/>
        <v>183</v>
      </c>
      <c r="G32" s="73">
        <f t="shared" si="23"/>
        <v>245</v>
      </c>
      <c r="I32" s="78"/>
      <c r="J32" s="153"/>
      <c r="K32" s="153"/>
      <c r="M32" s="74">
        <v>84</v>
      </c>
      <c r="N32" s="75"/>
      <c r="O32" s="75"/>
      <c r="P32" s="75"/>
      <c r="Q32" s="75"/>
      <c r="R32" s="75"/>
    </row>
    <row r="33" spans="2:18" ht="14.25" customHeight="1">
      <c r="B33" s="72">
        <v>85</v>
      </c>
      <c r="C33" s="73">
        <f t="shared" ref="C33:G33" si="24">ROUNDDOWN($E$5*($E$6^(($B33/26)))*C$8,0)</f>
        <v>63</v>
      </c>
      <c r="D33" s="73">
        <f t="shared" si="24"/>
        <v>95</v>
      </c>
      <c r="E33" s="73">
        <f t="shared" si="24"/>
        <v>127</v>
      </c>
      <c r="F33" s="73">
        <f t="shared" si="24"/>
        <v>191</v>
      </c>
      <c r="G33" s="73">
        <f t="shared" si="24"/>
        <v>254</v>
      </c>
      <c r="J33" s="153"/>
      <c r="K33" s="153"/>
      <c r="M33" s="74">
        <v>85</v>
      </c>
      <c r="N33" s="75"/>
      <c r="O33" s="75"/>
      <c r="P33" s="75"/>
      <c r="Q33" s="75"/>
      <c r="R33" s="75"/>
    </row>
    <row r="34" spans="2:18" ht="14.25" customHeight="1">
      <c r="B34" s="72">
        <v>86</v>
      </c>
      <c r="C34" s="73">
        <f t="shared" ref="C34:G34" si="25">ROUNDDOWN($E$5*($E$6^(($B34/26)))*C$8,0)</f>
        <v>66</v>
      </c>
      <c r="D34" s="73">
        <f t="shared" si="25"/>
        <v>99</v>
      </c>
      <c r="E34" s="73">
        <f t="shared" si="25"/>
        <v>132</v>
      </c>
      <c r="F34" s="73">
        <f t="shared" si="25"/>
        <v>198</v>
      </c>
      <c r="G34" s="73">
        <f t="shared" si="25"/>
        <v>264</v>
      </c>
      <c r="J34" s="153"/>
      <c r="K34" s="153"/>
      <c r="M34" s="74">
        <v>86</v>
      </c>
      <c r="N34" s="75"/>
      <c r="O34" s="75"/>
      <c r="P34" s="75"/>
      <c r="Q34" s="75"/>
      <c r="R34" s="75"/>
    </row>
    <row r="35" spans="2:18" ht="14.25" customHeight="1">
      <c r="B35" s="72">
        <v>87</v>
      </c>
      <c r="C35" s="73">
        <f t="shared" ref="C35:G35" si="26">ROUNDDOWN($E$5*($E$6^(($B35/26)))*C$8,0)</f>
        <v>68</v>
      </c>
      <c r="D35" s="73">
        <f t="shared" si="26"/>
        <v>103</v>
      </c>
      <c r="E35" s="73">
        <f t="shared" si="26"/>
        <v>137</v>
      </c>
      <c r="F35" s="73">
        <f t="shared" si="26"/>
        <v>206</v>
      </c>
      <c r="G35" s="73">
        <f t="shared" si="26"/>
        <v>275</v>
      </c>
      <c r="J35" s="153"/>
      <c r="K35" s="153"/>
      <c r="M35" s="74">
        <v>87</v>
      </c>
      <c r="N35" s="75"/>
      <c r="O35" s="75"/>
      <c r="P35" s="75"/>
      <c r="Q35" s="75"/>
      <c r="R35" s="75"/>
    </row>
    <row r="36" spans="2:18" ht="14.25" customHeight="1">
      <c r="B36" s="72">
        <v>88</v>
      </c>
      <c r="C36" s="73">
        <f t="shared" ref="C36:G36" si="27">ROUNDDOWN($E$5*($E$6^(($B36/26)))*C$8,0)</f>
        <v>71</v>
      </c>
      <c r="D36" s="73">
        <f t="shared" si="27"/>
        <v>107</v>
      </c>
      <c r="E36" s="73">
        <f t="shared" si="27"/>
        <v>143</v>
      </c>
      <c r="F36" s="73">
        <f t="shared" si="27"/>
        <v>214</v>
      </c>
      <c r="G36" s="73">
        <f t="shared" si="27"/>
        <v>286</v>
      </c>
      <c r="J36" s="154"/>
      <c r="K36" s="153"/>
      <c r="M36" s="74">
        <v>88</v>
      </c>
      <c r="N36" s="75"/>
      <c r="O36" s="75"/>
      <c r="P36" s="75"/>
      <c r="Q36" s="75"/>
      <c r="R36" s="75"/>
    </row>
    <row r="37" spans="2:18" ht="14.25" customHeight="1">
      <c r="B37" s="72">
        <v>89</v>
      </c>
      <c r="C37" s="73">
        <f t="shared" ref="C37:G37" si="28">ROUNDDOWN($E$5*($E$6^(($B37/26)))*C$8,0)</f>
        <v>74</v>
      </c>
      <c r="D37" s="73">
        <f t="shared" si="28"/>
        <v>111</v>
      </c>
      <c r="E37" s="73">
        <f t="shared" si="28"/>
        <v>148</v>
      </c>
      <c r="F37" s="73">
        <f t="shared" si="28"/>
        <v>222</v>
      </c>
      <c r="G37" s="73">
        <f t="shared" si="28"/>
        <v>297</v>
      </c>
      <c r="J37" s="78"/>
      <c r="K37" s="153"/>
      <c r="M37" s="74">
        <v>89</v>
      </c>
      <c r="N37" s="75"/>
      <c r="O37" s="75"/>
      <c r="P37" s="75"/>
      <c r="Q37" s="75"/>
      <c r="R37" s="75"/>
    </row>
    <row r="38" spans="2:18" ht="14.25" customHeight="1">
      <c r="B38" s="72">
        <v>90</v>
      </c>
      <c r="C38" s="73">
        <f t="shared" ref="C38:G38" si="29">ROUNDDOWN($E$5*($E$6^(($B38/26)))*C$8,0)</f>
        <v>77</v>
      </c>
      <c r="D38" s="73">
        <f t="shared" si="29"/>
        <v>115</v>
      </c>
      <c r="E38" s="73">
        <f t="shared" si="29"/>
        <v>154</v>
      </c>
      <c r="F38" s="73">
        <f t="shared" si="29"/>
        <v>231</v>
      </c>
      <c r="G38" s="73">
        <f t="shared" si="29"/>
        <v>308</v>
      </c>
      <c r="K38" s="153"/>
      <c r="M38" s="74">
        <v>90</v>
      </c>
      <c r="N38" s="75"/>
      <c r="O38" s="75"/>
      <c r="P38" s="75"/>
      <c r="Q38" s="75"/>
      <c r="R38" s="77">
        <f>ROUNDDOWN(P$5*(P$6^((M38/26)+1))*R$8,0)</f>
        <v>840</v>
      </c>
    </row>
    <row r="39" spans="2:18" ht="14.25" customHeight="1">
      <c r="B39" s="72">
        <v>91</v>
      </c>
      <c r="C39" s="73">
        <f t="shared" ref="C39:G39" si="30">ROUNDDOWN($E$5*($E$6^(($B39/26)))*C$8,0)</f>
        <v>80</v>
      </c>
      <c r="D39" s="73">
        <f t="shared" si="30"/>
        <v>120</v>
      </c>
      <c r="E39" s="73">
        <f t="shared" si="30"/>
        <v>160</v>
      </c>
      <c r="F39" s="73">
        <f t="shared" si="30"/>
        <v>240</v>
      </c>
      <c r="G39" s="73">
        <f t="shared" si="30"/>
        <v>321</v>
      </c>
      <c r="K39" s="153"/>
      <c r="M39" s="74">
        <v>91</v>
      </c>
      <c r="N39" s="75"/>
      <c r="O39" s="75"/>
      <c r="P39" s="75"/>
      <c r="Q39" s="75"/>
      <c r="R39" s="75"/>
    </row>
    <row r="40" spans="2:18" ht="14.25" customHeight="1">
      <c r="B40" s="72">
        <v>92</v>
      </c>
      <c r="C40" s="73">
        <f t="shared" ref="C40:G40" si="31">ROUNDDOWN($E$5*($E$6^(($B40/26)))*C$8,0)</f>
        <v>83</v>
      </c>
      <c r="D40" s="73">
        <f t="shared" si="31"/>
        <v>125</v>
      </c>
      <c r="E40" s="73">
        <f t="shared" si="31"/>
        <v>166</v>
      </c>
      <c r="F40" s="73">
        <f t="shared" si="31"/>
        <v>250</v>
      </c>
      <c r="G40" s="73">
        <f t="shared" si="31"/>
        <v>333</v>
      </c>
      <c r="K40" s="154"/>
      <c r="M40" s="74">
        <v>92</v>
      </c>
      <c r="N40" s="75"/>
      <c r="O40" s="75"/>
      <c r="P40" s="75"/>
      <c r="Q40" s="75"/>
      <c r="R40" s="75"/>
    </row>
    <row r="41" spans="2:18" ht="14.25" customHeight="1">
      <c r="K41" s="78"/>
    </row>
    <row r="42" spans="2:18" ht="14.25" customHeight="1"/>
    <row r="43" spans="2:18" ht="14.25" customHeight="1"/>
    <row r="44" spans="2:18" ht="14.25" customHeight="1"/>
    <row r="45" spans="2:18" ht="14.25" customHeight="1"/>
    <row r="46" spans="2:18" ht="14.25" customHeight="1"/>
    <row r="47" spans="2:18" ht="14.25" customHeight="1"/>
    <row r="48" spans="2:1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R2"/>
    <mergeCell ref="B3:R3"/>
    <mergeCell ref="C5:D5"/>
    <mergeCell ref="N5:O5"/>
    <mergeCell ref="C6:D6"/>
    <mergeCell ref="N6:O6"/>
    <mergeCell ref="B7:B8"/>
    <mergeCell ref="N7:R7"/>
    <mergeCell ref="U12:X12"/>
    <mergeCell ref="T14:X14"/>
    <mergeCell ref="T15:X16"/>
    <mergeCell ref="M7:M8"/>
    <mergeCell ref="T7:X7"/>
    <mergeCell ref="U8:X8"/>
    <mergeCell ref="U9:X9"/>
    <mergeCell ref="U10:X10"/>
    <mergeCell ref="U11:X11"/>
    <mergeCell ref="C7:G7"/>
    <mergeCell ref="H9:H26"/>
    <mergeCell ref="I18:I31"/>
    <mergeCell ref="J19:J36"/>
    <mergeCell ref="K31:K40"/>
  </mergeCells>
  <phoneticPr fontId="30" type="noConversion"/>
  <pageMargins left="0.70866141732283472" right="0.70866141732283472" top="0.74803149606299213" bottom="0.74803149606299213" header="0" footer="0"/>
  <pageSetup paperSize="9" scale="76" orientation="landscape" r:id="rId1"/>
  <headerFooter>
    <oddHeader>&amp;A</oddHeader>
    <oddFooter>第 &amp;P 页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4:M11"/>
  <sheetViews>
    <sheetView tabSelected="1" workbookViewId="0">
      <selection activeCell="F13" sqref="F13"/>
    </sheetView>
  </sheetViews>
  <sheetFormatPr defaultColWidth="12.625" defaultRowHeight="15" customHeight="1"/>
  <cols>
    <col min="2" max="2" width="9.375" customWidth="1"/>
    <col min="3" max="3" width="4.625" customWidth="1"/>
    <col min="4" max="4" width="9.875" customWidth="1"/>
    <col min="5" max="5" width="12.75" customWidth="1"/>
    <col min="6" max="6" width="9.5" customWidth="1"/>
    <col min="12" max="12" width="6.5" customWidth="1"/>
    <col min="13" max="13" width="4.875" customWidth="1"/>
  </cols>
  <sheetData>
    <row r="4" spans="2:13">
      <c r="B4" s="79" t="s">
        <v>199</v>
      </c>
      <c r="C4" s="79" t="s">
        <v>200</v>
      </c>
      <c r="D4" s="157" t="s">
        <v>201</v>
      </c>
      <c r="E4" s="94"/>
      <c r="F4" s="95"/>
      <c r="G4" s="158" t="s">
        <v>202</v>
      </c>
      <c r="H4" s="94"/>
      <c r="I4" s="94"/>
      <c r="J4" s="94"/>
      <c r="K4" s="94"/>
      <c r="L4" s="94"/>
      <c r="M4" s="95"/>
    </row>
    <row r="5" spans="2:13">
      <c r="B5" s="80">
        <v>43784</v>
      </c>
      <c r="C5" s="79" t="s">
        <v>203</v>
      </c>
      <c r="D5" s="157" t="s">
        <v>204</v>
      </c>
      <c r="E5" s="94"/>
      <c r="F5" s="95"/>
      <c r="G5" s="158" t="s">
        <v>205</v>
      </c>
      <c r="H5" s="94"/>
      <c r="I5" s="94"/>
      <c r="J5" s="94"/>
      <c r="K5" s="94"/>
      <c r="L5" s="94"/>
      <c r="M5" s="95"/>
    </row>
    <row r="6" spans="2:13">
      <c r="B6" s="159">
        <v>43796</v>
      </c>
      <c r="C6" s="160" t="s">
        <v>206</v>
      </c>
      <c r="D6" s="161" t="s">
        <v>207</v>
      </c>
      <c r="E6" s="169" t="s">
        <v>208</v>
      </c>
      <c r="F6" s="170"/>
      <c r="G6" s="162" t="s">
        <v>209</v>
      </c>
      <c r="H6" s="144"/>
      <c r="I6" s="144"/>
      <c r="J6" s="144"/>
      <c r="K6" s="144"/>
      <c r="L6" s="144"/>
      <c r="M6" s="163"/>
    </row>
    <row r="7" spans="2:13" ht="17.25" customHeight="1">
      <c r="B7" s="100"/>
      <c r="C7" s="100"/>
      <c r="D7" s="100"/>
      <c r="E7" s="171" t="s">
        <v>210</v>
      </c>
      <c r="F7" s="170"/>
      <c r="G7" s="164"/>
      <c r="H7" s="92"/>
      <c r="I7" s="92"/>
      <c r="J7" s="92"/>
      <c r="K7" s="92"/>
      <c r="L7" s="92"/>
      <c r="M7" s="165"/>
    </row>
    <row r="8" spans="2:13" ht="60" customHeight="1">
      <c r="B8" s="100"/>
      <c r="C8" s="100"/>
      <c r="D8" s="101"/>
      <c r="E8" s="171" t="s">
        <v>211</v>
      </c>
      <c r="F8" s="170"/>
      <c r="G8" s="164"/>
      <c r="H8" s="92"/>
      <c r="I8" s="92"/>
      <c r="J8" s="92"/>
      <c r="K8" s="92"/>
      <c r="L8" s="92"/>
      <c r="M8" s="165"/>
    </row>
    <row r="9" spans="2:13" ht="29.25" customHeight="1">
      <c r="B9" s="100"/>
      <c r="C9" s="100"/>
      <c r="D9" s="81" t="s">
        <v>212</v>
      </c>
      <c r="E9" s="171" t="s">
        <v>213</v>
      </c>
      <c r="F9" s="170"/>
      <c r="G9" s="164"/>
      <c r="H9" s="92"/>
      <c r="I9" s="92"/>
      <c r="J9" s="92"/>
      <c r="K9" s="92"/>
      <c r="L9" s="92"/>
      <c r="M9" s="165"/>
    </row>
    <row r="10" spans="2:13" ht="75.75" customHeight="1">
      <c r="B10" s="100"/>
      <c r="C10" s="100"/>
      <c r="D10" s="81" t="s">
        <v>214</v>
      </c>
      <c r="E10" s="171" t="s">
        <v>215</v>
      </c>
      <c r="F10" s="170"/>
      <c r="G10" s="164"/>
      <c r="H10" s="92"/>
      <c r="I10" s="92"/>
      <c r="J10" s="92"/>
      <c r="K10" s="92"/>
      <c r="L10" s="92"/>
      <c r="M10" s="165"/>
    </row>
    <row r="11" spans="2:13">
      <c r="B11" s="101"/>
      <c r="C11" s="101"/>
      <c r="D11" s="82" t="s">
        <v>216</v>
      </c>
      <c r="E11" s="169" t="s">
        <v>217</v>
      </c>
      <c r="F11" s="170"/>
      <c r="G11" s="166"/>
      <c r="H11" s="167"/>
      <c r="I11" s="167"/>
      <c r="J11" s="167"/>
      <c r="K11" s="167"/>
      <c r="L11" s="167"/>
      <c r="M11" s="168"/>
    </row>
  </sheetData>
  <mergeCells count="14">
    <mergeCell ref="D4:F4"/>
    <mergeCell ref="G4:M4"/>
    <mergeCell ref="D5:F5"/>
    <mergeCell ref="B6:B11"/>
    <mergeCell ref="C6:C11"/>
    <mergeCell ref="D6:D8"/>
    <mergeCell ref="E6:F6"/>
    <mergeCell ref="E11:F11"/>
    <mergeCell ref="G5:M5"/>
    <mergeCell ref="G6:M11"/>
    <mergeCell ref="E7:F7"/>
    <mergeCell ref="E8:F8"/>
    <mergeCell ref="E9:F9"/>
    <mergeCell ref="E10:F10"/>
  </mergeCells>
  <phoneticPr fontId="30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Header>&amp;A</oddHeader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分裝流程圖</vt:lpstr>
      <vt:lpstr>分裝規則說明</vt:lpstr>
      <vt:lpstr>MC黑龍裝備分配表</vt:lpstr>
      <vt:lpstr>MC黑龍裝備GP表</vt:lpstr>
      <vt:lpstr>GP計算公式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SHENBIN GAN</cp:lastModifiedBy>
  <cp:lastPrinted>2019-11-28T06:39:44Z</cp:lastPrinted>
  <dcterms:modified xsi:type="dcterms:W3CDTF">2019-11-28T06:41:35Z</dcterms:modified>
</cp:coreProperties>
</file>